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worksheets/sheet153.xml" ContentType="application/vnd.openxmlformats-officedocument.spreadsheetml.worksheet+xml"/>
  <Override PartName="/xl/worksheets/sheet171.xml" ContentType="application/vnd.openxmlformats-officedocument.spreadsheetml.worksheet+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187.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xl/worksheets/sheet176.xml" ContentType="application/vnd.openxmlformats-officedocument.spreadsheetml.worksheet+xml"/>
  <Override PartName="/xl/worksheets/sheet194.xml" ContentType="application/vnd.openxmlformats-officedocument.spreadsheetml.worksheet+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183.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190.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3270" yWindow="-135" windowWidth="19005" windowHeight="12435" tabRatio="926" firstSheet="1" activeTab="1"/>
  </bookViews>
  <sheets>
    <sheet name="S14x" sheetId="225" state="hidden" r:id="rId1"/>
    <sheet name="ToC" sheetId="4" r:id="rId2"/>
    <sheet name="1" sheetId="357" r:id="rId3"/>
    <sheet name="1a" sheetId="358" r:id="rId4"/>
    <sheet name="1b" sheetId="359" r:id="rId5"/>
    <sheet name="1c" sheetId="17" r:id="rId6"/>
    <sheet name="1d" sheetId="119" r:id="rId7"/>
    <sheet name="1e" sheetId="127" r:id="rId8"/>
    <sheet name="2a" sheetId="235" r:id="rId9"/>
    <sheet name="2b" sheetId="236" r:id="rId10"/>
    <sheet name="2c" sheetId="237" r:id="rId11"/>
    <sheet name="2d" sheetId="238" r:id="rId12"/>
    <sheet name="2e" sheetId="239" r:id="rId13"/>
    <sheet name="2f" sheetId="240" r:id="rId14"/>
    <sheet name="2g" sheetId="241" r:id="rId15"/>
    <sheet name="2h" sheetId="258" r:id="rId16"/>
    <sheet name="3" sheetId="6" r:id="rId17"/>
    <sheet name="3a" sheetId="104" r:id="rId18"/>
    <sheet name="3b" sheetId="8" r:id="rId19"/>
    <sheet name="3c" sheetId="105" r:id="rId20"/>
    <sheet name="3d" sheetId="304" r:id="rId21"/>
    <sheet name="3e" sheetId="305" r:id="rId22"/>
    <sheet name="3f" sheetId="306" r:id="rId23"/>
    <sheet name="3g" sheetId="308" r:id="rId24"/>
    <sheet name="4" sheetId="7" r:id="rId25"/>
    <sheet name="4a" sheetId="124" r:id="rId26"/>
    <sheet name="4b" sheetId="131" r:id="rId27"/>
    <sheet name="4c" sheetId="9" r:id="rId28"/>
    <sheet name="4d" sheetId="293" r:id="rId29"/>
    <sheet name="4e" sheetId="303" r:id="rId30"/>
    <sheet name="4f" sheetId="307" r:id="rId31"/>
    <sheet name="4g" sheetId="309" r:id="rId32"/>
    <sheet name="5" sheetId="101" r:id="rId33"/>
    <sheet name="x7" sheetId="10" state="hidden" r:id="rId34"/>
    <sheet name="5a" sheetId="108" r:id="rId35"/>
    <sheet name="5b" sheetId="120" r:id="rId36"/>
    <sheet name="5c" sheetId="148" r:id="rId37"/>
    <sheet name="5d" sheetId="302" r:id="rId38"/>
    <sheet name="5e" sheetId="364" r:id="rId39"/>
    <sheet name="5f" sheetId="366" r:id="rId40"/>
    <sheet name="5g" sheetId="367" r:id="rId41"/>
    <sheet name="6" sheetId="122" r:id="rId42"/>
    <sheet name="6a" sheetId="123" r:id="rId43"/>
    <sheet name="7" sheetId="179" r:id="rId44"/>
    <sheet name="7a" sheetId="181" r:id="rId45"/>
    <sheet name="7b" sheetId="180" r:id="rId46"/>
    <sheet name="7c" sheetId="182" r:id="rId47"/>
    <sheet name="7d" sheetId="183" r:id="rId48"/>
    <sheet name="7e" sheetId="184" r:id="rId49"/>
    <sheet name="7f" sheetId="185" r:id="rId50"/>
    <sheet name="7g" sheetId="186" r:id="rId51"/>
    <sheet name="7h" sheetId="187" r:id="rId52"/>
    <sheet name="8" sheetId="11" r:id="rId53"/>
    <sheet name="8a" sheetId="87" r:id="rId54"/>
    <sheet name="8b" sheetId="88" r:id="rId55"/>
    <sheet name="8c" sheetId="125" r:id="rId56"/>
    <sheet name="8d" sheetId="126" r:id="rId57"/>
    <sheet name="8e" sheetId="118" r:id="rId58"/>
    <sheet name="9" sheetId="121" state="hidden" r:id="rId59"/>
    <sheet name="9a" sheetId="296" state="hidden" r:id="rId60"/>
    <sheet name="9b" sheetId="297" state="hidden" r:id="rId61"/>
    <sheet name="9c" sheetId="298" state="hidden" r:id="rId62"/>
    <sheet name="9d" sheetId="299" state="hidden" r:id="rId63"/>
    <sheet name="10" sheetId="207" r:id="rId64"/>
    <sheet name="10a" sheetId="208" r:id="rId65"/>
    <sheet name="10b" sheetId="209" r:id="rId66"/>
    <sheet name="10c" sheetId="210" r:id="rId67"/>
    <sheet name="10d" sheetId="360" r:id="rId68"/>
    <sheet name="10e" sheetId="211" r:id="rId69"/>
    <sheet name="10f" sheetId="212" r:id="rId70"/>
    <sheet name="10g" sheetId="213" r:id="rId71"/>
    <sheet name="10h" sheetId="214" r:id="rId72"/>
    <sheet name="10i" sheetId="361" r:id="rId73"/>
    <sheet name="10j" sheetId="274" r:id="rId74"/>
    <sheet name="10k" sheetId="275" r:id="rId75"/>
    <sheet name="10l" sheetId="276" r:id="rId76"/>
    <sheet name="10m" sheetId="277" r:id="rId77"/>
    <sheet name="10n" sheetId="362" r:id="rId78"/>
    <sheet name="10o" sheetId="278" r:id="rId79"/>
    <sheet name="10p" sheetId="279" r:id="rId80"/>
    <sheet name="10q" sheetId="280" r:id="rId81"/>
    <sheet name="10r" sheetId="281" r:id="rId82"/>
    <sheet name="10s" sheetId="363" r:id="rId83"/>
    <sheet name="10t" sheetId="328" r:id="rId84"/>
    <sheet name="10u" sheetId="341" r:id="rId85"/>
    <sheet name="11" sheetId="92" r:id="rId86"/>
    <sheet name="11a" sheetId="205" r:id="rId87"/>
    <sheet name="11b" sheetId="93" r:id="rId88"/>
    <sheet name="11c" sheetId="94" r:id="rId89"/>
    <sheet name="11d" sheetId="95" r:id="rId90"/>
    <sheet name="11e" sheetId="263" r:id="rId91"/>
    <sheet name="12" sheetId="96" r:id="rId92"/>
    <sheet name="12a" sheetId="340" r:id="rId93"/>
    <sheet name="12b" sheetId="218" r:id="rId94"/>
    <sheet name="12c" sheetId="97" r:id="rId95"/>
    <sheet name="12d" sheetId="98" r:id="rId96"/>
    <sheet name="12e" sheetId="99" r:id="rId97"/>
    <sheet name="12f" sheetId="266" r:id="rId98"/>
    <sheet name="12g" sheetId="272" r:id="rId99"/>
    <sheet name="13" sheetId="109" r:id="rId100"/>
    <sheet name="13a" sheetId="110" r:id="rId101"/>
    <sheet name="14" sheetId="111" r:id="rId102"/>
    <sheet name="14a" sheetId="112" r:id="rId103"/>
    <sheet name="15" sheetId="248" r:id="rId104"/>
    <sheet name="15a" sheetId="176" r:id="rId105"/>
    <sheet name="15b" sheetId="249" r:id="rId106"/>
    <sheet name="15c" sheetId="251" r:id="rId107"/>
    <sheet name="16" sheetId="139" r:id="rId108"/>
    <sheet name="16a" sheetId="196" r:id="rId109"/>
    <sheet name="16b" sheetId="197" r:id="rId110"/>
    <sheet name="16c" sheetId="343" r:id="rId111"/>
    <sheet name="17" sheetId="222" r:id="rId112"/>
    <sheet name="17a" sheetId="223" r:id="rId113"/>
    <sheet name="17b" sheetId="224" r:id="rId114"/>
    <sheet name="17c" sheetId="234" r:id="rId115"/>
    <sheet name="18" sheetId="13" r:id="rId116"/>
    <sheet name="18a" sheetId="198" r:id="rId117"/>
    <sheet name="18b" sheetId="199" r:id="rId118"/>
    <sheet name="18c" sheetId="219" r:id="rId119"/>
    <sheet name="19" sheetId="14" r:id="rId120"/>
    <sheet name="19a" sheetId="200" r:id="rId121"/>
    <sheet name="19b" sheetId="201" r:id="rId122"/>
    <sheet name="19c" sheetId="220" r:id="rId123"/>
    <sheet name="20" sheetId="15" r:id="rId124"/>
    <sheet name="20a" sheetId="202" r:id="rId125"/>
    <sheet name="20b" sheetId="203" r:id="rId126"/>
    <sheet name="20c" sheetId="221" r:id="rId127"/>
    <sheet name="21" sheetId="215" r:id="rId128"/>
    <sheet name="22" sheetId="216" r:id="rId129"/>
    <sheet name="23" sheetId="260" r:id="rId130"/>
    <sheet name="24" sheetId="270" r:id="rId131"/>
    <sheet name="25a" sheetId="314" r:id="rId132"/>
    <sheet name="25b" sheetId="312" r:id="rId133"/>
    <sheet name="25c" sheetId="313" r:id="rId134"/>
    <sheet name="25d" sheetId="315" r:id="rId135"/>
    <sheet name="25e" sheetId="321" r:id="rId136"/>
    <sheet name="25f" sheetId="322" r:id="rId137"/>
    <sheet name="26" sheetId="323" r:id="rId138"/>
    <sheet name="27" sheetId="332" r:id="rId139"/>
    <sheet name="28" sheetId="354" r:id="rId140"/>
    <sheet name="29" sheetId="356" r:id="rId141"/>
    <sheet name="30" sheetId="368" r:id="rId142"/>
    <sheet name="600" sheetId="67" r:id="rId143"/>
    <sheet name="600a" sheetId="68" r:id="rId144"/>
    <sheet name="601" sheetId="66" r:id="rId145"/>
    <sheet name="601a" sheetId="65" r:id="rId146"/>
    <sheet name="602" sheetId="71" r:id="rId147"/>
    <sheet name="602a" sheetId="72" r:id="rId148"/>
    <sheet name="603" sheetId="73" r:id="rId149"/>
    <sheet name="603a" sheetId="74" r:id="rId150"/>
    <sheet name="604" sheetId="75" r:id="rId151"/>
    <sheet name="604a" sheetId="76" r:id="rId152"/>
    <sheet name="606" sheetId="69" r:id="rId153"/>
    <sheet name="606a" sheetId="70" r:id="rId154"/>
    <sheet name="607" sheetId="79" r:id="rId155"/>
    <sheet name="607a" sheetId="80" r:id="rId156"/>
    <sheet name="608" sheetId="61" r:id="rId157"/>
    <sheet name="608a" sheetId="62" r:id="rId158"/>
    <sheet name="610" sheetId="154" r:id="rId159"/>
    <sheet name="801" sheetId="18" r:id="rId160"/>
    <sheet name="802" sheetId="19" r:id="rId161"/>
    <sheet name="803" sheetId="20" r:id="rId162"/>
    <sheet name="804" sheetId="22" r:id="rId163"/>
    <sheet name="805" sheetId="23" r:id="rId164"/>
    <sheet name="806" sheetId="24" r:id="rId165"/>
    <sheet name="807" sheetId="25" r:id="rId166"/>
    <sheet name="808" sheetId="26" r:id="rId167"/>
    <sheet name="809" sheetId="27" r:id="rId168"/>
    <sheet name="810" sheetId="28" r:id="rId169"/>
    <sheet name="811" sheetId="30" r:id="rId170"/>
    <sheet name="812" sheetId="31" r:id="rId171"/>
    <sheet name="813" sheetId="32" r:id="rId172"/>
    <sheet name="814" sheetId="33" r:id="rId173"/>
    <sheet name="815" sheetId="34" r:id="rId174"/>
    <sheet name="816" sheetId="35" r:id="rId175"/>
    <sheet name="817" sheetId="36" r:id="rId176"/>
    <sheet name="818" sheetId="37" r:id="rId177"/>
    <sheet name="819" sheetId="38" r:id="rId178"/>
    <sheet name="820" sheetId="39" r:id="rId179"/>
    <sheet name="821" sheetId="40" r:id="rId180"/>
    <sheet name="822" sheetId="41" r:id="rId181"/>
    <sheet name="823" sheetId="42" r:id="rId182"/>
    <sheet name="824" sheetId="43" r:id="rId183"/>
    <sheet name="825" sheetId="44" r:id="rId184"/>
    <sheet name="826" sheetId="45" r:id="rId185"/>
    <sheet name="827" sheetId="46" r:id="rId186"/>
    <sheet name="828" sheetId="47" r:id="rId187"/>
    <sheet name="829" sheetId="48" r:id="rId188"/>
    <sheet name="830" sheetId="49" r:id="rId189"/>
    <sheet name="831" sheetId="54" r:id="rId190"/>
    <sheet name="832" sheetId="55" r:id="rId191"/>
    <sheet name="833" sheetId="56" r:id="rId192"/>
    <sheet name="834" sheetId="57" r:id="rId193"/>
    <sheet name="835" sheetId="58" r:id="rId194"/>
    <sheet name="836" sheetId="59" r:id="rId195"/>
    <sheet name="837" sheetId="50" r:id="rId196"/>
    <sheet name="838" sheetId="51" r:id="rId197"/>
    <sheet name="839" sheetId="52" r:id="rId198"/>
    <sheet name="840" sheetId="53" r:id="rId199"/>
    <sheet name="901" sheetId="21" r:id="rId200"/>
    <sheet name="901a" sheetId="160" r:id="rId201"/>
    <sheet name="901b" sheetId="162" r:id="rId202"/>
    <sheet name="905" sheetId="156" r:id="rId203"/>
    <sheet name="905a" sheetId="161" r:id="rId204"/>
    <sheet name="905b" sheetId="173" r:id="rId205"/>
    <sheet name="910" sheetId="157" r:id="rId206"/>
    <sheet name="910a" sheetId="158" r:id="rId207"/>
    <sheet name="910b" sheetId="174" r:id="rId208"/>
  </sheets>
  <definedNames>
    <definedName name="_xlnm._FilterDatabase" localSheetId="129" hidden="1">'23'!$A$2:$J$104</definedName>
    <definedName name="_xlnm.Print_Area" localSheetId="2">'1'!$A$1:$Y$34</definedName>
    <definedName name="_xlnm.Print_Area" localSheetId="63">'10'!$A$1:$G$65</definedName>
    <definedName name="_xlnm.Print_Area" localSheetId="64">'10a'!$A$1:$G$65</definedName>
    <definedName name="_xlnm.Print_Area" localSheetId="65">'10b'!$A$1:$G$65</definedName>
    <definedName name="_xlnm.Print_Area" localSheetId="66">'10c'!$A$1:$G$65</definedName>
    <definedName name="_xlnm.Print_Area" localSheetId="67">'10d'!$A$1:$G$65</definedName>
    <definedName name="_xlnm.Print_Area" localSheetId="68">'10e'!$A$1:$G$65</definedName>
    <definedName name="_xlnm.Print_Area" localSheetId="69">'10f'!$A$1:$G$65</definedName>
    <definedName name="_xlnm.Print_Area" localSheetId="70">'10g'!$A$1:$G$65</definedName>
    <definedName name="_xlnm.Print_Area" localSheetId="71">'10h'!$A$1:$G$65</definedName>
    <definedName name="_xlnm.Print_Area" localSheetId="72">'10i'!$A$1:$G$65</definedName>
    <definedName name="_xlnm.Print_Area" localSheetId="73">'10j'!$A$1:$G$66</definedName>
    <definedName name="_xlnm.Print_Area" localSheetId="74">'10k'!$A$1:$G$66</definedName>
    <definedName name="_xlnm.Print_Area" localSheetId="75">'10l'!$A$1:$G$66</definedName>
    <definedName name="_xlnm.Print_Area" localSheetId="76">'10m'!$A$1:$G$66</definedName>
    <definedName name="_xlnm.Print_Area" localSheetId="77">'10n'!$A$1:$G$66</definedName>
    <definedName name="_xlnm.Print_Area" localSheetId="78">'10o'!$A$1:$G$66</definedName>
    <definedName name="_xlnm.Print_Area" localSheetId="79">'10p'!$A$1:$G$66</definedName>
    <definedName name="_xlnm.Print_Area" localSheetId="80">'10q'!$A$1:$G$66</definedName>
    <definedName name="_xlnm.Print_Area" localSheetId="81">'10r'!$A$1:$G$66</definedName>
    <definedName name="_xlnm.Print_Area" localSheetId="82">'10s'!$A$1:$G$66</definedName>
    <definedName name="_xlnm.Print_Area" localSheetId="83">'10t'!$A$1:$G$44</definedName>
    <definedName name="_xlnm.Print_Area" localSheetId="84">'10u'!$A$1:$G$44</definedName>
    <definedName name="_xlnm.Print_Area" localSheetId="86">'11a'!$A$1:$K$36</definedName>
    <definedName name="_xlnm.Print_Area" localSheetId="92">'12a'!$A$1:$J$37</definedName>
    <definedName name="_xlnm.Print_Area" localSheetId="94">'12c'!$A$1:$J$41</definedName>
    <definedName name="_xlnm.Print_Area" localSheetId="95">'12d'!$A$1:$J$41</definedName>
    <definedName name="_xlnm.Print_Area" localSheetId="98">'12g'!$A$1:$AB$61</definedName>
    <definedName name="_xlnm.Print_Area" localSheetId="102">'14a'!$A$1:$I$50</definedName>
    <definedName name="_xlnm.Print_Area" localSheetId="103">'15'!$A$1:$L$18</definedName>
    <definedName name="_xlnm.Print_Area" localSheetId="107">'16'!$A$1:$I$73</definedName>
    <definedName name="_xlnm.Print_Area" localSheetId="108">'16a'!$A$1:$K$71</definedName>
    <definedName name="_xlnm.Print_Area" localSheetId="109">'16b'!$A$1:$I$69</definedName>
    <definedName name="_xlnm.Print_Area" localSheetId="110">'16c'!$A$1:$C$61</definedName>
    <definedName name="_xlnm.Print_Area" localSheetId="111">'17'!$A$1:$O$65</definedName>
    <definedName name="_xlnm.Print_Area" localSheetId="112">'17a'!$A$1:$G$64</definedName>
    <definedName name="_xlnm.Print_Area" localSheetId="113">'17b'!$A$1:$L$65</definedName>
    <definedName name="_xlnm.Print_Area" localSheetId="115">'18'!$A$1:$O$65</definedName>
    <definedName name="_xlnm.Print_Area" localSheetId="116">'18a'!$A$1:$G$64</definedName>
    <definedName name="_xlnm.Print_Area" localSheetId="117">'18b'!$A$1:$L$65</definedName>
    <definedName name="_xlnm.Print_Area" localSheetId="119">'19'!$A$1:$O$65</definedName>
    <definedName name="_xlnm.Print_Area" localSheetId="120">'19a'!$A$1:$G$64</definedName>
    <definedName name="_xlnm.Print_Area" localSheetId="121">'19b'!$A$1:$L$64</definedName>
    <definedName name="_xlnm.Print_Area" localSheetId="3">'1a'!$A$1:$Y$55</definedName>
    <definedName name="_xlnm.Print_Area" localSheetId="4" xml:space="preserve">                                                      '1b'!$A$1:$I$57</definedName>
    <definedName name="_xlnm.Print_Area" localSheetId="6">'1d'!$A$1:$I$42</definedName>
    <definedName name="_xlnm.Print_Area" localSheetId="123">'20'!$A$1:$O$65</definedName>
    <definedName name="_xlnm.Print_Area" localSheetId="124">'20a'!$A$1:$G$64</definedName>
    <definedName name="_xlnm.Print_Area" localSheetId="125">'20b'!$A$1:$L$64</definedName>
    <definedName name="_xlnm.Print_Area" localSheetId="127">'21'!$A$1:$F$53</definedName>
    <definedName name="_xlnm.Print_Area" localSheetId="128">'22'!$A$1:$E$80</definedName>
    <definedName name="_xlnm.Print_Area" localSheetId="129">'23'!$A$1:$J$117</definedName>
    <definedName name="_xlnm.Print_Area" localSheetId="130">'24'!$A$1:$H$46</definedName>
    <definedName name="_xlnm.Print_Area" localSheetId="131">'25a'!$A$1:$D$31</definedName>
    <definedName name="_xlnm.Print_Area" localSheetId="132">'25b'!$A$1:$D$31</definedName>
    <definedName name="_xlnm.Print_Area" localSheetId="133">'25c'!$A$1:$J$31</definedName>
    <definedName name="_xlnm.Print_Area" localSheetId="134">'25d'!$A$1:$M$32</definedName>
    <definedName name="_xlnm.Print_Area" localSheetId="139">'28'!$A$1:$E$106</definedName>
    <definedName name="_xlnm.Print_Area" localSheetId="140">'29'!$A$1:$F$36</definedName>
    <definedName name="_xlnm.Print_Area" localSheetId="10">'2c'!$A$1:$O$46</definedName>
    <definedName name="_xlnm.Print_Area" localSheetId="11">'2d'!$A$1:$N$46</definedName>
    <definedName name="_xlnm.Print_Area" localSheetId="12">'2e'!$A$1:$M$32</definedName>
    <definedName name="_xlnm.Print_Area" localSheetId="13">'2f'!$A$1:$M$32</definedName>
    <definedName name="_xlnm.Print_Area" localSheetId="14">'2g'!$A$1:$M$59</definedName>
    <definedName name="_xlnm.Print_Area" localSheetId="15">'2h'!$A$1:$H$45</definedName>
    <definedName name="_xlnm.Print_Area" localSheetId="16">'3'!$A$1:$H$70</definedName>
    <definedName name="_xlnm.Print_Area" localSheetId="141">'30'!$A$1:$E$35</definedName>
    <definedName name="_xlnm.Print_Area" localSheetId="18">'3b'!$A$1:$N$42</definedName>
    <definedName name="_xlnm.Print_Area" localSheetId="20">'3d'!$A$1:$Q$39</definedName>
    <definedName name="_xlnm.Print_Area" localSheetId="21">'3e'!$A$1:$Q$38</definedName>
    <definedName name="_xlnm.Print_Area" localSheetId="22">'3f'!$A$1:$J$38</definedName>
    <definedName name="_xlnm.Print_Area" localSheetId="23">'3g'!$A$1:$E$35</definedName>
    <definedName name="_xlnm.Print_Area" localSheetId="24">'4'!$A$1:$I$80</definedName>
    <definedName name="_xlnm.Print_Area" localSheetId="27">'4c'!$A$1:$N$41</definedName>
    <definedName name="_xlnm.Print_Area" localSheetId="28">'4d'!$A$1:$H$72</definedName>
    <definedName name="_xlnm.Print_Area" localSheetId="32">'5'!$A$1:$I$60</definedName>
    <definedName name="_xlnm.Print_Area" localSheetId="35">'5b'!$A$1:$I$47</definedName>
    <definedName name="_xlnm.Print_Area" localSheetId="36">'5c'!$A$1:$K$41</definedName>
    <definedName name="_xlnm.Print_Area" localSheetId="37">'5d'!$A$1:$I$44</definedName>
    <definedName name="_xlnm.Print_Area" localSheetId="39">'5f'!$A$1:$I$46</definedName>
    <definedName name="_xlnm.Print_Area" localSheetId="40">'5g'!$A$1:$K$23</definedName>
    <definedName name="_xlnm.Print_Area" localSheetId="41">'6'!$A$1:$I$66</definedName>
    <definedName name="_xlnm.Print_Area" localSheetId="142">'600'!$A$1:$K$53</definedName>
    <definedName name="_xlnm.Print_Area" localSheetId="143">'600a'!$A$1:$P$53</definedName>
    <definedName name="_xlnm.Print_Area" localSheetId="146">'602'!$A$1:$K$51</definedName>
    <definedName name="_xlnm.Print_Area" localSheetId="43">'7'!$A$1:$F$46</definedName>
    <definedName name="_xlnm.Print_Area" localSheetId="52">'8'!$A$1:$L$68</definedName>
    <definedName name="_xlnm.Print_Area" localSheetId="159">'801'!$A$1:$N$47</definedName>
    <definedName name="_xlnm.Print_Area" localSheetId="160">'802'!$A$1:$N$46</definedName>
    <definedName name="_xlnm.Print_Area" localSheetId="161">'803'!$A$1:$N$47</definedName>
    <definedName name="_xlnm.Print_Area" localSheetId="162">'804'!$A$1:$N$46</definedName>
    <definedName name="_xlnm.Print_Area" localSheetId="163">'805'!$A$1:$N$47</definedName>
    <definedName name="_xlnm.Print_Area" localSheetId="164">'806'!$A$1:$N$49</definedName>
    <definedName name="_xlnm.Print_Area" localSheetId="165">'807'!$A$1:$N$47</definedName>
    <definedName name="_xlnm.Print_Area" localSheetId="166">'808'!$A$1:$N$47</definedName>
    <definedName name="_xlnm.Print_Area" localSheetId="167">'809'!$A$1:$N$46</definedName>
    <definedName name="_xlnm.Print_Area" localSheetId="168">'810'!$A$1:$N$47</definedName>
    <definedName name="_xlnm.Print_Area" localSheetId="169">'811'!$A$1:$H$43</definedName>
    <definedName name="_xlnm.Print_Area" localSheetId="172">'814'!$A$1:$H$43</definedName>
    <definedName name="_xlnm.Print_Area" localSheetId="177">'819'!$A$1:$H$43</definedName>
    <definedName name="_xlnm.Print_Area" localSheetId="178">'820'!$A$1:$H$44</definedName>
    <definedName name="_xlnm.Print_Area" localSheetId="53">'8a'!$A$1:$M$70</definedName>
    <definedName name="_xlnm.Print_Area" localSheetId="54">'8b'!$A$1:$G$48</definedName>
    <definedName name="_xlnm.Print_Area" localSheetId="55">'8c'!$A$1:$G$48</definedName>
    <definedName name="_xlnm.Print_Area" localSheetId="56">'8d'!$A$1:$G$47</definedName>
    <definedName name="_xlnm.Print_Area" localSheetId="57">'8e'!$A$1:$G$73</definedName>
    <definedName name="_xlnm.Print_Area" localSheetId="58">'9'!$A$1:$F$20</definedName>
    <definedName name="_xlnm.Print_Area" localSheetId="199">'901'!$A$1:$F$72</definedName>
    <definedName name="_xlnm.Print_Area" localSheetId="200">'901a'!$A$1:$F$38</definedName>
    <definedName name="_xlnm.Print_Area" localSheetId="202">'905'!$A$1:$M$43</definedName>
    <definedName name="_xlnm.Print_Area" localSheetId="204">'905b'!$A$1:$P$74</definedName>
    <definedName name="_xlnm.Print_Area" localSheetId="207">'910b'!$A$1:$M$42</definedName>
    <definedName name="_xlnm.Print_Area" localSheetId="59">'9a'!$A$1:$F$20</definedName>
    <definedName name="_xlnm.Print_Area" localSheetId="60">'9b'!$A$1:$F$20</definedName>
    <definedName name="_xlnm.Print_Area" localSheetId="61">'9c'!$A$1:$F$20</definedName>
    <definedName name="_xlnm.Print_Area" localSheetId="62">'9d'!$A$1:$F$20</definedName>
    <definedName name="_xlnm.Print_Area" localSheetId="1">ToC!$A$1:$A$254</definedName>
    <definedName name="_xlnm.Print_Titles" localSheetId="107">'16'!$A:$A,'16'!$1:$3</definedName>
    <definedName name="_xlnm.Print_Titles" localSheetId="108">'16a'!$A:$A,'16a'!$1:$4</definedName>
    <definedName name="_xlnm.Print_Titles" localSheetId="109">'16b'!$A:$A,'16b'!$1:$3</definedName>
    <definedName name="_xlnm.Print_Titles" localSheetId="111">'17'!$A:$A,'17'!$1:$4</definedName>
    <definedName name="_xlnm.Print_Titles" localSheetId="112">'17a'!$A:$A,'17a'!$1:$3</definedName>
    <definedName name="_xlnm.Print_Titles" localSheetId="113">'17b'!$A:$A,'17b'!$1:$4</definedName>
    <definedName name="_xlnm.Print_Titles" localSheetId="115">'18'!$A:$A,'18'!$1:$4</definedName>
    <definedName name="_xlnm.Print_Titles" localSheetId="116">'18a'!$A:$A,'18a'!$1:$3</definedName>
    <definedName name="_xlnm.Print_Titles" localSheetId="117">'18b'!$A:$A,'18b'!$1:$4</definedName>
    <definedName name="_xlnm.Print_Titles" localSheetId="119">'19'!$A:$A,'19'!$1:$4</definedName>
    <definedName name="_xlnm.Print_Titles" localSheetId="120">'19a'!$A:$A,'19a'!$1:$3</definedName>
    <definedName name="_xlnm.Print_Titles" localSheetId="121">'19b'!$A:$A,'19b'!$1:$4</definedName>
    <definedName name="_xlnm.Print_Titles" localSheetId="123">'20'!$A:$A,'20'!$1:$4</definedName>
    <definedName name="_xlnm.Print_Titles" localSheetId="124">'20a'!$A:$A,'20a'!$1:$3</definedName>
    <definedName name="_xlnm.Print_Titles" localSheetId="125">'20b'!$A:$A,'20b'!$1:$4</definedName>
    <definedName name="_xlnm.Print_Titles" localSheetId="129">'23'!$2:$4</definedName>
    <definedName name="_xlnm.Print_Titles" localSheetId="139">'28'!$1:$1</definedName>
    <definedName name="_xlnm.Print_Titles" localSheetId="24">'4'!$2:$4</definedName>
    <definedName name="_xlnm.Print_Titles" localSheetId="25">'4a'!$2:$4</definedName>
    <definedName name="_xlnm.Print_Titles" localSheetId="26">'4b'!$2:$4</definedName>
    <definedName name="_xlnm.Print_Titles" localSheetId="28">'4d'!$2:$4</definedName>
    <definedName name="_xlnm.Print_Titles" localSheetId="52">'8'!$4:$4</definedName>
  </definedNames>
  <calcPr calcId="125725"/>
</workbook>
</file>

<file path=xl/calcChain.xml><?xml version="1.0" encoding="utf-8"?>
<calcChain xmlns="http://schemas.openxmlformats.org/spreadsheetml/2006/main">
  <c r="I6" i="119"/>
  <c r="I7"/>
  <c r="I8"/>
  <c r="I9"/>
  <c r="I10"/>
  <c r="I11"/>
  <c r="I12"/>
  <c r="I13"/>
  <c r="I14"/>
  <c r="I15"/>
  <c r="I16"/>
  <c r="I17"/>
  <c r="I18"/>
  <c r="I19"/>
  <c r="I20"/>
  <c r="I21"/>
  <c r="I22"/>
  <c r="I23"/>
  <c r="I24"/>
  <c r="I25"/>
  <c r="I26"/>
  <c r="I27"/>
  <c r="I28"/>
  <c r="I29"/>
  <c r="I30"/>
  <c r="I31"/>
  <c r="I32"/>
  <c r="I33"/>
  <c r="I5"/>
  <c r="H5"/>
  <c r="H6"/>
  <c r="H7"/>
  <c r="H8"/>
  <c r="H9"/>
  <c r="H10"/>
  <c r="H11"/>
  <c r="H12"/>
  <c r="H13"/>
  <c r="H14"/>
  <c r="H15"/>
  <c r="H16"/>
  <c r="H17"/>
  <c r="H18"/>
  <c r="H19"/>
  <c r="H20"/>
  <c r="H21"/>
  <c r="H22"/>
  <c r="H23"/>
  <c r="H24"/>
  <c r="H25"/>
  <c r="H26"/>
  <c r="H27"/>
  <c r="H28"/>
  <c r="H29"/>
  <c r="H30"/>
  <c r="H31"/>
  <c r="H32"/>
  <c r="H33"/>
  <c r="G6"/>
  <c r="G7"/>
  <c r="G8"/>
  <c r="G9"/>
  <c r="G10"/>
  <c r="G11"/>
  <c r="G12"/>
  <c r="G13"/>
  <c r="G14"/>
  <c r="G15"/>
  <c r="G16"/>
  <c r="G17"/>
  <c r="G18"/>
  <c r="G19"/>
  <c r="G20"/>
  <c r="G21"/>
  <c r="G22"/>
  <c r="G23"/>
  <c r="G24"/>
  <c r="G25"/>
  <c r="G26"/>
  <c r="G27"/>
  <c r="G28"/>
  <c r="G29"/>
  <c r="G30"/>
  <c r="G31"/>
  <c r="G32"/>
  <c r="G33"/>
  <c r="G5"/>
  <c r="B6"/>
  <c r="C6"/>
  <c r="D6"/>
  <c r="E6"/>
  <c r="F6"/>
  <c r="B7"/>
  <c r="C7"/>
  <c r="D7"/>
  <c r="E7"/>
  <c r="F7"/>
  <c r="B8"/>
  <c r="C8"/>
  <c r="D8"/>
  <c r="E8"/>
  <c r="F8"/>
  <c r="B9"/>
  <c r="C9"/>
  <c r="D9"/>
  <c r="E9"/>
  <c r="F9"/>
  <c r="B10"/>
  <c r="C10"/>
  <c r="D10"/>
  <c r="E10"/>
  <c r="F10"/>
  <c r="B11"/>
  <c r="C11"/>
  <c r="D11"/>
  <c r="E11"/>
  <c r="F11"/>
  <c r="B12"/>
  <c r="C12"/>
  <c r="D12"/>
  <c r="E12"/>
  <c r="F12"/>
  <c r="B13"/>
  <c r="C13"/>
  <c r="D13"/>
  <c r="E13"/>
  <c r="F13"/>
  <c r="B14"/>
  <c r="C14"/>
  <c r="D14"/>
  <c r="E14"/>
  <c r="F14"/>
  <c r="B15"/>
  <c r="C15"/>
  <c r="D15"/>
  <c r="E15"/>
  <c r="F15"/>
  <c r="B16"/>
  <c r="C16"/>
  <c r="D16"/>
  <c r="E16"/>
  <c r="F16"/>
  <c r="B17"/>
  <c r="C17"/>
  <c r="D17"/>
  <c r="E17"/>
  <c r="F17"/>
  <c r="B18"/>
  <c r="C18"/>
  <c r="D18"/>
  <c r="E18"/>
  <c r="F18"/>
  <c r="B19"/>
  <c r="C19"/>
  <c r="D19"/>
  <c r="E19"/>
  <c r="F19"/>
  <c r="B20"/>
  <c r="C20"/>
  <c r="D20"/>
  <c r="E20"/>
  <c r="F20"/>
  <c r="B21"/>
  <c r="C21"/>
  <c r="D21"/>
  <c r="E21"/>
  <c r="F21"/>
  <c r="B22"/>
  <c r="C22"/>
  <c r="D22"/>
  <c r="E22"/>
  <c r="F22"/>
  <c r="B23"/>
  <c r="C23"/>
  <c r="D23"/>
  <c r="E23"/>
  <c r="F23"/>
  <c r="B24"/>
  <c r="C24"/>
  <c r="D24"/>
  <c r="E24"/>
  <c r="F24"/>
  <c r="B25"/>
  <c r="C25"/>
  <c r="D25"/>
  <c r="E25"/>
  <c r="F25"/>
  <c r="B26"/>
  <c r="C26"/>
  <c r="D26"/>
  <c r="E26"/>
  <c r="F26"/>
  <c r="B27"/>
  <c r="C27"/>
  <c r="D27"/>
  <c r="E27"/>
  <c r="F27"/>
  <c r="B28"/>
  <c r="C28"/>
  <c r="D28"/>
  <c r="E28"/>
  <c r="F28"/>
  <c r="B29"/>
  <c r="C29"/>
  <c r="D29"/>
  <c r="E29"/>
  <c r="F29"/>
  <c r="B30"/>
  <c r="C30"/>
  <c r="D30"/>
  <c r="E30"/>
  <c r="F30"/>
  <c r="B31"/>
  <c r="C31"/>
  <c r="D31"/>
  <c r="E31"/>
  <c r="F31"/>
  <c r="B32"/>
  <c r="C32"/>
  <c r="D32"/>
  <c r="E32"/>
  <c r="F32"/>
  <c r="B33"/>
  <c r="C33"/>
  <c r="D33"/>
  <c r="E33"/>
  <c r="F33"/>
  <c r="C5"/>
  <c r="D5"/>
  <c r="E5"/>
  <c r="F5"/>
  <c r="B5"/>
  <c r="C54" i="17" l="1"/>
  <c r="D54"/>
  <c r="E54"/>
  <c r="F54"/>
  <c r="G54"/>
  <c r="H54"/>
  <c r="D53"/>
  <c r="E53"/>
  <c r="F53"/>
  <c r="G53"/>
  <c r="H53"/>
  <c r="B54"/>
  <c r="AB35" i="357"/>
  <c r="AB34"/>
  <c r="AB33"/>
  <c r="AB32"/>
  <c r="AB31"/>
  <c r="AB30"/>
  <c r="AB29"/>
  <c r="AB28"/>
  <c r="AB27"/>
  <c r="AB26"/>
  <c r="AB25"/>
  <c r="AC24"/>
  <c r="AC25"/>
  <c r="AC26"/>
  <c r="AC27"/>
  <c r="AC28"/>
  <c r="AC29"/>
  <c r="AC30"/>
  <c r="AC31"/>
  <c r="AC32"/>
  <c r="AC33"/>
  <c r="C16" s="1"/>
  <c r="AC34"/>
  <c r="AC35"/>
  <c r="AB24"/>
  <c r="F49" i="359"/>
  <c r="C50"/>
  <c r="C49" s="1"/>
  <c r="C48" s="1"/>
  <c r="C47" s="1"/>
  <c r="C46" s="1"/>
  <c r="C45" s="1"/>
  <c r="C44" s="1"/>
  <c r="C43" s="1"/>
  <c r="C42" s="1"/>
  <c r="C41" s="1"/>
  <c r="C40" s="1"/>
  <c r="C39" s="1"/>
  <c r="C38" s="1"/>
  <c r="C37" s="1"/>
  <c r="C36" s="1"/>
  <c r="C35" s="1"/>
  <c r="C34" s="1"/>
  <c r="C33" s="1"/>
  <c r="C32" s="1"/>
  <c r="C31" s="1"/>
  <c r="C30" s="1"/>
  <c r="C29" s="1"/>
  <c r="C28" s="1"/>
  <c r="C27" s="1"/>
  <c r="C26" s="1"/>
  <c r="C25" s="1"/>
  <c r="C24" s="1"/>
  <c r="C23" s="1"/>
  <c r="C22" s="1"/>
  <c r="C21" s="1"/>
  <c r="C20" s="1"/>
  <c r="C19" s="1"/>
  <c r="C18" s="1"/>
  <c r="C17" s="1"/>
  <c r="C16" s="1"/>
  <c r="C15" s="1"/>
  <c r="C14" s="1"/>
  <c r="C13" s="1"/>
  <c r="C12" s="1"/>
  <c r="C11" s="1"/>
  <c r="C10" s="1"/>
  <c r="C9" s="1"/>
  <c r="C8" s="1"/>
  <c r="C7" s="1"/>
  <c r="C6" s="1"/>
  <c r="G50"/>
  <c r="G49" s="1"/>
  <c r="C51"/>
  <c r="D51"/>
  <c r="D50" s="1"/>
  <c r="D49" s="1"/>
  <c r="E51"/>
  <c r="E50" s="1"/>
  <c r="E49" s="1"/>
  <c r="E48" s="1"/>
  <c r="E47" s="1"/>
  <c r="E46" s="1"/>
  <c r="E45" s="1"/>
  <c r="F51"/>
  <c r="F50" s="1"/>
  <c r="G51"/>
  <c r="H51"/>
  <c r="H50" s="1"/>
  <c r="H49" s="1"/>
  <c r="H48" s="1"/>
  <c r="H47" s="1"/>
  <c r="H46" s="1"/>
  <c r="H45" s="1"/>
  <c r="H44" s="1"/>
  <c r="H43" s="1"/>
  <c r="H42" s="1"/>
  <c r="H41" s="1"/>
  <c r="H40" s="1"/>
  <c r="H39" s="1"/>
  <c r="H38" s="1"/>
  <c r="H37" s="1"/>
  <c r="H36" s="1"/>
  <c r="H35" s="1"/>
  <c r="H34" s="1"/>
  <c r="H33" s="1"/>
  <c r="H32" s="1"/>
  <c r="H31" s="1"/>
  <c r="H30" s="1"/>
  <c r="H29" s="1"/>
  <c r="H28" s="1"/>
  <c r="H27" s="1"/>
  <c r="H26" s="1"/>
  <c r="H25" s="1"/>
  <c r="H24" s="1"/>
  <c r="H23" s="1"/>
  <c r="H22" s="1"/>
  <c r="H21" s="1"/>
  <c r="H20" s="1"/>
  <c r="H19" s="1"/>
  <c r="H18" s="1"/>
  <c r="H17" s="1"/>
  <c r="H16" s="1"/>
  <c r="H15" s="1"/>
  <c r="H14" s="1"/>
  <c r="H13" s="1"/>
  <c r="H12" s="1"/>
  <c r="H11" s="1"/>
  <c r="H10" s="1"/>
  <c r="H9" s="1"/>
  <c r="H8" s="1"/>
  <c r="H7" s="1"/>
  <c r="H6" s="1"/>
  <c r="I51"/>
  <c r="I50" s="1"/>
  <c r="I49" s="1"/>
  <c r="I48" s="1"/>
  <c r="I47" s="1"/>
  <c r="I46" s="1"/>
  <c r="I45" s="1"/>
  <c r="I44" s="1"/>
  <c r="I43" s="1"/>
  <c r="I42" s="1"/>
  <c r="I41" s="1"/>
  <c r="I40" s="1"/>
  <c r="I39" s="1"/>
  <c r="I38" s="1"/>
  <c r="I37" s="1"/>
  <c r="I36" s="1"/>
  <c r="I35" s="1"/>
  <c r="I34" s="1"/>
  <c r="I33" s="1"/>
  <c r="I32" s="1"/>
  <c r="I31" s="1"/>
  <c r="I30" s="1"/>
  <c r="I29" s="1"/>
  <c r="I28" s="1"/>
  <c r="I27" s="1"/>
  <c r="I26" s="1"/>
  <c r="I25" s="1"/>
  <c r="I24" s="1"/>
  <c r="I23" s="1"/>
  <c r="I22" s="1"/>
  <c r="I21" s="1"/>
  <c r="I20" s="1"/>
  <c r="I19" s="1"/>
  <c r="I18" s="1"/>
  <c r="I17" s="1"/>
  <c r="I16" s="1"/>
  <c r="I15" s="1"/>
  <c r="I14" s="1"/>
  <c r="I13" s="1"/>
  <c r="I12" s="1"/>
  <c r="I11" s="1"/>
  <c r="I10" s="1"/>
  <c r="I9" s="1"/>
  <c r="I8" s="1"/>
  <c r="I7" s="1"/>
  <c r="I6" s="1"/>
  <c r="B50"/>
  <c r="B49" s="1"/>
  <c r="B51"/>
  <c r="D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8"/>
  <c r="M7"/>
  <c r="M6"/>
  <c r="F25" i="179"/>
  <c r="E32"/>
  <c r="E33"/>
  <c r="E41"/>
  <c r="E40"/>
  <c r="E25"/>
  <c r="E18"/>
  <c r="E12" i="180" s="1"/>
  <c r="D41" i="179"/>
  <c r="C41"/>
  <c r="C33"/>
  <c r="C25"/>
  <c r="D25" s="1"/>
  <c r="B38"/>
  <c r="B41"/>
  <c r="F41" s="1"/>
  <c r="B40"/>
  <c r="B39"/>
  <c r="B37"/>
  <c r="B36"/>
  <c r="B32"/>
  <c r="B33"/>
  <c r="F33" s="1"/>
  <c r="B30"/>
  <c r="B28"/>
  <c r="B6"/>
  <c r="B31"/>
  <c r="B29"/>
  <c r="B25"/>
  <c r="B24"/>
  <c r="B23"/>
  <c r="B22"/>
  <c r="B21"/>
  <c r="B18"/>
  <c r="B17"/>
  <c r="B16"/>
  <c r="B15"/>
  <c r="B14"/>
  <c r="B10"/>
  <c r="B11"/>
  <c r="B9"/>
  <c r="B8"/>
  <c r="B7"/>
  <c r="E6"/>
  <c r="F6" s="1"/>
  <c r="B8" i="187" s="1"/>
  <c r="E7" i="179"/>
  <c r="E9" i="181" s="1"/>
  <c r="E8" i="179"/>
  <c r="E9"/>
  <c r="E11" i="181" s="1"/>
  <c r="E10" i="179"/>
  <c r="C11"/>
  <c r="H13" i="181" s="1"/>
  <c r="E11" i="179"/>
  <c r="E13" i="181" s="1"/>
  <c r="C13" i="186" l="1"/>
  <c r="C12" i="183"/>
  <c r="C13" i="187"/>
  <c r="C12" i="184"/>
  <c r="E12"/>
  <c r="E13" i="187"/>
  <c r="E12" i="185"/>
  <c r="E12" i="182"/>
  <c r="F18" i="179"/>
  <c r="B8" i="186"/>
  <c r="D33" i="179"/>
  <c r="E13" i="186"/>
  <c r="E12" i="183"/>
  <c r="D13" i="187"/>
  <c r="C12" i="185"/>
  <c r="C12" i="182"/>
  <c r="C15" i="357"/>
  <c r="C14" s="1"/>
  <c r="C13" s="1"/>
  <c r="C12" s="1"/>
  <c r="C11" s="1"/>
  <c r="C10" s="1"/>
  <c r="C9" s="1"/>
  <c r="C8" s="1"/>
  <c r="C7" s="1"/>
  <c r="E44" i="359"/>
  <c r="E43" s="1"/>
  <c r="E42" s="1"/>
  <c r="E41" s="1"/>
  <c r="E40" s="1"/>
  <c r="E39" s="1"/>
  <c r="C23" i="179"/>
  <c r="D48" i="359"/>
  <c r="D47" s="1"/>
  <c r="D46" s="1"/>
  <c r="D45" s="1"/>
  <c r="C17" i="179"/>
  <c r="F48" i="359"/>
  <c r="F47" s="1"/>
  <c r="F46" s="1"/>
  <c r="F45" s="1"/>
  <c r="C32" i="179"/>
  <c r="D32" s="1"/>
  <c r="C40"/>
  <c r="D40" s="1"/>
  <c r="G48" i="359"/>
  <c r="G47" s="1"/>
  <c r="G46" s="1"/>
  <c r="G45" s="1"/>
  <c r="C10" i="179"/>
  <c r="D10" s="1"/>
  <c r="B48" i="359"/>
  <c r="B47" s="1"/>
  <c r="B46" s="1"/>
  <c r="B45" s="1"/>
  <c r="D11" i="179"/>
  <c r="D13" i="181" s="1"/>
  <c r="F13" s="1"/>
  <c r="F10" i="179"/>
  <c r="F11"/>
  <c r="F9"/>
  <c r="F8"/>
  <c r="B9" i="180" s="1"/>
  <c r="F7" i="179"/>
  <c r="C31" i="174"/>
  <c r="D31"/>
  <c r="E31"/>
  <c r="F31"/>
  <c r="G31"/>
  <c r="H31"/>
  <c r="I31"/>
  <c r="J31"/>
  <c r="K31"/>
  <c r="L31"/>
  <c r="M31"/>
  <c r="C32"/>
  <c r="D32"/>
  <c r="E32"/>
  <c r="F32"/>
  <c r="G32"/>
  <c r="H32"/>
  <c r="I32"/>
  <c r="J32"/>
  <c r="K32"/>
  <c r="L32"/>
  <c r="M32"/>
  <c r="C33"/>
  <c r="D33"/>
  <c r="E33"/>
  <c r="F33"/>
  <c r="G33"/>
  <c r="H33"/>
  <c r="I33"/>
  <c r="J33"/>
  <c r="K33"/>
  <c r="L33"/>
  <c r="M33"/>
  <c r="B33"/>
  <c r="B32"/>
  <c r="B31"/>
  <c r="Q30" i="158"/>
  <c r="U32"/>
  <c r="T32"/>
  <c r="S32"/>
  <c r="R32"/>
  <c r="Q32"/>
  <c r="P32"/>
  <c r="O32"/>
  <c r="N32"/>
  <c r="M32"/>
  <c r="L32"/>
  <c r="K32"/>
  <c r="J32"/>
  <c r="I32"/>
  <c r="H32"/>
  <c r="G32"/>
  <c r="F32"/>
  <c r="E32"/>
  <c r="D32"/>
  <c r="C32"/>
  <c r="U31"/>
  <c r="T31"/>
  <c r="S31"/>
  <c r="R31"/>
  <c r="Q31"/>
  <c r="P31"/>
  <c r="O31"/>
  <c r="N31"/>
  <c r="M31"/>
  <c r="L31"/>
  <c r="K31"/>
  <c r="J31"/>
  <c r="I31"/>
  <c r="H31"/>
  <c r="G31"/>
  <c r="F31"/>
  <c r="E31"/>
  <c r="D31"/>
  <c r="C31"/>
  <c r="U30"/>
  <c r="T30"/>
  <c r="S30"/>
  <c r="R30"/>
  <c r="P30"/>
  <c r="O30"/>
  <c r="N30"/>
  <c r="M30"/>
  <c r="L30"/>
  <c r="K30"/>
  <c r="J30"/>
  <c r="I30"/>
  <c r="H30"/>
  <c r="G30"/>
  <c r="F30"/>
  <c r="E30"/>
  <c r="D30"/>
  <c r="C30"/>
  <c r="B32"/>
  <c r="B31"/>
  <c r="B30"/>
  <c r="C30" i="157"/>
  <c r="D30"/>
  <c r="E30"/>
  <c r="F30"/>
  <c r="G30"/>
  <c r="H30"/>
  <c r="I30"/>
  <c r="J30"/>
  <c r="K30"/>
  <c r="L30"/>
  <c r="M30"/>
  <c r="N30"/>
  <c r="O30"/>
  <c r="P30"/>
  <c r="Q30"/>
  <c r="R30"/>
  <c r="S30"/>
  <c r="T30"/>
  <c r="C31"/>
  <c r="D31"/>
  <c r="E31"/>
  <c r="F31"/>
  <c r="G31"/>
  <c r="H31"/>
  <c r="I31"/>
  <c r="J31"/>
  <c r="K31"/>
  <c r="L31"/>
  <c r="M31"/>
  <c r="N31"/>
  <c r="O31"/>
  <c r="P31"/>
  <c r="Q31"/>
  <c r="R31"/>
  <c r="S31"/>
  <c r="T31"/>
  <c r="C32"/>
  <c r="D32"/>
  <c r="E32"/>
  <c r="F32"/>
  <c r="G32"/>
  <c r="H32"/>
  <c r="I32"/>
  <c r="J32"/>
  <c r="K32"/>
  <c r="L32"/>
  <c r="M32"/>
  <c r="N32"/>
  <c r="O32"/>
  <c r="P32"/>
  <c r="Q32"/>
  <c r="R32"/>
  <c r="S32"/>
  <c r="T32"/>
  <c r="B32"/>
  <c r="B31"/>
  <c r="B30"/>
  <c r="C70" i="173"/>
  <c r="D70"/>
  <c r="E70"/>
  <c r="F70"/>
  <c r="G70"/>
  <c r="H70"/>
  <c r="I70"/>
  <c r="J70"/>
  <c r="K70"/>
  <c r="L70"/>
  <c r="M70"/>
  <c r="N70"/>
  <c r="O70"/>
  <c r="P70"/>
  <c r="C71"/>
  <c r="D71"/>
  <c r="E71"/>
  <c r="F71"/>
  <c r="G71"/>
  <c r="H71"/>
  <c r="I71"/>
  <c r="J71"/>
  <c r="K71"/>
  <c r="L71"/>
  <c r="M71"/>
  <c r="N71"/>
  <c r="O71"/>
  <c r="P71"/>
  <c r="C72"/>
  <c r="D72"/>
  <c r="E72"/>
  <c r="F72"/>
  <c r="G72"/>
  <c r="H72"/>
  <c r="I72"/>
  <c r="J72"/>
  <c r="K72"/>
  <c r="L72"/>
  <c r="M72"/>
  <c r="N72"/>
  <c r="O72"/>
  <c r="P72"/>
  <c r="B72"/>
  <c r="B71"/>
  <c r="B70"/>
  <c r="C38" i="161"/>
  <c r="D38"/>
  <c r="F38"/>
  <c r="G38"/>
  <c r="H38"/>
  <c r="C39"/>
  <c r="D39"/>
  <c r="E39"/>
  <c r="F39"/>
  <c r="G39"/>
  <c r="H39"/>
  <c r="I39"/>
  <c r="J39"/>
  <c r="K39"/>
  <c r="L39"/>
  <c r="C40"/>
  <c r="D40"/>
  <c r="F40"/>
  <c r="G40"/>
  <c r="H40"/>
  <c r="B40"/>
  <c r="B39"/>
  <c r="B38"/>
  <c r="C32"/>
  <c r="D32"/>
  <c r="F32"/>
  <c r="G32"/>
  <c r="H32"/>
  <c r="C33"/>
  <c r="D33"/>
  <c r="E33"/>
  <c r="F33"/>
  <c r="G33"/>
  <c r="H33"/>
  <c r="I33"/>
  <c r="J33"/>
  <c r="K33"/>
  <c r="L33"/>
  <c r="C34"/>
  <c r="D34"/>
  <c r="E34"/>
  <c r="F34"/>
  <c r="G34"/>
  <c r="H34"/>
  <c r="I34"/>
  <c r="J34"/>
  <c r="K34"/>
  <c r="L34"/>
  <c r="C35"/>
  <c r="D35"/>
  <c r="F35"/>
  <c r="G35"/>
  <c r="H35"/>
  <c r="B35"/>
  <c r="B34"/>
  <c r="B33"/>
  <c r="B32"/>
  <c r="J40" i="156"/>
  <c r="K40"/>
  <c r="L40"/>
  <c r="I40"/>
  <c r="C40"/>
  <c r="D40"/>
  <c r="E40"/>
  <c r="C38"/>
  <c r="D38"/>
  <c r="E38"/>
  <c r="I38"/>
  <c r="J38"/>
  <c r="K38"/>
  <c r="L38"/>
  <c r="L35"/>
  <c r="K35"/>
  <c r="J35"/>
  <c r="I35"/>
  <c r="C35"/>
  <c r="D35"/>
  <c r="E35"/>
  <c r="J32"/>
  <c r="I32"/>
  <c r="L32"/>
  <c r="K32"/>
  <c r="C32"/>
  <c r="D32"/>
  <c r="E32"/>
  <c r="B13"/>
  <c r="B14"/>
  <c r="B15"/>
  <c r="B16"/>
  <c r="B17"/>
  <c r="B18"/>
  <c r="B19"/>
  <c r="B20"/>
  <c r="B22"/>
  <c r="C22"/>
  <c r="D22"/>
  <c r="E22"/>
  <c r="B23"/>
  <c r="C23"/>
  <c r="D23"/>
  <c r="E23"/>
  <c r="B24"/>
  <c r="C24"/>
  <c r="D24"/>
  <c r="E24"/>
  <c r="B25"/>
  <c r="C25"/>
  <c r="D25"/>
  <c r="E25"/>
  <c r="B26"/>
  <c r="C26"/>
  <c r="D26"/>
  <c r="E26"/>
  <c r="B27"/>
  <c r="C27"/>
  <c r="D27"/>
  <c r="E27"/>
  <c r="B28"/>
  <c r="C28"/>
  <c r="D28"/>
  <c r="E28"/>
  <c r="B29"/>
  <c r="B40" s="1"/>
  <c r="C29"/>
  <c r="D29"/>
  <c r="E29"/>
  <c r="F33" i="160"/>
  <c r="E33"/>
  <c r="D33"/>
  <c r="B33"/>
  <c r="F31"/>
  <c r="E31"/>
  <c r="D31"/>
  <c r="B31"/>
  <c r="E61" i="53"/>
  <c r="D61"/>
  <c r="C61"/>
  <c r="B61"/>
  <c r="E60"/>
  <c r="D60"/>
  <c r="C60"/>
  <c r="B60"/>
  <c r="E59"/>
  <c r="D59"/>
  <c r="C59"/>
  <c r="B59"/>
  <c r="E58"/>
  <c r="D58"/>
  <c r="C58"/>
  <c r="B58"/>
  <c r="E61" i="52"/>
  <c r="D61"/>
  <c r="C61"/>
  <c r="B61"/>
  <c r="E60"/>
  <c r="D60"/>
  <c r="C60"/>
  <c r="B60"/>
  <c r="I59"/>
  <c r="E59"/>
  <c r="D59"/>
  <c r="C59"/>
  <c r="B59"/>
  <c r="E58"/>
  <c r="D58"/>
  <c r="C58"/>
  <c r="B58"/>
  <c r="I61" i="51"/>
  <c r="H61"/>
  <c r="E61"/>
  <c r="D61"/>
  <c r="C61"/>
  <c r="B61"/>
  <c r="I60"/>
  <c r="H60"/>
  <c r="E60"/>
  <c r="D60"/>
  <c r="C60"/>
  <c r="B60"/>
  <c r="I59"/>
  <c r="H59"/>
  <c r="E59"/>
  <c r="D59"/>
  <c r="C59"/>
  <c r="B59"/>
  <c r="I58"/>
  <c r="H58"/>
  <c r="E58"/>
  <c r="D58"/>
  <c r="C58"/>
  <c r="B58"/>
  <c r="I61" i="50"/>
  <c r="H61"/>
  <c r="E61"/>
  <c r="D61"/>
  <c r="C61"/>
  <c r="B61"/>
  <c r="I60"/>
  <c r="H60"/>
  <c r="E60"/>
  <c r="D60"/>
  <c r="C60"/>
  <c r="B60"/>
  <c r="I59"/>
  <c r="H59"/>
  <c r="E59"/>
  <c r="D59"/>
  <c r="C59"/>
  <c r="B59"/>
  <c r="I58"/>
  <c r="H58"/>
  <c r="E58"/>
  <c r="D58"/>
  <c r="C58"/>
  <c r="B58"/>
  <c r="E61" i="59"/>
  <c r="D61"/>
  <c r="C61"/>
  <c r="B61"/>
  <c r="E60"/>
  <c r="D60"/>
  <c r="C60"/>
  <c r="B60"/>
  <c r="E59"/>
  <c r="D59"/>
  <c r="C59"/>
  <c r="B59"/>
  <c r="E58"/>
  <c r="D58"/>
  <c r="C58"/>
  <c r="B58"/>
  <c r="E61" i="58"/>
  <c r="D61"/>
  <c r="C61"/>
  <c r="B61"/>
  <c r="E60"/>
  <c r="D60"/>
  <c r="C60"/>
  <c r="B60"/>
  <c r="E59"/>
  <c r="D59"/>
  <c r="C59"/>
  <c r="B59"/>
  <c r="E58"/>
  <c r="D58"/>
  <c r="C58"/>
  <c r="B58"/>
  <c r="I61" i="57"/>
  <c r="H61"/>
  <c r="E61"/>
  <c r="D61"/>
  <c r="C61"/>
  <c r="B61"/>
  <c r="I60"/>
  <c r="H60"/>
  <c r="E60"/>
  <c r="D60"/>
  <c r="C60"/>
  <c r="B60"/>
  <c r="I59"/>
  <c r="H59"/>
  <c r="E59"/>
  <c r="D59"/>
  <c r="C59"/>
  <c r="B59"/>
  <c r="I58"/>
  <c r="H58"/>
  <c r="E58"/>
  <c r="D58"/>
  <c r="C58"/>
  <c r="B58"/>
  <c r="I61" i="56"/>
  <c r="H61"/>
  <c r="E61"/>
  <c r="D61"/>
  <c r="C61"/>
  <c r="B61"/>
  <c r="I60"/>
  <c r="H60"/>
  <c r="E60"/>
  <c r="D60"/>
  <c r="C60"/>
  <c r="B60"/>
  <c r="I59"/>
  <c r="H59"/>
  <c r="E59"/>
  <c r="D59"/>
  <c r="C59"/>
  <c r="B59"/>
  <c r="I58"/>
  <c r="H58"/>
  <c r="E58"/>
  <c r="D58"/>
  <c r="C58"/>
  <c r="B58"/>
  <c r="I61" i="55"/>
  <c r="H61"/>
  <c r="G61"/>
  <c r="E61"/>
  <c r="D61"/>
  <c r="C61"/>
  <c r="B61"/>
  <c r="I60"/>
  <c r="H60"/>
  <c r="G60"/>
  <c r="E60"/>
  <c r="D60"/>
  <c r="C60"/>
  <c r="B60"/>
  <c r="I59"/>
  <c r="H59"/>
  <c r="G59"/>
  <c r="E59"/>
  <c r="D59"/>
  <c r="C59"/>
  <c r="B59"/>
  <c r="I58"/>
  <c r="H58"/>
  <c r="G58"/>
  <c r="E58"/>
  <c r="D58"/>
  <c r="C58"/>
  <c r="B58"/>
  <c r="C58" i="54"/>
  <c r="D58"/>
  <c r="E58"/>
  <c r="G58"/>
  <c r="H58"/>
  <c r="I58"/>
  <c r="C59"/>
  <c r="D59"/>
  <c r="E59"/>
  <c r="G59"/>
  <c r="H59"/>
  <c r="I59"/>
  <c r="C60"/>
  <c r="D60"/>
  <c r="E60"/>
  <c r="G60"/>
  <c r="H60"/>
  <c r="I60"/>
  <c r="C61"/>
  <c r="D61"/>
  <c r="E61"/>
  <c r="G61"/>
  <c r="H61"/>
  <c r="I61"/>
  <c r="B61"/>
  <c r="B60"/>
  <c r="B59"/>
  <c r="B58"/>
  <c r="H21" i="48"/>
  <c r="G21"/>
  <c r="F21"/>
  <c r="C21"/>
  <c r="H23" i="47"/>
  <c r="G23"/>
  <c r="F23"/>
  <c r="C23"/>
  <c r="H22"/>
  <c r="G22"/>
  <c r="F22"/>
  <c r="C22"/>
  <c r="H21"/>
  <c r="G21"/>
  <c r="F21"/>
  <c r="C21"/>
  <c r="H23" i="46"/>
  <c r="G23"/>
  <c r="F23"/>
  <c r="C23"/>
  <c r="H22"/>
  <c r="G22"/>
  <c r="F22"/>
  <c r="C22"/>
  <c r="H21"/>
  <c r="G21"/>
  <c r="F21"/>
  <c r="C21"/>
  <c r="H23" i="43"/>
  <c r="G23"/>
  <c r="F23"/>
  <c r="C23"/>
  <c r="H22"/>
  <c r="G22"/>
  <c r="F22"/>
  <c r="C22"/>
  <c r="H21"/>
  <c r="G21"/>
  <c r="F21"/>
  <c r="C21"/>
  <c r="H23" i="42"/>
  <c r="G23"/>
  <c r="F23"/>
  <c r="C23"/>
  <c r="H22"/>
  <c r="G22"/>
  <c r="F22"/>
  <c r="C22"/>
  <c r="H21"/>
  <c r="G21"/>
  <c r="F21"/>
  <c r="C21"/>
  <c r="H23" i="41"/>
  <c r="G23"/>
  <c r="F23"/>
  <c r="E23"/>
  <c r="C23"/>
  <c r="H22"/>
  <c r="G22"/>
  <c r="F22"/>
  <c r="E22"/>
  <c r="C22"/>
  <c r="H21"/>
  <c r="G21"/>
  <c r="F21"/>
  <c r="E21"/>
  <c r="C21"/>
  <c r="C21" i="40"/>
  <c r="F21"/>
  <c r="G21"/>
  <c r="C22"/>
  <c r="F22"/>
  <c r="G22"/>
  <c r="C23"/>
  <c r="F23"/>
  <c r="G23"/>
  <c r="H23"/>
  <c r="H36" i="39"/>
  <c r="G36"/>
  <c r="F36"/>
  <c r="E36"/>
  <c r="D36"/>
  <c r="C36"/>
  <c r="B36"/>
  <c r="H35"/>
  <c r="G35"/>
  <c r="F35"/>
  <c r="E35"/>
  <c r="D35"/>
  <c r="C35"/>
  <c r="B35"/>
  <c r="H34"/>
  <c r="G34"/>
  <c r="F34"/>
  <c r="E34"/>
  <c r="D34"/>
  <c r="C34"/>
  <c r="B34"/>
  <c r="H36" i="38"/>
  <c r="G36"/>
  <c r="F36"/>
  <c r="E36"/>
  <c r="D36"/>
  <c r="C36"/>
  <c r="B36"/>
  <c r="H35"/>
  <c r="G35"/>
  <c r="F35"/>
  <c r="E35"/>
  <c r="D35"/>
  <c r="C35"/>
  <c r="B35"/>
  <c r="H34"/>
  <c r="G34"/>
  <c r="F34"/>
  <c r="E34"/>
  <c r="D34"/>
  <c r="C34"/>
  <c r="B34"/>
  <c r="H36" i="37"/>
  <c r="G36"/>
  <c r="F36"/>
  <c r="E36"/>
  <c r="D36"/>
  <c r="C36"/>
  <c r="B36"/>
  <c r="H35"/>
  <c r="G35"/>
  <c r="F35"/>
  <c r="E35"/>
  <c r="D35"/>
  <c r="C35"/>
  <c r="B35"/>
  <c r="H34"/>
  <c r="G34"/>
  <c r="F34"/>
  <c r="E34"/>
  <c r="D34"/>
  <c r="C34"/>
  <c r="B34"/>
  <c r="H36" i="36"/>
  <c r="G36"/>
  <c r="F36"/>
  <c r="E36"/>
  <c r="D36"/>
  <c r="C36"/>
  <c r="B36"/>
  <c r="H35"/>
  <c r="G35"/>
  <c r="F35"/>
  <c r="E35"/>
  <c r="D35"/>
  <c r="C35"/>
  <c r="B35"/>
  <c r="H34"/>
  <c r="G34"/>
  <c r="F34"/>
  <c r="E34"/>
  <c r="D34"/>
  <c r="C34"/>
  <c r="B34"/>
  <c r="H36" i="35"/>
  <c r="G36"/>
  <c r="F36"/>
  <c r="E36"/>
  <c r="D36"/>
  <c r="C36"/>
  <c r="B36"/>
  <c r="H35"/>
  <c r="G35"/>
  <c r="F35"/>
  <c r="E35"/>
  <c r="D35"/>
  <c r="C35"/>
  <c r="B35"/>
  <c r="H34"/>
  <c r="G34"/>
  <c r="F34"/>
  <c r="E34"/>
  <c r="D34"/>
  <c r="C34"/>
  <c r="B34"/>
  <c r="H36" i="34"/>
  <c r="G36"/>
  <c r="F36"/>
  <c r="E36"/>
  <c r="D36"/>
  <c r="C36"/>
  <c r="B36"/>
  <c r="H35"/>
  <c r="G35"/>
  <c r="F35"/>
  <c r="E35"/>
  <c r="D35"/>
  <c r="C35"/>
  <c r="B35"/>
  <c r="H34"/>
  <c r="G34"/>
  <c r="F34"/>
  <c r="E34"/>
  <c r="D34"/>
  <c r="C34"/>
  <c r="B34"/>
  <c r="H36" i="33"/>
  <c r="G36"/>
  <c r="F36"/>
  <c r="E36"/>
  <c r="D36"/>
  <c r="C36"/>
  <c r="B36"/>
  <c r="H35"/>
  <c r="G35"/>
  <c r="F35"/>
  <c r="E35"/>
  <c r="D35"/>
  <c r="C35"/>
  <c r="B35"/>
  <c r="H34"/>
  <c r="G34"/>
  <c r="F34"/>
  <c r="E34"/>
  <c r="D34"/>
  <c r="C34"/>
  <c r="B34"/>
  <c r="H36" i="32"/>
  <c r="G36"/>
  <c r="F36"/>
  <c r="E36"/>
  <c r="D36"/>
  <c r="C36"/>
  <c r="B36"/>
  <c r="H35"/>
  <c r="G35"/>
  <c r="F35"/>
  <c r="E35"/>
  <c r="D35"/>
  <c r="C35"/>
  <c r="B35"/>
  <c r="H34"/>
  <c r="G34"/>
  <c r="F34"/>
  <c r="E34"/>
  <c r="D34"/>
  <c r="C34"/>
  <c r="B34"/>
  <c r="H36" i="31"/>
  <c r="G36"/>
  <c r="F36"/>
  <c r="E36"/>
  <c r="D36"/>
  <c r="C36"/>
  <c r="B36"/>
  <c r="H35"/>
  <c r="G35"/>
  <c r="F35"/>
  <c r="E35"/>
  <c r="D35"/>
  <c r="C35"/>
  <c r="B35"/>
  <c r="H34"/>
  <c r="G34"/>
  <c r="F34"/>
  <c r="E34"/>
  <c r="D34"/>
  <c r="C34"/>
  <c r="B34"/>
  <c r="C34" i="30"/>
  <c r="D34"/>
  <c r="E34"/>
  <c r="F34"/>
  <c r="G34"/>
  <c r="H34"/>
  <c r="C35"/>
  <c r="D35"/>
  <c r="E35"/>
  <c r="F35"/>
  <c r="G35"/>
  <c r="H35"/>
  <c r="C36"/>
  <c r="D36"/>
  <c r="E36"/>
  <c r="F36"/>
  <c r="G36"/>
  <c r="H36"/>
  <c r="B36"/>
  <c r="B35"/>
  <c r="B34"/>
  <c r="B35" i="26"/>
  <c r="B39" i="28"/>
  <c r="B38"/>
  <c r="B37"/>
  <c r="N39"/>
  <c r="M39"/>
  <c r="L39"/>
  <c r="K39"/>
  <c r="J39"/>
  <c r="I39"/>
  <c r="H39"/>
  <c r="G39"/>
  <c r="F39"/>
  <c r="E39"/>
  <c r="D39"/>
  <c r="C39"/>
  <c r="N38"/>
  <c r="M38"/>
  <c r="L38"/>
  <c r="K38"/>
  <c r="J38"/>
  <c r="I38"/>
  <c r="H38"/>
  <c r="G38"/>
  <c r="F38"/>
  <c r="E38"/>
  <c r="D38"/>
  <c r="C38"/>
  <c r="N37"/>
  <c r="M37"/>
  <c r="L37"/>
  <c r="K37"/>
  <c r="J37"/>
  <c r="I37"/>
  <c r="H37"/>
  <c r="G37"/>
  <c r="F37"/>
  <c r="E37"/>
  <c r="D37"/>
  <c r="C37"/>
  <c r="N36"/>
  <c r="M36"/>
  <c r="L36"/>
  <c r="K36"/>
  <c r="J36"/>
  <c r="I36"/>
  <c r="H36"/>
  <c r="G36"/>
  <c r="F36"/>
  <c r="E36"/>
  <c r="D36"/>
  <c r="C36"/>
  <c r="B36"/>
  <c r="N35"/>
  <c r="M35"/>
  <c r="L35"/>
  <c r="K35"/>
  <c r="J35"/>
  <c r="I35"/>
  <c r="H35"/>
  <c r="G35"/>
  <c r="F35"/>
  <c r="E35"/>
  <c r="D35"/>
  <c r="C35"/>
  <c r="B35"/>
  <c r="N39" i="27"/>
  <c r="M39"/>
  <c r="L39"/>
  <c r="K39"/>
  <c r="J39"/>
  <c r="I39"/>
  <c r="H39"/>
  <c r="G39"/>
  <c r="F39"/>
  <c r="E39"/>
  <c r="D39"/>
  <c r="C39"/>
  <c r="B39"/>
  <c r="N38"/>
  <c r="M38"/>
  <c r="L38"/>
  <c r="K38"/>
  <c r="J38"/>
  <c r="I38"/>
  <c r="H38"/>
  <c r="G38"/>
  <c r="F38"/>
  <c r="E38"/>
  <c r="D38"/>
  <c r="C38"/>
  <c r="B38"/>
  <c r="N37"/>
  <c r="M37"/>
  <c r="L37"/>
  <c r="K37"/>
  <c r="J37"/>
  <c r="I37"/>
  <c r="H37"/>
  <c r="G37"/>
  <c r="F37"/>
  <c r="E37"/>
  <c r="D37"/>
  <c r="C37"/>
  <c r="B37"/>
  <c r="N36"/>
  <c r="M36"/>
  <c r="L36"/>
  <c r="K36"/>
  <c r="J36"/>
  <c r="I36"/>
  <c r="H36"/>
  <c r="G36"/>
  <c r="F36"/>
  <c r="E36"/>
  <c r="D36"/>
  <c r="C36"/>
  <c r="B36"/>
  <c r="N35"/>
  <c r="M35"/>
  <c r="L35"/>
  <c r="K35"/>
  <c r="J35"/>
  <c r="I35"/>
  <c r="H35"/>
  <c r="G35"/>
  <c r="F35"/>
  <c r="E35"/>
  <c r="D35"/>
  <c r="C35"/>
  <c r="B35"/>
  <c r="N39" i="26"/>
  <c r="M39"/>
  <c r="L39"/>
  <c r="K39"/>
  <c r="J39"/>
  <c r="I39"/>
  <c r="H39"/>
  <c r="G39"/>
  <c r="F39"/>
  <c r="E39"/>
  <c r="D39"/>
  <c r="C39"/>
  <c r="B39"/>
  <c r="N38"/>
  <c r="M38"/>
  <c r="L38"/>
  <c r="K38"/>
  <c r="J38"/>
  <c r="I38"/>
  <c r="H38"/>
  <c r="G38"/>
  <c r="F38"/>
  <c r="E38"/>
  <c r="D38"/>
  <c r="C38"/>
  <c r="B38"/>
  <c r="N37"/>
  <c r="M37"/>
  <c r="L37"/>
  <c r="K37"/>
  <c r="J37"/>
  <c r="I37"/>
  <c r="H37"/>
  <c r="G37"/>
  <c r="F37"/>
  <c r="E37"/>
  <c r="D37"/>
  <c r="C37"/>
  <c r="B37"/>
  <c r="N36"/>
  <c r="M36"/>
  <c r="L36"/>
  <c r="K36"/>
  <c r="J36"/>
  <c r="I36"/>
  <c r="H36"/>
  <c r="G36"/>
  <c r="F36"/>
  <c r="E36"/>
  <c r="D36"/>
  <c r="C36"/>
  <c r="B36"/>
  <c r="N35"/>
  <c r="M35"/>
  <c r="L35"/>
  <c r="K35"/>
  <c r="J35"/>
  <c r="I35"/>
  <c r="H35"/>
  <c r="G35"/>
  <c r="F35"/>
  <c r="E35"/>
  <c r="D35"/>
  <c r="C35"/>
  <c r="N39" i="25"/>
  <c r="M39"/>
  <c r="L39"/>
  <c r="K39"/>
  <c r="J39"/>
  <c r="I39"/>
  <c r="H39"/>
  <c r="G39"/>
  <c r="F39"/>
  <c r="E39"/>
  <c r="D39"/>
  <c r="C39"/>
  <c r="B39"/>
  <c r="N38"/>
  <c r="M38"/>
  <c r="L38"/>
  <c r="K38"/>
  <c r="J38"/>
  <c r="I38"/>
  <c r="H38"/>
  <c r="G38"/>
  <c r="F38"/>
  <c r="E38"/>
  <c r="D38"/>
  <c r="C38"/>
  <c r="B38"/>
  <c r="N37"/>
  <c r="M37"/>
  <c r="L37"/>
  <c r="K37"/>
  <c r="J37"/>
  <c r="I37"/>
  <c r="H37"/>
  <c r="G37"/>
  <c r="F37"/>
  <c r="E37"/>
  <c r="D37"/>
  <c r="C37"/>
  <c r="B37"/>
  <c r="N36"/>
  <c r="M36"/>
  <c r="L36"/>
  <c r="K36"/>
  <c r="J36"/>
  <c r="I36"/>
  <c r="H36"/>
  <c r="G36"/>
  <c r="F36"/>
  <c r="E36"/>
  <c r="D36"/>
  <c r="C36"/>
  <c r="B36"/>
  <c r="N35"/>
  <c r="M35"/>
  <c r="L35"/>
  <c r="K35"/>
  <c r="J35"/>
  <c r="I35"/>
  <c r="H35"/>
  <c r="G35"/>
  <c r="F35"/>
  <c r="E35"/>
  <c r="D35"/>
  <c r="C35"/>
  <c r="B35"/>
  <c r="N39" i="24"/>
  <c r="M39"/>
  <c r="L39"/>
  <c r="K39"/>
  <c r="J39"/>
  <c r="I39"/>
  <c r="H39"/>
  <c r="G39"/>
  <c r="F39"/>
  <c r="E39"/>
  <c r="D39"/>
  <c r="C39"/>
  <c r="B39"/>
  <c r="N38"/>
  <c r="M38"/>
  <c r="L38"/>
  <c r="K38"/>
  <c r="J38"/>
  <c r="I38"/>
  <c r="H38"/>
  <c r="G38"/>
  <c r="F38"/>
  <c r="E38"/>
  <c r="D38"/>
  <c r="C38"/>
  <c r="B38"/>
  <c r="N37"/>
  <c r="M37"/>
  <c r="L37"/>
  <c r="K37"/>
  <c r="J37"/>
  <c r="I37"/>
  <c r="H37"/>
  <c r="G37"/>
  <c r="F37"/>
  <c r="E37"/>
  <c r="D37"/>
  <c r="C37"/>
  <c r="B37"/>
  <c r="N36"/>
  <c r="M36"/>
  <c r="L36"/>
  <c r="K36"/>
  <c r="J36"/>
  <c r="I36"/>
  <c r="H36"/>
  <c r="G36"/>
  <c r="F36"/>
  <c r="E36"/>
  <c r="D36"/>
  <c r="C36"/>
  <c r="B36"/>
  <c r="N35"/>
  <c r="M35"/>
  <c r="L35"/>
  <c r="K35"/>
  <c r="J35"/>
  <c r="I35"/>
  <c r="H35"/>
  <c r="G35"/>
  <c r="F35"/>
  <c r="E35"/>
  <c r="D35"/>
  <c r="C35"/>
  <c r="B35"/>
  <c r="N39" i="23"/>
  <c r="M39"/>
  <c r="L39"/>
  <c r="K39"/>
  <c r="J39"/>
  <c r="I39"/>
  <c r="H39"/>
  <c r="G39"/>
  <c r="F39"/>
  <c r="E39"/>
  <c r="D39"/>
  <c r="C39"/>
  <c r="B39"/>
  <c r="N38"/>
  <c r="M38"/>
  <c r="L38"/>
  <c r="K38"/>
  <c r="J38"/>
  <c r="I38"/>
  <c r="H38"/>
  <c r="G38"/>
  <c r="F38"/>
  <c r="E38"/>
  <c r="D38"/>
  <c r="C38"/>
  <c r="B38"/>
  <c r="N37"/>
  <c r="M37"/>
  <c r="L37"/>
  <c r="K37"/>
  <c r="J37"/>
  <c r="I37"/>
  <c r="H37"/>
  <c r="G37"/>
  <c r="F37"/>
  <c r="E37"/>
  <c r="D37"/>
  <c r="C37"/>
  <c r="B37"/>
  <c r="N36"/>
  <c r="M36"/>
  <c r="L36"/>
  <c r="K36"/>
  <c r="J36"/>
  <c r="I36"/>
  <c r="H36"/>
  <c r="G36"/>
  <c r="F36"/>
  <c r="E36"/>
  <c r="D36"/>
  <c r="C36"/>
  <c r="B36"/>
  <c r="N35"/>
  <c r="M35"/>
  <c r="L35"/>
  <c r="K35"/>
  <c r="J35"/>
  <c r="I35"/>
  <c r="H35"/>
  <c r="G35"/>
  <c r="F35"/>
  <c r="E35"/>
  <c r="D35"/>
  <c r="C35"/>
  <c r="B35"/>
  <c r="N39" i="22"/>
  <c r="M39"/>
  <c r="L39"/>
  <c r="K39"/>
  <c r="J39"/>
  <c r="I39"/>
  <c r="H39"/>
  <c r="G39"/>
  <c r="F39"/>
  <c r="E39"/>
  <c r="D39"/>
  <c r="C39"/>
  <c r="B39"/>
  <c r="N38"/>
  <c r="M38"/>
  <c r="L38"/>
  <c r="K38"/>
  <c r="J38"/>
  <c r="I38"/>
  <c r="H38"/>
  <c r="G38"/>
  <c r="F38"/>
  <c r="E38"/>
  <c r="D38"/>
  <c r="C38"/>
  <c r="B38"/>
  <c r="N37"/>
  <c r="M37"/>
  <c r="L37"/>
  <c r="K37"/>
  <c r="J37"/>
  <c r="I37"/>
  <c r="H37"/>
  <c r="G37"/>
  <c r="F37"/>
  <c r="E37"/>
  <c r="D37"/>
  <c r="C37"/>
  <c r="B37"/>
  <c r="N36"/>
  <c r="M36"/>
  <c r="L36"/>
  <c r="K36"/>
  <c r="J36"/>
  <c r="I36"/>
  <c r="H36"/>
  <c r="G36"/>
  <c r="F36"/>
  <c r="E36"/>
  <c r="D36"/>
  <c r="C36"/>
  <c r="B36"/>
  <c r="N35"/>
  <c r="M35"/>
  <c r="L35"/>
  <c r="K35"/>
  <c r="J35"/>
  <c r="I35"/>
  <c r="H35"/>
  <c r="G35"/>
  <c r="F35"/>
  <c r="E35"/>
  <c r="D35"/>
  <c r="C35"/>
  <c r="B35"/>
  <c r="N39" i="20"/>
  <c r="M39"/>
  <c r="L39"/>
  <c r="K39"/>
  <c r="J39"/>
  <c r="I39"/>
  <c r="H39"/>
  <c r="G39"/>
  <c r="F39"/>
  <c r="E39"/>
  <c r="D39"/>
  <c r="C39"/>
  <c r="B39"/>
  <c r="N38"/>
  <c r="M38"/>
  <c r="L38"/>
  <c r="K38"/>
  <c r="J38"/>
  <c r="I38"/>
  <c r="H38"/>
  <c r="G38"/>
  <c r="F38"/>
  <c r="E38"/>
  <c r="D38"/>
  <c r="C38"/>
  <c r="B38"/>
  <c r="N37"/>
  <c r="M37"/>
  <c r="L37"/>
  <c r="K37"/>
  <c r="J37"/>
  <c r="I37"/>
  <c r="H37"/>
  <c r="G37"/>
  <c r="F37"/>
  <c r="E37"/>
  <c r="D37"/>
  <c r="C37"/>
  <c r="B37"/>
  <c r="N36"/>
  <c r="M36"/>
  <c r="L36"/>
  <c r="K36"/>
  <c r="J36"/>
  <c r="I36"/>
  <c r="H36"/>
  <c r="G36"/>
  <c r="F36"/>
  <c r="E36"/>
  <c r="D36"/>
  <c r="C36"/>
  <c r="B36"/>
  <c r="N35"/>
  <c r="M35"/>
  <c r="L35"/>
  <c r="K35"/>
  <c r="J35"/>
  <c r="I35"/>
  <c r="H35"/>
  <c r="G35"/>
  <c r="F35"/>
  <c r="E35"/>
  <c r="D35"/>
  <c r="C35"/>
  <c r="B35"/>
  <c r="N39" i="19"/>
  <c r="M39"/>
  <c r="L39"/>
  <c r="K39"/>
  <c r="J39"/>
  <c r="I39"/>
  <c r="H39"/>
  <c r="G39"/>
  <c r="F39"/>
  <c r="E39"/>
  <c r="D39"/>
  <c r="C39"/>
  <c r="B39"/>
  <c r="N38"/>
  <c r="M38"/>
  <c r="L38"/>
  <c r="K38"/>
  <c r="J38"/>
  <c r="I38"/>
  <c r="H38"/>
  <c r="G38"/>
  <c r="F38"/>
  <c r="E38"/>
  <c r="D38"/>
  <c r="C38"/>
  <c r="B38"/>
  <c r="N37"/>
  <c r="M37"/>
  <c r="L37"/>
  <c r="K37"/>
  <c r="J37"/>
  <c r="I37"/>
  <c r="H37"/>
  <c r="G37"/>
  <c r="F37"/>
  <c r="E37"/>
  <c r="D37"/>
  <c r="C37"/>
  <c r="B37"/>
  <c r="N36"/>
  <c r="M36"/>
  <c r="L36"/>
  <c r="K36"/>
  <c r="J36"/>
  <c r="I36"/>
  <c r="H36"/>
  <c r="G36"/>
  <c r="F36"/>
  <c r="E36"/>
  <c r="D36"/>
  <c r="C36"/>
  <c r="B36"/>
  <c r="N35"/>
  <c r="M35"/>
  <c r="L35"/>
  <c r="K35"/>
  <c r="J35"/>
  <c r="I35"/>
  <c r="H35"/>
  <c r="G35"/>
  <c r="F35"/>
  <c r="E35"/>
  <c r="D35"/>
  <c r="C35"/>
  <c r="B35"/>
  <c r="C35" i="18"/>
  <c r="D35"/>
  <c r="E35"/>
  <c r="F35"/>
  <c r="G35"/>
  <c r="I35"/>
  <c r="K35"/>
  <c r="L35"/>
  <c r="M35"/>
  <c r="N35"/>
  <c r="C36"/>
  <c r="D36"/>
  <c r="E36"/>
  <c r="F36"/>
  <c r="G36"/>
  <c r="I36"/>
  <c r="K36"/>
  <c r="L36"/>
  <c r="M36"/>
  <c r="N36"/>
  <c r="C37"/>
  <c r="D37"/>
  <c r="E37"/>
  <c r="F37"/>
  <c r="G37"/>
  <c r="I37"/>
  <c r="L37"/>
  <c r="M37"/>
  <c r="N37"/>
  <c r="C38"/>
  <c r="D38"/>
  <c r="E38"/>
  <c r="F38"/>
  <c r="G38"/>
  <c r="I38"/>
  <c r="L38"/>
  <c r="M38"/>
  <c r="N38"/>
  <c r="C39"/>
  <c r="D39"/>
  <c r="E39"/>
  <c r="F39"/>
  <c r="G39"/>
  <c r="I39"/>
  <c r="L39"/>
  <c r="M39"/>
  <c r="N39"/>
  <c r="B39"/>
  <c r="B38"/>
  <c r="B37"/>
  <c r="B36"/>
  <c r="B35"/>
  <c r="J49" i="62"/>
  <c r="G49"/>
  <c r="E49"/>
  <c r="B49"/>
  <c r="J48"/>
  <c r="G48"/>
  <c r="E48"/>
  <c r="B48"/>
  <c r="E49" i="61"/>
  <c r="B49"/>
  <c r="E48"/>
  <c r="B48"/>
  <c r="B46" i="80"/>
  <c r="D46"/>
  <c r="E46"/>
  <c r="F46"/>
  <c r="G46"/>
  <c r="I46"/>
  <c r="J46"/>
  <c r="K46"/>
  <c r="B47"/>
  <c r="D47"/>
  <c r="E47"/>
  <c r="F47"/>
  <c r="G47"/>
  <c r="I47"/>
  <c r="J47"/>
  <c r="K47"/>
  <c r="B48"/>
  <c r="D48"/>
  <c r="E48"/>
  <c r="F48"/>
  <c r="G48"/>
  <c r="I48"/>
  <c r="J48"/>
  <c r="K48"/>
  <c r="B49"/>
  <c r="D49"/>
  <c r="E49"/>
  <c r="F49"/>
  <c r="G49"/>
  <c r="I49"/>
  <c r="J49"/>
  <c r="K49"/>
  <c r="F49" i="79"/>
  <c r="E49"/>
  <c r="D49"/>
  <c r="B49"/>
  <c r="F48"/>
  <c r="E48"/>
  <c r="D48"/>
  <c r="B48"/>
  <c r="F47"/>
  <c r="E47"/>
  <c r="D47"/>
  <c r="B47"/>
  <c r="F46"/>
  <c r="E46"/>
  <c r="D46"/>
  <c r="B46"/>
  <c r="F49" i="69"/>
  <c r="E49"/>
  <c r="D49"/>
  <c r="B49"/>
  <c r="F48"/>
  <c r="E48"/>
  <c r="D48"/>
  <c r="B48"/>
  <c r="F47"/>
  <c r="E47"/>
  <c r="D47"/>
  <c r="B47"/>
  <c r="F46"/>
  <c r="E46"/>
  <c r="D46"/>
  <c r="B46"/>
  <c r="F49" i="75"/>
  <c r="E49"/>
  <c r="D49"/>
  <c r="B49"/>
  <c r="F48"/>
  <c r="E48"/>
  <c r="D48"/>
  <c r="B48"/>
  <c r="F47"/>
  <c r="E47"/>
  <c r="D47"/>
  <c r="B47"/>
  <c r="F46"/>
  <c r="E46"/>
  <c r="D46"/>
  <c r="B46"/>
  <c r="F49" i="73"/>
  <c r="E49"/>
  <c r="D49"/>
  <c r="B49"/>
  <c r="F48"/>
  <c r="E48"/>
  <c r="D48"/>
  <c r="B48"/>
  <c r="F47"/>
  <c r="E47"/>
  <c r="D47"/>
  <c r="B47"/>
  <c r="F46"/>
  <c r="E46"/>
  <c r="D46"/>
  <c r="B46"/>
  <c r="F49" i="71"/>
  <c r="E49"/>
  <c r="D49"/>
  <c r="B49"/>
  <c r="F48"/>
  <c r="E48"/>
  <c r="D48"/>
  <c r="B48"/>
  <c r="F47"/>
  <c r="E47"/>
  <c r="D47"/>
  <c r="B47"/>
  <c r="F46"/>
  <c r="E46"/>
  <c r="D46"/>
  <c r="B46"/>
  <c r="K49" i="70"/>
  <c r="J49"/>
  <c r="I49"/>
  <c r="G49"/>
  <c r="F49"/>
  <c r="E49"/>
  <c r="D49"/>
  <c r="B49"/>
  <c r="K48"/>
  <c r="J48"/>
  <c r="I48"/>
  <c r="G48"/>
  <c r="F48"/>
  <c r="E48"/>
  <c r="D48"/>
  <c r="B48"/>
  <c r="K47"/>
  <c r="J47"/>
  <c r="I47"/>
  <c r="G47"/>
  <c r="F47"/>
  <c r="E47"/>
  <c r="D47"/>
  <c r="B47"/>
  <c r="K46"/>
  <c r="J46"/>
  <c r="I46"/>
  <c r="G46"/>
  <c r="F46"/>
  <c r="E46"/>
  <c r="D46"/>
  <c r="B46"/>
  <c r="K49" i="76"/>
  <c r="J49"/>
  <c r="I49"/>
  <c r="G49"/>
  <c r="F49"/>
  <c r="E49"/>
  <c r="D49"/>
  <c r="B49"/>
  <c r="K48"/>
  <c r="J48"/>
  <c r="I48"/>
  <c r="G48"/>
  <c r="F48"/>
  <c r="E48"/>
  <c r="D48"/>
  <c r="B48"/>
  <c r="K47"/>
  <c r="J47"/>
  <c r="I47"/>
  <c r="G47"/>
  <c r="F47"/>
  <c r="E47"/>
  <c r="D47"/>
  <c r="B47"/>
  <c r="K46"/>
  <c r="J46"/>
  <c r="I46"/>
  <c r="G46"/>
  <c r="F46"/>
  <c r="E46"/>
  <c r="D46"/>
  <c r="B46"/>
  <c r="K49" i="74"/>
  <c r="J49"/>
  <c r="I49"/>
  <c r="G49"/>
  <c r="F49"/>
  <c r="E49"/>
  <c r="D49"/>
  <c r="B49"/>
  <c r="K48"/>
  <c r="J48"/>
  <c r="I48"/>
  <c r="G48"/>
  <c r="F48"/>
  <c r="E48"/>
  <c r="D48"/>
  <c r="B48"/>
  <c r="K47"/>
  <c r="J47"/>
  <c r="I47"/>
  <c r="G47"/>
  <c r="F47"/>
  <c r="E47"/>
  <c r="D47"/>
  <c r="B47"/>
  <c r="K46"/>
  <c r="J46"/>
  <c r="I46"/>
  <c r="G46"/>
  <c r="F46"/>
  <c r="E46"/>
  <c r="D46"/>
  <c r="B46"/>
  <c r="K49" i="72"/>
  <c r="J49"/>
  <c r="I49"/>
  <c r="G49"/>
  <c r="F49"/>
  <c r="E49"/>
  <c r="D49"/>
  <c r="B49"/>
  <c r="K48"/>
  <c r="J48"/>
  <c r="I48"/>
  <c r="G48"/>
  <c r="F48"/>
  <c r="E48"/>
  <c r="D48"/>
  <c r="B48"/>
  <c r="K47"/>
  <c r="J47"/>
  <c r="I47"/>
  <c r="G47"/>
  <c r="F47"/>
  <c r="E47"/>
  <c r="D47"/>
  <c r="B47"/>
  <c r="K46"/>
  <c r="J46"/>
  <c r="I46"/>
  <c r="G46"/>
  <c r="F46"/>
  <c r="E46"/>
  <c r="D46"/>
  <c r="B46"/>
  <c r="K49" i="65"/>
  <c r="J49"/>
  <c r="I49"/>
  <c r="G49"/>
  <c r="F49"/>
  <c r="E49"/>
  <c r="D49"/>
  <c r="K48"/>
  <c r="J48"/>
  <c r="I48"/>
  <c r="G48"/>
  <c r="F48"/>
  <c r="E48"/>
  <c r="D48"/>
  <c r="K47"/>
  <c r="J47"/>
  <c r="I47"/>
  <c r="G47"/>
  <c r="F47"/>
  <c r="E47"/>
  <c r="D47"/>
  <c r="K46"/>
  <c r="J46"/>
  <c r="I46"/>
  <c r="G46"/>
  <c r="F46"/>
  <c r="E46"/>
  <c r="D46"/>
  <c r="B49"/>
  <c r="B48"/>
  <c r="B47"/>
  <c r="B46"/>
  <c r="D49" i="66"/>
  <c r="E49"/>
  <c r="F49"/>
  <c r="B49"/>
  <c r="D47"/>
  <c r="E47"/>
  <c r="F47"/>
  <c r="B47"/>
  <c r="D46"/>
  <c r="E46"/>
  <c r="F46"/>
  <c r="B46"/>
  <c r="B49" i="68"/>
  <c r="D47"/>
  <c r="E47"/>
  <c r="F47"/>
  <c r="B47"/>
  <c r="F46" i="67"/>
  <c r="E46"/>
  <c r="D46"/>
  <c r="B46" i="68"/>
  <c r="D46"/>
  <c r="E46"/>
  <c r="F46"/>
  <c r="D47" i="67"/>
  <c r="E47"/>
  <c r="F47"/>
  <c r="D49" i="68"/>
  <c r="E49"/>
  <c r="F49"/>
  <c r="G49"/>
  <c r="D49" i="67"/>
  <c r="E49"/>
  <c r="F49"/>
  <c r="B49"/>
  <c r="C34" i="356"/>
  <c r="D34"/>
  <c r="E34"/>
  <c r="F34"/>
  <c r="B34"/>
  <c r="C32"/>
  <c r="D32"/>
  <c r="E32"/>
  <c r="F32"/>
  <c r="B32"/>
  <c r="E30" i="332"/>
  <c r="F30"/>
  <c r="D30"/>
  <c r="I35" i="323"/>
  <c r="L35"/>
  <c r="I36"/>
  <c r="L36"/>
  <c r="L32"/>
  <c r="L33"/>
  <c r="L34"/>
  <c r="I32"/>
  <c r="I33"/>
  <c r="I34"/>
  <c r="I29"/>
  <c r="I28"/>
  <c r="I27"/>
  <c r="C21"/>
  <c r="D21"/>
  <c r="E21"/>
  <c r="F21"/>
  <c r="G21"/>
  <c r="H21"/>
  <c r="I21"/>
  <c r="J21"/>
  <c r="K21"/>
  <c r="L21"/>
  <c r="B21"/>
  <c r="C20"/>
  <c r="D20"/>
  <c r="E20"/>
  <c r="F20"/>
  <c r="G20"/>
  <c r="J20"/>
  <c r="K20"/>
  <c r="L20"/>
  <c r="B20"/>
  <c r="D41" i="270"/>
  <c r="E41"/>
  <c r="F41"/>
  <c r="G41"/>
  <c r="E39"/>
  <c r="D39"/>
  <c r="E37"/>
  <c r="D37"/>
  <c r="C36" i="215"/>
  <c r="D36"/>
  <c r="E36"/>
  <c r="F36"/>
  <c r="B36"/>
  <c r="C32"/>
  <c r="D32"/>
  <c r="E32"/>
  <c r="F32"/>
  <c r="B32"/>
  <c r="L62" i="203"/>
  <c r="K62"/>
  <c r="J62"/>
  <c r="I62"/>
  <c r="H62"/>
  <c r="F62"/>
  <c r="E62"/>
  <c r="D62"/>
  <c r="C62"/>
  <c r="L61"/>
  <c r="K61"/>
  <c r="J61"/>
  <c r="I61"/>
  <c r="H61"/>
  <c r="F61"/>
  <c r="E61"/>
  <c r="D61"/>
  <c r="C61"/>
  <c r="L60"/>
  <c r="K60"/>
  <c r="J60"/>
  <c r="I60"/>
  <c r="H60"/>
  <c r="F60"/>
  <c r="E60"/>
  <c r="D60"/>
  <c r="C60"/>
  <c r="L59"/>
  <c r="K59"/>
  <c r="J59"/>
  <c r="I59"/>
  <c r="H59"/>
  <c r="F59"/>
  <c r="E59"/>
  <c r="D59"/>
  <c r="C59"/>
  <c r="L58"/>
  <c r="K58"/>
  <c r="J58"/>
  <c r="I58"/>
  <c r="H58"/>
  <c r="F58"/>
  <c r="E58"/>
  <c r="D58"/>
  <c r="C58"/>
  <c r="L57"/>
  <c r="K57"/>
  <c r="J57"/>
  <c r="I57"/>
  <c r="H57"/>
  <c r="F57"/>
  <c r="E57"/>
  <c r="D57"/>
  <c r="C57"/>
  <c r="L56"/>
  <c r="K56"/>
  <c r="J56"/>
  <c r="I56"/>
  <c r="H56"/>
  <c r="F56"/>
  <c r="E56"/>
  <c r="D56"/>
  <c r="C56"/>
  <c r="B62"/>
  <c r="B61"/>
  <c r="B60"/>
  <c r="B59"/>
  <c r="B58"/>
  <c r="B57"/>
  <c r="B56"/>
  <c r="C55" i="202"/>
  <c r="D55"/>
  <c r="F55"/>
  <c r="C56"/>
  <c r="D56"/>
  <c r="F56"/>
  <c r="C57"/>
  <c r="D57"/>
  <c r="F57"/>
  <c r="C58"/>
  <c r="D58"/>
  <c r="F58"/>
  <c r="C59"/>
  <c r="D10" i="221" s="1"/>
  <c r="D59" i="202"/>
  <c r="F59"/>
  <c r="C60"/>
  <c r="D60"/>
  <c r="F60"/>
  <c r="C61"/>
  <c r="D61"/>
  <c r="F61"/>
  <c r="C62"/>
  <c r="D62"/>
  <c r="F62"/>
  <c r="B62"/>
  <c r="B61"/>
  <c r="B60"/>
  <c r="B59"/>
  <c r="B58"/>
  <c r="B57"/>
  <c r="B56"/>
  <c r="B55"/>
  <c r="C56" i="15"/>
  <c r="D56"/>
  <c r="E56"/>
  <c r="F56"/>
  <c r="G56"/>
  <c r="H56"/>
  <c r="I56"/>
  <c r="J56"/>
  <c r="K56"/>
  <c r="L56"/>
  <c r="M56"/>
  <c r="N56"/>
  <c r="C57"/>
  <c r="D57"/>
  <c r="E57"/>
  <c r="B8" i="221" s="1"/>
  <c r="F57" i="15"/>
  <c r="G57"/>
  <c r="H57"/>
  <c r="I57"/>
  <c r="J57"/>
  <c r="K57"/>
  <c r="L57"/>
  <c r="M57"/>
  <c r="N57"/>
  <c r="C58"/>
  <c r="D58"/>
  <c r="E58"/>
  <c r="F58"/>
  <c r="G58"/>
  <c r="H58"/>
  <c r="I58"/>
  <c r="J58"/>
  <c r="K58"/>
  <c r="L58"/>
  <c r="M58"/>
  <c r="N58"/>
  <c r="C59"/>
  <c r="D59"/>
  <c r="E59"/>
  <c r="F59"/>
  <c r="G59"/>
  <c r="H59"/>
  <c r="I59"/>
  <c r="J59"/>
  <c r="K59"/>
  <c r="L59"/>
  <c r="M59"/>
  <c r="N59"/>
  <c r="C60"/>
  <c r="D60"/>
  <c r="E60"/>
  <c r="F60"/>
  <c r="G60"/>
  <c r="H60"/>
  <c r="I60"/>
  <c r="J60"/>
  <c r="K60"/>
  <c r="L60"/>
  <c r="M60"/>
  <c r="N60"/>
  <c r="C61"/>
  <c r="D61"/>
  <c r="E61"/>
  <c r="F61"/>
  <c r="G61"/>
  <c r="H61"/>
  <c r="I61"/>
  <c r="J61"/>
  <c r="K61"/>
  <c r="L61"/>
  <c r="M61"/>
  <c r="N61"/>
  <c r="C62"/>
  <c r="D62"/>
  <c r="E62"/>
  <c r="F62"/>
  <c r="G62"/>
  <c r="H62"/>
  <c r="I62"/>
  <c r="J62"/>
  <c r="K62"/>
  <c r="L62"/>
  <c r="M62"/>
  <c r="N62"/>
  <c r="C63"/>
  <c r="D63"/>
  <c r="E63"/>
  <c r="F63"/>
  <c r="G63"/>
  <c r="H63"/>
  <c r="I63"/>
  <c r="J63"/>
  <c r="K63"/>
  <c r="L63"/>
  <c r="M63"/>
  <c r="N63"/>
  <c r="B63"/>
  <c r="B62"/>
  <c r="B61"/>
  <c r="B60"/>
  <c r="B59"/>
  <c r="B58"/>
  <c r="B57"/>
  <c r="B56"/>
  <c r="C62" i="201"/>
  <c r="D62"/>
  <c r="E62"/>
  <c r="F62"/>
  <c r="H62"/>
  <c r="I62"/>
  <c r="J62"/>
  <c r="K62"/>
  <c r="L62"/>
  <c r="B62"/>
  <c r="C60"/>
  <c r="D60"/>
  <c r="E60"/>
  <c r="F60"/>
  <c r="H60"/>
  <c r="I60"/>
  <c r="J60"/>
  <c r="K60"/>
  <c r="L60"/>
  <c r="B60"/>
  <c r="B58"/>
  <c r="B56"/>
  <c r="B59"/>
  <c r="B61"/>
  <c r="C59"/>
  <c r="D59"/>
  <c r="E59"/>
  <c r="F59"/>
  <c r="H59"/>
  <c r="I59"/>
  <c r="J59"/>
  <c r="K59"/>
  <c r="L59"/>
  <c r="C61"/>
  <c r="D61"/>
  <c r="E61"/>
  <c r="F61"/>
  <c r="H61"/>
  <c r="I61"/>
  <c r="J61"/>
  <c r="K61"/>
  <c r="L61"/>
  <c r="K58"/>
  <c r="C56"/>
  <c r="D56"/>
  <c r="E56"/>
  <c r="F56"/>
  <c r="H56"/>
  <c r="I56"/>
  <c r="J56"/>
  <c r="K56"/>
  <c r="L56"/>
  <c r="C57"/>
  <c r="D57"/>
  <c r="E57"/>
  <c r="F57"/>
  <c r="H57"/>
  <c r="I57"/>
  <c r="J57"/>
  <c r="K57"/>
  <c r="L57"/>
  <c r="C58"/>
  <c r="D58"/>
  <c r="E58"/>
  <c r="F58"/>
  <c r="H58"/>
  <c r="I58"/>
  <c r="J58"/>
  <c r="L58"/>
  <c r="B57"/>
  <c r="C55" i="200"/>
  <c r="D55"/>
  <c r="F55"/>
  <c r="C56"/>
  <c r="D56"/>
  <c r="F56"/>
  <c r="C57"/>
  <c r="D57"/>
  <c r="F57"/>
  <c r="C58"/>
  <c r="D58"/>
  <c r="F58"/>
  <c r="C59"/>
  <c r="D10" i="220" s="1"/>
  <c r="D59" i="200"/>
  <c r="F59"/>
  <c r="C60"/>
  <c r="D60"/>
  <c r="F60"/>
  <c r="C61"/>
  <c r="D61"/>
  <c r="F61"/>
  <c r="C62"/>
  <c r="D62"/>
  <c r="F62"/>
  <c r="B58"/>
  <c r="B60"/>
  <c r="B62"/>
  <c r="B61"/>
  <c r="B59"/>
  <c r="B57"/>
  <c r="B56"/>
  <c r="B55"/>
  <c r="B63" i="14"/>
  <c r="B62"/>
  <c r="B56"/>
  <c r="C56"/>
  <c r="D56"/>
  <c r="E56"/>
  <c r="F56"/>
  <c r="G56"/>
  <c r="H56"/>
  <c r="I56"/>
  <c r="J56"/>
  <c r="K56"/>
  <c r="L56"/>
  <c r="M56"/>
  <c r="N56"/>
  <c r="C57"/>
  <c r="D57"/>
  <c r="E57"/>
  <c r="B8" i="220" s="1"/>
  <c r="F57" i="14"/>
  <c r="G57"/>
  <c r="H57"/>
  <c r="I57"/>
  <c r="J57"/>
  <c r="K57"/>
  <c r="L57"/>
  <c r="M57"/>
  <c r="N57"/>
  <c r="C58"/>
  <c r="D58"/>
  <c r="E58"/>
  <c r="F58"/>
  <c r="G58"/>
  <c r="H58"/>
  <c r="I58"/>
  <c r="J58"/>
  <c r="K58"/>
  <c r="L58"/>
  <c r="M58"/>
  <c r="N58"/>
  <c r="C59"/>
  <c r="D59"/>
  <c r="E59"/>
  <c r="F59"/>
  <c r="G59"/>
  <c r="H59"/>
  <c r="I59"/>
  <c r="J59"/>
  <c r="K59"/>
  <c r="L59"/>
  <c r="M59"/>
  <c r="N59"/>
  <c r="C60"/>
  <c r="D60"/>
  <c r="E60"/>
  <c r="F60"/>
  <c r="G60"/>
  <c r="H60"/>
  <c r="I60"/>
  <c r="J60"/>
  <c r="K60"/>
  <c r="L60"/>
  <c r="M60"/>
  <c r="N60"/>
  <c r="C61"/>
  <c r="D61"/>
  <c r="E61"/>
  <c r="F61"/>
  <c r="G61"/>
  <c r="H61"/>
  <c r="I61"/>
  <c r="J61"/>
  <c r="K61"/>
  <c r="L61"/>
  <c r="M61"/>
  <c r="N61"/>
  <c r="C62"/>
  <c r="D62"/>
  <c r="E62"/>
  <c r="F62"/>
  <c r="G62"/>
  <c r="H62"/>
  <c r="I62"/>
  <c r="J62"/>
  <c r="K62"/>
  <c r="L62"/>
  <c r="M62"/>
  <c r="N62"/>
  <c r="C63"/>
  <c r="D63"/>
  <c r="E63"/>
  <c r="F63"/>
  <c r="G63"/>
  <c r="H63"/>
  <c r="I63"/>
  <c r="J63"/>
  <c r="K63"/>
  <c r="L63"/>
  <c r="M63"/>
  <c r="N63"/>
  <c r="B61"/>
  <c r="B60"/>
  <c r="B59"/>
  <c r="B58"/>
  <c r="B57"/>
  <c r="B62" i="199"/>
  <c r="B63"/>
  <c r="C56"/>
  <c r="D56"/>
  <c r="E56"/>
  <c r="F56"/>
  <c r="H56"/>
  <c r="I56"/>
  <c r="J56"/>
  <c r="K56"/>
  <c r="L56"/>
  <c r="C57"/>
  <c r="D57"/>
  <c r="E57"/>
  <c r="F57"/>
  <c r="H57"/>
  <c r="I57"/>
  <c r="J57"/>
  <c r="K57"/>
  <c r="L57"/>
  <c r="C58"/>
  <c r="D58"/>
  <c r="E58"/>
  <c r="F58"/>
  <c r="H58"/>
  <c r="I58"/>
  <c r="J58"/>
  <c r="K58"/>
  <c r="L58"/>
  <c r="C59"/>
  <c r="D59"/>
  <c r="E59"/>
  <c r="F59"/>
  <c r="H59"/>
  <c r="I59"/>
  <c r="J59"/>
  <c r="K59"/>
  <c r="L59"/>
  <c r="C60"/>
  <c r="D60"/>
  <c r="E60"/>
  <c r="F60"/>
  <c r="H60"/>
  <c r="I60"/>
  <c r="J60"/>
  <c r="K60"/>
  <c r="L60"/>
  <c r="C61"/>
  <c r="D61"/>
  <c r="E61"/>
  <c r="F61"/>
  <c r="H61"/>
  <c r="I61"/>
  <c r="J61"/>
  <c r="K61"/>
  <c r="L61"/>
  <c r="C62"/>
  <c r="D62"/>
  <c r="E62"/>
  <c r="F62"/>
  <c r="H62"/>
  <c r="I62"/>
  <c r="J62"/>
  <c r="K62"/>
  <c r="L62"/>
  <c r="C63"/>
  <c r="D63"/>
  <c r="E63"/>
  <c r="F63"/>
  <c r="H63"/>
  <c r="I63"/>
  <c r="J63"/>
  <c r="K63"/>
  <c r="L63"/>
  <c r="B61"/>
  <c r="B60"/>
  <c r="B59"/>
  <c r="B58"/>
  <c r="B57"/>
  <c r="B56"/>
  <c r="C55" i="198"/>
  <c r="D55"/>
  <c r="F55"/>
  <c r="C56"/>
  <c r="B10" i="219" s="1"/>
  <c r="D56" i="198"/>
  <c r="F56"/>
  <c r="C57"/>
  <c r="D57"/>
  <c r="F57"/>
  <c r="C58"/>
  <c r="D58"/>
  <c r="F58"/>
  <c r="C59"/>
  <c r="D10" i="219" s="1"/>
  <c r="D59" i="198"/>
  <c r="F59"/>
  <c r="C60"/>
  <c r="D60"/>
  <c r="F60"/>
  <c r="C61"/>
  <c r="D61"/>
  <c r="F61"/>
  <c r="C62"/>
  <c r="D62"/>
  <c r="F62"/>
  <c r="B62"/>
  <c r="B61"/>
  <c r="B60"/>
  <c r="B59"/>
  <c r="B58"/>
  <c r="B57"/>
  <c r="B56"/>
  <c r="B55"/>
  <c r="C56" i="13"/>
  <c r="D56"/>
  <c r="E56"/>
  <c r="F56"/>
  <c r="G56"/>
  <c r="H56"/>
  <c r="I56"/>
  <c r="J56"/>
  <c r="K56"/>
  <c r="L56"/>
  <c r="M56"/>
  <c r="N56"/>
  <c r="C57"/>
  <c r="D57"/>
  <c r="E57"/>
  <c r="F57"/>
  <c r="G57"/>
  <c r="H57"/>
  <c r="I57"/>
  <c r="J57"/>
  <c r="K57"/>
  <c r="L57"/>
  <c r="M57"/>
  <c r="N57"/>
  <c r="C58"/>
  <c r="D58"/>
  <c r="E58"/>
  <c r="F58"/>
  <c r="G58"/>
  <c r="H58"/>
  <c r="I58"/>
  <c r="J58"/>
  <c r="K58"/>
  <c r="L58"/>
  <c r="M58"/>
  <c r="N58"/>
  <c r="C59"/>
  <c r="D59"/>
  <c r="E59"/>
  <c r="F59"/>
  <c r="G59"/>
  <c r="H59"/>
  <c r="I59"/>
  <c r="J59"/>
  <c r="K59"/>
  <c r="L59"/>
  <c r="M59"/>
  <c r="N59"/>
  <c r="C60"/>
  <c r="D60"/>
  <c r="E60"/>
  <c r="F60"/>
  <c r="G60"/>
  <c r="H60"/>
  <c r="I60"/>
  <c r="J60"/>
  <c r="K60"/>
  <c r="L60"/>
  <c r="M60"/>
  <c r="N60"/>
  <c r="C61"/>
  <c r="D61"/>
  <c r="E61"/>
  <c r="F61"/>
  <c r="G61"/>
  <c r="H61"/>
  <c r="I61"/>
  <c r="J61"/>
  <c r="K61"/>
  <c r="L61"/>
  <c r="M61"/>
  <c r="N61"/>
  <c r="C62"/>
  <c r="E9" i="219" s="1"/>
  <c r="D62" i="13"/>
  <c r="E62"/>
  <c r="E8" i="219" s="1"/>
  <c r="F62" i="13"/>
  <c r="G62"/>
  <c r="H62"/>
  <c r="I62"/>
  <c r="J62"/>
  <c r="K62"/>
  <c r="L62"/>
  <c r="M62"/>
  <c r="N62"/>
  <c r="C63"/>
  <c r="F9" i="219" s="1"/>
  <c r="D63" i="13"/>
  <c r="E63"/>
  <c r="F8" i="219" s="1"/>
  <c r="F63" i="13"/>
  <c r="G63"/>
  <c r="H63"/>
  <c r="I63"/>
  <c r="J63"/>
  <c r="K63"/>
  <c r="L63"/>
  <c r="M63"/>
  <c r="N63"/>
  <c r="B61"/>
  <c r="B59"/>
  <c r="B57"/>
  <c r="B56"/>
  <c r="B63"/>
  <c r="B62"/>
  <c r="B60"/>
  <c r="B58"/>
  <c r="B59" i="343"/>
  <c r="B57"/>
  <c r="C66" i="197"/>
  <c r="D66"/>
  <c r="E66"/>
  <c r="F66"/>
  <c r="B66"/>
  <c r="C58"/>
  <c r="D58"/>
  <c r="E58"/>
  <c r="F58"/>
  <c r="B58"/>
  <c r="B59"/>
  <c r="B60"/>
  <c r="B61"/>
  <c r="B62"/>
  <c r="B63"/>
  <c r="B64"/>
  <c r="B65"/>
  <c r="D68" i="196"/>
  <c r="E68"/>
  <c r="F68"/>
  <c r="G68"/>
  <c r="B68"/>
  <c r="D59"/>
  <c r="E59"/>
  <c r="F59"/>
  <c r="G59"/>
  <c r="B59"/>
  <c r="G65"/>
  <c r="F65"/>
  <c r="E65"/>
  <c r="D65"/>
  <c r="B65"/>
  <c r="C71" i="139"/>
  <c r="D71"/>
  <c r="E71"/>
  <c r="G71"/>
  <c r="H71"/>
  <c r="I71"/>
  <c r="B71"/>
  <c r="C69"/>
  <c r="D69"/>
  <c r="C59"/>
  <c r="D59"/>
  <c r="E59"/>
  <c r="E65"/>
  <c r="H66"/>
  <c r="I66"/>
  <c r="G66"/>
  <c r="C66"/>
  <c r="D66"/>
  <c r="E66"/>
  <c r="B66"/>
  <c r="H58"/>
  <c r="I58"/>
  <c r="G58"/>
  <c r="C58"/>
  <c r="D58"/>
  <c r="E58"/>
  <c r="B58"/>
  <c r="B16" i="248"/>
  <c r="G33" i="99"/>
  <c r="H33"/>
  <c r="I33"/>
  <c r="J33"/>
  <c r="G28"/>
  <c r="H28"/>
  <c r="I28"/>
  <c r="J28"/>
  <c r="J33" i="98"/>
  <c r="I33"/>
  <c r="H33"/>
  <c r="G33"/>
  <c r="J28"/>
  <c r="I28"/>
  <c r="H28"/>
  <c r="G28"/>
  <c r="G33" i="97"/>
  <c r="H33"/>
  <c r="I33"/>
  <c r="J33"/>
  <c r="J28"/>
  <c r="I28"/>
  <c r="H28"/>
  <c r="G28"/>
  <c r="J33" i="340"/>
  <c r="I33"/>
  <c r="H33"/>
  <c r="G33"/>
  <c r="J28"/>
  <c r="I28"/>
  <c r="H28"/>
  <c r="G28"/>
  <c r="B28" i="92"/>
  <c r="D28"/>
  <c r="E28"/>
  <c r="F28"/>
  <c r="G28"/>
  <c r="H28"/>
  <c r="I28"/>
  <c r="J28"/>
  <c r="K28"/>
  <c r="D29"/>
  <c r="E29"/>
  <c r="F29"/>
  <c r="G29"/>
  <c r="H29"/>
  <c r="I29"/>
  <c r="J29"/>
  <c r="K29"/>
  <c r="D30"/>
  <c r="E30"/>
  <c r="F30"/>
  <c r="G30"/>
  <c r="H30"/>
  <c r="I30"/>
  <c r="J30"/>
  <c r="K30"/>
  <c r="B30"/>
  <c r="G63" i="362"/>
  <c r="F63"/>
  <c r="E63"/>
  <c r="C63"/>
  <c r="B63"/>
  <c r="G62"/>
  <c r="F62"/>
  <c r="E62"/>
  <c r="C62"/>
  <c r="B62"/>
  <c r="G61"/>
  <c r="F61"/>
  <c r="E61"/>
  <c r="C61"/>
  <c r="B61"/>
  <c r="G60"/>
  <c r="F60"/>
  <c r="E60"/>
  <c r="C60"/>
  <c r="B60"/>
  <c r="G59"/>
  <c r="F59"/>
  <c r="C59"/>
  <c r="B59"/>
  <c r="G58"/>
  <c r="F58"/>
  <c r="C58"/>
  <c r="B58"/>
  <c r="G63" i="277"/>
  <c r="F63"/>
  <c r="E63"/>
  <c r="C63"/>
  <c r="B63"/>
  <c r="G62"/>
  <c r="F62"/>
  <c r="E62"/>
  <c r="C62"/>
  <c r="B62"/>
  <c r="G61"/>
  <c r="F61"/>
  <c r="E61"/>
  <c r="C61"/>
  <c r="B61"/>
  <c r="G60"/>
  <c r="F60"/>
  <c r="E60"/>
  <c r="C60"/>
  <c r="B60"/>
  <c r="G59"/>
  <c r="F59"/>
  <c r="E59"/>
  <c r="C59"/>
  <c r="B59"/>
  <c r="G58"/>
  <c r="F58"/>
  <c r="E58"/>
  <c r="C58"/>
  <c r="B58"/>
  <c r="G63" i="276"/>
  <c r="F63"/>
  <c r="E63"/>
  <c r="C63"/>
  <c r="B63"/>
  <c r="G62"/>
  <c r="F62"/>
  <c r="E62"/>
  <c r="C62"/>
  <c r="B62"/>
  <c r="G61"/>
  <c r="F61"/>
  <c r="E61"/>
  <c r="C61"/>
  <c r="B61"/>
  <c r="G60"/>
  <c r="F60"/>
  <c r="E60"/>
  <c r="C60"/>
  <c r="B60"/>
  <c r="G59"/>
  <c r="F59"/>
  <c r="E59"/>
  <c r="C59"/>
  <c r="B59"/>
  <c r="G58"/>
  <c r="F58"/>
  <c r="E58"/>
  <c r="C58"/>
  <c r="B58"/>
  <c r="G63" i="275"/>
  <c r="F63"/>
  <c r="E63"/>
  <c r="C63"/>
  <c r="B63"/>
  <c r="G62"/>
  <c r="F62"/>
  <c r="E62"/>
  <c r="C62"/>
  <c r="B62"/>
  <c r="G61"/>
  <c r="F61"/>
  <c r="E61"/>
  <c r="C61"/>
  <c r="B61"/>
  <c r="G60"/>
  <c r="F60"/>
  <c r="E60"/>
  <c r="C60"/>
  <c r="B60"/>
  <c r="G59"/>
  <c r="F59"/>
  <c r="E59"/>
  <c r="C59"/>
  <c r="B59"/>
  <c r="G58"/>
  <c r="F58"/>
  <c r="E58"/>
  <c r="C58"/>
  <c r="B58"/>
  <c r="G63" i="274"/>
  <c r="F63"/>
  <c r="E63"/>
  <c r="C63"/>
  <c r="B63"/>
  <c r="G62"/>
  <c r="F62"/>
  <c r="E62"/>
  <c r="C62"/>
  <c r="B62"/>
  <c r="G61"/>
  <c r="F61"/>
  <c r="E61"/>
  <c r="C61"/>
  <c r="B61"/>
  <c r="G60"/>
  <c r="F60"/>
  <c r="E60"/>
  <c r="C60"/>
  <c r="B60"/>
  <c r="G59"/>
  <c r="F59"/>
  <c r="E59"/>
  <c r="C59"/>
  <c r="B59"/>
  <c r="G58"/>
  <c r="F58"/>
  <c r="E58"/>
  <c r="C58"/>
  <c r="B58"/>
  <c r="G63" i="361"/>
  <c r="F63"/>
  <c r="E63"/>
  <c r="C63"/>
  <c r="B63"/>
  <c r="G62"/>
  <c r="F62"/>
  <c r="E62"/>
  <c r="C62"/>
  <c r="B62"/>
  <c r="G61"/>
  <c r="F61"/>
  <c r="E61"/>
  <c r="C61"/>
  <c r="B61"/>
  <c r="G60"/>
  <c r="F60"/>
  <c r="E60"/>
  <c r="C60"/>
  <c r="B60"/>
  <c r="G59"/>
  <c r="F59"/>
  <c r="E59"/>
  <c r="C59"/>
  <c r="B59"/>
  <c r="G58"/>
  <c r="F58"/>
  <c r="E58"/>
  <c r="C58"/>
  <c r="B58"/>
  <c r="G63" i="214"/>
  <c r="F63"/>
  <c r="E63"/>
  <c r="C63"/>
  <c r="B63"/>
  <c r="G62"/>
  <c r="F62"/>
  <c r="E62"/>
  <c r="C62"/>
  <c r="B62"/>
  <c r="G61"/>
  <c r="F61"/>
  <c r="E61"/>
  <c r="C61"/>
  <c r="B61"/>
  <c r="G60"/>
  <c r="F60"/>
  <c r="E60"/>
  <c r="C60"/>
  <c r="B60"/>
  <c r="G59"/>
  <c r="F59"/>
  <c r="E59"/>
  <c r="C59"/>
  <c r="B59"/>
  <c r="G58"/>
  <c r="F58"/>
  <c r="E58"/>
  <c r="C58"/>
  <c r="B58"/>
  <c r="G63" i="213"/>
  <c r="F63"/>
  <c r="E63"/>
  <c r="C63"/>
  <c r="B63"/>
  <c r="G62"/>
  <c r="F62"/>
  <c r="E62"/>
  <c r="C62"/>
  <c r="B62"/>
  <c r="G61"/>
  <c r="F61"/>
  <c r="E61"/>
  <c r="C61"/>
  <c r="B61"/>
  <c r="G60"/>
  <c r="F60"/>
  <c r="E60"/>
  <c r="C60"/>
  <c r="B60"/>
  <c r="G59"/>
  <c r="F59"/>
  <c r="E59"/>
  <c r="C59"/>
  <c r="B59"/>
  <c r="G58"/>
  <c r="F58"/>
  <c r="E58"/>
  <c r="C58"/>
  <c r="B58"/>
  <c r="G63" i="212"/>
  <c r="F63"/>
  <c r="E63"/>
  <c r="C63"/>
  <c r="B63"/>
  <c r="G62"/>
  <c r="F62"/>
  <c r="E62"/>
  <c r="C62"/>
  <c r="B62"/>
  <c r="G61"/>
  <c r="F61"/>
  <c r="E61"/>
  <c r="C61"/>
  <c r="B61"/>
  <c r="G60"/>
  <c r="F60"/>
  <c r="E60"/>
  <c r="C60"/>
  <c r="B60"/>
  <c r="G59"/>
  <c r="F59"/>
  <c r="E59"/>
  <c r="C59"/>
  <c r="B59"/>
  <c r="G58"/>
  <c r="F58"/>
  <c r="E58"/>
  <c r="C58"/>
  <c r="B58"/>
  <c r="G63" i="211"/>
  <c r="F63"/>
  <c r="E63"/>
  <c r="C63"/>
  <c r="B63"/>
  <c r="G62"/>
  <c r="F62"/>
  <c r="E62"/>
  <c r="C62"/>
  <c r="B62"/>
  <c r="G61"/>
  <c r="F61"/>
  <c r="E61"/>
  <c r="C61"/>
  <c r="B61"/>
  <c r="G60"/>
  <c r="F60"/>
  <c r="E60"/>
  <c r="C60"/>
  <c r="B60"/>
  <c r="G59"/>
  <c r="F59"/>
  <c r="E59"/>
  <c r="C59"/>
  <c r="B59"/>
  <c r="G58"/>
  <c r="F58"/>
  <c r="E58"/>
  <c r="C58"/>
  <c r="B58"/>
  <c r="G63" i="360"/>
  <c r="F63"/>
  <c r="E63"/>
  <c r="C63"/>
  <c r="B63"/>
  <c r="G62"/>
  <c r="F62"/>
  <c r="E62"/>
  <c r="C62"/>
  <c r="B62"/>
  <c r="G61"/>
  <c r="F61"/>
  <c r="E61"/>
  <c r="C61"/>
  <c r="B61"/>
  <c r="G60"/>
  <c r="F60"/>
  <c r="E60"/>
  <c r="C60"/>
  <c r="B60"/>
  <c r="G59"/>
  <c r="F59"/>
  <c r="E59"/>
  <c r="C59"/>
  <c r="B59"/>
  <c r="G58"/>
  <c r="F58"/>
  <c r="E58"/>
  <c r="C58"/>
  <c r="B58"/>
  <c r="G63" i="210"/>
  <c r="F63"/>
  <c r="E63"/>
  <c r="C63"/>
  <c r="B63"/>
  <c r="G62"/>
  <c r="F62"/>
  <c r="E62"/>
  <c r="C62"/>
  <c r="B62"/>
  <c r="G61"/>
  <c r="F61"/>
  <c r="E61"/>
  <c r="C61"/>
  <c r="B61"/>
  <c r="G60"/>
  <c r="F60"/>
  <c r="E60"/>
  <c r="C60"/>
  <c r="B60"/>
  <c r="G59"/>
  <c r="F59"/>
  <c r="E59"/>
  <c r="C59"/>
  <c r="B59"/>
  <c r="G58"/>
  <c r="F58"/>
  <c r="E58"/>
  <c r="C58"/>
  <c r="B58"/>
  <c r="B63" i="209"/>
  <c r="B58"/>
  <c r="G63"/>
  <c r="F63"/>
  <c r="E63"/>
  <c r="C63"/>
  <c r="G62"/>
  <c r="F62"/>
  <c r="E62"/>
  <c r="C62"/>
  <c r="B62"/>
  <c r="G61"/>
  <c r="F61"/>
  <c r="E61"/>
  <c r="C61"/>
  <c r="B61"/>
  <c r="G60"/>
  <c r="F60"/>
  <c r="E60"/>
  <c r="C60"/>
  <c r="B60"/>
  <c r="G59"/>
  <c r="F59"/>
  <c r="E59"/>
  <c r="C59"/>
  <c r="B59"/>
  <c r="G58"/>
  <c r="F58"/>
  <c r="E58"/>
  <c r="C58"/>
  <c r="G63" i="208"/>
  <c r="F63"/>
  <c r="E63"/>
  <c r="C63"/>
  <c r="B63"/>
  <c r="G62"/>
  <c r="F62"/>
  <c r="E62"/>
  <c r="C62"/>
  <c r="B62"/>
  <c r="G61"/>
  <c r="F61"/>
  <c r="E61"/>
  <c r="C61"/>
  <c r="B61"/>
  <c r="G60"/>
  <c r="F60"/>
  <c r="E60"/>
  <c r="C60"/>
  <c r="B60"/>
  <c r="G59"/>
  <c r="F59"/>
  <c r="E59"/>
  <c r="C59"/>
  <c r="B59"/>
  <c r="G58"/>
  <c r="F58"/>
  <c r="E58"/>
  <c r="C58"/>
  <c r="B58"/>
  <c r="C63" i="207"/>
  <c r="E63"/>
  <c r="F63"/>
  <c r="G63"/>
  <c r="B63"/>
  <c r="C58"/>
  <c r="E58"/>
  <c r="F58"/>
  <c r="G58"/>
  <c r="B58"/>
  <c r="B60" i="11"/>
  <c r="B61"/>
  <c r="B62"/>
  <c r="B63"/>
  <c r="B64"/>
  <c r="C60"/>
  <c r="D60"/>
  <c r="E60"/>
  <c r="F60"/>
  <c r="G60"/>
  <c r="H60"/>
  <c r="J60"/>
  <c r="K60"/>
  <c r="L60"/>
  <c r="C61"/>
  <c r="D61"/>
  <c r="E61"/>
  <c r="F61"/>
  <c r="G61"/>
  <c r="H61"/>
  <c r="J61"/>
  <c r="K61"/>
  <c r="L61"/>
  <c r="C62"/>
  <c r="D62"/>
  <c r="E62"/>
  <c r="F62"/>
  <c r="G62"/>
  <c r="H62"/>
  <c r="J62"/>
  <c r="K62"/>
  <c r="L62"/>
  <c r="C63"/>
  <c r="D63"/>
  <c r="E63"/>
  <c r="F63"/>
  <c r="G63"/>
  <c r="H63"/>
  <c r="J63"/>
  <c r="K63"/>
  <c r="L63"/>
  <c r="C64"/>
  <c r="D64"/>
  <c r="E64"/>
  <c r="F64"/>
  <c r="G64"/>
  <c r="H64"/>
  <c r="J64"/>
  <c r="K64"/>
  <c r="L64"/>
  <c r="B63" i="122"/>
  <c r="C62"/>
  <c r="E62"/>
  <c r="F62"/>
  <c r="G62"/>
  <c r="H62"/>
  <c r="I62"/>
  <c r="B62"/>
  <c r="C63"/>
  <c r="E63"/>
  <c r="F63"/>
  <c r="G63"/>
  <c r="H63"/>
  <c r="I63"/>
  <c r="C29" i="307"/>
  <c r="D29"/>
  <c r="E29"/>
  <c r="F29"/>
  <c r="G29"/>
  <c r="H29"/>
  <c r="I29"/>
  <c r="J29"/>
  <c r="K29"/>
  <c r="L29"/>
  <c r="C30"/>
  <c r="D30"/>
  <c r="E30"/>
  <c r="F30"/>
  <c r="G30"/>
  <c r="H30"/>
  <c r="I30"/>
  <c r="J30"/>
  <c r="K30"/>
  <c r="L30"/>
  <c r="C31"/>
  <c r="D31"/>
  <c r="E31"/>
  <c r="F31"/>
  <c r="G31"/>
  <c r="H31"/>
  <c r="I31"/>
  <c r="J31"/>
  <c r="K31"/>
  <c r="L31"/>
  <c r="C32"/>
  <c r="D32"/>
  <c r="E32"/>
  <c r="F32"/>
  <c r="G32"/>
  <c r="H32"/>
  <c r="I32"/>
  <c r="J32"/>
  <c r="K32"/>
  <c r="L32"/>
  <c r="C33"/>
  <c r="D33"/>
  <c r="E33"/>
  <c r="F33"/>
  <c r="G33"/>
  <c r="H33"/>
  <c r="I33"/>
  <c r="J33"/>
  <c r="K33"/>
  <c r="L33"/>
  <c r="B33"/>
  <c r="B32"/>
  <c r="B31"/>
  <c r="B30"/>
  <c r="B29"/>
  <c r="C29" i="303"/>
  <c r="D29"/>
  <c r="E29"/>
  <c r="F29"/>
  <c r="G29"/>
  <c r="H29"/>
  <c r="I29"/>
  <c r="J29"/>
  <c r="K29"/>
  <c r="C30"/>
  <c r="D30"/>
  <c r="E30"/>
  <c r="F30"/>
  <c r="G30"/>
  <c r="H30"/>
  <c r="I30"/>
  <c r="J30"/>
  <c r="K30"/>
  <c r="C31"/>
  <c r="D31"/>
  <c r="E31"/>
  <c r="F31"/>
  <c r="G31"/>
  <c r="H31"/>
  <c r="I31"/>
  <c r="J31"/>
  <c r="K31"/>
  <c r="C32"/>
  <c r="D32"/>
  <c r="E32"/>
  <c r="F32"/>
  <c r="G32"/>
  <c r="H32"/>
  <c r="I32"/>
  <c r="J32"/>
  <c r="K32"/>
  <c r="C33"/>
  <c r="D33"/>
  <c r="E33"/>
  <c r="F33"/>
  <c r="G33"/>
  <c r="H33"/>
  <c r="I33"/>
  <c r="J33"/>
  <c r="K33"/>
  <c r="B31"/>
  <c r="B29"/>
  <c r="C71" i="7"/>
  <c r="E71"/>
  <c r="F71"/>
  <c r="G71"/>
  <c r="H71"/>
  <c r="I71"/>
  <c r="B71"/>
  <c r="B34" i="306"/>
  <c r="B33"/>
  <c r="B32"/>
  <c r="B31"/>
  <c r="B30"/>
  <c r="C30"/>
  <c r="D30"/>
  <c r="E30"/>
  <c r="F30"/>
  <c r="G30"/>
  <c r="H30"/>
  <c r="C31"/>
  <c r="D31"/>
  <c r="E31"/>
  <c r="F31"/>
  <c r="G31"/>
  <c r="H31"/>
  <c r="C32"/>
  <c r="D32"/>
  <c r="E32"/>
  <c r="F32"/>
  <c r="G32"/>
  <c r="H32"/>
  <c r="C33"/>
  <c r="D33"/>
  <c r="E33"/>
  <c r="F33"/>
  <c r="G33"/>
  <c r="H33"/>
  <c r="C34"/>
  <c r="D34"/>
  <c r="E34"/>
  <c r="F34"/>
  <c r="G34"/>
  <c r="H34"/>
  <c r="B30" i="305"/>
  <c r="C30"/>
  <c r="D30"/>
  <c r="E30"/>
  <c r="F30"/>
  <c r="G30"/>
  <c r="H30"/>
  <c r="I30"/>
  <c r="J30"/>
  <c r="K30"/>
  <c r="L30"/>
  <c r="M30"/>
  <c r="C31"/>
  <c r="D31"/>
  <c r="E31"/>
  <c r="F31"/>
  <c r="G31"/>
  <c r="H31"/>
  <c r="I31"/>
  <c r="J31"/>
  <c r="K31"/>
  <c r="L31"/>
  <c r="M31"/>
  <c r="C32"/>
  <c r="D32"/>
  <c r="E32"/>
  <c r="F32"/>
  <c r="G32"/>
  <c r="H32"/>
  <c r="I32"/>
  <c r="J32"/>
  <c r="K32"/>
  <c r="L32"/>
  <c r="M32"/>
  <c r="C33"/>
  <c r="D33"/>
  <c r="E33"/>
  <c r="F33"/>
  <c r="G33"/>
  <c r="H33"/>
  <c r="I33"/>
  <c r="J33"/>
  <c r="K33"/>
  <c r="L33"/>
  <c r="M33"/>
  <c r="C34"/>
  <c r="D34"/>
  <c r="E34"/>
  <c r="F34"/>
  <c r="G34"/>
  <c r="H34"/>
  <c r="I34"/>
  <c r="J34"/>
  <c r="K34"/>
  <c r="L34"/>
  <c r="M34"/>
  <c r="B34"/>
  <c r="B33"/>
  <c r="B32"/>
  <c r="B31"/>
  <c r="C35" i="304"/>
  <c r="D35"/>
  <c r="E35"/>
  <c r="F35"/>
  <c r="G35"/>
  <c r="H35"/>
  <c r="I35"/>
  <c r="J35"/>
  <c r="K35"/>
  <c r="L35"/>
  <c r="M35"/>
  <c r="B35"/>
  <c r="C33"/>
  <c r="D33"/>
  <c r="E33"/>
  <c r="F33"/>
  <c r="G33"/>
  <c r="H33"/>
  <c r="I33"/>
  <c r="J33"/>
  <c r="K33"/>
  <c r="L33"/>
  <c r="M33"/>
  <c r="B33"/>
  <c r="C34"/>
  <c r="D34"/>
  <c r="E34"/>
  <c r="F34"/>
  <c r="G34"/>
  <c r="H34"/>
  <c r="I34"/>
  <c r="J34"/>
  <c r="K34"/>
  <c r="L34"/>
  <c r="M34"/>
  <c r="B34"/>
  <c r="C31"/>
  <c r="D31"/>
  <c r="E31"/>
  <c r="F31"/>
  <c r="G31"/>
  <c r="H31"/>
  <c r="I31"/>
  <c r="J31"/>
  <c r="K31"/>
  <c r="L31"/>
  <c r="M31"/>
  <c r="B31"/>
  <c r="B30"/>
  <c r="C30"/>
  <c r="D30"/>
  <c r="E30"/>
  <c r="F30"/>
  <c r="G30"/>
  <c r="H30"/>
  <c r="I30"/>
  <c r="J30"/>
  <c r="K30"/>
  <c r="L30"/>
  <c r="M30"/>
  <c r="D67" i="6"/>
  <c r="E67"/>
  <c r="F67"/>
  <c r="G67"/>
  <c r="H67"/>
  <c r="B67"/>
  <c r="B66"/>
  <c r="D64"/>
  <c r="E64"/>
  <c r="F64"/>
  <c r="G64"/>
  <c r="H64"/>
  <c r="B64"/>
  <c r="J28" i="240"/>
  <c r="J30"/>
  <c r="M30"/>
  <c r="L30"/>
  <c r="K30"/>
  <c r="I30"/>
  <c r="H30"/>
  <c r="G30"/>
  <c r="F30"/>
  <c r="E30"/>
  <c r="D30"/>
  <c r="C30"/>
  <c r="B30"/>
  <c r="M29"/>
  <c r="L29"/>
  <c r="K29"/>
  <c r="J29"/>
  <c r="I29"/>
  <c r="H29"/>
  <c r="G29"/>
  <c r="F29"/>
  <c r="E29"/>
  <c r="D29"/>
  <c r="C29"/>
  <c r="B29"/>
  <c r="M28"/>
  <c r="L28"/>
  <c r="K28"/>
  <c r="I28"/>
  <c r="H28"/>
  <c r="G28"/>
  <c r="F28"/>
  <c r="E28"/>
  <c r="D28"/>
  <c r="C28"/>
  <c r="B28"/>
  <c r="C28" i="239"/>
  <c r="D28"/>
  <c r="E28"/>
  <c r="F28"/>
  <c r="G28"/>
  <c r="H28"/>
  <c r="I28"/>
  <c r="J28"/>
  <c r="K28"/>
  <c r="L28"/>
  <c r="M28"/>
  <c r="C29"/>
  <c r="D29"/>
  <c r="E29"/>
  <c r="F29"/>
  <c r="G29"/>
  <c r="H29"/>
  <c r="I29"/>
  <c r="J29"/>
  <c r="K29"/>
  <c r="L29"/>
  <c r="M29"/>
  <c r="C30"/>
  <c r="D30"/>
  <c r="E30"/>
  <c r="F30"/>
  <c r="G30"/>
  <c r="H30"/>
  <c r="I30"/>
  <c r="J30"/>
  <c r="K30"/>
  <c r="L30"/>
  <c r="M30"/>
  <c r="B30"/>
  <c r="B28"/>
  <c r="V33" i="358"/>
  <c r="V34"/>
  <c r="V35"/>
  <c r="V36"/>
  <c r="V37"/>
  <c r="V38"/>
  <c r="AC57"/>
  <c r="AD57"/>
  <c r="AE57"/>
  <c r="AF57"/>
  <c r="AG57"/>
  <c r="AH57"/>
  <c r="AI57"/>
  <c r="AJ57"/>
  <c r="AK57"/>
  <c r="AL57"/>
  <c r="AM57"/>
  <c r="AN57"/>
  <c r="AO57"/>
  <c r="AP57"/>
  <c r="AQ57"/>
  <c r="AR57"/>
  <c r="AS57"/>
  <c r="AT57"/>
  <c r="AU57"/>
  <c r="AV57"/>
  <c r="AW57"/>
  <c r="AX57"/>
  <c r="AY57"/>
  <c r="AC58"/>
  <c r="AD58"/>
  <c r="AE58"/>
  <c r="AF58"/>
  <c r="AG58"/>
  <c r="AH58"/>
  <c r="AI58"/>
  <c r="AJ58"/>
  <c r="AK58"/>
  <c r="AL58"/>
  <c r="AM58"/>
  <c r="AN58"/>
  <c r="AO58"/>
  <c r="AP58"/>
  <c r="AQ58"/>
  <c r="AR58"/>
  <c r="AS58"/>
  <c r="AT58"/>
  <c r="AU58"/>
  <c r="AV58"/>
  <c r="AW58"/>
  <c r="AX58"/>
  <c r="AY58"/>
  <c r="AC59"/>
  <c r="AD59"/>
  <c r="AE59"/>
  <c r="AF59"/>
  <c r="AG59"/>
  <c r="AH59"/>
  <c r="AI59"/>
  <c r="AJ59"/>
  <c r="AK59"/>
  <c r="AL59"/>
  <c r="AM59"/>
  <c r="AN59"/>
  <c r="AO59"/>
  <c r="AP59"/>
  <c r="AQ59"/>
  <c r="AR59"/>
  <c r="AS59"/>
  <c r="AT59"/>
  <c r="AU59"/>
  <c r="AV59"/>
  <c r="AW59"/>
  <c r="AX59"/>
  <c r="AY59"/>
  <c r="AC60"/>
  <c r="AD60"/>
  <c r="AE60"/>
  <c r="AF60"/>
  <c r="AG60"/>
  <c r="AH60"/>
  <c r="AI60"/>
  <c r="AJ60"/>
  <c r="AK60"/>
  <c r="AL60"/>
  <c r="AM60"/>
  <c r="AN60"/>
  <c r="AO60"/>
  <c r="AP60"/>
  <c r="AQ60"/>
  <c r="AR60"/>
  <c r="AS60"/>
  <c r="AT60"/>
  <c r="AU60"/>
  <c r="AV60"/>
  <c r="AW60"/>
  <c r="AX60"/>
  <c r="AY60"/>
  <c r="AC61"/>
  <c r="AE61"/>
  <c r="AF61"/>
  <c r="AG61"/>
  <c r="AH61"/>
  <c r="AI61"/>
  <c r="AJ61"/>
  <c r="AK61"/>
  <c r="AL61"/>
  <c r="AM61"/>
  <c r="AN61"/>
  <c r="AO61"/>
  <c r="AP61"/>
  <c r="AQ61"/>
  <c r="AR61"/>
  <c r="AS61"/>
  <c r="AT61"/>
  <c r="AU61"/>
  <c r="AV61"/>
  <c r="AW61"/>
  <c r="AX61"/>
  <c r="AY61"/>
  <c r="AC62"/>
  <c r="AE62"/>
  <c r="AF62"/>
  <c r="AG62"/>
  <c r="AH62"/>
  <c r="AI62"/>
  <c r="AJ62"/>
  <c r="AK62"/>
  <c r="AL62"/>
  <c r="AM62"/>
  <c r="AN62"/>
  <c r="AO62"/>
  <c r="AP62"/>
  <c r="AQ62"/>
  <c r="AR62"/>
  <c r="AS62"/>
  <c r="AT62"/>
  <c r="AU62"/>
  <c r="AV62"/>
  <c r="AW62"/>
  <c r="AX62"/>
  <c r="AY62"/>
  <c r="AC63"/>
  <c r="AE63"/>
  <c r="AF63"/>
  <c r="AG63"/>
  <c r="AH63"/>
  <c r="AI63"/>
  <c r="AJ63"/>
  <c r="AK63"/>
  <c r="AL63"/>
  <c r="AM63"/>
  <c r="AN63"/>
  <c r="AO63"/>
  <c r="AP63"/>
  <c r="AQ63"/>
  <c r="AR63"/>
  <c r="AS63"/>
  <c r="AT63"/>
  <c r="AU63"/>
  <c r="AV63"/>
  <c r="AW63"/>
  <c r="AX63"/>
  <c r="AY63"/>
  <c r="AC64"/>
  <c r="AE64"/>
  <c r="AF64"/>
  <c r="AG64"/>
  <c r="AH64"/>
  <c r="AI64"/>
  <c r="AJ64"/>
  <c r="AK64"/>
  <c r="AL64"/>
  <c r="AM64"/>
  <c r="AN64"/>
  <c r="AO64"/>
  <c r="AP64"/>
  <c r="AQ64"/>
  <c r="AR64"/>
  <c r="AS64"/>
  <c r="AT64"/>
  <c r="AU64"/>
  <c r="AV64"/>
  <c r="AW64"/>
  <c r="AX64"/>
  <c r="AY64"/>
  <c r="AC65"/>
  <c r="AE65"/>
  <c r="AF65"/>
  <c r="AG65"/>
  <c r="AH65"/>
  <c r="AI65"/>
  <c r="AJ65"/>
  <c r="AK65"/>
  <c r="AL65"/>
  <c r="AM65"/>
  <c r="AN65"/>
  <c r="AO65"/>
  <c r="AP65"/>
  <c r="AQ65"/>
  <c r="AR65"/>
  <c r="AS65"/>
  <c r="AT65"/>
  <c r="AU65"/>
  <c r="AV65"/>
  <c r="AW65"/>
  <c r="AX65"/>
  <c r="AY65"/>
  <c r="AC66"/>
  <c r="AE66"/>
  <c r="AF66"/>
  <c r="AG66"/>
  <c r="AH66"/>
  <c r="AI66"/>
  <c r="AJ66"/>
  <c r="AK66"/>
  <c r="AL66"/>
  <c r="AM66"/>
  <c r="AN66"/>
  <c r="AO66"/>
  <c r="AP66"/>
  <c r="AQ66"/>
  <c r="AR66"/>
  <c r="AS66"/>
  <c r="AT66"/>
  <c r="AU66"/>
  <c r="AV66"/>
  <c r="AW66"/>
  <c r="AX66"/>
  <c r="AY66"/>
  <c r="AC67"/>
  <c r="AE67"/>
  <c r="AF67"/>
  <c r="AG67"/>
  <c r="AH67"/>
  <c r="AI67"/>
  <c r="AJ67"/>
  <c r="AK67"/>
  <c r="AL67"/>
  <c r="AM67"/>
  <c r="AN67"/>
  <c r="AO67"/>
  <c r="AP67"/>
  <c r="AQ67"/>
  <c r="AR67"/>
  <c r="AS67"/>
  <c r="AT67"/>
  <c r="AU67"/>
  <c r="AV67"/>
  <c r="AW67"/>
  <c r="AX67"/>
  <c r="AY67"/>
  <c r="AC68"/>
  <c r="AE68"/>
  <c r="AF68"/>
  <c r="AG68"/>
  <c r="AH68"/>
  <c r="AI68"/>
  <c r="AJ68"/>
  <c r="AK68"/>
  <c r="AL68"/>
  <c r="AM68"/>
  <c r="AN68"/>
  <c r="AO68"/>
  <c r="AP68"/>
  <c r="AQ68"/>
  <c r="AR68"/>
  <c r="AS68"/>
  <c r="AT68"/>
  <c r="AU68"/>
  <c r="AV68"/>
  <c r="AW68"/>
  <c r="AX68"/>
  <c r="AY68"/>
  <c r="AC69"/>
  <c r="AE69"/>
  <c r="AF69"/>
  <c r="AG69"/>
  <c r="AH69"/>
  <c r="AI69"/>
  <c r="AJ69"/>
  <c r="AK69"/>
  <c r="AL69"/>
  <c r="AM69"/>
  <c r="AN69"/>
  <c r="AO69"/>
  <c r="AP69"/>
  <c r="AQ69"/>
  <c r="AR69"/>
  <c r="AS69"/>
  <c r="AT69"/>
  <c r="AU69"/>
  <c r="AV69"/>
  <c r="AW69"/>
  <c r="AX69"/>
  <c r="AY69"/>
  <c r="AC70"/>
  <c r="AE70"/>
  <c r="AF70"/>
  <c r="AG70"/>
  <c r="AH70"/>
  <c r="AI70"/>
  <c r="AJ70"/>
  <c r="AK70"/>
  <c r="AL70"/>
  <c r="AM70"/>
  <c r="AN70"/>
  <c r="AO70"/>
  <c r="AP70"/>
  <c r="AQ70"/>
  <c r="AR70"/>
  <c r="AS70"/>
  <c r="AT70"/>
  <c r="AU70"/>
  <c r="AV70"/>
  <c r="AW70"/>
  <c r="AX70"/>
  <c r="AY70"/>
  <c r="AC71"/>
  <c r="AE71"/>
  <c r="AF71"/>
  <c r="AG71"/>
  <c r="AH71"/>
  <c r="AI71"/>
  <c r="AJ71"/>
  <c r="AK71"/>
  <c r="AL71"/>
  <c r="AM71"/>
  <c r="AN71"/>
  <c r="AO71"/>
  <c r="AP71"/>
  <c r="AQ71"/>
  <c r="AR71"/>
  <c r="AS71"/>
  <c r="AT71"/>
  <c r="AU71"/>
  <c r="AV71"/>
  <c r="AW71"/>
  <c r="AX71"/>
  <c r="AY71"/>
  <c r="AC72"/>
  <c r="AE72"/>
  <c r="AF72"/>
  <c r="AG72"/>
  <c r="AH72"/>
  <c r="AI72"/>
  <c r="AJ72"/>
  <c r="AK72"/>
  <c r="AL72"/>
  <c r="AM72"/>
  <c r="AN72"/>
  <c r="AO72"/>
  <c r="AP72"/>
  <c r="AQ72"/>
  <c r="AR72"/>
  <c r="AS72"/>
  <c r="AT72"/>
  <c r="AU72"/>
  <c r="AV72"/>
  <c r="AW72"/>
  <c r="AX72"/>
  <c r="AY72"/>
  <c r="AC73"/>
  <c r="AE73"/>
  <c r="AF73"/>
  <c r="AG73"/>
  <c r="AH73"/>
  <c r="AI73"/>
  <c r="AJ73"/>
  <c r="AK73"/>
  <c r="AL73"/>
  <c r="AM73"/>
  <c r="AN73"/>
  <c r="AO73"/>
  <c r="AP73"/>
  <c r="AQ73"/>
  <c r="AR73"/>
  <c r="AS73"/>
  <c r="AT73"/>
  <c r="AU73"/>
  <c r="AV73"/>
  <c r="AW73"/>
  <c r="AX73"/>
  <c r="AY73"/>
  <c r="AC74"/>
  <c r="AE74"/>
  <c r="AF74"/>
  <c r="AG74"/>
  <c r="AH74"/>
  <c r="AI74"/>
  <c r="AJ74"/>
  <c r="AK74"/>
  <c r="AL74"/>
  <c r="AM74"/>
  <c r="AN74"/>
  <c r="AO74"/>
  <c r="AP74"/>
  <c r="AQ74"/>
  <c r="AR74"/>
  <c r="AS74"/>
  <c r="AT74"/>
  <c r="AU74"/>
  <c r="AV74"/>
  <c r="AW74"/>
  <c r="AX74"/>
  <c r="AY74"/>
  <c r="AC75"/>
  <c r="AE75"/>
  <c r="AF75"/>
  <c r="AG75"/>
  <c r="AH75"/>
  <c r="AI75"/>
  <c r="AJ75"/>
  <c r="AK75"/>
  <c r="AL75"/>
  <c r="AM75"/>
  <c r="AN75"/>
  <c r="AO75"/>
  <c r="AP75"/>
  <c r="AQ75"/>
  <c r="AR75"/>
  <c r="AS75"/>
  <c r="AT75"/>
  <c r="AU75"/>
  <c r="AV75"/>
  <c r="AW75"/>
  <c r="AX75"/>
  <c r="AY75"/>
  <c r="AC76"/>
  <c r="AE76"/>
  <c r="AF76"/>
  <c r="AG76"/>
  <c r="AH76"/>
  <c r="AI76"/>
  <c r="AJ76"/>
  <c r="AK76"/>
  <c r="AL76"/>
  <c r="AM76"/>
  <c r="AN76"/>
  <c r="AO76"/>
  <c r="AP76"/>
  <c r="AQ76"/>
  <c r="AR76"/>
  <c r="AS76"/>
  <c r="AT76"/>
  <c r="AU76"/>
  <c r="AV76"/>
  <c r="AW76"/>
  <c r="AX76"/>
  <c r="AY76"/>
  <c r="AC77"/>
  <c r="AE77"/>
  <c r="AF77"/>
  <c r="AG77"/>
  <c r="AH77"/>
  <c r="AI77"/>
  <c r="AJ77"/>
  <c r="AK77"/>
  <c r="AL77"/>
  <c r="AM77"/>
  <c r="AN77"/>
  <c r="AO77"/>
  <c r="AP77"/>
  <c r="AQ77"/>
  <c r="AR77"/>
  <c r="AS77"/>
  <c r="AT77"/>
  <c r="AU77"/>
  <c r="AV77"/>
  <c r="AW77"/>
  <c r="AX77"/>
  <c r="AY77"/>
  <c r="AC78"/>
  <c r="AE78"/>
  <c r="AF78"/>
  <c r="AG78"/>
  <c r="AH78"/>
  <c r="AI78"/>
  <c r="AJ78"/>
  <c r="AK78"/>
  <c r="AL78"/>
  <c r="AM78"/>
  <c r="AN78"/>
  <c r="AO78"/>
  <c r="AP78"/>
  <c r="AQ78"/>
  <c r="AR78"/>
  <c r="AS78"/>
  <c r="AT78"/>
  <c r="AU78"/>
  <c r="AV78"/>
  <c r="AW78"/>
  <c r="AX78"/>
  <c r="AY78"/>
  <c r="AC79"/>
  <c r="AE79"/>
  <c r="AF79"/>
  <c r="AG79"/>
  <c r="AH79"/>
  <c r="AI79"/>
  <c r="AJ79"/>
  <c r="AK79"/>
  <c r="AL79"/>
  <c r="AM79"/>
  <c r="AN79"/>
  <c r="AO79"/>
  <c r="AP79"/>
  <c r="AQ79"/>
  <c r="AR79"/>
  <c r="AS79"/>
  <c r="AT79"/>
  <c r="AU79"/>
  <c r="AV79"/>
  <c r="AW79"/>
  <c r="AX79"/>
  <c r="AY79"/>
  <c r="AC80"/>
  <c r="AE80"/>
  <c r="AF80"/>
  <c r="AG80"/>
  <c r="AH80"/>
  <c r="AI80"/>
  <c r="AJ80"/>
  <c r="AK80"/>
  <c r="AL80"/>
  <c r="AM80"/>
  <c r="AN80"/>
  <c r="AO80"/>
  <c r="AP80"/>
  <c r="AQ80"/>
  <c r="AR80"/>
  <c r="AS80"/>
  <c r="AT80"/>
  <c r="AU80"/>
  <c r="AV80"/>
  <c r="AW80"/>
  <c r="AX80"/>
  <c r="AY80"/>
  <c r="AC81"/>
  <c r="AE81"/>
  <c r="AF81"/>
  <c r="AG81"/>
  <c r="AH81"/>
  <c r="AI81"/>
  <c r="AJ81"/>
  <c r="AK81"/>
  <c r="AL81"/>
  <c r="AM81"/>
  <c r="AN81"/>
  <c r="AO81"/>
  <c r="AP81"/>
  <c r="AQ81"/>
  <c r="AR81"/>
  <c r="AS81"/>
  <c r="AT81"/>
  <c r="AU81"/>
  <c r="AV81"/>
  <c r="AW81"/>
  <c r="AX81"/>
  <c r="AY81"/>
  <c r="AC82"/>
  <c r="AE82"/>
  <c r="AF82"/>
  <c r="AG82"/>
  <c r="AH82"/>
  <c r="AI82"/>
  <c r="AJ82"/>
  <c r="AK82"/>
  <c r="AL82"/>
  <c r="AM82"/>
  <c r="AN82"/>
  <c r="AO82"/>
  <c r="AP82"/>
  <c r="AQ82"/>
  <c r="AR82"/>
  <c r="AS82"/>
  <c r="AT82"/>
  <c r="AU82"/>
  <c r="AV82"/>
  <c r="AW82"/>
  <c r="AX82"/>
  <c r="AY82"/>
  <c r="AC83"/>
  <c r="AE83"/>
  <c r="AF83"/>
  <c r="AG83"/>
  <c r="AH83"/>
  <c r="AI83"/>
  <c r="AJ83"/>
  <c r="AK83"/>
  <c r="AL83"/>
  <c r="AM83"/>
  <c r="AN83"/>
  <c r="AO83"/>
  <c r="AP83"/>
  <c r="AQ83"/>
  <c r="AR83"/>
  <c r="AS83"/>
  <c r="AT83"/>
  <c r="AU83"/>
  <c r="AV83"/>
  <c r="AW83"/>
  <c r="AX83"/>
  <c r="AY83"/>
  <c r="AC84"/>
  <c r="AE84"/>
  <c r="AF84"/>
  <c r="AG84"/>
  <c r="AH84"/>
  <c r="AI84"/>
  <c r="AJ84"/>
  <c r="AK84"/>
  <c r="AL84"/>
  <c r="AM84"/>
  <c r="AN84"/>
  <c r="AO84"/>
  <c r="AP84"/>
  <c r="AQ84"/>
  <c r="AR84"/>
  <c r="AS84"/>
  <c r="AT84"/>
  <c r="AU84"/>
  <c r="AV84"/>
  <c r="AW84"/>
  <c r="AX84"/>
  <c r="AY84"/>
  <c r="AB62"/>
  <c r="AB63"/>
  <c r="AB64"/>
  <c r="AB65"/>
  <c r="AB66"/>
  <c r="AB67"/>
  <c r="AB68"/>
  <c r="AB69"/>
  <c r="AB70"/>
  <c r="AB71"/>
  <c r="AB72"/>
  <c r="AB73"/>
  <c r="AB74"/>
  <c r="AB75"/>
  <c r="AB76"/>
  <c r="AB77"/>
  <c r="AB78"/>
  <c r="AB79"/>
  <c r="AB80"/>
  <c r="AB81"/>
  <c r="AB82"/>
  <c r="AB83"/>
  <c r="AB84"/>
  <c r="AB58"/>
  <c r="AB59"/>
  <c r="AB60"/>
  <c r="AB61"/>
  <c r="AB57"/>
  <c r="B38"/>
  <c r="B10" i="180" l="1"/>
  <c r="C11" i="181"/>
  <c r="B11"/>
  <c r="F13" i="186"/>
  <c r="G12" i="183"/>
  <c r="D12" i="185"/>
  <c r="D13" i="186"/>
  <c r="F13" i="187"/>
  <c r="B12" i="182"/>
  <c r="C12" i="180"/>
  <c r="B12" i="184"/>
  <c r="B12" i="183"/>
  <c r="B35" i="156"/>
  <c r="B13" i="187"/>
  <c r="B13" i="186"/>
  <c r="B12" i="185"/>
  <c r="C13" i="181"/>
  <c r="B12" i="180"/>
  <c r="B13" i="181"/>
  <c r="B9" i="187"/>
  <c r="B8" i="185"/>
  <c r="C9" i="181"/>
  <c r="B9"/>
  <c r="B9" i="186"/>
  <c r="B8" i="180"/>
  <c r="F12" i="185"/>
  <c r="C31" i="179"/>
  <c r="D31" s="1"/>
  <c r="F44" i="359"/>
  <c r="F43" s="1"/>
  <c r="F42" s="1"/>
  <c r="F41" s="1"/>
  <c r="F40" s="1"/>
  <c r="F39" s="1"/>
  <c r="F38" s="1"/>
  <c r="F37" s="1"/>
  <c r="F36" s="1"/>
  <c r="F35" s="1"/>
  <c r="F34" s="1"/>
  <c r="D44"/>
  <c r="D43" s="1"/>
  <c r="D42" s="1"/>
  <c r="D41" s="1"/>
  <c r="D40" s="1"/>
  <c r="D39" s="1"/>
  <c r="D38" s="1"/>
  <c r="D37" s="1"/>
  <c r="D36" s="1"/>
  <c r="D35" s="1"/>
  <c r="D34" s="1"/>
  <c r="C16" i="179"/>
  <c r="H10" i="180" s="1"/>
  <c r="C24" i="179"/>
  <c r="E38" i="359"/>
  <c r="E37" s="1"/>
  <c r="E36" s="1"/>
  <c r="E35" s="1"/>
  <c r="E34" s="1"/>
  <c r="G44"/>
  <c r="G43" s="1"/>
  <c r="G42" s="1"/>
  <c r="G41" s="1"/>
  <c r="G40" s="1"/>
  <c r="G39" s="1"/>
  <c r="G38" s="1"/>
  <c r="G37" s="1"/>
  <c r="G36" s="1"/>
  <c r="G35" s="1"/>
  <c r="G34" s="1"/>
  <c r="C39" i="179"/>
  <c r="D39" s="1"/>
  <c r="B44" i="359"/>
  <c r="B43" s="1"/>
  <c r="B42" s="1"/>
  <c r="B41" s="1"/>
  <c r="B40" s="1"/>
  <c r="B39" s="1"/>
  <c r="B38" s="1"/>
  <c r="B37" s="1"/>
  <c r="B36" s="1"/>
  <c r="B35" s="1"/>
  <c r="B34" s="1"/>
  <c r="C9" i="179"/>
  <c r="V32" i="358"/>
  <c r="V31" s="1"/>
  <c r="V30" s="1"/>
  <c r="V29" s="1"/>
  <c r="V28" s="1"/>
  <c r="V27" s="1"/>
  <c r="V26" s="1"/>
  <c r="V25" s="1"/>
  <c r="V24" s="1"/>
  <c r="V23" s="1"/>
  <c r="V22" s="1"/>
  <c r="V21" s="1"/>
  <c r="V20" s="1"/>
  <c r="V19" s="1"/>
  <c r="V18" s="1"/>
  <c r="V17" s="1"/>
  <c r="V16" s="1"/>
  <c r="V15" s="1"/>
  <c r="V14" s="1"/>
  <c r="V13" s="1"/>
  <c r="V12" s="1"/>
  <c r="V11" s="1"/>
  <c r="V10" s="1"/>
  <c r="V9" s="1"/>
  <c r="V8" s="1"/>
  <c r="V7" s="1"/>
  <c r="I45"/>
  <c r="J45"/>
  <c r="K45"/>
  <c r="M45"/>
  <c r="N45"/>
  <c r="Q45"/>
  <c r="R45"/>
  <c r="S45"/>
  <c r="T45"/>
  <c r="U45"/>
  <c r="W45"/>
  <c r="X45"/>
  <c r="Y45"/>
  <c r="I46"/>
  <c r="J46"/>
  <c r="K46"/>
  <c r="M46"/>
  <c r="N46"/>
  <c r="Q46"/>
  <c r="R46"/>
  <c r="S46"/>
  <c r="T46"/>
  <c r="U46"/>
  <c r="W46"/>
  <c r="X46"/>
  <c r="Y46"/>
  <c r="Y41"/>
  <c r="X41"/>
  <c r="W41"/>
  <c r="U41"/>
  <c r="T41"/>
  <c r="S41"/>
  <c r="R41"/>
  <c r="Q41"/>
  <c r="N41"/>
  <c r="M41"/>
  <c r="K41"/>
  <c r="J41"/>
  <c r="I41"/>
  <c r="I27" i="357"/>
  <c r="J27"/>
  <c r="K27"/>
  <c r="M27"/>
  <c r="N27"/>
  <c r="Q27"/>
  <c r="R27"/>
  <c r="S27"/>
  <c r="T27"/>
  <c r="U27"/>
  <c r="W27"/>
  <c r="X27"/>
  <c r="Y27"/>
  <c r="I26"/>
  <c r="J26"/>
  <c r="K26"/>
  <c r="M26"/>
  <c r="N26"/>
  <c r="Q26"/>
  <c r="R26"/>
  <c r="S26"/>
  <c r="T26"/>
  <c r="U26"/>
  <c r="W26"/>
  <c r="X26"/>
  <c r="Y26"/>
  <c r="C5" i="76"/>
  <c r="C6"/>
  <c r="C7"/>
  <c r="C8"/>
  <c r="C9"/>
  <c r="C10"/>
  <c r="C11"/>
  <c r="C12"/>
  <c r="C13"/>
  <c r="C14"/>
  <c r="C15"/>
  <c r="C16"/>
  <c r="C17"/>
  <c r="C18"/>
  <c r="C19"/>
  <c r="C20"/>
  <c r="C21"/>
  <c r="C22"/>
  <c r="C23"/>
  <c r="C24"/>
  <c r="C25"/>
  <c r="C47" s="1"/>
  <c r="C26"/>
  <c r="C27"/>
  <c r="C28"/>
  <c r="C29"/>
  <c r="C30"/>
  <c r="C31"/>
  <c r="C32"/>
  <c r="C33"/>
  <c r="C34"/>
  <c r="C35"/>
  <c r="C48" s="1"/>
  <c r="C36"/>
  <c r="C37"/>
  <c r="C38"/>
  <c r="C39"/>
  <c r="C40"/>
  <c r="C41"/>
  <c r="C42"/>
  <c r="C5" i="65"/>
  <c r="L6" i="68"/>
  <c r="L7"/>
  <c r="L8"/>
  <c r="L9"/>
  <c r="L10"/>
  <c r="L11"/>
  <c r="L12"/>
  <c r="L13"/>
  <c r="L14"/>
  <c r="L15"/>
  <c r="L16"/>
  <c r="L17"/>
  <c r="L18"/>
  <c r="L19"/>
  <c r="L20"/>
  <c r="L21"/>
  <c r="L22"/>
  <c r="L23"/>
  <c r="L24"/>
  <c r="L25"/>
  <c r="L26"/>
  <c r="L27"/>
  <c r="L28"/>
  <c r="L29"/>
  <c r="L30"/>
  <c r="L31"/>
  <c r="L32"/>
  <c r="L33"/>
  <c r="L34"/>
  <c r="L35"/>
  <c r="L36"/>
  <c r="L37"/>
  <c r="L38"/>
  <c r="L39"/>
  <c r="L40"/>
  <c r="L41"/>
  <c r="L42"/>
  <c r="L43"/>
  <c r="L5"/>
  <c r="H29" i="270"/>
  <c r="B41" i="118"/>
  <c r="C41"/>
  <c r="E41"/>
  <c r="F41"/>
  <c r="G41"/>
  <c r="B42"/>
  <c r="C42"/>
  <c r="E42"/>
  <c r="F42"/>
  <c r="G42"/>
  <c r="B43"/>
  <c r="C43"/>
  <c r="E43"/>
  <c r="F43"/>
  <c r="G43"/>
  <c r="B44"/>
  <c r="C44"/>
  <c r="E44"/>
  <c r="F44"/>
  <c r="G44"/>
  <c r="B45"/>
  <c r="C45"/>
  <c r="E45"/>
  <c r="F45"/>
  <c r="G45"/>
  <c r="B46"/>
  <c r="C46"/>
  <c r="E46"/>
  <c r="F46"/>
  <c r="G46"/>
  <c r="B47"/>
  <c r="C47"/>
  <c r="E47"/>
  <c r="F47"/>
  <c r="G47"/>
  <c r="B48"/>
  <c r="C48"/>
  <c r="E48"/>
  <c r="F48"/>
  <c r="G48"/>
  <c r="B49"/>
  <c r="C49"/>
  <c r="E49"/>
  <c r="F49"/>
  <c r="G49"/>
  <c r="B50"/>
  <c r="C50"/>
  <c r="E50"/>
  <c r="F50"/>
  <c r="G50"/>
  <c r="B51"/>
  <c r="C51"/>
  <c r="E51"/>
  <c r="F51"/>
  <c r="G51"/>
  <c r="B52"/>
  <c r="C52"/>
  <c r="E52"/>
  <c r="F52"/>
  <c r="G52"/>
  <c r="B53"/>
  <c r="C53"/>
  <c r="E53"/>
  <c r="F53"/>
  <c r="G53"/>
  <c r="B54"/>
  <c r="C54"/>
  <c r="E54"/>
  <c r="F54"/>
  <c r="G54"/>
  <c r="B56"/>
  <c r="C56"/>
  <c r="E56"/>
  <c r="F56"/>
  <c r="G56"/>
  <c r="C55"/>
  <c r="E55"/>
  <c r="F55"/>
  <c r="G55"/>
  <c r="B55"/>
  <c r="AF7" i="122"/>
  <c r="AF8"/>
  <c r="AF9"/>
  <c r="AF10"/>
  <c r="AF11"/>
  <c r="AF12"/>
  <c r="AF13"/>
  <c r="AF14"/>
  <c r="AF15"/>
  <c r="AF16"/>
  <c r="AF17"/>
  <c r="AF18"/>
  <c r="AF19"/>
  <c r="I7" i="366"/>
  <c r="H7"/>
  <c r="G7"/>
  <c r="F7"/>
  <c r="E7"/>
  <c r="D7"/>
  <c r="C7"/>
  <c r="B7"/>
  <c r="I6"/>
  <c r="H6"/>
  <c r="G6"/>
  <c r="F6"/>
  <c r="E6"/>
  <c r="D6"/>
  <c r="C6"/>
  <c r="B6"/>
  <c r="I5"/>
  <c r="H5"/>
  <c r="G5"/>
  <c r="F5"/>
  <c r="E5"/>
  <c r="D5"/>
  <c r="C5"/>
  <c r="B5"/>
  <c r="I20"/>
  <c r="H20"/>
  <c r="G20"/>
  <c r="F20"/>
  <c r="E20"/>
  <c r="D20"/>
  <c r="C20"/>
  <c r="I19"/>
  <c r="H19"/>
  <c r="G19"/>
  <c r="F19"/>
  <c r="E19"/>
  <c r="D19"/>
  <c r="C19"/>
  <c r="I18"/>
  <c r="H18"/>
  <c r="G18"/>
  <c r="F18"/>
  <c r="E18"/>
  <c r="D18"/>
  <c r="C18"/>
  <c r="I17"/>
  <c r="H17"/>
  <c r="G17"/>
  <c r="F17"/>
  <c r="E17"/>
  <c r="D17"/>
  <c r="C17"/>
  <c r="I16"/>
  <c r="H16"/>
  <c r="G16"/>
  <c r="F16"/>
  <c r="E16"/>
  <c r="D16"/>
  <c r="C16"/>
  <c r="I15"/>
  <c r="H15"/>
  <c r="G15"/>
  <c r="F15"/>
  <c r="E15"/>
  <c r="D15"/>
  <c r="C15"/>
  <c r="I14"/>
  <c r="H14"/>
  <c r="G14"/>
  <c r="F14"/>
  <c r="E14"/>
  <c r="D14"/>
  <c r="C14"/>
  <c r="I13"/>
  <c r="H13"/>
  <c r="G13"/>
  <c r="F13"/>
  <c r="E13"/>
  <c r="D13"/>
  <c r="C13"/>
  <c r="I12"/>
  <c r="H12"/>
  <c r="G12"/>
  <c r="F12"/>
  <c r="E12"/>
  <c r="D12"/>
  <c r="C12"/>
  <c r="I11"/>
  <c r="H11"/>
  <c r="G11"/>
  <c r="F11"/>
  <c r="E11"/>
  <c r="D11"/>
  <c r="C11"/>
  <c r="I10"/>
  <c r="H10"/>
  <c r="G10"/>
  <c r="F10"/>
  <c r="E10"/>
  <c r="D10"/>
  <c r="C10"/>
  <c r="I9"/>
  <c r="H9"/>
  <c r="G9"/>
  <c r="F9"/>
  <c r="E9"/>
  <c r="D9"/>
  <c r="C9"/>
  <c r="I8"/>
  <c r="H8"/>
  <c r="G8"/>
  <c r="F8"/>
  <c r="E8"/>
  <c r="D8"/>
  <c r="C8"/>
  <c r="B8"/>
  <c r="B9"/>
  <c r="B10"/>
  <c r="B11"/>
  <c r="B12"/>
  <c r="B13"/>
  <c r="B14"/>
  <c r="B15"/>
  <c r="B16"/>
  <c r="B17"/>
  <c r="B18"/>
  <c r="B19"/>
  <c r="B20"/>
  <c r="C21" i="302"/>
  <c r="C22"/>
  <c r="C23"/>
  <c r="C24"/>
  <c r="C25"/>
  <c r="C26"/>
  <c r="C27"/>
  <c r="C28"/>
  <c r="C29"/>
  <c r="C30"/>
  <c r="C31"/>
  <c r="C32"/>
  <c r="C33"/>
  <c r="C34"/>
  <c r="C35"/>
  <c r="C36"/>
  <c r="G19" i="293"/>
  <c r="H19"/>
  <c r="G20"/>
  <c r="H20"/>
  <c r="G21"/>
  <c r="H21"/>
  <c r="G22"/>
  <c r="H22"/>
  <c r="G23"/>
  <c r="H23"/>
  <c r="G24"/>
  <c r="H24"/>
  <c r="G25"/>
  <c r="H25"/>
  <c r="G26"/>
  <c r="H26"/>
  <c r="G27"/>
  <c r="H27"/>
  <c r="G28"/>
  <c r="H28"/>
  <c r="G29"/>
  <c r="H29"/>
  <c r="G30"/>
  <c r="H30"/>
  <c r="G31"/>
  <c r="H31"/>
  <c r="G32"/>
  <c r="H32"/>
  <c r="G33"/>
  <c r="H33"/>
  <c r="G34"/>
  <c r="H34"/>
  <c r="G35"/>
  <c r="H35"/>
  <c r="G36"/>
  <c r="H36"/>
  <c r="G37"/>
  <c r="H37"/>
  <c r="G38"/>
  <c r="H38"/>
  <c r="G39"/>
  <c r="H39"/>
  <c r="G40"/>
  <c r="H40"/>
  <c r="G41"/>
  <c r="H41"/>
  <c r="D42"/>
  <c r="E42"/>
  <c r="F42"/>
  <c r="G42"/>
  <c r="H42"/>
  <c r="D43"/>
  <c r="E43"/>
  <c r="F43"/>
  <c r="G43"/>
  <c r="H43"/>
  <c r="D44"/>
  <c r="E44"/>
  <c r="F44"/>
  <c r="G44"/>
  <c r="H44"/>
  <c r="D45"/>
  <c r="E45"/>
  <c r="F45"/>
  <c r="G45"/>
  <c r="H45"/>
  <c r="D46"/>
  <c r="E46"/>
  <c r="F46"/>
  <c r="G46"/>
  <c r="H46"/>
  <c r="D47"/>
  <c r="E47"/>
  <c r="F47"/>
  <c r="G47"/>
  <c r="H47"/>
  <c r="D48"/>
  <c r="E48"/>
  <c r="F48"/>
  <c r="G48"/>
  <c r="H48"/>
  <c r="D49"/>
  <c r="E49"/>
  <c r="F49"/>
  <c r="G49"/>
  <c r="H49"/>
  <c r="D50"/>
  <c r="E50"/>
  <c r="F50"/>
  <c r="G50"/>
  <c r="H50"/>
  <c r="D51"/>
  <c r="E51"/>
  <c r="F51"/>
  <c r="G51"/>
  <c r="H51"/>
  <c r="D52"/>
  <c r="E52"/>
  <c r="F52"/>
  <c r="G52"/>
  <c r="H52"/>
  <c r="D53"/>
  <c r="E53"/>
  <c r="F53"/>
  <c r="G53"/>
  <c r="H53"/>
  <c r="D54"/>
  <c r="E54"/>
  <c r="F54"/>
  <c r="G54"/>
  <c r="H54"/>
  <c r="D55"/>
  <c r="E55"/>
  <c r="F55"/>
  <c r="G55"/>
  <c r="H55"/>
  <c r="C57"/>
  <c r="D57"/>
  <c r="E57"/>
  <c r="F57"/>
  <c r="G57"/>
  <c r="H57"/>
  <c r="D56"/>
  <c r="E56"/>
  <c r="F56"/>
  <c r="G56"/>
  <c r="G67" s="1"/>
  <c r="H56"/>
  <c r="H67" s="1"/>
  <c r="B42"/>
  <c r="B43"/>
  <c r="B44"/>
  <c r="B45"/>
  <c r="B46"/>
  <c r="B47"/>
  <c r="B48"/>
  <c r="B49"/>
  <c r="B50"/>
  <c r="B51"/>
  <c r="B52"/>
  <c r="B53"/>
  <c r="B54"/>
  <c r="B55"/>
  <c r="B56"/>
  <c r="B57"/>
  <c r="C57" i="131"/>
  <c r="D57"/>
  <c r="E57"/>
  <c r="F57"/>
  <c r="G57"/>
  <c r="H57"/>
  <c r="D42"/>
  <c r="E42"/>
  <c r="F42"/>
  <c r="G42"/>
  <c r="H42"/>
  <c r="D43"/>
  <c r="E43"/>
  <c r="F43"/>
  <c r="G43"/>
  <c r="H43"/>
  <c r="D44"/>
  <c r="E44"/>
  <c r="F44"/>
  <c r="G44"/>
  <c r="H44"/>
  <c r="D45"/>
  <c r="E45"/>
  <c r="F45"/>
  <c r="G45"/>
  <c r="H45"/>
  <c r="D46"/>
  <c r="E46"/>
  <c r="F46"/>
  <c r="G46"/>
  <c r="H46"/>
  <c r="D47"/>
  <c r="E47"/>
  <c r="F47"/>
  <c r="G47"/>
  <c r="H47"/>
  <c r="D48"/>
  <c r="E48"/>
  <c r="F48"/>
  <c r="G48"/>
  <c r="H48"/>
  <c r="D49"/>
  <c r="E49"/>
  <c r="F49"/>
  <c r="G49"/>
  <c r="H49"/>
  <c r="D50"/>
  <c r="E50"/>
  <c r="F50"/>
  <c r="G50"/>
  <c r="H50"/>
  <c r="D51"/>
  <c r="E51"/>
  <c r="F51"/>
  <c r="G51"/>
  <c r="H51"/>
  <c r="D52"/>
  <c r="E52"/>
  <c r="F52"/>
  <c r="G52"/>
  <c r="H52"/>
  <c r="D53"/>
  <c r="E53"/>
  <c r="F53"/>
  <c r="G53"/>
  <c r="H53"/>
  <c r="D54"/>
  <c r="E54"/>
  <c r="F54"/>
  <c r="G54"/>
  <c r="H54"/>
  <c r="D55"/>
  <c r="E55"/>
  <c r="F55"/>
  <c r="G55"/>
  <c r="H55"/>
  <c r="D56"/>
  <c r="E56"/>
  <c r="F56"/>
  <c r="G56"/>
  <c r="H56"/>
  <c r="H63" s="1"/>
  <c r="C44"/>
  <c r="C47"/>
  <c r="C52"/>
  <c r="C55"/>
  <c r="B42" i="124"/>
  <c r="B43"/>
  <c r="B44"/>
  <c r="B45"/>
  <c r="B46"/>
  <c r="B47"/>
  <c r="B48"/>
  <c r="B49"/>
  <c r="B50"/>
  <c r="B51"/>
  <c r="B52"/>
  <c r="B53"/>
  <c r="B54"/>
  <c r="B55"/>
  <c r="B56"/>
  <c r="B57"/>
  <c r="G26"/>
  <c r="H26"/>
  <c r="G27"/>
  <c r="H27"/>
  <c r="G28"/>
  <c r="H28"/>
  <c r="G29"/>
  <c r="H29"/>
  <c r="G30"/>
  <c r="H30"/>
  <c r="G31"/>
  <c r="H31"/>
  <c r="G32"/>
  <c r="H32"/>
  <c r="G33"/>
  <c r="H33"/>
  <c r="G34"/>
  <c r="H34"/>
  <c r="G35"/>
  <c r="H35"/>
  <c r="G36"/>
  <c r="H36"/>
  <c r="G37"/>
  <c r="H37"/>
  <c r="G38"/>
  <c r="H38"/>
  <c r="G39"/>
  <c r="H39"/>
  <c r="G40"/>
  <c r="H40"/>
  <c r="D57"/>
  <c r="E57"/>
  <c r="F57"/>
  <c r="G57"/>
  <c r="H57"/>
  <c r="G41"/>
  <c r="H41"/>
  <c r="D42"/>
  <c r="E42"/>
  <c r="F42"/>
  <c r="G42"/>
  <c r="H42"/>
  <c r="D43"/>
  <c r="E43"/>
  <c r="F43"/>
  <c r="G43"/>
  <c r="H43"/>
  <c r="D44"/>
  <c r="E44"/>
  <c r="F44"/>
  <c r="G44"/>
  <c r="H44"/>
  <c r="D45"/>
  <c r="E45"/>
  <c r="F45"/>
  <c r="G45"/>
  <c r="H45"/>
  <c r="D46"/>
  <c r="E46"/>
  <c r="F46"/>
  <c r="G46"/>
  <c r="H46"/>
  <c r="D47"/>
  <c r="E47"/>
  <c r="F47"/>
  <c r="G47"/>
  <c r="H47"/>
  <c r="D48"/>
  <c r="E48"/>
  <c r="F48"/>
  <c r="G48"/>
  <c r="H48"/>
  <c r="D49"/>
  <c r="E49"/>
  <c r="F49"/>
  <c r="G49"/>
  <c r="H49"/>
  <c r="D50"/>
  <c r="E50"/>
  <c r="F50"/>
  <c r="G50"/>
  <c r="H50"/>
  <c r="D51"/>
  <c r="E51"/>
  <c r="F51"/>
  <c r="G51"/>
  <c r="H51"/>
  <c r="D52"/>
  <c r="E52"/>
  <c r="F52"/>
  <c r="G52"/>
  <c r="H52"/>
  <c r="D53"/>
  <c r="E53"/>
  <c r="F53"/>
  <c r="G53"/>
  <c r="H53"/>
  <c r="D54"/>
  <c r="E54"/>
  <c r="F54"/>
  <c r="G54"/>
  <c r="H54"/>
  <c r="D55"/>
  <c r="E55"/>
  <c r="F55"/>
  <c r="G55"/>
  <c r="H55"/>
  <c r="D56"/>
  <c r="E56"/>
  <c r="F56"/>
  <c r="G56"/>
  <c r="H56"/>
  <c r="H63" s="1"/>
  <c r="C48"/>
  <c r="C56"/>
  <c r="D43" i="7"/>
  <c r="C43" i="124" s="1"/>
  <c r="D44" i="7"/>
  <c r="C44" i="124" s="1"/>
  <c r="D45" i="7"/>
  <c r="C45" i="131" s="1"/>
  <c r="D46" i="7"/>
  <c r="C46" i="124" s="1"/>
  <c r="D47" i="7"/>
  <c r="C47" i="124" s="1"/>
  <c r="D48" i="7"/>
  <c r="C48" i="131" s="1"/>
  <c r="D49" i="7"/>
  <c r="C49" i="131" s="1"/>
  <c r="D50" i="7"/>
  <c r="C50" i="124" s="1"/>
  <c r="D51" i="7"/>
  <c r="C51" i="124" s="1"/>
  <c r="D52" i="7"/>
  <c r="C57" i="124" s="1"/>
  <c r="D53" i="7"/>
  <c r="C53" i="131" s="1"/>
  <c r="D54" i="7"/>
  <c r="C54" i="124" s="1"/>
  <c r="D55" i="7"/>
  <c r="C55" i="124" s="1"/>
  <c r="D56" i="7"/>
  <c r="C56" i="131" s="1"/>
  <c r="D42" i="7"/>
  <c r="C42" i="124" s="1"/>
  <c r="N6" i="304"/>
  <c r="G13" i="186" l="1"/>
  <c r="G9" i="181"/>
  <c r="G12" i="185"/>
  <c r="D9" i="179"/>
  <c r="D11" i="181" s="1"/>
  <c r="H11"/>
  <c r="G13"/>
  <c r="G11"/>
  <c r="G12" i="182"/>
  <c r="G13" i="187"/>
  <c r="G12" i="180"/>
  <c r="G63" i="131"/>
  <c r="G12" i="184"/>
  <c r="C30" i="179"/>
  <c r="D30" s="1"/>
  <c r="F33" i="359"/>
  <c r="F32" s="1"/>
  <c r="F31" s="1"/>
  <c r="G33"/>
  <c r="G32" s="1"/>
  <c r="G31" s="1"/>
  <c r="C38" i="179"/>
  <c r="D38" s="1"/>
  <c r="D33" i="359"/>
  <c r="D32" s="1"/>
  <c r="D31" s="1"/>
  <c r="C15" i="179"/>
  <c r="E33" i="359"/>
  <c r="E32" s="1"/>
  <c r="E31" s="1"/>
  <c r="C22" i="179"/>
  <c r="B33" i="359"/>
  <c r="B32" s="1"/>
  <c r="B31" s="1"/>
  <c r="C8" i="179"/>
  <c r="D8" s="1"/>
  <c r="C45" i="124"/>
  <c r="C63" s="1"/>
  <c r="C49"/>
  <c r="L49" i="68"/>
  <c r="C53" i="124"/>
  <c r="C52"/>
  <c r="C51" i="131"/>
  <c r="C43"/>
  <c r="C33" i="364"/>
  <c r="C29"/>
  <c r="C21"/>
  <c r="D63" i="124"/>
  <c r="B67" i="118"/>
  <c r="C67"/>
  <c r="C49" i="76"/>
  <c r="C46"/>
  <c r="E63" i="124"/>
  <c r="C63" i="131"/>
  <c r="D67" i="293"/>
  <c r="E63" i="131"/>
  <c r="F67" i="293"/>
  <c r="G67" i="118"/>
  <c r="G63" i="124"/>
  <c r="C54" i="131"/>
  <c r="C50"/>
  <c r="C46"/>
  <c r="C42"/>
  <c r="B63" i="124"/>
  <c r="F63" i="131"/>
  <c r="B67" i="293"/>
  <c r="E67" i="118"/>
  <c r="D71" i="7"/>
  <c r="F63" i="124"/>
  <c r="D63" i="131"/>
  <c r="E67" i="293"/>
  <c r="F67" i="118"/>
  <c r="C36" i="364"/>
  <c r="C25"/>
  <c r="C40" i="302"/>
  <c r="C28" i="364"/>
  <c r="C39" i="302"/>
  <c r="C41"/>
  <c r="C35" i="364"/>
  <c r="C27"/>
  <c r="C32"/>
  <c r="C24"/>
  <c r="C34"/>
  <c r="C30"/>
  <c r="C26"/>
  <c r="C22"/>
  <c r="C31"/>
  <c r="C23"/>
  <c r="A166" i="4"/>
  <c r="A99"/>
  <c r="A47"/>
  <c r="A46"/>
  <c r="A45"/>
  <c r="A106"/>
  <c r="A94"/>
  <c r="A90"/>
  <c r="A84"/>
  <c r="A79"/>
  <c r="A250"/>
  <c r="A246"/>
  <c r="B21" i="174"/>
  <c r="C21"/>
  <c r="D21"/>
  <c r="E21"/>
  <c r="F21"/>
  <c r="G21"/>
  <c r="H21"/>
  <c r="I21"/>
  <c r="J21"/>
  <c r="K21"/>
  <c r="L21"/>
  <c r="M21"/>
  <c r="B22"/>
  <c r="C22"/>
  <c r="D22"/>
  <c r="E22"/>
  <c r="F22"/>
  <c r="G22"/>
  <c r="H22"/>
  <c r="I22"/>
  <c r="J22"/>
  <c r="K22"/>
  <c r="L22"/>
  <c r="M22"/>
  <c r="B23"/>
  <c r="C23"/>
  <c r="D23"/>
  <c r="E23"/>
  <c r="F23"/>
  <c r="G23"/>
  <c r="H23"/>
  <c r="I23"/>
  <c r="J23"/>
  <c r="K23"/>
  <c r="L23"/>
  <c r="M23"/>
  <c r="B24"/>
  <c r="C24"/>
  <c r="D24"/>
  <c r="E24"/>
  <c r="F24"/>
  <c r="G24"/>
  <c r="H24"/>
  <c r="I24"/>
  <c r="J24"/>
  <c r="K24"/>
  <c r="L24"/>
  <c r="M24"/>
  <c r="B25"/>
  <c r="C25"/>
  <c r="D25"/>
  <c r="E25"/>
  <c r="F25"/>
  <c r="G25"/>
  <c r="H25"/>
  <c r="I25"/>
  <c r="J25"/>
  <c r="K25"/>
  <c r="L25"/>
  <c r="M25"/>
  <c r="B26"/>
  <c r="C26"/>
  <c r="D26"/>
  <c r="E26"/>
  <c r="F26"/>
  <c r="G26"/>
  <c r="H26"/>
  <c r="I26"/>
  <c r="J26"/>
  <c r="K26"/>
  <c r="L26"/>
  <c r="M26"/>
  <c r="B27"/>
  <c r="C27"/>
  <c r="D27"/>
  <c r="E27"/>
  <c r="F27"/>
  <c r="G27"/>
  <c r="H27"/>
  <c r="I27"/>
  <c r="J27"/>
  <c r="K27"/>
  <c r="L27"/>
  <c r="M27"/>
  <c r="B28"/>
  <c r="C28"/>
  <c r="D28"/>
  <c r="E28"/>
  <c r="F28"/>
  <c r="G28"/>
  <c r="H28"/>
  <c r="I28"/>
  <c r="J28"/>
  <c r="K28"/>
  <c r="L28"/>
  <c r="M28"/>
  <c r="R24" i="158"/>
  <c r="S24"/>
  <c r="T24"/>
  <c r="U24"/>
  <c r="R25"/>
  <c r="S25"/>
  <c r="T25"/>
  <c r="U25"/>
  <c r="R26"/>
  <c r="S26"/>
  <c r="T26"/>
  <c r="U26"/>
  <c r="R27"/>
  <c r="S27"/>
  <c r="T27"/>
  <c r="U27"/>
  <c r="Q7" i="157"/>
  <c r="R7"/>
  <c r="S7"/>
  <c r="T7"/>
  <c r="Q8"/>
  <c r="R8"/>
  <c r="S8"/>
  <c r="T8"/>
  <c r="Q9"/>
  <c r="R9"/>
  <c r="S9"/>
  <c r="T9"/>
  <c r="Q10"/>
  <c r="R10"/>
  <c r="S10"/>
  <c r="T10"/>
  <c r="Q11"/>
  <c r="R11"/>
  <c r="S11"/>
  <c r="T11"/>
  <c r="Q12"/>
  <c r="R12"/>
  <c r="S12"/>
  <c r="T12"/>
  <c r="Q13"/>
  <c r="R13"/>
  <c r="S13"/>
  <c r="T13"/>
  <c r="Q14"/>
  <c r="R14"/>
  <c r="S14"/>
  <c r="T14"/>
  <c r="Q15"/>
  <c r="R15"/>
  <c r="S15"/>
  <c r="T15"/>
  <c r="Q16"/>
  <c r="R16"/>
  <c r="S16"/>
  <c r="T16"/>
  <c r="Q17"/>
  <c r="R17"/>
  <c r="S17"/>
  <c r="T17"/>
  <c r="Q18"/>
  <c r="R18"/>
  <c r="S18"/>
  <c r="T18"/>
  <c r="Q19"/>
  <c r="R19"/>
  <c r="S19"/>
  <c r="T19"/>
  <c r="Q20"/>
  <c r="R20"/>
  <c r="S20"/>
  <c r="T20"/>
  <c r="Q21"/>
  <c r="R21"/>
  <c r="S21"/>
  <c r="T21"/>
  <c r="Q22"/>
  <c r="R22"/>
  <c r="S22"/>
  <c r="T22"/>
  <c r="Q23"/>
  <c r="R23"/>
  <c r="S23"/>
  <c r="T23"/>
  <c r="Q24"/>
  <c r="R24"/>
  <c r="S24"/>
  <c r="T24"/>
  <c r="Q25"/>
  <c r="R25"/>
  <c r="S25"/>
  <c r="T25"/>
  <c r="Q26"/>
  <c r="R26"/>
  <c r="S26"/>
  <c r="T26"/>
  <c r="Q27"/>
  <c r="R27"/>
  <c r="S27"/>
  <c r="T27"/>
  <c r="R70" i="173"/>
  <c r="R71"/>
  <c r="R72"/>
  <c r="H13" i="187" l="1"/>
  <c r="H12" i="185"/>
  <c r="H13" i="186"/>
  <c r="F11" i="181"/>
  <c r="H9" i="180"/>
  <c r="C40" i="364"/>
  <c r="F30" i="359"/>
  <c r="F29" s="1"/>
  <c r="F28" s="1"/>
  <c r="F27" s="1"/>
  <c r="F26" s="1"/>
  <c r="C29" i="179"/>
  <c r="D29" s="1"/>
  <c r="E30" i="359"/>
  <c r="E29" s="1"/>
  <c r="E28" s="1"/>
  <c r="E27" s="1"/>
  <c r="E26" s="1"/>
  <c r="E25" s="1"/>
  <c r="E24" s="1"/>
  <c r="E23" s="1"/>
  <c r="E22" s="1"/>
  <c r="E21" s="1"/>
  <c r="E20" s="1"/>
  <c r="E19" s="1"/>
  <c r="E18" s="1"/>
  <c r="E17" s="1"/>
  <c r="E16" s="1"/>
  <c r="E15" s="1"/>
  <c r="E14" s="1"/>
  <c r="E13" s="1"/>
  <c r="E12" s="1"/>
  <c r="E11" s="1"/>
  <c r="E10" s="1"/>
  <c r="E9" s="1"/>
  <c r="E8" s="1"/>
  <c r="E7" s="1"/>
  <c r="E6" s="1"/>
  <c r="C21" i="179"/>
  <c r="C37"/>
  <c r="D37" s="1"/>
  <c r="G30" i="359"/>
  <c r="G29" s="1"/>
  <c r="G28" s="1"/>
  <c r="G27" s="1"/>
  <c r="G26" s="1"/>
  <c r="C14" i="179"/>
  <c r="D30" i="359"/>
  <c r="D29" s="1"/>
  <c r="D28" s="1"/>
  <c r="D27" s="1"/>
  <c r="D26" s="1"/>
  <c r="D25" s="1"/>
  <c r="D24" s="1"/>
  <c r="D23" s="1"/>
  <c r="D22" s="1"/>
  <c r="D21" s="1"/>
  <c r="D20" s="1"/>
  <c r="D19" s="1"/>
  <c r="D18" s="1"/>
  <c r="D17" s="1"/>
  <c r="D16" s="1"/>
  <c r="D15" s="1"/>
  <c r="D14" s="1"/>
  <c r="D13" s="1"/>
  <c r="D12" s="1"/>
  <c r="D11" s="1"/>
  <c r="D10" s="1"/>
  <c r="D9" s="1"/>
  <c r="D8" s="1"/>
  <c r="D7" s="1"/>
  <c r="D6" s="1"/>
  <c r="C7" i="179"/>
  <c r="B30" i="359"/>
  <c r="B29" s="1"/>
  <c r="B28" s="1"/>
  <c r="B27" s="1"/>
  <c r="B26" s="1"/>
  <c r="C41" i="364"/>
  <c r="C39"/>
  <c r="B64" i="173"/>
  <c r="C64"/>
  <c r="D64"/>
  <c r="E64"/>
  <c r="F64"/>
  <c r="G64"/>
  <c r="H64"/>
  <c r="I64"/>
  <c r="J64"/>
  <c r="K64"/>
  <c r="L64"/>
  <c r="M64"/>
  <c r="N64"/>
  <c r="O64"/>
  <c r="P64"/>
  <c r="B65"/>
  <c r="C65"/>
  <c r="D65"/>
  <c r="E65"/>
  <c r="F65"/>
  <c r="G65"/>
  <c r="H65"/>
  <c r="I65"/>
  <c r="J65"/>
  <c r="K65"/>
  <c r="L65"/>
  <c r="M65"/>
  <c r="N65"/>
  <c r="O65"/>
  <c r="P65"/>
  <c r="B66"/>
  <c r="C66"/>
  <c r="D66"/>
  <c r="E66"/>
  <c r="F66"/>
  <c r="G66"/>
  <c r="H66"/>
  <c r="I66"/>
  <c r="J66"/>
  <c r="K66"/>
  <c r="L66"/>
  <c r="M66"/>
  <c r="N66"/>
  <c r="O66"/>
  <c r="P66"/>
  <c r="B67"/>
  <c r="C67"/>
  <c r="D67"/>
  <c r="E67"/>
  <c r="F67"/>
  <c r="G67"/>
  <c r="H67"/>
  <c r="I67"/>
  <c r="J67"/>
  <c r="K67"/>
  <c r="L67"/>
  <c r="M67"/>
  <c r="N67"/>
  <c r="O67"/>
  <c r="P67"/>
  <c r="F29" i="161"/>
  <c r="G29"/>
  <c r="H29"/>
  <c r="D29"/>
  <c r="C29"/>
  <c r="C26"/>
  <c r="C27"/>
  <c r="C28"/>
  <c r="C6"/>
  <c r="C7"/>
  <c r="C8"/>
  <c r="C9"/>
  <c r="C10"/>
  <c r="C11"/>
  <c r="C12"/>
  <c r="C13"/>
  <c r="C14"/>
  <c r="C15"/>
  <c r="C16"/>
  <c r="C17"/>
  <c r="C18"/>
  <c r="C19"/>
  <c r="C20"/>
  <c r="C21"/>
  <c r="C22"/>
  <c r="C23"/>
  <c r="C24"/>
  <c r="C25"/>
  <c r="C5"/>
  <c r="B25"/>
  <c r="B26"/>
  <c r="B27"/>
  <c r="B28"/>
  <c r="B29"/>
  <c r="B5"/>
  <c r="B5" i="156" s="1"/>
  <c r="L5" i="161"/>
  <c r="E5"/>
  <c r="F5"/>
  <c r="G5"/>
  <c r="H5"/>
  <c r="I5"/>
  <c r="J5"/>
  <c r="K5"/>
  <c r="E6"/>
  <c r="F6"/>
  <c r="G6"/>
  <c r="H6"/>
  <c r="I6"/>
  <c r="J6"/>
  <c r="K6"/>
  <c r="L6"/>
  <c r="E7"/>
  <c r="F7"/>
  <c r="G7"/>
  <c r="H7"/>
  <c r="I7"/>
  <c r="J7"/>
  <c r="K7"/>
  <c r="L7"/>
  <c r="E8"/>
  <c r="F8"/>
  <c r="G8"/>
  <c r="H8"/>
  <c r="I8"/>
  <c r="J8"/>
  <c r="K8"/>
  <c r="L8"/>
  <c r="E9"/>
  <c r="F9"/>
  <c r="G9"/>
  <c r="H9"/>
  <c r="I9"/>
  <c r="J9"/>
  <c r="K9"/>
  <c r="L9"/>
  <c r="E10"/>
  <c r="F10"/>
  <c r="G10"/>
  <c r="H10"/>
  <c r="I10"/>
  <c r="J10"/>
  <c r="K10"/>
  <c r="L10"/>
  <c r="E11"/>
  <c r="F11"/>
  <c r="G11"/>
  <c r="H11"/>
  <c r="I11"/>
  <c r="J11"/>
  <c r="K11"/>
  <c r="L11"/>
  <c r="E12"/>
  <c r="F12"/>
  <c r="G12"/>
  <c r="H12"/>
  <c r="I12"/>
  <c r="J12"/>
  <c r="K12"/>
  <c r="L12"/>
  <c r="E13"/>
  <c r="F13"/>
  <c r="G13"/>
  <c r="H13"/>
  <c r="I13"/>
  <c r="J13"/>
  <c r="K13"/>
  <c r="L13"/>
  <c r="E14"/>
  <c r="F14"/>
  <c r="G14"/>
  <c r="H14"/>
  <c r="I14"/>
  <c r="J14"/>
  <c r="K14"/>
  <c r="L14"/>
  <c r="E15"/>
  <c r="F15"/>
  <c r="G15"/>
  <c r="H15"/>
  <c r="I15"/>
  <c r="J15"/>
  <c r="K15"/>
  <c r="L15"/>
  <c r="E16"/>
  <c r="F16"/>
  <c r="G16"/>
  <c r="H16"/>
  <c r="I16"/>
  <c r="J16"/>
  <c r="K16"/>
  <c r="L16"/>
  <c r="E17"/>
  <c r="F17"/>
  <c r="G17"/>
  <c r="H17"/>
  <c r="I17"/>
  <c r="J17"/>
  <c r="K17"/>
  <c r="L17"/>
  <c r="E18"/>
  <c r="F18"/>
  <c r="G18"/>
  <c r="H18"/>
  <c r="I18"/>
  <c r="J18"/>
  <c r="K18"/>
  <c r="L18"/>
  <c r="E19"/>
  <c r="F19"/>
  <c r="G19"/>
  <c r="H19"/>
  <c r="I19"/>
  <c r="J19"/>
  <c r="K19"/>
  <c r="L19"/>
  <c r="E20"/>
  <c r="F20"/>
  <c r="G20"/>
  <c r="H20"/>
  <c r="I20"/>
  <c r="J20"/>
  <c r="K20"/>
  <c r="L20"/>
  <c r="E21"/>
  <c r="F21"/>
  <c r="G21"/>
  <c r="H21"/>
  <c r="I21"/>
  <c r="J21"/>
  <c r="K21"/>
  <c r="L21"/>
  <c r="E22"/>
  <c r="F22"/>
  <c r="G22"/>
  <c r="H22"/>
  <c r="I22"/>
  <c r="J22"/>
  <c r="K22"/>
  <c r="L22"/>
  <c r="E23"/>
  <c r="F23"/>
  <c r="G23"/>
  <c r="H23"/>
  <c r="I23"/>
  <c r="J23"/>
  <c r="K23"/>
  <c r="L23"/>
  <c r="E24"/>
  <c r="F24"/>
  <c r="G24"/>
  <c r="H24"/>
  <c r="I24"/>
  <c r="J24"/>
  <c r="K24"/>
  <c r="L24"/>
  <c r="E25"/>
  <c r="F25"/>
  <c r="G25"/>
  <c r="H25"/>
  <c r="I25"/>
  <c r="J25"/>
  <c r="K25"/>
  <c r="L25"/>
  <c r="E26"/>
  <c r="F26"/>
  <c r="G26"/>
  <c r="H26"/>
  <c r="I26"/>
  <c r="J26"/>
  <c r="K26"/>
  <c r="L26"/>
  <c r="E27"/>
  <c r="F27"/>
  <c r="G27"/>
  <c r="H27"/>
  <c r="I27"/>
  <c r="J27"/>
  <c r="K27"/>
  <c r="L27"/>
  <c r="E28"/>
  <c r="F28"/>
  <c r="G28"/>
  <c r="H28"/>
  <c r="I28"/>
  <c r="J28"/>
  <c r="K28"/>
  <c r="L28"/>
  <c r="D6"/>
  <c r="D7"/>
  <c r="D8"/>
  <c r="D9"/>
  <c r="D10"/>
  <c r="D11"/>
  <c r="D12"/>
  <c r="D13"/>
  <c r="D14"/>
  <c r="D15"/>
  <c r="D16"/>
  <c r="D17"/>
  <c r="D18"/>
  <c r="D19"/>
  <c r="D20"/>
  <c r="D21"/>
  <c r="D22"/>
  <c r="D23"/>
  <c r="D24"/>
  <c r="D25"/>
  <c r="D26"/>
  <c r="D27"/>
  <c r="D28"/>
  <c r="D5"/>
  <c r="C9" i="156"/>
  <c r="C8"/>
  <c r="C5"/>
  <c r="D5"/>
  <c r="E5"/>
  <c r="F5"/>
  <c r="G5"/>
  <c r="H5"/>
  <c r="I5"/>
  <c r="J5"/>
  <c r="K5"/>
  <c r="L5"/>
  <c r="M5"/>
  <c r="D6"/>
  <c r="E6"/>
  <c r="F6"/>
  <c r="G6"/>
  <c r="H6"/>
  <c r="I6"/>
  <c r="J6"/>
  <c r="K6"/>
  <c r="L6"/>
  <c r="M6"/>
  <c r="D7"/>
  <c r="E7"/>
  <c r="F7"/>
  <c r="G7"/>
  <c r="H7"/>
  <c r="I7"/>
  <c r="J7"/>
  <c r="K7"/>
  <c r="L7"/>
  <c r="M7"/>
  <c r="D8"/>
  <c r="E8"/>
  <c r="F8"/>
  <c r="G8"/>
  <c r="H8"/>
  <c r="I8"/>
  <c r="J8"/>
  <c r="K8"/>
  <c r="L8"/>
  <c r="M8"/>
  <c r="D9"/>
  <c r="E9"/>
  <c r="F9"/>
  <c r="G9"/>
  <c r="H9"/>
  <c r="I9"/>
  <c r="J9"/>
  <c r="K9"/>
  <c r="L9"/>
  <c r="M9"/>
  <c r="D10"/>
  <c r="E10"/>
  <c r="F10"/>
  <c r="G10"/>
  <c r="H10"/>
  <c r="I10"/>
  <c r="J10"/>
  <c r="K10"/>
  <c r="L10"/>
  <c r="M10"/>
  <c r="D11"/>
  <c r="E11"/>
  <c r="F11"/>
  <c r="G11"/>
  <c r="H11"/>
  <c r="I11"/>
  <c r="J11"/>
  <c r="K11"/>
  <c r="L11"/>
  <c r="M11"/>
  <c r="D12"/>
  <c r="E12"/>
  <c r="F12"/>
  <c r="G12"/>
  <c r="H12"/>
  <c r="I12"/>
  <c r="J12"/>
  <c r="K12"/>
  <c r="L12"/>
  <c r="M12"/>
  <c r="D13"/>
  <c r="E13"/>
  <c r="F13"/>
  <c r="G13"/>
  <c r="H13"/>
  <c r="I13"/>
  <c r="J13"/>
  <c r="K13"/>
  <c r="L13"/>
  <c r="M13"/>
  <c r="D14"/>
  <c r="E14"/>
  <c r="F14"/>
  <c r="G14"/>
  <c r="H14"/>
  <c r="I14"/>
  <c r="J14"/>
  <c r="K14"/>
  <c r="L14"/>
  <c r="M14"/>
  <c r="D15"/>
  <c r="E15"/>
  <c r="F15"/>
  <c r="G15"/>
  <c r="H15"/>
  <c r="I15"/>
  <c r="J15"/>
  <c r="K15"/>
  <c r="L15"/>
  <c r="M15"/>
  <c r="D16"/>
  <c r="E16"/>
  <c r="F16"/>
  <c r="G16"/>
  <c r="H16"/>
  <c r="I16"/>
  <c r="J16"/>
  <c r="K16"/>
  <c r="L16"/>
  <c r="M16"/>
  <c r="D17"/>
  <c r="E17"/>
  <c r="F17"/>
  <c r="G17"/>
  <c r="H17"/>
  <c r="I17"/>
  <c r="J17"/>
  <c r="K17"/>
  <c r="L17"/>
  <c r="M17"/>
  <c r="D18"/>
  <c r="E18"/>
  <c r="F18"/>
  <c r="G18"/>
  <c r="H18"/>
  <c r="I18"/>
  <c r="J18"/>
  <c r="K18"/>
  <c r="L18"/>
  <c r="M18"/>
  <c r="D19"/>
  <c r="E19"/>
  <c r="F19"/>
  <c r="G19"/>
  <c r="H19"/>
  <c r="I19"/>
  <c r="J19"/>
  <c r="K19"/>
  <c r="L19"/>
  <c r="M19"/>
  <c r="D20"/>
  <c r="E20"/>
  <c r="F20"/>
  <c r="G20"/>
  <c r="H20"/>
  <c r="I20"/>
  <c r="J20"/>
  <c r="K20"/>
  <c r="L20"/>
  <c r="M20"/>
  <c r="D21"/>
  <c r="E21"/>
  <c r="F21"/>
  <c r="G21"/>
  <c r="H21"/>
  <c r="I21"/>
  <c r="J21"/>
  <c r="K21"/>
  <c r="L21"/>
  <c r="M21"/>
  <c r="F22"/>
  <c r="G22"/>
  <c r="H22"/>
  <c r="I22"/>
  <c r="J22"/>
  <c r="K22"/>
  <c r="L22"/>
  <c r="M22"/>
  <c r="F23"/>
  <c r="G23"/>
  <c r="H23"/>
  <c r="I23"/>
  <c r="J23"/>
  <c r="K23"/>
  <c r="L23"/>
  <c r="M23"/>
  <c r="F24"/>
  <c r="G24"/>
  <c r="H24"/>
  <c r="I24"/>
  <c r="J24"/>
  <c r="K24"/>
  <c r="L24"/>
  <c r="M24"/>
  <c r="F25"/>
  <c r="G25"/>
  <c r="H25"/>
  <c r="I25"/>
  <c r="J25"/>
  <c r="K25"/>
  <c r="L25"/>
  <c r="M25"/>
  <c r="F26"/>
  <c r="G26"/>
  <c r="H26"/>
  <c r="I26"/>
  <c r="J26"/>
  <c r="K26"/>
  <c r="L26"/>
  <c r="M26"/>
  <c r="F27"/>
  <c r="G27"/>
  <c r="H27"/>
  <c r="I27"/>
  <c r="J27"/>
  <c r="K27"/>
  <c r="L27"/>
  <c r="M27"/>
  <c r="F28"/>
  <c r="G28"/>
  <c r="H28"/>
  <c r="I28"/>
  <c r="J28"/>
  <c r="K28"/>
  <c r="L28"/>
  <c r="M28"/>
  <c r="F29"/>
  <c r="G29"/>
  <c r="H29"/>
  <c r="I29"/>
  <c r="J29"/>
  <c r="K29"/>
  <c r="L29"/>
  <c r="M29"/>
  <c r="C6"/>
  <c r="C7"/>
  <c r="C10"/>
  <c r="C11"/>
  <c r="C12"/>
  <c r="C13"/>
  <c r="C14"/>
  <c r="C15"/>
  <c r="C16"/>
  <c r="C17"/>
  <c r="C18"/>
  <c r="C19"/>
  <c r="C20"/>
  <c r="C21"/>
  <c r="B16" i="161"/>
  <c r="B21" i="162"/>
  <c r="D21"/>
  <c r="E21"/>
  <c r="F21"/>
  <c r="B22"/>
  <c r="D22"/>
  <c r="E22"/>
  <c r="F22"/>
  <c r="B23"/>
  <c r="D23"/>
  <c r="E23"/>
  <c r="F23"/>
  <c r="B24"/>
  <c r="D24"/>
  <c r="E24"/>
  <c r="F24"/>
  <c r="B25"/>
  <c r="D25"/>
  <c r="E25"/>
  <c r="F25"/>
  <c r="B26"/>
  <c r="D26"/>
  <c r="E26"/>
  <c r="F26"/>
  <c r="B27"/>
  <c r="D27"/>
  <c r="E27"/>
  <c r="F27"/>
  <c r="B28"/>
  <c r="D28"/>
  <c r="E28"/>
  <c r="F28"/>
  <c r="B29"/>
  <c r="D29"/>
  <c r="E29"/>
  <c r="F29"/>
  <c r="B30"/>
  <c r="D30"/>
  <c r="E30"/>
  <c r="F30"/>
  <c r="B31"/>
  <c r="D31"/>
  <c r="E31"/>
  <c r="F31"/>
  <c r="B32"/>
  <c r="D32"/>
  <c r="E32"/>
  <c r="F32"/>
  <c r="B33"/>
  <c r="D33"/>
  <c r="E33"/>
  <c r="F33"/>
  <c r="B34"/>
  <c r="D34"/>
  <c r="E34"/>
  <c r="F34"/>
  <c r="B35"/>
  <c r="D35"/>
  <c r="E35"/>
  <c r="F35"/>
  <c r="B36"/>
  <c r="D36"/>
  <c r="E36"/>
  <c r="F36"/>
  <c r="B37"/>
  <c r="D37"/>
  <c r="E37"/>
  <c r="F37"/>
  <c r="B38"/>
  <c r="D38"/>
  <c r="E38"/>
  <c r="F38"/>
  <c r="F52" i="53"/>
  <c r="G52"/>
  <c r="H52"/>
  <c r="I52"/>
  <c r="F53"/>
  <c r="G53"/>
  <c r="H53"/>
  <c r="I53"/>
  <c r="F54"/>
  <c r="G54"/>
  <c r="H54"/>
  <c r="I54"/>
  <c r="F55"/>
  <c r="G55"/>
  <c r="H55"/>
  <c r="I55"/>
  <c r="F51" i="52"/>
  <c r="G51"/>
  <c r="H51"/>
  <c r="I51"/>
  <c r="F52"/>
  <c r="G52"/>
  <c r="H52"/>
  <c r="I52"/>
  <c r="F53"/>
  <c r="G53"/>
  <c r="H53"/>
  <c r="I53"/>
  <c r="F54"/>
  <c r="G54"/>
  <c r="H54"/>
  <c r="I54"/>
  <c r="F55"/>
  <c r="G55"/>
  <c r="H55"/>
  <c r="I55"/>
  <c r="F55" i="51"/>
  <c r="G55"/>
  <c r="F51"/>
  <c r="G51"/>
  <c r="F52"/>
  <c r="G52"/>
  <c r="F53"/>
  <c r="G53"/>
  <c r="F54"/>
  <c r="G54"/>
  <c r="G51" i="50"/>
  <c r="G52"/>
  <c r="G53"/>
  <c r="G54"/>
  <c r="F52" i="56"/>
  <c r="F53"/>
  <c r="F54"/>
  <c r="F55"/>
  <c r="G52"/>
  <c r="G53"/>
  <c r="G54"/>
  <c r="G55"/>
  <c r="G51"/>
  <c r="F52" i="50"/>
  <c r="F53"/>
  <c r="F54"/>
  <c r="F55"/>
  <c r="G55"/>
  <c r="F51" i="59"/>
  <c r="G51"/>
  <c r="H51"/>
  <c r="I51"/>
  <c r="F52"/>
  <c r="G52"/>
  <c r="H52"/>
  <c r="I52"/>
  <c r="F53"/>
  <c r="G53"/>
  <c r="H53"/>
  <c r="I53"/>
  <c r="F54"/>
  <c r="G54"/>
  <c r="H54"/>
  <c r="I54"/>
  <c r="F55"/>
  <c r="G55"/>
  <c r="H55"/>
  <c r="I55"/>
  <c r="F52" i="58"/>
  <c r="G52"/>
  <c r="H52"/>
  <c r="I52"/>
  <c r="F53"/>
  <c r="G53"/>
  <c r="H53"/>
  <c r="I53"/>
  <c r="F54"/>
  <c r="G54"/>
  <c r="H54"/>
  <c r="I54"/>
  <c r="F55"/>
  <c r="G55"/>
  <c r="H55"/>
  <c r="I55"/>
  <c r="F51" i="54"/>
  <c r="F52"/>
  <c r="F53"/>
  <c r="F54"/>
  <c r="F55"/>
  <c r="F14" i="47"/>
  <c r="F15"/>
  <c r="I58" i="52" l="1"/>
  <c r="I58" i="53"/>
  <c r="B32" i="156"/>
  <c r="B38"/>
  <c r="H58" i="52"/>
  <c r="C36" i="179"/>
  <c r="G25" i="359"/>
  <c r="G24" s="1"/>
  <c r="G23" s="1"/>
  <c r="G22" s="1"/>
  <c r="G21" s="1"/>
  <c r="G20" s="1"/>
  <c r="G19" s="1"/>
  <c r="G18" s="1"/>
  <c r="G17" s="1"/>
  <c r="G16" s="1"/>
  <c r="G15" s="1"/>
  <c r="G14" s="1"/>
  <c r="G13" s="1"/>
  <c r="G12" s="1"/>
  <c r="G11" s="1"/>
  <c r="G10" s="1"/>
  <c r="G9" s="1"/>
  <c r="G8" s="1"/>
  <c r="G7" s="1"/>
  <c r="G6" s="1"/>
  <c r="C28" i="179"/>
  <c r="F25" i="359"/>
  <c r="F24" s="1"/>
  <c r="F23" s="1"/>
  <c r="F22" s="1"/>
  <c r="F21" s="1"/>
  <c r="F20" s="1"/>
  <c r="F19" s="1"/>
  <c r="F18" s="1"/>
  <c r="F17" s="1"/>
  <c r="F16" s="1"/>
  <c r="F15" s="1"/>
  <c r="F14" s="1"/>
  <c r="F13" s="1"/>
  <c r="F12" s="1"/>
  <c r="F11" s="1"/>
  <c r="F10" s="1"/>
  <c r="F9" s="1"/>
  <c r="F8" s="1"/>
  <c r="F7" s="1"/>
  <c r="F6" s="1"/>
  <c r="H8" i="180"/>
  <c r="H9" i="181"/>
  <c r="D7" i="179"/>
  <c r="D9" i="181" s="1"/>
  <c r="F9" s="1"/>
  <c r="B25" i="359"/>
  <c r="B24" s="1"/>
  <c r="B23" s="1"/>
  <c r="B22" s="1"/>
  <c r="B21" s="1"/>
  <c r="B20" s="1"/>
  <c r="B19" s="1"/>
  <c r="B18" s="1"/>
  <c r="B17" s="1"/>
  <c r="B16" s="1"/>
  <c r="B15" s="1"/>
  <c r="B14" s="1"/>
  <c r="B13" s="1"/>
  <c r="B12" s="1"/>
  <c r="B11" s="1"/>
  <c r="B10" s="1"/>
  <c r="B9" s="1"/>
  <c r="B8" s="1"/>
  <c r="B7" s="1"/>
  <c r="B6" s="1"/>
  <c r="C6" i="179"/>
  <c r="D6" s="1"/>
  <c r="G5" i="67"/>
  <c r="G6"/>
  <c r="G9"/>
  <c r="G10"/>
  <c r="G7"/>
  <c r="G11"/>
  <c r="AC37" i="68"/>
  <c r="AC32"/>
  <c r="AC42"/>
  <c r="C8" i="67"/>
  <c r="C5"/>
  <c r="C6"/>
  <c r="C7"/>
  <c r="C9"/>
  <c r="C10"/>
  <c r="C11"/>
  <c r="C12"/>
  <c r="C13"/>
  <c r="AC16" i="68"/>
  <c r="AC17"/>
  <c r="AC18"/>
  <c r="AC19"/>
  <c r="AC20"/>
  <c r="AC21"/>
  <c r="AC22"/>
  <c r="AC23"/>
  <c r="AC24"/>
  <c r="AC25"/>
  <c r="AC26"/>
  <c r="AC27"/>
  <c r="AC28"/>
  <c r="AC29"/>
  <c r="AC30"/>
  <c r="AC31"/>
  <c r="AC43"/>
  <c r="Y16"/>
  <c r="AD16" s="1"/>
  <c r="C5"/>
  <c r="C6"/>
  <c r="C7"/>
  <c r="C8"/>
  <c r="C9"/>
  <c r="C10"/>
  <c r="C11"/>
  <c r="C12"/>
  <c r="C13"/>
  <c r="C14"/>
  <c r="C15"/>
  <c r="B14" i="154" s="1"/>
  <c r="C16" i="68"/>
  <c r="C17"/>
  <c r="C18"/>
  <c r="C19"/>
  <c r="C20"/>
  <c r="C21"/>
  <c r="C22"/>
  <c r="C23"/>
  <c r="C24"/>
  <c r="C25"/>
  <c r="C47" s="1"/>
  <c r="C26"/>
  <c r="C27"/>
  <c r="C28"/>
  <c r="C29"/>
  <c r="C30"/>
  <c r="C31"/>
  <c r="C32"/>
  <c r="C33"/>
  <c r="C34"/>
  <c r="C35"/>
  <c r="C36"/>
  <c r="C37"/>
  <c r="C38"/>
  <c r="C39"/>
  <c r="C40"/>
  <c r="C41"/>
  <c r="C42"/>
  <c r="C43"/>
  <c r="G8" i="67"/>
  <c r="G12"/>
  <c r="Y5" i="68"/>
  <c r="AD5" s="1"/>
  <c r="Z5"/>
  <c r="AE5" s="1"/>
  <c r="AA5"/>
  <c r="AF5" s="1"/>
  <c r="Y6"/>
  <c r="AD6" s="1"/>
  <c r="Z6"/>
  <c r="AE6" s="1"/>
  <c r="AA6"/>
  <c r="AF6" s="1"/>
  <c r="Y7"/>
  <c r="AD7" s="1"/>
  <c r="Z7"/>
  <c r="AE7" s="1"/>
  <c r="AA7"/>
  <c r="AF7" s="1"/>
  <c r="Y8"/>
  <c r="AD8" s="1"/>
  <c r="Z8"/>
  <c r="AE8" s="1"/>
  <c r="AA8"/>
  <c r="AF8" s="1"/>
  <c r="Y9"/>
  <c r="AD9" s="1"/>
  <c r="Z9"/>
  <c r="AE9" s="1"/>
  <c r="AA9"/>
  <c r="AF9" s="1"/>
  <c r="Y10"/>
  <c r="AD10" s="1"/>
  <c r="Z10"/>
  <c r="AE10" s="1"/>
  <c r="AA10"/>
  <c r="AF10" s="1"/>
  <c r="Y11"/>
  <c r="AD11" s="1"/>
  <c r="Z11"/>
  <c r="AE11" s="1"/>
  <c r="AA11"/>
  <c r="AF11" s="1"/>
  <c r="Y12"/>
  <c r="AD12" s="1"/>
  <c r="Z12"/>
  <c r="AE12" s="1"/>
  <c r="AA12"/>
  <c r="AF12" s="1"/>
  <c r="Y13"/>
  <c r="AD13" s="1"/>
  <c r="Z13"/>
  <c r="AE13" s="1"/>
  <c r="AA13"/>
  <c r="AF13" s="1"/>
  <c r="Y14"/>
  <c r="AD14" s="1"/>
  <c r="Z14"/>
  <c r="AE14" s="1"/>
  <c r="AA14"/>
  <c r="AF14" s="1"/>
  <c r="Y15"/>
  <c r="AD15" s="1"/>
  <c r="Z15"/>
  <c r="AE15" s="1"/>
  <c r="AA15"/>
  <c r="AF15" s="1"/>
  <c r="Z16"/>
  <c r="AE16" s="1"/>
  <c r="AA16"/>
  <c r="AF16" s="1"/>
  <c r="Y17"/>
  <c r="AD17" s="1"/>
  <c r="Z17"/>
  <c r="AE17" s="1"/>
  <c r="AA17"/>
  <c r="AF17" s="1"/>
  <c r="Y18"/>
  <c r="AD18" s="1"/>
  <c r="Z18"/>
  <c r="AE18" s="1"/>
  <c r="AA18"/>
  <c r="AF18" s="1"/>
  <c r="Y19"/>
  <c r="AD19" s="1"/>
  <c r="Z19"/>
  <c r="AE19" s="1"/>
  <c r="AA19"/>
  <c r="AF19" s="1"/>
  <c r="Y20"/>
  <c r="AD20" s="1"/>
  <c r="Z20"/>
  <c r="AE20" s="1"/>
  <c r="AA20"/>
  <c r="AF20" s="1"/>
  <c r="Y21"/>
  <c r="AD21" s="1"/>
  <c r="Z21"/>
  <c r="AE21" s="1"/>
  <c r="AA21"/>
  <c r="AF21" s="1"/>
  <c r="Y22"/>
  <c r="AD22" s="1"/>
  <c r="Z22"/>
  <c r="AE22" s="1"/>
  <c r="AA22"/>
  <c r="AF22" s="1"/>
  <c r="Y23"/>
  <c r="AD23" s="1"/>
  <c r="Z23"/>
  <c r="AE23" s="1"/>
  <c r="AA23"/>
  <c r="AF23" s="1"/>
  <c r="Y24"/>
  <c r="AD24" s="1"/>
  <c r="Z24"/>
  <c r="AE24" s="1"/>
  <c r="AA24"/>
  <c r="AF24" s="1"/>
  <c r="Y25"/>
  <c r="AD25" s="1"/>
  <c r="Z25"/>
  <c r="AE25" s="1"/>
  <c r="AA25"/>
  <c r="AF25" s="1"/>
  <c r="Y26"/>
  <c r="AD26" s="1"/>
  <c r="Z26"/>
  <c r="AE26" s="1"/>
  <c r="AA26"/>
  <c r="AF26" s="1"/>
  <c r="Y27"/>
  <c r="AD27" s="1"/>
  <c r="Z27"/>
  <c r="AE27" s="1"/>
  <c r="AA27"/>
  <c r="AF27" s="1"/>
  <c r="Y28"/>
  <c r="AD28" s="1"/>
  <c r="Z28"/>
  <c r="AE28" s="1"/>
  <c r="AA28"/>
  <c r="AF28" s="1"/>
  <c r="Y29"/>
  <c r="AD29" s="1"/>
  <c r="Z29"/>
  <c r="AE29" s="1"/>
  <c r="AA29"/>
  <c r="AF29" s="1"/>
  <c r="Y30"/>
  <c r="AD30" s="1"/>
  <c r="I30" s="1"/>
  <c r="Z30"/>
  <c r="AE30" s="1"/>
  <c r="J30" s="1"/>
  <c r="AA30"/>
  <c r="AF30" s="1"/>
  <c r="K30" s="1"/>
  <c r="Y31"/>
  <c r="AD31" s="1"/>
  <c r="Z31"/>
  <c r="AE31" s="1"/>
  <c r="AA31"/>
  <c r="AF31" s="1"/>
  <c r="K31" s="1"/>
  <c r="Y32"/>
  <c r="AD32" s="1"/>
  <c r="Z32"/>
  <c r="AE32" s="1"/>
  <c r="AA32"/>
  <c r="AF32" s="1"/>
  <c r="Y33"/>
  <c r="AD33" s="1"/>
  <c r="Z33"/>
  <c r="AE33" s="1"/>
  <c r="AA33"/>
  <c r="AF33" s="1"/>
  <c r="Y34"/>
  <c r="AD34" s="1"/>
  <c r="I34" s="1"/>
  <c r="Z34"/>
  <c r="AE34" s="1"/>
  <c r="J34" s="1"/>
  <c r="AA34"/>
  <c r="AF34" s="1"/>
  <c r="K34" s="1"/>
  <c r="Y35"/>
  <c r="AD35" s="1"/>
  <c r="Z35"/>
  <c r="AE35" s="1"/>
  <c r="AA35"/>
  <c r="AF35" s="1"/>
  <c r="K35" s="1"/>
  <c r="Y36"/>
  <c r="AD36" s="1"/>
  <c r="Z36"/>
  <c r="AE36" s="1"/>
  <c r="AA36"/>
  <c r="AF36" s="1"/>
  <c r="Z37"/>
  <c r="AE37" s="1"/>
  <c r="J37" s="1"/>
  <c r="AA37"/>
  <c r="AF37" s="1"/>
  <c r="K37" s="1"/>
  <c r="Z38"/>
  <c r="AE38" s="1"/>
  <c r="AA38"/>
  <c r="AF38" s="1"/>
  <c r="Z39"/>
  <c r="AE39" s="1"/>
  <c r="J39" s="1"/>
  <c r="AA39"/>
  <c r="AF39" s="1"/>
  <c r="K39" s="1"/>
  <c r="Z40"/>
  <c r="AE40" s="1"/>
  <c r="AA40"/>
  <c r="AF40" s="1"/>
  <c r="Z41"/>
  <c r="AE41" s="1"/>
  <c r="J41" s="1"/>
  <c r="AA41"/>
  <c r="AF41" s="1"/>
  <c r="K41" s="1"/>
  <c r="Z42"/>
  <c r="AE42" s="1"/>
  <c r="AA42"/>
  <c r="AF42" s="1"/>
  <c r="Z43"/>
  <c r="AE43" s="1"/>
  <c r="J43" s="1"/>
  <c r="O43" s="1"/>
  <c r="J43" i="67" s="1"/>
  <c r="AA43" i="68"/>
  <c r="AF43" s="1"/>
  <c r="K43" s="1"/>
  <c r="Y38"/>
  <c r="AD38" s="1"/>
  <c r="Y39"/>
  <c r="AD39" s="1"/>
  <c r="Y40"/>
  <c r="AD40" s="1"/>
  <c r="Y41"/>
  <c r="AD41" s="1"/>
  <c r="Y42"/>
  <c r="AD42" s="1"/>
  <c r="Y43"/>
  <c r="AD43" s="1"/>
  <c r="Y37"/>
  <c r="AD37" s="1"/>
  <c r="C34" i="67"/>
  <c r="C32" i="368"/>
  <c r="D32"/>
  <c r="E32"/>
  <c r="C31"/>
  <c r="D31"/>
  <c r="E31"/>
  <c r="C30"/>
  <c r="D30"/>
  <c r="E30"/>
  <c r="B27"/>
  <c r="B4"/>
  <c r="B5"/>
  <c r="B6"/>
  <c r="B7"/>
  <c r="B8"/>
  <c r="B9"/>
  <c r="B10"/>
  <c r="B11"/>
  <c r="B12"/>
  <c r="B13"/>
  <c r="B14"/>
  <c r="B15"/>
  <c r="B16"/>
  <c r="B17"/>
  <c r="B18"/>
  <c r="B19"/>
  <c r="B20"/>
  <c r="B21"/>
  <c r="B22"/>
  <c r="B23"/>
  <c r="B24"/>
  <c r="B25"/>
  <c r="B26"/>
  <c r="B3"/>
  <c r="H50" i="224"/>
  <c r="I50"/>
  <c r="J50"/>
  <c r="K50"/>
  <c r="L50"/>
  <c r="H51"/>
  <c r="I51"/>
  <c r="J51"/>
  <c r="K51"/>
  <c r="L51"/>
  <c r="H52"/>
  <c r="I52"/>
  <c r="J52"/>
  <c r="K52"/>
  <c r="L52"/>
  <c r="H53"/>
  <c r="I53"/>
  <c r="J53"/>
  <c r="K53"/>
  <c r="L53"/>
  <c r="J50" i="222"/>
  <c r="F50" s="1"/>
  <c r="K50"/>
  <c r="C50" s="1"/>
  <c r="J51"/>
  <c r="F51" s="1"/>
  <c r="K51"/>
  <c r="C51" s="1"/>
  <c r="J52"/>
  <c r="F52" s="1"/>
  <c r="K52"/>
  <c r="C52" s="1"/>
  <c r="J53"/>
  <c r="K53"/>
  <c r="D49" i="223"/>
  <c r="C49" s="1"/>
  <c r="F49"/>
  <c r="D50"/>
  <c r="C50" s="1"/>
  <c r="F50"/>
  <c r="D51"/>
  <c r="C51" s="1"/>
  <c r="F51"/>
  <c r="D52"/>
  <c r="F52"/>
  <c r="AB3" i="272"/>
  <c r="AA3"/>
  <c r="B32" i="126"/>
  <c r="C32"/>
  <c r="D32"/>
  <c r="E32"/>
  <c r="F32"/>
  <c r="G32"/>
  <c r="B33"/>
  <c r="C33"/>
  <c r="D33"/>
  <c r="E33"/>
  <c r="F33"/>
  <c r="G33"/>
  <c r="B34"/>
  <c r="C34"/>
  <c r="D34"/>
  <c r="E34"/>
  <c r="F34"/>
  <c r="G34"/>
  <c r="D14" i="179"/>
  <c r="D15"/>
  <c r="D9" i="180" s="1"/>
  <c r="D16" i="179"/>
  <c r="D10" i="180" s="1"/>
  <c r="D17" i="179"/>
  <c r="D21"/>
  <c r="D22"/>
  <c r="D23"/>
  <c r="D24"/>
  <c r="D55" i="122"/>
  <c r="E25" i="309"/>
  <c r="B12"/>
  <c r="B22"/>
  <c r="B19" i="104"/>
  <c r="D19"/>
  <c r="E19"/>
  <c r="F19"/>
  <c r="G19"/>
  <c r="H19"/>
  <c r="N38" i="154"/>
  <c r="L40" i="62"/>
  <c r="L41"/>
  <c r="L42"/>
  <c r="O40"/>
  <c r="J40" i="61" s="1"/>
  <c r="O41" i="62"/>
  <c r="J41" i="61" s="1"/>
  <c r="O42" i="62"/>
  <c r="O15"/>
  <c r="O16"/>
  <c r="O17"/>
  <c r="O18"/>
  <c r="O19"/>
  <c r="O20"/>
  <c r="O21"/>
  <c r="O22"/>
  <c r="O23"/>
  <c r="O24"/>
  <c r="O25"/>
  <c r="O26"/>
  <c r="O27"/>
  <c r="O28"/>
  <c r="O29"/>
  <c r="O30"/>
  <c r="O31"/>
  <c r="O32"/>
  <c r="O33"/>
  <c r="O34"/>
  <c r="O35"/>
  <c r="O36"/>
  <c r="O37"/>
  <c r="O38"/>
  <c r="O39"/>
  <c r="L12" i="80"/>
  <c r="G12" i="79" s="1"/>
  <c r="N12" i="80"/>
  <c r="I12" i="79" s="1"/>
  <c r="O12" i="80"/>
  <c r="J12" i="79" s="1"/>
  <c r="P12" i="80"/>
  <c r="K12" i="79" s="1"/>
  <c r="L13" i="80"/>
  <c r="G13" i="79" s="1"/>
  <c r="N13" i="80"/>
  <c r="I13" i="79" s="1"/>
  <c r="O13" i="80"/>
  <c r="J13" i="79" s="1"/>
  <c r="P13" i="80"/>
  <c r="K13" i="79" s="1"/>
  <c r="L14" i="80"/>
  <c r="G14" i="79" s="1"/>
  <c r="N14" i="80"/>
  <c r="I14" i="79" s="1"/>
  <c r="O14" i="80"/>
  <c r="J14" i="79" s="1"/>
  <c r="P14" i="80"/>
  <c r="K14" i="79" s="1"/>
  <c r="L15" i="80"/>
  <c r="G15" i="79" s="1"/>
  <c r="N15" i="80"/>
  <c r="I15" i="79" s="1"/>
  <c r="O15" i="80"/>
  <c r="J15" i="79" s="1"/>
  <c r="P15" i="80"/>
  <c r="K15" i="79" s="1"/>
  <c r="L16" i="80"/>
  <c r="G16" i="79" s="1"/>
  <c r="N16" i="80"/>
  <c r="I16" i="79" s="1"/>
  <c r="O16" i="80"/>
  <c r="J16" i="79" s="1"/>
  <c r="P16" i="80"/>
  <c r="K16" i="79" s="1"/>
  <c r="L17" i="80"/>
  <c r="G17" i="79" s="1"/>
  <c r="N17" i="80"/>
  <c r="I17" i="79" s="1"/>
  <c r="O17" i="80"/>
  <c r="J17" i="79" s="1"/>
  <c r="P17" i="80"/>
  <c r="K17" i="79" s="1"/>
  <c r="L18" i="80"/>
  <c r="G18" i="79" s="1"/>
  <c r="N18" i="80"/>
  <c r="I18" i="79" s="1"/>
  <c r="O18" i="80"/>
  <c r="J18" i="79" s="1"/>
  <c r="P18" i="80"/>
  <c r="K18" i="79" s="1"/>
  <c r="L19" i="80"/>
  <c r="G19" i="79" s="1"/>
  <c r="N19" i="80"/>
  <c r="I19" i="79" s="1"/>
  <c r="O19" i="80"/>
  <c r="J19" i="79" s="1"/>
  <c r="P19" i="80"/>
  <c r="K19" i="79" s="1"/>
  <c r="L20" i="80"/>
  <c r="G20" i="79" s="1"/>
  <c r="N20" i="80"/>
  <c r="I20" i="79" s="1"/>
  <c r="O20" i="80"/>
  <c r="J20" i="79" s="1"/>
  <c r="P20" i="80"/>
  <c r="K20" i="79" s="1"/>
  <c r="L21" i="80"/>
  <c r="G21" i="79" s="1"/>
  <c r="N21" i="80"/>
  <c r="I21" i="79" s="1"/>
  <c r="O21" i="80"/>
  <c r="J21" i="79" s="1"/>
  <c r="P21" i="80"/>
  <c r="K21" i="79" s="1"/>
  <c r="L22" i="80"/>
  <c r="G22" i="79" s="1"/>
  <c r="N22" i="80"/>
  <c r="I22" i="79" s="1"/>
  <c r="O22" i="80"/>
  <c r="J22" i="79" s="1"/>
  <c r="P22" i="80"/>
  <c r="K22" i="79" s="1"/>
  <c r="L23" i="80"/>
  <c r="G23" i="79" s="1"/>
  <c r="N23" i="80"/>
  <c r="I23" i="79" s="1"/>
  <c r="O23" i="80"/>
  <c r="J23" i="79" s="1"/>
  <c r="P23" i="80"/>
  <c r="K23" i="79" s="1"/>
  <c r="L24" i="80"/>
  <c r="G24" i="79" s="1"/>
  <c r="N24" i="80"/>
  <c r="I24" i="79" s="1"/>
  <c r="O24" i="80"/>
  <c r="J24" i="79" s="1"/>
  <c r="P24" i="80"/>
  <c r="K24" i="79" s="1"/>
  <c r="L25" i="80"/>
  <c r="N25"/>
  <c r="O25"/>
  <c r="P25"/>
  <c r="L26"/>
  <c r="G26" i="79" s="1"/>
  <c r="N26" i="80"/>
  <c r="I26" i="79" s="1"/>
  <c r="O26" i="80"/>
  <c r="J26" i="79" s="1"/>
  <c r="P26" i="80"/>
  <c r="K26" i="79" s="1"/>
  <c r="L27" i="80"/>
  <c r="G27" i="79" s="1"/>
  <c r="N27" i="80"/>
  <c r="I27" i="79" s="1"/>
  <c r="O27" i="80"/>
  <c r="J27" i="79" s="1"/>
  <c r="P27" i="80"/>
  <c r="K27" i="79" s="1"/>
  <c r="L28" i="80"/>
  <c r="G28" i="79" s="1"/>
  <c r="N28" i="80"/>
  <c r="I28" i="79" s="1"/>
  <c r="O28" i="80"/>
  <c r="J28" i="79" s="1"/>
  <c r="P28" i="80"/>
  <c r="K28" i="79" s="1"/>
  <c r="L29" i="80"/>
  <c r="G29" i="79" s="1"/>
  <c r="N29" i="80"/>
  <c r="I29" i="79" s="1"/>
  <c r="O29" i="80"/>
  <c r="J29" i="79" s="1"/>
  <c r="P29" i="80"/>
  <c r="K29" i="79" s="1"/>
  <c r="L30" i="80"/>
  <c r="G30" i="79" s="1"/>
  <c r="N30" i="80"/>
  <c r="I30" i="79" s="1"/>
  <c r="O30" i="80"/>
  <c r="J30" i="79" s="1"/>
  <c r="P30" i="80"/>
  <c r="K30" i="79" s="1"/>
  <c r="L31" i="80"/>
  <c r="G31" i="79" s="1"/>
  <c r="N31" i="80"/>
  <c r="I31" i="79" s="1"/>
  <c r="O31" i="80"/>
  <c r="J31" i="79" s="1"/>
  <c r="P31" i="80"/>
  <c r="K31" i="79" s="1"/>
  <c r="L32" i="80"/>
  <c r="G32" i="79" s="1"/>
  <c r="N32" i="80"/>
  <c r="I32" i="79" s="1"/>
  <c r="O32" i="80"/>
  <c r="J32" i="79" s="1"/>
  <c r="P32" i="80"/>
  <c r="K32" i="79" s="1"/>
  <c r="L33" i="80"/>
  <c r="G33" i="79" s="1"/>
  <c r="N33" i="80"/>
  <c r="I33" i="79" s="1"/>
  <c r="O33" i="80"/>
  <c r="J33" i="79" s="1"/>
  <c r="P33" i="80"/>
  <c r="K33" i="79" s="1"/>
  <c r="L34" i="80"/>
  <c r="G34" i="79" s="1"/>
  <c r="N34" i="80"/>
  <c r="I34" i="79" s="1"/>
  <c r="O34" i="80"/>
  <c r="J34" i="79" s="1"/>
  <c r="P34" i="80"/>
  <c r="K34" i="79" s="1"/>
  <c r="L35" i="80"/>
  <c r="N35"/>
  <c r="O35"/>
  <c r="P35"/>
  <c r="L36"/>
  <c r="G36" i="79" s="1"/>
  <c r="N36" i="80"/>
  <c r="I36" i="79" s="1"/>
  <c r="O36" i="80"/>
  <c r="J36" i="79" s="1"/>
  <c r="P36" i="80"/>
  <c r="K36" i="79" s="1"/>
  <c r="L37" i="80"/>
  <c r="N37"/>
  <c r="O37"/>
  <c r="P37"/>
  <c r="L38"/>
  <c r="G38" i="79" s="1"/>
  <c r="N38" i="80"/>
  <c r="I38" i="79" s="1"/>
  <c r="O38" i="80"/>
  <c r="J38" i="79" s="1"/>
  <c r="P38" i="80"/>
  <c r="K38" i="79" s="1"/>
  <c r="L39" i="80"/>
  <c r="G39" i="79" s="1"/>
  <c r="N39" i="80"/>
  <c r="I39" i="79" s="1"/>
  <c r="O39" i="80"/>
  <c r="J39" i="79" s="1"/>
  <c r="P39" i="80"/>
  <c r="K39" i="79" s="1"/>
  <c r="L40" i="80"/>
  <c r="G40" i="79" s="1"/>
  <c r="N40" i="80"/>
  <c r="I40" i="79" s="1"/>
  <c r="O40" i="80"/>
  <c r="J40" i="79" s="1"/>
  <c r="P40" i="80"/>
  <c r="K40" i="79" s="1"/>
  <c r="L41" i="80"/>
  <c r="G41" i="79" s="1"/>
  <c r="N41" i="80"/>
  <c r="I41" i="79" s="1"/>
  <c r="O41" i="80"/>
  <c r="J41" i="79" s="1"/>
  <c r="P41" i="80"/>
  <c r="K41" i="79" s="1"/>
  <c r="L42" i="80"/>
  <c r="N42"/>
  <c r="O42"/>
  <c r="P42"/>
  <c r="L5"/>
  <c r="G5" i="79" s="1"/>
  <c r="N5" i="80"/>
  <c r="I5" i="79" s="1"/>
  <c r="O5" i="80"/>
  <c r="J5" i="79" s="1"/>
  <c r="P5" i="80"/>
  <c r="K5" i="79" s="1"/>
  <c r="L6" i="80"/>
  <c r="G6" i="79" s="1"/>
  <c r="N6" i="80"/>
  <c r="I6" i="79" s="1"/>
  <c r="O6" i="80"/>
  <c r="J6" i="79" s="1"/>
  <c r="P6" i="80"/>
  <c r="K6" i="79" s="1"/>
  <c r="L7" i="80"/>
  <c r="G7" i="79" s="1"/>
  <c r="N7" i="80"/>
  <c r="I7" i="79" s="1"/>
  <c r="O7" i="80"/>
  <c r="J7" i="79" s="1"/>
  <c r="P7" i="80"/>
  <c r="K7" i="79" s="1"/>
  <c r="L8" i="80"/>
  <c r="G8" i="79" s="1"/>
  <c r="N8" i="80"/>
  <c r="I8" i="79" s="1"/>
  <c r="O8" i="80"/>
  <c r="J8" i="79" s="1"/>
  <c r="P8" i="80"/>
  <c r="K8" i="79" s="1"/>
  <c r="L9" i="80"/>
  <c r="G9" i="79" s="1"/>
  <c r="N9" i="80"/>
  <c r="I9" i="79" s="1"/>
  <c r="O9" i="80"/>
  <c r="J9" i="79" s="1"/>
  <c r="P9" i="80"/>
  <c r="K9" i="79" s="1"/>
  <c r="L10" i="80"/>
  <c r="G10" i="79" s="1"/>
  <c r="N10" i="80"/>
  <c r="I10" i="79" s="1"/>
  <c r="O10" i="80"/>
  <c r="J10" i="79" s="1"/>
  <c r="P10" i="80"/>
  <c r="K10" i="79" s="1"/>
  <c r="L11" i="80"/>
  <c r="G11" i="79" s="1"/>
  <c r="N11" i="80"/>
  <c r="I11" i="79" s="1"/>
  <c r="O11" i="80"/>
  <c r="J11" i="79" s="1"/>
  <c r="P11" i="80"/>
  <c r="K11" i="79" s="1"/>
  <c r="L27" i="70"/>
  <c r="G27" i="69" s="1"/>
  <c r="N27" i="70"/>
  <c r="I27" i="69" s="1"/>
  <c r="O27" i="70"/>
  <c r="J27" i="69" s="1"/>
  <c r="P27" i="70"/>
  <c r="K27" i="69" s="1"/>
  <c r="L28" i="70"/>
  <c r="G28" i="69" s="1"/>
  <c r="N28" i="70"/>
  <c r="I28" i="69" s="1"/>
  <c r="O28" i="70"/>
  <c r="J28" i="69" s="1"/>
  <c r="P28" i="70"/>
  <c r="K28" i="69" s="1"/>
  <c r="L29" i="70"/>
  <c r="G29" i="69" s="1"/>
  <c r="N29" i="70"/>
  <c r="I29" i="69" s="1"/>
  <c r="O29" i="70"/>
  <c r="J29" i="69" s="1"/>
  <c r="P29" i="70"/>
  <c r="K29" i="69" s="1"/>
  <c r="L30" i="70"/>
  <c r="G30" i="69" s="1"/>
  <c r="N30" i="70"/>
  <c r="I30" i="69" s="1"/>
  <c r="O30" i="70"/>
  <c r="J30" i="69" s="1"/>
  <c r="P30" i="70"/>
  <c r="K30" i="69" s="1"/>
  <c r="L31" i="70"/>
  <c r="G31" i="69" s="1"/>
  <c r="N31" i="70"/>
  <c r="I31" i="69" s="1"/>
  <c r="O31" i="70"/>
  <c r="J31" i="69" s="1"/>
  <c r="P31" i="70"/>
  <c r="K31" i="69" s="1"/>
  <c r="L32" i="70"/>
  <c r="G32" i="69" s="1"/>
  <c r="N32" i="70"/>
  <c r="I32" i="69" s="1"/>
  <c r="O32" i="70"/>
  <c r="J32" i="69" s="1"/>
  <c r="P32" i="70"/>
  <c r="K32" i="69" s="1"/>
  <c r="L33" i="70"/>
  <c r="G33" i="69" s="1"/>
  <c r="N33" i="70"/>
  <c r="I33" i="69" s="1"/>
  <c r="O33" i="70"/>
  <c r="J33" i="69" s="1"/>
  <c r="P33" i="70"/>
  <c r="K33" i="69" s="1"/>
  <c r="L34" i="70"/>
  <c r="G34" i="69" s="1"/>
  <c r="N34" i="70"/>
  <c r="I34" i="69" s="1"/>
  <c r="O34" i="70"/>
  <c r="J34" i="69" s="1"/>
  <c r="P34" i="70"/>
  <c r="K34" i="69" s="1"/>
  <c r="L35" i="70"/>
  <c r="N35"/>
  <c r="O35"/>
  <c r="P35"/>
  <c r="L36"/>
  <c r="G36" i="69" s="1"/>
  <c r="N36" i="70"/>
  <c r="I36" i="69" s="1"/>
  <c r="O36" i="70"/>
  <c r="J36" i="69" s="1"/>
  <c r="P36" i="70"/>
  <c r="K36" i="69" s="1"/>
  <c r="L37" i="70"/>
  <c r="G37" i="69" s="1"/>
  <c r="N37" i="70"/>
  <c r="I37" i="69" s="1"/>
  <c r="O37" i="70"/>
  <c r="J37" i="69" s="1"/>
  <c r="P37" i="70"/>
  <c r="K37" i="69" s="1"/>
  <c r="L38" i="70"/>
  <c r="G38" i="69" s="1"/>
  <c r="N38" i="70"/>
  <c r="I38" i="69" s="1"/>
  <c r="O38" i="70"/>
  <c r="J38" i="69" s="1"/>
  <c r="P38" i="70"/>
  <c r="K38" i="69" s="1"/>
  <c r="L39" i="70"/>
  <c r="G39" i="69" s="1"/>
  <c r="N39" i="70"/>
  <c r="I39" i="69" s="1"/>
  <c r="O39" i="70"/>
  <c r="J39" i="69" s="1"/>
  <c r="P39" i="70"/>
  <c r="K39" i="69" s="1"/>
  <c r="L40" i="70"/>
  <c r="G40" i="69" s="1"/>
  <c r="N40" i="70"/>
  <c r="I40" i="69" s="1"/>
  <c r="O40" i="70"/>
  <c r="J40" i="69" s="1"/>
  <c r="P40" i="70"/>
  <c r="K40" i="69" s="1"/>
  <c r="L41" i="70"/>
  <c r="G41" i="69" s="1"/>
  <c r="N41" i="70"/>
  <c r="I41" i="69" s="1"/>
  <c r="O41" i="70"/>
  <c r="J41" i="69" s="1"/>
  <c r="P41" i="70"/>
  <c r="K41" i="69" s="1"/>
  <c r="L42" i="70"/>
  <c r="N42"/>
  <c r="O42"/>
  <c r="P42"/>
  <c r="L5"/>
  <c r="G5" i="69" s="1"/>
  <c r="N5" i="70"/>
  <c r="I5" i="69" s="1"/>
  <c r="O5" i="70"/>
  <c r="J5" i="69" s="1"/>
  <c r="P5" i="70"/>
  <c r="K5" i="69" s="1"/>
  <c r="L6" i="70"/>
  <c r="G6" i="69" s="1"/>
  <c r="N6" i="70"/>
  <c r="I6" i="69" s="1"/>
  <c r="O6" i="70"/>
  <c r="J6" i="69" s="1"/>
  <c r="P6" i="70"/>
  <c r="K6" i="69" s="1"/>
  <c r="L7" i="70"/>
  <c r="G7" i="69" s="1"/>
  <c r="N7" i="70"/>
  <c r="I7" i="69" s="1"/>
  <c r="O7" i="70"/>
  <c r="J7" i="69" s="1"/>
  <c r="P7" i="70"/>
  <c r="K7" i="69" s="1"/>
  <c r="L8" i="70"/>
  <c r="G8" i="69" s="1"/>
  <c r="N8" i="70"/>
  <c r="I8" i="69" s="1"/>
  <c r="O8" i="70"/>
  <c r="J8" i="69" s="1"/>
  <c r="P8" i="70"/>
  <c r="K8" i="69" s="1"/>
  <c r="L9" i="70"/>
  <c r="G9" i="69" s="1"/>
  <c r="N9" i="70"/>
  <c r="I9" i="69" s="1"/>
  <c r="O9" i="70"/>
  <c r="J9" i="69" s="1"/>
  <c r="P9" i="70"/>
  <c r="K9" i="69" s="1"/>
  <c r="L10" i="70"/>
  <c r="G10" i="69" s="1"/>
  <c r="N10" i="70"/>
  <c r="I10" i="69" s="1"/>
  <c r="O10" i="70"/>
  <c r="J10" i="69" s="1"/>
  <c r="P10" i="70"/>
  <c r="K10" i="69" s="1"/>
  <c r="L11" i="70"/>
  <c r="G11" i="69" s="1"/>
  <c r="N11" i="70"/>
  <c r="I11" i="69" s="1"/>
  <c r="O11" i="70"/>
  <c r="J11" i="69" s="1"/>
  <c r="P11" i="70"/>
  <c r="K11" i="69" s="1"/>
  <c r="L12" i="70"/>
  <c r="G12" i="69" s="1"/>
  <c r="N12" i="70"/>
  <c r="I12" i="69" s="1"/>
  <c r="O12" i="70"/>
  <c r="J12" i="69" s="1"/>
  <c r="P12" i="70"/>
  <c r="K12" i="69" s="1"/>
  <c r="L13" i="70"/>
  <c r="G13" i="69" s="1"/>
  <c r="N13" i="70"/>
  <c r="I13" i="69" s="1"/>
  <c r="O13" i="70"/>
  <c r="J13" i="69" s="1"/>
  <c r="P13" i="70"/>
  <c r="K13" i="69" s="1"/>
  <c r="L14" i="70"/>
  <c r="G14" i="69" s="1"/>
  <c r="N14" i="70"/>
  <c r="I14" i="69" s="1"/>
  <c r="O14" i="70"/>
  <c r="J14" i="69" s="1"/>
  <c r="P14" i="70"/>
  <c r="K14" i="69" s="1"/>
  <c r="L5" i="76"/>
  <c r="G5" i="75" s="1"/>
  <c r="N5" i="76"/>
  <c r="I5" i="75" s="1"/>
  <c r="O5" i="76"/>
  <c r="J5" i="75" s="1"/>
  <c r="P5" i="76"/>
  <c r="K5" i="75" s="1"/>
  <c r="L6" i="76"/>
  <c r="G6" i="75" s="1"/>
  <c r="N6" i="76"/>
  <c r="I6" i="75" s="1"/>
  <c r="O6" i="76"/>
  <c r="J6" i="75" s="1"/>
  <c r="P6" i="76"/>
  <c r="K6" i="75" s="1"/>
  <c r="L7" i="76"/>
  <c r="G7" i="75" s="1"/>
  <c r="N7" i="76"/>
  <c r="I7" i="75" s="1"/>
  <c r="O7" i="76"/>
  <c r="J7" i="75" s="1"/>
  <c r="P7" i="76"/>
  <c r="K7" i="75" s="1"/>
  <c r="L8" i="76"/>
  <c r="G8" i="75" s="1"/>
  <c r="N8" i="76"/>
  <c r="I8" i="75" s="1"/>
  <c r="O8" i="76"/>
  <c r="J8" i="75" s="1"/>
  <c r="P8" i="76"/>
  <c r="K8" i="75" s="1"/>
  <c r="L9" i="76"/>
  <c r="G9" i="75" s="1"/>
  <c r="N9" i="76"/>
  <c r="I9" i="75" s="1"/>
  <c r="O9" i="76"/>
  <c r="J9" i="75" s="1"/>
  <c r="P9" i="76"/>
  <c r="K9" i="75" s="1"/>
  <c r="L10" i="76"/>
  <c r="G10" i="75" s="1"/>
  <c r="N10" i="76"/>
  <c r="I10" i="75" s="1"/>
  <c r="O10" i="76"/>
  <c r="J10" i="75" s="1"/>
  <c r="P10" i="76"/>
  <c r="K10" i="75" s="1"/>
  <c r="L11" i="76"/>
  <c r="G11" i="75" s="1"/>
  <c r="N11" i="76"/>
  <c r="I11" i="75" s="1"/>
  <c r="O11" i="76"/>
  <c r="J11" i="75" s="1"/>
  <c r="P11" i="76"/>
  <c r="K11" i="75" s="1"/>
  <c r="L12" i="76"/>
  <c r="G12" i="75" s="1"/>
  <c r="N12" i="76"/>
  <c r="I12" i="75" s="1"/>
  <c r="O12" i="76"/>
  <c r="J12" i="75" s="1"/>
  <c r="P12" i="76"/>
  <c r="K12" i="75" s="1"/>
  <c r="L13" i="76"/>
  <c r="G13" i="75" s="1"/>
  <c r="N13" i="76"/>
  <c r="I13" i="75" s="1"/>
  <c r="O13" i="76"/>
  <c r="J13" i="75" s="1"/>
  <c r="P13" i="76"/>
  <c r="K13" i="75" s="1"/>
  <c r="L14" i="76"/>
  <c r="G14" i="75" s="1"/>
  <c r="N14" i="76"/>
  <c r="I14" i="75" s="1"/>
  <c r="O14" i="76"/>
  <c r="J14" i="75" s="1"/>
  <c r="P14" i="76"/>
  <c r="K14" i="75" s="1"/>
  <c r="L39" i="76"/>
  <c r="G39" i="75" s="1"/>
  <c r="N39" i="76"/>
  <c r="I39" i="75" s="1"/>
  <c r="O39" i="76"/>
  <c r="J39" i="75" s="1"/>
  <c r="P39" i="76"/>
  <c r="K39" i="75" s="1"/>
  <c r="L40" i="76"/>
  <c r="G40" i="75" s="1"/>
  <c r="N40" i="76"/>
  <c r="I40" i="75" s="1"/>
  <c r="O40" i="76"/>
  <c r="J40" i="75" s="1"/>
  <c r="P40" i="76"/>
  <c r="K40" i="75" s="1"/>
  <c r="L41" i="76"/>
  <c r="G41" i="75" s="1"/>
  <c r="N41" i="76"/>
  <c r="I41" i="75" s="1"/>
  <c r="O41" i="76"/>
  <c r="J41" i="75" s="1"/>
  <c r="P41" i="76"/>
  <c r="K41" i="75" s="1"/>
  <c r="L42" i="76"/>
  <c r="N42"/>
  <c r="O42"/>
  <c r="P42"/>
  <c r="L5" i="74"/>
  <c r="G5" i="73" s="1"/>
  <c r="N5" i="74"/>
  <c r="I5" i="73" s="1"/>
  <c r="O5" i="74"/>
  <c r="J5" i="73" s="1"/>
  <c r="P5" i="74"/>
  <c r="K5" i="73" s="1"/>
  <c r="L6" i="74"/>
  <c r="G6" i="73" s="1"/>
  <c r="N6" i="74"/>
  <c r="I6" i="73" s="1"/>
  <c r="O6" i="74"/>
  <c r="J6" i="73" s="1"/>
  <c r="P6" i="74"/>
  <c r="K6" i="73" s="1"/>
  <c r="L7" i="74"/>
  <c r="G7" i="73" s="1"/>
  <c r="N7" i="74"/>
  <c r="I7" i="73" s="1"/>
  <c r="O7" i="74"/>
  <c r="J7" i="73" s="1"/>
  <c r="P7" i="74"/>
  <c r="K7" i="73" s="1"/>
  <c r="L8" i="74"/>
  <c r="G8" i="73" s="1"/>
  <c r="N8" i="74"/>
  <c r="I8" i="73" s="1"/>
  <c r="O8" i="74"/>
  <c r="J8" i="73" s="1"/>
  <c r="P8" i="74"/>
  <c r="K8" i="73" s="1"/>
  <c r="L9" i="74"/>
  <c r="G9" i="73" s="1"/>
  <c r="N9" i="74"/>
  <c r="I9" i="73" s="1"/>
  <c r="O9" i="74"/>
  <c r="J9" i="73" s="1"/>
  <c r="P9" i="74"/>
  <c r="K9" i="73" s="1"/>
  <c r="L10" i="74"/>
  <c r="G10" i="73" s="1"/>
  <c r="N10" i="74"/>
  <c r="I10" i="73" s="1"/>
  <c r="O10" i="74"/>
  <c r="J10" i="73" s="1"/>
  <c r="P10" i="74"/>
  <c r="K10" i="73" s="1"/>
  <c r="L11" i="74"/>
  <c r="G11" i="73" s="1"/>
  <c r="N11" i="74"/>
  <c r="I11" i="73" s="1"/>
  <c r="O11" i="74"/>
  <c r="J11" i="73" s="1"/>
  <c r="P11" i="74"/>
  <c r="K11" i="73" s="1"/>
  <c r="L12" i="74"/>
  <c r="G12" i="73" s="1"/>
  <c r="N12" i="74"/>
  <c r="I12" i="73" s="1"/>
  <c r="O12" i="74"/>
  <c r="J12" i="73" s="1"/>
  <c r="P12" i="74"/>
  <c r="K12" i="73" s="1"/>
  <c r="L13" i="74"/>
  <c r="G13" i="73" s="1"/>
  <c r="N13" i="74"/>
  <c r="I13" i="73" s="1"/>
  <c r="O13" i="74"/>
  <c r="J13" i="73" s="1"/>
  <c r="P13" i="74"/>
  <c r="K13" i="73" s="1"/>
  <c r="L14" i="74"/>
  <c r="N14"/>
  <c r="O14"/>
  <c r="P14"/>
  <c r="L15"/>
  <c r="N15"/>
  <c r="O15"/>
  <c r="P15"/>
  <c r="L16"/>
  <c r="N16"/>
  <c r="O16"/>
  <c r="P16"/>
  <c r="L17"/>
  <c r="N17"/>
  <c r="O17"/>
  <c r="P17"/>
  <c r="L18"/>
  <c r="N18"/>
  <c r="O18"/>
  <c r="P18"/>
  <c r="L19"/>
  <c r="N19"/>
  <c r="O19"/>
  <c r="P19"/>
  <c r="L20"/>
  <c r="N20"/>
  <c r="O20"/>
  <c r="P20"/>
  <c r="L21"/>
  <c r="N21"/>
  <c r="O21"/>
  <c r="P21"/>
  <c r="L22"/>
  <c r="N22"/>
  <c r="O22"/>
  <c r="P22"/>
  <c r="L23"/>
  <c r="N23"/>
  <c r="O23"/>
  <c r="P23"/>
  <c r="L24"/>
  <c r="N24"/>
  <c r="O24"/>
  <c r="P24"/>
  <c r="L38"/>
  <c r="G38" i="73" s="1"/>
  <c r="N38" i="74"/>
  <c r="I38" i="73" s="1"/>
  <c r="O38" i="74"/>
  <c r="J38" i="73" s="1"/>
  <c r="P38" i="74"/>
  <c r="K38" i="73" s="1"/>
  <c r="L39" i="74"/>
  <c r="G39" i="73" s="1"/>
  <c r="N39" i="74"/>
  <c r="I39" i="73" s="1"/>
  <c r="O39" i="74"/>
  <c r="J39" i="73" s="1"/>
  <c r="P39" i="74"/>
  <c r="K39" i="73" s="1"/>
  <c r="L40" i="74"/>
  <c r="G40" i="73" s="1"/>
  <c r="N40" i="74"/>
  <c r="I40" i="73" s="1"/>
  <c r="O40" i="74"/>
  <c r="J40" i="73" s="1"/>
  <c r="P40" i="74"/>
  <c r="K40" i="73" s="1"/>
  <c r="L41" i="74"/>
  <c r="G41" i="73" s="1"/>
  <c r="N41" i="74"/>
  <c r="I41" i="73" s="1"/>
  <c r="O41" i="74"/>
  <c r="J41" i="73" s="1"/>
  <c r="P41" i="74"/>
  <c r="K41" i="73" s="1"/>
  <c r="L42" i="74"/>
  <c r="N42"/>
  <c r="O42"/>
  <c r="P42"/>
  <c r="L5" i="72"/>
  <c r="G5" i="71" s="1"/>
  <c r="N5" i="72"/>
  <c r="I5" i="71" s="1"/>
  <c r="O5" i="72"/>
  <c r="J5" i="71" s="1"/>
  <c r="P5" i="72"/>
  <c r="K5" i="71" s="1"/>
  <c r="L6" i="72"/>
  <c r="G6" i="71" s="1"/>
  <c r="N6" i="72"/>
  <c r="I6" i="71" s="1"/>
  <c r="O6" i="72"/>
  <c r="J6" i="71" s="1"/>
  <c r="P6" i="72"/>
  <c r="K6" i="71" s="1"/>
  <c r="L7" i="72"/>
  <c r="G7" i="71" s="1"/>
  <c r="N7" i="72"/>
  <c r="I7" i="71" s="1"/>
  <c r="O7" i="72"/>
  <c r="J7" i="71" s="1"/>
  <c r="P7" i="72"/>
  <c r="K7" i="71" s="1"/>
  <c r="L8" i="72"/>
  <c r="G8" i="71" s="1"/>
  <c r="N8" i="72"/>
  <c r="I8" i="71" s="1"/>
  <c r="O8" i="72"/>
  <c r="J8" i="71" s="1"/>
  <c r="P8" i="72"/>
  <c r="K8" i="71" s="1"/>
  <c r="L9" i="72"/>
  <c r="G9" i="71" s="1"/>
  <c r="N9" i="72"/>
  <c r="I9" i="71" s="1"/>
  <c r="O9" i="72"/>
  <c r="P9"/>
  <c r="K9" i="71" s="1"/>
  <c r="L10" i="72"/>
  <c r="G10" i="71" s="1"/>
  <c r="N10" i="72"/>
  <c r="I10" i="71" s="1"/>
  <c r="O10" i="72"/>
  <c r="J10" i="71" s="1"/>
  <c r="P10" i="72"/>
  <c r="K10" i="71" s="1"/>
  <c r="L11" i="72"/>
  <c r="G11" i="71" s="1"/>
  <c r="N11" i="72"/>
  <c r="I11" i="71" s="1"/>
  <c r="O11" i="72"/>
  <c r="J11" i="71" s="1"/>
  <c r="P11" i="72"/>
  <c r="K11" i="71" s="1"/>
  <c r="L12" i="72"/>
  <c r="G12" i="71" s="1"/>
  <c r="N12" i="72"/>
  <c r="I12" i="71" s="1"/>
  <c r="O12" i="72"/>
  <c r="J12" i="71" s="1"/>
  <c r="P12" i="72"/>
  <c r="K12" i="71" s="1"/>
  <c r="L13" i="72"/>
  <c r="G13" i="71" s="1"/>
  <c r="N13" i="72"/>
  <c r="I13" i="71" s="1"/>
  <c r="O13" i="72"/>
  <c r="J13" i="71" s="1"/>
  <c r="P13" i="72"/>
  <c r="K13" i="71" s="1"/>
  <c r="L14" i="72"/>
  <c r="N14"/>
  <c r="O14"/>
  <c r="P14"/>
  <c r="L15"/>
  <c r="G15" i="71" s="1"/>
  <c r="N15" i="72"/>
  <c r="I15" i="71" s="1"/>
  <c r="O15" i="72"/>
  <c r="J15" i="71" s="1"/>
  <c r="P15" i="72"/>
  <c r="K15" i="71" s="1"/>
  <c r="L16" i="72"/>
  <c r="G16" i="71" s="1"/>
  <c r="N16" i="72"/>
  <c r="I16" i="71" s="1"/>
  <c r="O16" i="72"/>
  <c r="J16" i="71" s="1"/>
  <c r="P16" i="72"/>
  <c r="K16" i="71" s="1"/>
  <c r="L17" i="72"/>
  <c r="G17" i="71" s="1"/>
  <c r="N17" i="72"/>
  <c r="I17" i="71" s="1"/>
  <c r="O17" i="72"/>
  <c r="J17" i="71" s="1"/>
  <c r="P17" i="72"/>
  <c r="K17" i="71" s="1"/>
  <c r="L18" i="72"/>
  <c r="G18" i="71" s="1"/>
  <c r="N18" i="72"/>
  <c r="I18" i="71" s="1"/>
  <c r="O18" i="72"/>
  <c r="J18" i="71" s="1"/>
  <c r="P18" i="72"/>
  <c r="K18" i="71" s="1"/>
  <c r="L19" i="72"/>
  <c r="G19" i="71" s="1"/>
  <c r="N19" i="72"/>
  <c r="I19" i="71" s="1"/>
  <c r="O19" i="72"/>
  <c r="P19"/>
  <c r="K19" i="71" s="1"/>
  <c r="L20" i="72"/>
  <c r="G20" i="71" s="1"/>
  <c r="N20" i="72"/>
  <c r="I20" i="71" s="1"/>
  <c r="O20" i="72"/>
  <c r="J20" i="71" s="1"/>
  <c r="P20" i="72"/>
  <c r="K20" i="71" s="1"/>
  <c r="L21" i="72"/>
  <c r="G21" i="71" s="1"/>
  <c r="N21" i="72"/>
  <c r="I21" i="71" s="1"/>
  <c r="O21" i="72"/>
  <c r="J21" i="71" s="1"/>
  <c r="P21" i="72"/>
  <c r="K21" i="71" s="1"/>
  <c r="L22" i="72"/>
  <c r="G22" i="71" s="1"/>
  <c r="N22" i="72"/>
  <c r="I22" i="71" s="1"/>
  <c r="O22" i="72"/>
  <c r="J22" i="71" s="1"/>
  <c r="P22" i="72"/>
  <c r="K22" i="71" s="1"/>
  <c r="L23" i="72"/>
  <c r="G23" i="71" s="1"/>
  <c r="N23" i="72"/>
  <c r="I23" i="71" s="1"/>
  <c r="O23" i="72"/>
  <c r="J23" i="71" s="1"/>
  <c r="P23" i="72"/>
  <c r="K23" i="71" s="1"/>
  <c r="L24" i="72"/>
  <c r="G24" i="71" s="1"/>
  <c r="N24" i="72"/>
  <c r="I24" i="71" s="1"/>
  <c r="O24" i="72"/>
  <c r="J24" i="71" s="1"/>
  <c r="P24" i="72"/>
  <c r="K24" i="71" s="1"/>
  <c r="L25" i="72"/>
  <c r="N25"/>
  <c r="O25"/>
  <c r="P25"/>
  <c r="L26"/>
  <c r="G26" i="71" s="1"/>
  <c r="N26" i="72"/>
  <c r="I26" i="71" s="1"/>
  <c r="O26" i="72"/>
  <c r="J26" i="71" s="1"/>
  <c r="P26" i="72"/>
  <c r="K26" i="71" s="1"/>
  <c r="L27" i="72"/>
  <c r="G27" i="71" s="1"/>
  <c r="N27" i="72"/>
  <c r="I27" i="71" s="1"/>
  <c r="O27" i="72"/>
  <c r="P27"/>
  <c r="K27" i="71" s="1"/>
  <c r="L28" i="72"/>
  <c r="G28" i="71" s="1"/>
  <c r="N28" i="72"/>
  <c r="I28" i="71" s="1"/>
  <c r="O28" i="72"/>
  <c r="J28" i="71" s="1"/>
  <c r="P28" i="72"/>
  <c r="K28" i="71" s="1"/>
  <c r="L29" i="72"/>
  <c r="G29" i="71" s="1"/>
  <c r="N29" i="72"/>
  <c r="O29"/>
  <c r="J29" i="71" s="1"/>
  <c r="P29" i="72"/>
  <c r="K29" i="71" s="1"/>
  <c r="L30" i="72"/>
  <c r="G30" i="71" s="1"/>
  <c r="N30" i="72"/>
  <c r="I30" i="71" s="1"/>
  <c r="O30" i="72"/>
  <c r="J30" i="71" s="1"/>
  <c r="P30" i="72"/>
  <c r="K30" i="71" s="1"/>
  <c r="L31" i="72"/>
  <c r="G31" i="71" s="1"/>
  <c r="N31" i="72"/>
  <c r="I31" i="71" s="1"/>
  <c r="O31" i="72"/>
  <c r="J31" i="71" s="1"/>
  <c r="P31" i="72"/>
  <c r="K31" i="71" s="1"/>
  <c r="L32" i="72"/>
  <c r="G32" i="71" s="1"/>
  <c r="N32" i="72"/>
  <c r="I32" i="71" s="1"/>
  <c r="O32" i="72"/>
  <c r="J32" i="71" s="1"/>
  <c r="P32" i="72"/>
  <c r="K32" i="71" s="1"/>
  <c r="L33" i="72"/>
  <c r="G33" i="71" s="1"/>
  <c r="N33" i="72"/>
  <c r="I33" i="71" s="1"/>
  <c r="O33" i="72"/>
  <c r="J33" i="71" s="1"/>
  <c r="P33" i="72"/>
  <c r="K33" i="71" s="1"/>
  <c r="L34" i="72"/>
  <c r="G34" i="71" s="1"/>
  <c r="N34" i="72"/>
  <c r="I34" i="71" s="1"/>
  <c r="O34" i="72"/>
  <c r="J34" i="71" s="1"/>
  <c r="P34" i="72"/>
  <c r="K34" i="71" s="1"/>
  <c r="L35" i="72"/>
  <c r="N35"/>
  <c r="O35"/>
  <c r="P35"/>
  <c r="L36"/>
  <c r="G36" i="71" s="1"/>
  <c r="N36" i="72"/>
  <c r="I36" i="71" s="1"/>
  <c r="O36" i="72"/>
  <c r="P36"/>
  <c r="K36" i="71" s="1"/>
  <c r="L37" i="72"/>
  <c r="G37" i="71" s="1"/>
  <c r="N37" i="72"/>
  <c r="I37" i="71" s="1"/>
  <c r="O37" i="72"/>
  <c r="J37" i="71" s="1"/>
  <c r="P37" i="72"/>
  <c r="K37" i="71" s="1"/>
  <c r="L38" i="72"/>
  <c r="G38" i="71" s="1"/>
  <c r="N38" i="72"/>
  <c r="I38" i="71" s="1"/>
  <c r="O38" i="72"/>
  <c r="J38" i="71" s="1"/>
  <c r="P38" i="72"/>
  <c r="K38" i="71" s="1"/>
  <c r="L39" i="72"/>
  <c r="N39"/>
  <c r="I39" i="71" s="1"/>
  <c r="O39" i="72"/>
  <c r="J39" i="71" s="1"/>
  <c r="P39" i="72"/>
  <c r="K39" i="71" s="1"/>
  <c r="L40" i="72"/>
  <c r="G40" i="71" s="1"/>
  <c r="N40" i="72"/>
  <c r="I40" i="71" s="1"/>
  <c r="O40" i="72"/>
  <c r="J40" i="71" s="1"/>
  <c r="P40" i="72"/>
  <c r="K40" i="71" s="1"/>
  <c r="G39"/>
  <c r="L41" i="72"/>
  <c r="G41" i="71" s="1"/>
  <c r="N41" i="72"/>
  <c r="I41" i="71" s="1"/>
  <c r="O41" i="72"/>
  <c r="J41" i="71" s="1"/>
  <c r="P41" i="72"/>
  <c r="K41" i="71" s="1"/>
  <c r="L42" i="72"/>
  <c r="G42" i="71" s="1"/>
  <c r="N42" i="72"/>
  <c r="O42"/>
  <c r="P42"/>
  <c r="J19" i="71"/>
  <c r="J27"/>
  <c r="I29"/>
  <c r="J36"/>
  <c r="J9"/>
  <c r="L39" i="65"/>
  <c r="N39"/>
  <c r="O39"/>
  <c r="P39"/>
  <c r="K39" i="66" s="1"/>
  <c r="L40" i="65"/>
  <c r="G40" i="66" s="1"/>
  <c r="N40" i="65"/>
  <c r="I40" i="66" s="1"/>
  <c r="O40" i="65"/>
  <c r="J40" i="66" s="1"/>
  <c r="P40" i="65"/>
  <c r="K40" i="66" s="1"/>
  <c r="L41" i="65"/>
  <c r="G41" i="66" s="1"/>
  <c r="N41" i="65"/>
  <c r="I41" i="66" s="1"/>
  <c r="O41" i="65"/>
  <c r="J41" i="66" s="1"/>
  <c r="P41" i="65"/>
  <c r="K41" i="66" s="1"/>
  <c r="L42" i="65"/>
  <c r="N42"/>
  <c r="O42"/>
  <c r="P42"/>
  <c r="G39" i="66"/>
  <c r="I39"/>
  <c r="J39"/>
  <c r="L5" i="65"/>
  <c r="G5" i="66" s="1"/>
  <c r="N5" i="65"/>
  <c r="I5" i="66" s="1"/>
  <c r="O5" i="65"/>
  <c r="J5" i="66" s="1"/>
  <c r="P5" i="65"/>
  <c r="K5" i="66" s="1"/>
  <c r="L6" i="65"/>
  <c r="G6" i="66" s="1"/>
  <c r="N6" i="65"/>
  <c r="I6" i="66" s="1"/>
  <c r="O6" i="65"/>
  <c r="J6" i="66" s="1"/>
  <c r="P6" i="65"/>
  <c r="K6" i="66" s="1"/>
  <c r="L7" i="65"/>
  <c r="G7" i="66" s="1"/>
  <c r="N7" i="65"/>
  <c r="I7" i="66" s="1"/>
  <c r="O7" i="65"/>
  <c r="J7" i="66" s="1"/>
  <c r="P7" i="65"/>
  <c r="K7" i="66" s="1"/>
  <c r="L8" i="65"/>
  <c r="G8" i="66" s="1"/>
  <c r="N8" i="65"/>
  <c r="I8" i="66" s="1"/>
  <c r="O8" i="65"/>
  <c r="J8" i="66" s="1"/>
  <c r="P8" i="65"/>
  <c r="K8" i="66" s="1"/>
  <c r="L9" i="65"/>
  <c r="G9" i="66" s="1"/>
  <c r="N9" i="65"/>
  <c r="I9" i="66" s="1"/>
  <c r="O9" i="65"/>
  <c r="J9" i="66" s="1"/>
  <c r="P9" i="65"/>
  <c r="K9" i="66" s="1"/>
  <c r="L10" i="65"/>
  <c r="G10" i="66" s="1"/>
  <c r="N10" i="65"/>
  <c r="I10" i="66" s="1"/>
  <c r="O10" i="65"/>
  <c r="J10" i="66" s="1"/>
  <c r="P10" i="65"/>
  <c r="K10" i="66" s="1"/>
  <c r="L11" i="65"/>
  <c r="G11" i="66" s="1"/>
  <c r="N11" i="65"/>
  <c r="I11" i="66" s="1"/>
  <c r="O11" i="65"/>
  <c r="J11" i="66" s="1"/>
  <c r="P11" i="65"/>
  <c r="K11" i="66" s="1"/>
  <c r="L12" i="65"/>
  <c r="G12" i="66" s="1"/>
  <c r="N12" i="65"/>
  <c r="I12" i="66" s="1"/>
  <c r="O12" i="65"/>
  <c r="J12" i="66" s="1"/>
  <c r="P12" i="65"/>
  <c r="K12" i="66" s="1"/>
  <c r="L13" i="65"/>
  <c r="G13" i="66" s="1"/>
  <c r="N13" i="65"/>
  <c r="I13" i="66" s="1"/>
  <c r="O13" i="65"/>
  <c r="J13" i="66" s="1"/>
  <c r="P13" i="65"/>
  <c r="K13" i="66" s="1"/>
  <c r="E4" i="154"/>
  <c r="C6" i="65"/>
  <c r="E5" i="154" s="1"/>
  <c r="C7" i="65"/>
  <c r="F6" i="154" s="1"/>
  <c r="C8" i="65"/>
  <c r="H8" s="1"/>
  <c r="C9"/>
  <c r="E8" i="154" s="1"/>
  <c r="C10" i="65"/>
  <c r="H10" s="1"/>
  <c r="C11"/>
  <c r="F10" i="154" s="1"/>
  <c r="C12" i="65"/>
  <c r="H12" s="1"/>
  <c r="C13"/>
  <c r="E12" i="154" s="1"/>
  <c r="C42" i="61"/>
  <c r="C41"/>
  <c r="C40"/>
  <c r="C42" i="80"/>
  <c r="C41"/>
  <c r="T40" i="154" s="1"/>
  <c r="C40" i="80"/>
  <c r="V39" i="154" s="1"/>
  <c r="C39" i="80"/>
  <c r="T38" i="154" s="1"/>
  <c r="C38" i="80"/>
  <c r="H38" s="1"/>
  <c r="M38" s="1"/>
  <c r="C37"/>
  <c r="H37" s="1"/>
  <c r="C36"/>
  <c r="C35"/>
  <c r="C34"/>
  <c r="H34" s="1"/>
  <c r="M34" s="1"/>
  <c r="C33"/>
  <c r="H33" s="1"/>
  <c r="C32"/>
  <c r="C31"/>
  <c r="H31" s="1"/>
  <c r="C30"/>
  <c r="H30" s="1"/>
  <c r="M30" s="1"/>
  <c r="C29"/>
  <c r="H29" s="1"/>
  <c r="C28"/>
  <c r="C27"/>
  <c r="C26"/>
  <c r="C25"/>
  <c r="C24"/>
  <c r="C23"/>
  <c r="C22"/>
  <c r="C21"/>
  <c r="C20"/>
  <c r="C19"/>
  <c r="C18"/>
  <c r="H18" s="1"/>
  <c r="M18" s="1"/>
  <c r="C17"/>
  <c r="C16"/>
  <c r="C15"/>
  <c r="C14"/>
  <c r="H14" s="1"/>
  <c r="M14" s="1"/>
  <c r="C13"/>
  <c r="T12" i="154" s="1"/>
  <c r="C12" i="80"/>
  <c r="T11" i="154" s="1"/>
  <c r="C11" i="80"/>
  <c r="H11" s="1"/>
  <c r="M11" s="1"/>
  <c r="C10"/>
  <c r="T9" i="154" s="1"/>
  <c r="C9" i="80"/>
  <c r="V8" i="154" s="1"/>
  <c r="C8" i="80"/>
  <c r="H8" s="1"/>
  <c r="C7"/>
  <c r="H7" s="1"/>
  <c r="M7" s="1"/>
  <c r="C6"/>
  <c r="V5" i="154" s="1"/>
  <c r="C5" i="80"/>
  <c r="T4" i="154" s="1"/>
  <c r="C42" i="79"/>
  <c r="C41"/>
  <c r="C40"/>
  <c r="C39"/>
  <c r="C38"/>
  <c r="C37"/>
  <c r="C36"/>
  <c r="C35"/>
  <c r="C34"/>
  <c r="C33"/>
  <c r="C32"/>
  <c r="C31"/>
  <c r="C30"/>
  <c r="C29"/>
  <c r="C28"/>
  <c r="C27"/>
  <c r="C26"/>
  <c r="C25"/>
  <c r="C24"/>
  <c r="C23"/>
  <c r="C22"/>
  <c r="C21"/>
  <c r="C20"/>
  <c r="C19"/>
  <c r="C18"/>
  <c r="C17"/>
  <c r="C16"/>
  <c r="C15"/>
  <c r="C14"/>
  <c r="C13"/>
  <c r="C12"/>
  <c r="C11"/>
  <c r="C10"/>
  <c r="C9"/>
  <c r="C8"/>
  <c r="C7"/>
  <c r="C6"/>
  <c r="C5"/>
  <c r="C42" i="70"/>
  <c r="C41"/>
  <c r="C40"/>
  <c r="H40" s="1"/>
  <c r="M40" s="1"/>
  <c r="C39"/>
  <c r="H39" s="1"/>
  <c r="M39" s="1"/>
  <c r="C38"/>
  <c r="C37"/>
  <c r="H37" s="1"/>
  <c r="C36"/>
  <c r="H36" s="1"/>
  <c r="M36" s="1"/>
  <c r="C35"/>
  <c r="C34"/>
  <c r="C33"/>
  <c r="C32"/>
  <c r="H32" s="1"/>
  <c r="M32" s="1"/>
  <c r="C31"/>
  <c r="H31" s="1"/>
  <c r="M31" s="1"/>
  <c r="C30"/>
  <c r="C29"/>
  <c r="C28"/>
  <c r="H28" s="1"/>
  <c r="M28" s="1"/>
  <c r="C27"/>
  <c r="C26"/>
  <c r="C25"/>
  <c r="C24"/>
  <c r="C23"/>
  <c r="C22"/>
  <c r="H22" s="1"/>
  <c r="C21"/>
  <c r="H21" s="1"/>
  <c r="C20"/>
  <c r="H20" s="1"/>
  <c r="C19"/>
  <c r="H19" s="1"/>
  <c r="C18"/>
  <c r="H18" s="1"/>
  <c r="C17"/>
  <c r="H17" s="1"/>
  <c r="C16"/>
  <c r="H16" s="1"/>
  <c r="C15"/>
  <c r="H15" s="1"/>
  <c r="C14"/>
  <c r="H14" s="1"/>
  <c r="C13"/>
  <c r="R12" i="154" s="1"/>
  <c r="C12" i="70"/>
  <c r="Q11" i="154" s="1"/>
  <c r="C11" i="70"/>
  <c r="Q10" i="154" s="1"/>
  <c r="C10" i="70"/>
  <c r="Q9" i="154" s="1"/>
  <c r="C9" i="70"/>
  <c r="Q8" i="154" s="1"/>
  <c r="C8" i="70"/>
  <c r="Q7" i="154" s="1"/>
  <c r="C7" i="70"/>
  <c r="Q6" i="154" s="1"/>
  <c r="C6" i="70"/>
  <c r="C5"/>
  <c r="R4" i="154" s="1"/>
  <c r="C42" i="69"/>
  <c r="C41"/>
  <c r="C40"/>
  <c r="C39"/>
  <c r="C38"/>
  <c r="C37"/>
  <c r="C36"/>
  <c r="C35"/>
  <c r="C34"/>
  <c r="C33"/>
  <c r="C32"/>
  <c r="C31"/>
  <c r="C30"/>
  <c r="C29"/>
  <c r="C28"/>
  <c r="C27"/>
  <c r="C26"/>
  <c r="C25"/>
  <c r="C24"/>
  <c r="C23"/>
  <c r="C22"/>
  <c r="C21"/>
  <c r="C20"/>
  <c r="C19"/>
  <c r="C18"/>
  <c r="C17"/>
  <c r="C16"/>
  <c r="C15"/>
  <c r="C14"/>
  <c r="C13"/>
  <c r="C12"/>
  <c r="C11"/>
  <c r="C10"/>
  <c r="C9"/>
  <c r="C8"/>
  <c r="C7"/>
  <c r="C6"/>
  <c r="C5"/>
  <c r="N41" i="154"/>
  <c r="O40"/>
  <c r="P39"/>
  <c r="H38" i="76"/>
  <c r="H37"/>
  <c r="H36"/>
  <c r="H35"/>
  <c r="H34"/>
  <c r="H33"/>
  <c r="H32"/>
  <c r="H31"/>
  <c r="H30"/>
  <c r="H29"/>
  <c r="H28"/>
  <c r="M12" i="154"/>
  <c r="N11"/>
  <c r="K10"/>
  <c r="P9"/>
  <c r="N8"/>
  <c r="O6"/>
  <c r="L5"/>
  <c r="M4"/>
  <c r="C42" i="75"/>
  <c r="C41"/>
  <c r="C40"/>
  <c r="C39"/>
  <c r="C38"/>
  <c r="C37"/>
  <c r="C36"/>
  <c r="C35"/>
  <c r="C34"/>
  <c r="C33"/>
  <c r="C32"/>
  <c r="C31"/>
  <c r="C30"/>
  <c r="C29"/>
  <c r="C28"/>
  <c r="C27"/>
  <c r="C26"/>
  <c r="C25"/>
  <c r="C24"/>
  <c r="C23"/>
  <c r="C22"/>
  <c r="C21"/>
  <c r="C20"/>
  <c r="C19"/>
  <c r="C18"/>
  <c r="C17"/>
  <c r="C16"/>
  <c r="C15"/>
  <c r="C14"/>
  <c r="C13"/>
  <c r="C12"/>
  <c r="C11"/>
  <c r="C10"/>
  <c r="C9"/>
  <c r="C8"/>
  <c r="C7"/>
  <c r="C6"/>
  <c r="C5"/>
  <c r="C5" i="74"/>
  <c r="C6"/>
  <c r="H6" s="1"/>
  <c r="C7"/>
  <c r="H7" s="1"/>
  <c r="M7" s="1"/>
  <c r="C8"/>
  <c r="H8" s="1"/>
  <c r="M8" s="1"/>
  <c r="C9"/>
  <c r="C10"/>
  <c r="H10" s="1"/>
  <c r="C11"/>
  <c r="H11" s="1"/>
  <c r="M11" s="1"/>
  <c r="C12"/>
  <c r="H12" s="1"/>
  <c r="M12" s="1"/>
  <c r="C13"/>
  <c r="C14"/>
  <c r="H14" s="1"/>
  <c r="C6" i="73"/>
  <c r="C7"/>
  <c r="C8"/>
  <c r="C9"/>
  <c r="C10"/>
  <c r="C11"/>
  <c r="C12"/>
  <c r="C13"/>
  <c r="C14"/>
  <c r="C15"/>
  <c r="C16"/>
  <c r="C17"/>
  <c r="C18"/>
  <c r="C19"/>
  <c r="C20"/>
  <c r="C21"/>
  <c r="C22"/>
  <c r="C23"/>
  <c r="C24"/>
  <c r="C25"/>
  <c r="C26"/>
  <c r="C27"/>
  <c r="C28"/>
  <c r="C29"/>
  <c r="C30"/>
  <c r="C31"/>
  <c r="C32"/>
  <c r="C33"/>
  <c r="C34"/>
  <c r="C35"/>
  <c r="C36"/>
  <c r="C37"/>
  <c r="C38"/>
  <c r="C39"/>
  <c r="C40"/>
  <c r="C41"/>
  <c r="C42"/>
  <c r="C5"/>
  <c r="C42" i="72"/>
  <c r="C41"/>
  <c r="C40"/>
  <c r="H39" i="154" s="1"/>
  <c r="C39" i="72"/>
  <c r="I38" i="154" s="1"/>
  <c r="C38" i="72"/>
  <c r="C37"/>
  <c r="H37" s="1"/>
  <c r="C36"/>
  <c r="H36" s="1"/>
  <c r="C35"/>
  <c r="C34"/>
  <c r="C33"/>
  <c r="H33" s="1"/>
  <c r="C32"/>
  <c r="H32" s="1"/>
  <c r="C31"/>
  <c r="C30"/>
  <c r="C29"/>
  <c r="H29" s="1"/>
  <c r="C28"/>
  <c r="H28" s="1"/>
  <c r="C27"/>
  <c r="C26"/>
  <c r="C25"/>
  <c r="C24"/>
  <c r="C23"/>
  <c r="H23" s="1"/>
  <c r="C22"/>
  <c r="C21"/>
  <c r="H21" s="1"/>
  <c r="C20"/>
  <c r="H20" s="1"/>
  <c r="C19"/>
  <c r="H19" s="1"/>
  <c r="C18"/>
  <c r="C17"/>
  <c r="C16"/>
  <c r="C15"/>
  <c r="C14"/>
  <c r="C13"/>
  <c r="J12" i="154" s="1"/>
  <c r="C12" i="72"/>
  <c r="J11" i="154" s="1"/>
  <c r="C11" i="72"/>
  <c r="C10"/>
  <c r="J9" i="154" s="1"/>
  <c r="C9" i="72"/>
  <c r="I8" i="154" s="1"/>
  <c r="C8" i="72"/>
  <c r="C7"/>
  <c r="H6" i="154" s="1"/>
  <c r="C6" i="72"/>
  <c r="J5" i="154" s="1"/>
  <c r="C5" i="72"/>
  <c r="J4" i="154" s="1"/>
  <c r="C6" i="71"/>
  <c r="C7"/>
  <c r="C8"/>
  <c r="C9"/>
  <c r="C10"/>
  <c r="C11"/>
  <c r="C12"/>
  <c r="C13"/>
  <c r="C14"/>
  <c r="C15"/>
  <c r="C16"/>
  <c r="C17"/>
  <c r="C18"/>
  <c r="C19"/>
  <c r="C20"/>
  <c r="C21"/>
  <c r="C22"/>
  <c r="C23"/>
  <c r="C24"/>
  <c r="C25"/>
  <c r="C26"/>
  <c r="C27"/>
  <c r="C28"/>
  <c r="C29"/>
  <c r="C30"/>
  <c r="C31"/>
  <c r="C32"/>
  <c r="C33"/>
  <c r="C34"/>
  <c r="C35"/>
  <c r="C36"/>
  <c r="C37"/>
  <c r="C38"/>
  <c r="C39"/>
  <c r="C40"/>
  <c r="C41"/>
  <c r="C42"/>
  <c r="C5"/>
  <c r="C6" i="66"/>
  <c r="C7"/>
  <c r="C8"/>
  <c r="C9"/>
  <c r="C10"/>
  <c r="C11"/>
  <c r="C12"/>
  <c r="C13"/>
  <c r="C14"/>
  <c r="C15"/>
  <c r="C16"/>
  <c r="C17"/>
  <c r="C18"/>
  <c r="C19"/>
  <c r="C20"/>
  <c r="C21"/>
  <c r="C22"/>
  <c r="C23"/>
  <c r="C24"/>
  <c r="C25"/>
  <c r="C26"/>
  <c r="C27"/>
  <c r="C28"/>
  <c r="C29"/>
  <c r="C30"/>
  <c r="C31"/>
  <c r="C32"/>
  <c r="C33"/>
  <c r="C34"/>
  <c r="C35"/>
  <c r="C36"/>
  <c r="C37"/>
  <c r="C38"/>
  <c r="C39"/>
  <c r="C40"/>
  <c r="C41"/>
  <c r="C42"/>
  <c r="C5"/>
  <c r="C40" i="67"/>
  <c r="C41"/>
  <c r="C42"/>
  <c r="C43"/>
  <c r="C15"/>
  <c r="C16"/>
  <c r="C17"/>
  <c r="C18"/>
  <c r="C19"/>
  <c r="C20"/>
  <c r="C21"/>
  <c r="C22"/>
  <c r="C23"/>
  <c r="C24"/>
  <c r="C25"/>
  <c r="C47" s="1"/>
  <c r="C26"/>
  <c r="C27"/>
  <c r="C28"/>
  <c r="C29"/>
  <c r="C30"/>
  <c r="C31"/>
  <c r="C32"/>
  <c r="C33"/>
  <c r="C35"/>
  <c r="C36"/>
  <c r="C37"/>
  <c r="C38"/>
  <c r="C39"/>
  <c r="C14"/>
  <c r="I29" i="26"/>
  <c r="I28" i="25"/>
  <c r="I29"/>
  <c r="I29" i="27"/>
  <c r="I32"/>
  <c r="I31"/>
  <c r="I30"/>
  <c r="R57" i="22"/>
  <c r="J27" s="1"/>
  <c r="U47" i="28"/>
  <c r="U59"/>
  <c r="T59"/>
  <c r="S59"/>
  <c r="R59"/>
  <c r="Q59"/>
  <c r="U58"/>
  <c r="T58"/>
  <c r="S58"/>
  <c r="R58"/>
  <c r="Q58"/>
  <c r="U57"/>
  <c r="N27" s="1"/>
  <c r="N26" s="1"/>
  <c r="T57"/>
  <c r="M27" s="1"/>
  <c r="S57"/>
  <c r="K27" s="1"/>
  <c r="R57"/>
  <c r="J27" s="1"/>
  <c r="Q57"/>
  <c r="H27" s="1"/>
  <c r="H26" s="1"/>
  <c r="U56"/>
  <c r="T56"/>
  <c r="S56"/>
  <c r="R56"/>
  <c r="Q56"/>
  <c r="U55"/>
  <c r="T55"/>
  <c r="S55"/>
  <c r="R55"/>
  <c r="Q55"/>
  <c r="U54"/>
  <c r="T54"/>
  <c r="S54"/>
  <c r="R54"/>
  <c r="Q54"/>
  <c r="U53"/>
  <c r="T53"/>
  <c r="S53"/>
  <c r="R53"/>
  <c r="Q53"/>
  <c r="U52"/>
  <c r="T52"/>
  <c r="S52"/>
  <c r="R52"/>
  <c r="Q52"/>
  <c r="U51"/>
  <c r="T51"/>
  <c r="S51"/>
  <c r="R51"/>
  <c r="Q51"/>
  <c r="U50"/>
  <c r="T50"/>
  <c r="S50"/>
  <c r="R50"/>
  <c r="Q50"/>
  <c r="U49"/>
  <c r="T49"/>
  <c r="S49"/>
  <c r="R49"/>
  <c r="Q49"/>
  <c r="U48"/>
  <c r="T48"/>
  <c r="S48"/>
  <c r="R48"/>
  <c r="Q48"/>
  <c r="T47"/>
  <c r="S47"/>
  <c r="R47"/>
  <c r="Q47"/>
  <c r="U46"/>
  <c r="T46"/>
  <c r="S46"/>
  <c r="R46"/>
  <c r="Q46"/>
  <c r="U45"/>
  <c r="T45"/>
  <c r="S45"/>
  <c r="R45"/>
  <c r="Q45"/>
  <c r="U44"/>
  <c r="T44"/>
  <c r="S44"/>
  <c r="R44"/>
  <c r="Q44"/>
  <c r="U43"/>
  <c r="T43"/>
  <c r="S43"/>
  <c r="R43"/>
  <c r="Q43"/>
  <c r="U42"/>
  <c r="T42"/>
  <c r="S42"/>
  <c r="R42"/>
  <c r="Q42"/>
  <c r="U41"/>
  <c r="T41"/>
  <c r="S41"/>
  <c r="R41"/>
  <c r="Q41"/>
  <c r="U40"/>
  <c r="T40"/>
  <c r="S40"/>
  <c r="R40"/>
  <c r="Q40"/>
  <c r="U39"/>
  <c r="T39"/>
  <c r="S39"/>
  <c r="R39"/>
  <c r="Q39"/>
  <c r="U38"/>
  <c r="T38"/>
  <c r="S38"/>
  <c r="R38"/>
  <c r="Q38"/>
  <c r="U37"/>
  <c r="T37"/>
  <c r="S37"/>
  <c r="R37"/>
  <c r="Q37"/>
  <c r="U36"/>
  <c r="T36"/>
  <c r="S36"/>
  <c r="R36"/>
  <c r="Q36"/>
  <c r="U35"/>
  <c r="T35"/>
  <c r="S35"/>
  <c r="R35"/>
  <c r="Q35"/>
  <c r="N26" i="27"/>
  <c r="M26"/>
  <c r="U35"/>
  <c r="T35"/>
  <c r="S35"/>
  <c r="R35"/>
  <c r="Q35"/>
  <c r="U59"/>
  <c r="T59"/>
  <c r="S59"/>
  <c r="R59"/>
  <c r="Q59"/>
  <c r="U58"/>
  <c r="T58"/>
  <c r="S58"/>
  <c r="R58"/>
  <c r="Q58"/>
  <c r="U57"/>
  <c r="T57"/>
  <c r="S57"/>
  <c r="K27" s="1"/>
  <c r="H50" i="52" s="1"/>
  <c r="R57" i="27"/>
  <c r="J27" s="1"/>
  <c r="G50" i="52" s="1"/>
  <c r="Q57" i="27"/>
  <c r="H27" s="1"/>
  <c r="F50" i="52" s="1"/>
  <c r="U56" i="27"/>
  <c r="T56"/>
  <c r="S56"/>
  <c r="R56"/>
  <c r="Q56"/>
  <c r="U55"/>
  <c r="T55"/>
  <c r="S55"/>
  <c r="R55"/>
  <c r="Q55"/>
  <c r="U54"/>
  <c r="T54"/>
  <c r="S54"/>
  <c r="R54"/>
  <c r="Q54"/>
  <c r="U53"/>
  <c r="T53"/>
  <c r="S53"/>
  <c r="R53"/>
  <c r="Q53"/>
  <c r="U52"/>
  <c r="T52"/>
  <c r="S52"/>
  <c r="R52"/>
  <c r="Q52"/>
  <c r="U51"/>
  <c r="T51"/>
  <c r="S51"/>
  <c r="R51"/>
  <c r="Q51"/>
  <c r="U50"/>
  <c r="T50"/>
  <c r="S50"/>
  <c r="R50"/>
  <c r="Q50"/>
  <c r="U49"/>
  <c r="T49"/>
  <c r="S49"/>
  <c r="R49"/>
  <c r="Q49"/>
  <c r="U48"/>
  <c r="T48"/>
  <c r="S48"/>
  <c r="R48"/>
  <c r="Q48"/>
  <c r="U47"/>
  <c r="T47"/>
  <c r="S47"/>
  <c r="R47"/>
  <c r="Q47"/>
  <c r="U46"/>
  <c r="T46"/>
  <c r="S46"/>
  <c r="R46"/>
  <c r="Q46"/>
  <c r="U45"/>
  <c r="T45"/>
  <c r="S45"/>
  <c r="R45"/>
  <c r="Q45"/>
  <c r="U44"/>
  <c r="T44"/>
  <c r="S44"/>
  <c r="R44"/>
  <c r="Q44"/>
  <c r="U43"/>
  <c r="T43"/>
  <c r="S43"/>
  <c r="R43"/>
  <c r="Q43"/>
  <c r="U42"/>
  <c r="T42"/>
  <c r="S42"/>
  <c r="R42"/>
  <c r="Q42"/>
  <c r="U41"/>
  <c r="T41"/>
  <c r="S41"/>
  <c r="R41"/>
  <c r="Q41"/>
  <c r="U40"/>
  <c r="T40"/>
  <c r="S40"/>
  <c r="R40"/>
  <c r="Q40"/>
  <c r="U39"/>
  <c r="T39"/>
  <c r="S39"/>
  <c r="R39"/>
  <c r="Q39"/>
  <c r="U38"/>
  <c r="T38"/>
  <c r="S38"/>
  <c r="R38"/>
  <c r="Q38"/>
  <c r="U37"/>
  <c r="T37"/>
  <c r="S37"/>
  <c r="R37"/>
  <c r="Q37"/>
  <c r="U36"/>
  <c r="T36"/>
  <c r="S36"/>
  <c r="R36"/>
  <c r="Q36"/>
  <c r="T35" i="26"/>
  <c r="S35"/>
  <c r="R35"/>
  <c r="Q35"/>
  <c r="U35"/>
  <c r="Q36"/>
  <c r="R36"/>
  <c r="S36"/>
  <c r="T36"/>
  <c r="U36"/>
  <c r="Q37"/>
  <c r="R37"/>
  <c r="S37"/>
  <c r="T37"/>
  <c r="U37"/>
  <c r="Q38"/>
  <c r="R38"/>
  <c r="S38"/>
  <c r="T38"/>
  <c r="U38"/>
  <c r="Q39"/>
  <c r="R39"/>
  <c r="S39"/>
  <c r="T39"/>
  <c r="U39"/>
  <c r="Q40"/>
  <c r="R40"/>
  <c r="S40"/>
  <c r="T40"/>
  <c r="U40"/>
  <c r="Q41"/>
  <c r="R41"/>
  <c r="S41"/>
  <c r="T41"/>
  <c r="U41"/>
  <c r="Q42"/>
  <c r="R42"/>
  <c r="S42"/>
  <c r="T42"/>
  <c r="U42"/>
  <c r="Q43"/>
  <c r="R43"/>
  <c r="S43"/>
  <c r="T43"/>
  <c r="U43"/>
  <c r="Q44"/>
  <c r="R44"/>
  <c r="S44"/>
  <c r="T44"/>
  <c r="U44"/>
  <c r="Q45"/>
  <c r="R45"/>
  <c r="S45"/>
  <c r="T45"/>
  <c r="U45"/>
  <c r="Q46"/>
  <c r="R46"/>
  <c r="S46"/>
  <c r="T46"/>
  <c r="U46"/>
  <c r="Q47"/>
  <c r="R47"/>
  <c r="S47"/>
  <c r="T47"/>
  <c r="U47"/>
  <c r="Q48"/>
  <c r="R48"/>
  <c r="S48"/>
  <c r="T48"/>
  <c r="U48"/>
  <c r="Q49"/>
  <c r="R49"/>
  <c r="S49"/>
  <c r="T49"/>
  <c r="U49"/>
  <c r="Q50"/>
  <c r="R50"/>
  <c r="S50"/>
  <c r="T50"/>
  <c r="U50"/>
  <c r="Q51"/>
  <c r="R51"/>
  <c r="S51"/>
  <c r="T51"/>
  <c r="U51"/>
  <c r="Q52"/>
  <c r="R52"/>
  <c r="S52"/>
  <c r="T52"/>
  <c r="U52"/>
  <c r="Q53"/>
  <c r="R53"/>
  <c r="S53"/>
  <c r="T53"/>
  <c r="U53"/>
  <c r="Q54"/>
  <c r="R54"/>
  <c r="S54"/>
  <c r="T54"/>
  <c r="U54"/>
  <c r="Q55"/>
  <c r="R55"/>
  <c r="S55"/>
  <c r="T55"/>
  <c r="U55"/>
  <c r="Q56"/>
  <c r="R56"/>
  <c r="S56"/>
  <c r="T56"/>
  <c r="U56"/>
  <c r="Q57"/>
  <c r="H27" s="1"/>
  <c r="F50" i="51" s="1"/>
  <c r="R57" i="26"/>
  <c r="J27" s="1"/>
  <c r="G50" i="51" s="1"/>
  <c r="S57" i="26"/>
  <c r="K27" s="1"/>
  <c r="T57"/>
  <c r="U57"/>
  <c r="Q58"/>
  <c r="R58"/>
  <c r="S58"/>
  <c r="T58"/>
  <c r="U58"/>
  <c r="Q59"/>
  <c r="R59"/>
  <c r="S59"/>
  <c r="T59"/>
  <c r="U59"/>
  <c r="U44" i="24"/>
  <c r="U41" i="23"/>
  <c r="S45"/>
  <c r="T52" i="18"/>
  <c r="Q48" i="25"/>
  <c r="Q36"/>
  <c r="R36"/>
  <c r="S36"/>
  <c r="T36"/>
  <c r="U36"/>
  <c r="Q37"/>
  <c r="R37"/>
  <c r="S37"/>
  <c r="T37"/>
  <c r="U37"/>
  <c r="Q38"/>
  <c r="R38"/>
  <c r="S38"/>
  <c r="T38"/>
  <c r="U38"/>
  <c r="Q39"/>
  <c r="R39"/>
  <c r="S39"/>
  <c r="T39"/>
  <c r="U39"/>
  <c r="Q40"/>
  <c r="R40"/>
  <c r="S40"/>
  <c r="T40"/>
  <c r="U40"/>
  <c r="Q41"/>
  <c r="R41"/>
  <c r="S41"/>
  <c r="T41"/>
  <c r="U41"/>
  <c r="Q42"/>
  <c r="R42"/>
  <c r="S42"/>
  <c r="T42"/>
  <c r="U42"/>
  <c r="Q43"/>
  <c r="R43"/>
  <c r="S43"/>
  <c r="T43"/>
  <c r="U43"/>
  <c r="Q44"/>
  <c r="R44"/>
  <c r="S44"/>
  <c r="T44"/>
  <c r="U44"/>
  <c r="Q45"/>
  <c r="R45"/>
  <c r="S45"/>
  <c r="T45"/>
  <c r="U45"/>
  <c r="Q46"/>
  <c r="R46"/>
  <c r="S46"/>
  <c r="T46"/>
  <c r="U46"/>
  <c r="Q47"/>
  <c r="R47"/>
  <c r="S47"/>
  <c r="T47"/>
  <c r="U47"/>
  <c r="R35"/>
  <c r="S35"/>
  <c r="T35"/>
  <c r="U35"/>
  <c r="Q35"/>
  <c r="Q35" i="24"/>
  <c r="Q35" i="23"/>
  <c r="Q59" i="25"/>
  <c r="U56"/>
  <c r="T56"/>
  <c r="S56"/>
  <c r="R56"/>
  <c r="Q56"/>
  <c r="U55"/>
  <c r="T55"/>
  <c r="S55"/>
  <c r="R55"/>
  <c r="Q55"/>
  <c r="U54"/>
  <c r="T54"/>
  <c r="S54"/>
  <c r="R54"/>
  <c r="Q54"/>
  <c r="U53"/>
  <c r="T53"/>
  <c r="S53"/>
  <c r="R53"/>
  <c r="Q53"/>
  <c r="U52"/>
  <c r="T52"/>
  <c r="S52"/>
  <c r="R52"/>
  <c r="Q52"/>
  <c r="U51"/>
  <c r="T51"/>
  <c r="S51"/>
  <c r="R51"/>
  <c r="Q51"/>
  <c r="U50"/>
  <c r="T50"/>
  <c r="S50"/>
  <c r="R50"/>
  <c r="Q50"/>
  <c r="U49"/>
  <c r="T49"/>
  <c r="S49"/>
  <c r="R49"/>
  <c r="Q49"/>
  <c r="U48"/>
  <c r="T48"/>
  <c r="S48"/>
  <c r="R48"/>
  <c r="T59" i="24"/>
  <c r="Q58"/>
  <c r="U47"/>
  <c r="T47"/>
  <c r="S47"/>
  <c r="R47"/>
  <c r="Q47"/>
  <c r="U46"/>
  <c r="T46"/>
  <c r="S46"/>
  <c r="R46"/>
  <c r="Q46"/>
  <c r="U45"/>
  <c r="T45"/>
  <c r="S45"/>
  <c r="R45"/>
  <c r="Q45"/>
  <c r="T44"/>
  <c r="S44"/>
  <c r="R44"/>
  <c r="Q44"/>
  <c r="U43"/>
  <c r="T43"/>
  <c r="S43"/>
  <c r="R43"/>
  <c r="Q43"/>
  <c r="U42"/>
  <c r="T42"/>
  <c r="S42"/>
  <c r="R42"/>
  <c r="Q42"/>
  <c r="U41"/>
  <c r="T41"/>
  <c r="S41"/>
  <c r="R41"/>
  <c r="Q41"/>
  <c r="U40"/>
  <c r="T40"/>
  <c r="S40"/>
  <c r="R40"/>
  <c r="Q40"/>
  <c r="U39"/>
  <c r="T39"/>
  <c r="S39"/>
  <c r="R39"/>
  <c r="Q39"/>
  <c r="U38"/>
  <c r="T38"/>
  <c r="S38"/>
  <c r="R38"/>
  <c r="Q38"/>
  <c r="U37"/>
  <c r="T37"/>
  <c r="S37"/>
  <c r="R37"/>
  <c r="Q37"/>
  <c r="U36"/>
  <c r="T36"/>
  <c r="S36"/>
  <c r="R36"/>
  <c r="Q36"/>
  <c r="U35"/>
  <c r="T35"/>
  <c r="S35"/>
  <c r="R35"/>
  <c r="Q36" i="23"/>
  <c r="R36"/>
  <c r="S36"/>
  <c r="T36"/>
  <c r="U36"/>
  <c r="Q37"/>
  <c r="R37"/>
  <c r="S37"/>
  <c r="T37"/>
  <c r="U37"/>
  <c r="Q38"/>
  <c r="R38"/>
  <c r="S38"/>
  <c r="T38"/>
  <c r="U38"/>
  <c r="Q39"/>
  <c r="R39"/>
  <c r="S39"/>
  <c r="T39"/>
  <c r="U39"/>
  <c r="Q40"/>
  <c r="R40"/>
  <c r="S40"/>
  <c r="T40"/>
  <c r="U40"/>
  <c r="Q41"/>
  <c r="R41"/>
  <c r="S41"/>
  <c r="T41"/>
  <c r="Q42"/>
  <c r="R42"/>
  <c r="S42"/>
  <c r="T42"/>
  <c r="U42"/>
  <c r="Q43"/>
  <c r="R43"/>
  <c r="S43"/>
  <c r="T43"/>
  <c r="U43"/>
  <c r="Q44"/>
  <c r="R44"/>
  <c r="S44"/>
  <c r="T44"/>
  <c r="U44"/>
  <c r="Q45"/>
  <c r="R45"/>
  <c r="T45"/>
  <c r="U45"/>
  <c r="Q46"/>
  <c r="R46"/>
  <c r="S46"/>
  <c r="T46"/>
  <c r="U46"/>
  <c r="Q47"/>
  <c r="R47"/>
  <c r="S47"/>
  <c r="T47"/>
  <c r="U47"/>
  <c r="R35"/>
  <c r="S35"/>
  <c r="T35"/>
  <c r="U35"/>
  <c r="U48"/>
  <c r="T48"/>
  <c r="S48"/>
  <c r="R48"/>
  <c r="Q48"/>
  <c r="U59"/>
  <c r="T59"/>
  <c r="S59"/>
  <c r="R59"/>
  <c r="Q59"/>
  <c r="U58"/>
  <c r="T58"/>
  <c r="S58"/>
  <c r="R58"/>
  <c r="Q58"/>
  <c r="U57"/>
  <c r="N27" s="1"/>
  <c r="T57"/>
  <c r="M27" s="1"/>
  <c r="S57"/>
  <c r="K27" s="1"/>
  <c r="R57"/>
  <c r="J27" s="1"/>
  <c r="Q57"/>
  <c r="H27" s="1"/>
  <c r="U56"/>
  <c r="T56"/>
  <c r="S56"/>
  <c r="R56"/>
  <c r="Q56"/>
  <c r="U55"/>
  <c r="T55"/>
  <c r="S55"/>
  <c r="R55"/>
  <c r="Q55"/>
  <c r="U54"/>
  <c r="T54"/>
  <c r="S54"/>
  <c r="R54"/>
  <c r="Q54"/>
  <c r="U53"/>
  <c r="T53"/>
  <c r="S53"/>
  <c r="R53"/>
  <c r="Q53"/>
  <c r="U52"/>
  <c r="T52"/>
  <c r="S52"/>
  <c r="R52"/>
  <c r="Q52"/>
  <c r="U51"/>
  <c r="T51"/>
  <c r="S51"/>
  <c r="R51"/>
  <c r="Q51"/>
  <c r="U50"/>
  <c r="T50"/>
  <c r="S50"/>
  <c r="R50"/>
  <c r="Q50"/>
  <c r="U49"/>
  <c r="T49"/>
  <c r="S49"/>
  <c r="R49"/>
  <c r="Q49"/>
  <c r="U59" i="25"/>
  <c r="T59"/>
  <c r="S59"/>
  <c r="U58"/>
  <c r="T58"/>
  <c r="R58"/>
  <c r="Q58"/>
  <c r="U57"/>
  <c r="T57"/>
  <c r="S58"/>
  <c r="R57"/>
  <c r="J27" s="1"/>
  <c r="G50" i="50" s="1"/>
  <c r="Q57" i="25"/>
  <c r="H27" s="1"/>
  <c r="R58" i="24"/>
  <c r="S58"/>
  <c r="U58"/>
  <c r="Q59"/>
  <c r="R59"/>
  <c r="S59"/>
  <c r="U59"/>
  <c r="U35" i="22"/>
  <c r="U36"/>
  <c r="U37"/>
  <c r="U38"/>
  <c r="U39"/>
  <c r="U40"/>
  <c r="U41"/>
  <c r="U42"/>
  <c r="U43"/>
  <c r="U44"/>
  <c r="U45"/>
  <c r="U46"/>
  <c r="U47"/>
  <c r="U48"/>
  <c r="U49"/>
  <c r="U50"/>
  <c r="U51"/>
  <c r="U52"/>
  <c r="U53"/>
  <c r="U54"/>
  <c r="U55"/>
  <c r="U56"/>
  <c r="U57"/>
  <c r="U58"/>
  <c r="U59"/>
  <c r="T59"/>
  <c r="S59"/>
  <c r="R59"/>
  <c r="Q59"/>
  <c r="T58"/>
  <c r="S58"/>
  <c r="R58"/>
  <c r="Q58"/>
  <c r="T57"/>
  <c r="S57"/>
  <c r="K27" s="1"/>
  <c r="Q57"/>
  <c r="H27" s="1"/>
  <c r="T56"/>
  <c r="S56"/>
  <c r="R56"/>
  <c r="Q56"/>
  <c r="T55"/>
  <c r="S55"/>
  <c r="R55"/>
  <c r="Q55"/>
  <c r="T54"/>
  <c r="S54"/>
  <c r="R54"/>
  <c r="Q54"/>
  <c r="T53"/>
  <c r="S53"/>
  <c r="R53"/>
  <c r="Q53"/>
  <c r="T52"/>
  <c r="S52"/>
  <c r="R52"/>
  <c r="Q52"/>
  <c r="T51"/>
  <c r="S51"/>
  <c r="R51"/>
  <c r="Q51"/>
  <c r="T50"/>
  <c r="S50"/>
  <c r="R50"/>
  <c r="Q50"/>
  <c r="T49"/>
  <c r="S49"/>
  <c r="R49"/>
  <c r="Q49"/>
  <c r="T48"/>
  <c r="S48"/>
  <c r="R48"/>
  <c r="Q48"/>
  <c r="S47"/>
  <c r="Q47"/>
  <c r="S46"/>
  <c r="Q46"/>
  <c r="S45"/>
  <c r="Q45"/>
  <c r="S44"/>
  <c r="Q44"/>
  <c r="S43"/>
  <c r="Q43"/>
  <c r="S42"/>
  <c r="Q42"/>
  <c r="S41"/>
  <c r="Q41"/>
  <c r="S40"/>
  <c r="Q40"/>
  <c r="S39"/>
  <c r="Q39"/>
  <c r="S38"/>
  <c r="Q38"/>
  <c r="S37"/>
  <c r="Q37"/>
  <c r="S36"/>
  <c r="Q36"/>
  <c r="S35"/>
  <c r="Q35"/>
  <c r="R59" i="20"/>
  <c r="R49"/>
  <c r="S49"/>
  <c r="T49"/>
  <c r="U49"/>
  <c r="V49"/>
  <c r="R50"/>
  <c r="S50"/>
  <c r="T50"/>
  <c r="U50"/>
  <c r="V50"/>
  <c r="R51"/>
  <c r="S51"/>
  <c r="T51"/>
  <c r="U51"/>
  <c r="V51"/>
  <c r="R52"/>
  <c r="S52"/>
  <c r="T52"/>
  <c r="U52"/>
  <c r="V52"/>
  <c r="R53"/>
  <c r="S53"/>
  <c r="T53"/>
  <c r="U53"/>
  <c r="V53"/>
  <c r="R54"/>
  <c r="S54"/>
  <c r="T54"/>
  <c r="U54"/>
  <c r="V54"/>
  <c r="R55"/>
  <c r="S55"/>
  <c r="T55"/>
  <c r="U55"/>
  <c r="V55"/>
  <c r="R56"/>
  <c r="S56"/>
  <c r="T56"/>
  <c r="U56"/>
  <c r="V56"/>
  <c r="R57"/>
  <c r="H27" s="1"/>
  <c r="S57"/>
  <c r="J27" s="1"/>
  <c r="G50" i="56" s="1"/>
  <c r="T57" i="20"/>
  <c r="K27" s="1"/>
  <c r="U57"/>
  <c r="V57"/>
  <c r="R58"/>
  <c r="S58"/>
  <c r="T58"/>
  <c r="U58"/>
  <c r="V58"/>
  <c r="S59"/>
  <c r="T59"/>
  <c r="U59"/>
  <c r="V59"/>
  <c r="S48"/>
  <c r="T48"/>
  <c r="U48"/>
  <c r="V48"/>
  <c r="R48"/>
  <c r="R47"/>
  <c r="S47"/>
  <c r="T47"/>
  <c r="U47"/>
  <c r="V47"/>
  <c r="R36"/>
  <c r="S36"/>
  <c r="T36"/>
  <c r="U36"/>
  <c r="V36"/>
  <c r="R37"/>
  <c r="S37"/>
  <c r="T37"/>
  <c r="U37"/>
  <c r="V37"/>
  <c r="R38"/>
  <c r="S38"/>
  <c r="T38"/>
  <c r="U38"/>
  <c r="V38"/>
  <c r="R39"/>
  <c r="S39"/>
  <c r="T39"/>
  <c r="U39"/>
  <c r="V39"/>
  <c r="R40"/>
  <c r="S40"/>
  <c r="T40"/>
  <c r="U40"/>
  <c r="V40"/>
  <c r="R41"/>
  <c r="S41"/>
  <c r="T41"/>
  <c r="U41"/>
  <c r="V41"/>
  <c r="R42"/>
  <c r="S42"/>
  <c r="T42"/>
  <c r="U42"/>
  <c r="V42"/>
  <c r="R43"/>
  <c r="S43"/>
  <c r="T43"/>
  <c r="U43"/>
  <c r="V43"/>
  <c r="R44"/>
  <c r="S44"/>
  <c r="T44"/>
  <c r="U44"/>
  <c r="V44"/>
  <c r="R45"/>
  <c r="S45"/>
  <c r="T45"/>
  <c r="U45"/>
  <c r="V45"/>
  <c r="R46"/>
  <c r="S46"/>
  <c r="T46"/>
  <c r="U46"/>
  <c r="V46"/>
  <c r="S35"/>
  <c r="T35"/>
  <c r="U35"/>
  <c r="V35"/>
  <c r="R35"/>
  <c r="Y47" i="19"/>
  <c r="Z47"/>
  <c r="AA47"/>
  <c r="AB47"/>
  <c r="AC47"/>
  <c r="Y48"/>
  <c r="Z48"/>
  <c r="AA48"/>
  <c r="AB48"/>
  <c r="AC48"/>
  <c r="Y49"/>
  <c r="Z49"/>
  <c r="AA49"/>
  <c r="AB49"/>
  <c r="AC49"/>
  <c r="Y50"/>
  <c r="Z50"/>
  <c r="AA50"/>
  <c r="AB50"/>
  <c r="AC50"/>
  <c r="Y51"/>
  <c r="Z51"/>
  <c r="AA51"/>
  <c r="AB51"/>
  <c r="AC51"/>
  <c r="Y52"/>
  <c r="Z52"/>
  <c r="AA52"/>
  <c r="AB52"/>
  <c r="AC52"/>
  <c r="Y53"/>
  <c r="Z53"/>
  <c r="AA53"/>
  <c r="AB53"/>
  <c r="AC53"/>
  <c r="Y54"/>
  <c r="Z54"/>
  <c r="AA54"/>
  <c r="AB54"/>
  <c r="AC54"/>
  <c r="Y55"/>
  <c r="H27" s="1"/>
  <c r="Z55"/>
  <c r="J27" s="1"/>
  <c r="AA55"/>
  <c r="AB55"/>
  <c r="AC55"/>
  <c r="Y56"/>
  <c r="Z56"/>
  <c r="AA56"/>
  <c r="AB56"/>
  <c r="AC56"/>
  <c r="Y57"/>
  <c r="Z57"/>
  <c r="AA57"/>
  <c r="AB57"/>
  <c r="AC57"/>
  <c r="Z46"/>
  <c r="AA46"/>
  <c r="AB46"/>
  <c r="AC46"/>
  <c r="Y46"/>
  <c r="Y34"/>
  <c r="Z34"/>
  <c r="AA34"/>
  <c r="AB34"/>
  <c r="AC34"/>
  <c r="Y35"/>
  <c r="Z35"/>
  <c r="AA35"/>
  <c r="AB35"/>
  <c r="AC35"/>
  <c r="Y36"/>
  <c r="Z36"/>
  <c r="AA36"/>
  <c r="AB36"/>
  <c r="AC36"/>
  <c r="Y37"/>
  <c r="Z37"/>
  <c r="AA37"/>
  <c r="AB37"/>
  <c r="AC37"/>
  <c r="Y38"/>
  <c r="Z38"/>
  <c r="AA38"/>
  <c r="AB38"/>
  <c r="AC38"/>
  <c r="Y39"/>
  <c r="Z39"/>
  <c r="AA39"/>
  <c r="AB39"/>
  <c r="AC39"/>
  <c r="Y40"/>
  <c r="Z40"/>
  <c r="AA40"/>
  <c r="AB40"/>
  <c r="AC40"/>
  <c r="Y41"/>
  <c r="Z41"/>
  <c r="AA41"/>
  <c r="AB41"/>
  <c r="AC41"/>
  <c r="Y42"/>
  <c r="Z42"/>
  <c r="AA42"/>
  <c r="AB42"/>
  <c r="AC42"/>
  <c r="Y43"/>
  <c r="Z43"/>
  <c r="AA43"/>
  <c r="AB43"/>
  <c r="AC43"/>
  <c r="Y44"/>
  <c r="Z44"/>
  <c r="AA44"/>
  <c r="AB44"/>
  <c r="AC44"/>
  <c r="Y45"/>
  <c r="Z45"/>
  <c r="AA45"/>
  <c r="AB45"/>
  <c r="AC45"/>
  <c r="Z33"/>
  <c r="AA33"/>
  <c r="AB33"/>
  <c r="AC33"/>
  <c r="Y33"/>
  <c r="R50" i="18"/>
  <c r="S50"/>
  <c r="T50"/>
  <c r="U50"/>
  <c r="V50"/>
  <c r="R51"/>
  <c r="S51"/>
  <c r="T51"/>
  <c r="U51"/>
  <c r="V51"/>
  <c r="R52"/>
  <c r="S52"/>
  <c r="U52"/>
  <c r="V52"/>
  <c r="R53"/>
  <c r="S53"/>
  <c r="T53"/>
  <c r="U53"/>
  <c r="V53"/>
  <c r="R54"/>
  <c r="S54"/>
  <c r="T54"/>
  <c r="U54"/>
  <c r="V54"/>
  <c r="R55"/>
  <c r="S55"/>
  <c r="T55"/>
  <c r="U55"/>
  <c r="V55"/>
  <c r="R56"/>
  <c r="S56"/>
  <c r="T56"/>
  <c r="U56"/>
  <c r="V56"/>
  <c r="R57"/>
  <c r="S57"/>
  <c r="T57"/>
  <c r="U57"/>
  <c r="V57"/>
  <c r="R58"/>
  <c r="H27" s="1"/>
  <c r="F50" i="54" s="1"/>
  <c r="S58" i="18"/>
  <c r="J27" s="1"/>
  <c r="T58"/>
  <c r="K27" s="1"/>
  <c r="U58"/>
  <c r="V58"/>
  <c r="R59"/>
  <c r="S59"/>
  <c r="T59"/>
  <c r="U59"/>
  <c r="V59"/>
  <c r="R60"/>
  <c r="S60"/>
  <c r="T60"/>
  <c r="U60"/>
  <c r="V60"/>
  <c r="S49"/>
  <c r="T49"/>
  <c r="U49"/>
  <c r="V49"/>
  <c r="R37"/>
  <c r="S37"/>
  <c r="T37"/>
  <c r="U37"/>
  <c r="V37"/>
  <c r="R38"/>
  <c r="S38"/>
  <c r="T38"/>
  <c r="U38"/>
  <c r="V38"/>
  <c r="R39"/>
  <c r="S39"/>
  <c r="T39"/>
  <c r="U39"/>
  <c r="V39"/>
  <c r="R40"/>
  <c r="S40"/>
  <c r="T40"/>
  <c r="U40"/>
  <c r="V40"/>
  <c r="R41"/>
  <c r="S41"/>
  <c r="T41"/>
  <c r="U41"/>
  <c r="V41"/>
  <c r="R42"/>
  <c r="S42"/>
  <c r="T42"/>
  <c r="U42"/>
  <c r="V42"/>
  <c r="R43"/>
  <c r="S43"/>
  <c r="T43"/>
  <c r="U43"/>
  <c r="V43"/>
  <c r="R44"/>
  <c r="S44"/>
  <c r="T44"/>
  <c r="U44"/>
  <c r="V44"/>
  <c r="R45"/>
  <c r="S45"/>
  <c r="T45"/>
  <c r="U45"/>
  <c r="V45"/>
  <c r="R46"/>
  <c r="S46"/>
  <c r="T46"/>
  <c r="U46"/>
  <c r="V46"/>
  <c r="R47"/>
  <c r="S47"/>
  <c r="T47"/>
  <c r="U47"/>
  <c r="V47"/>
  <c r="R48"/>
  <c r="S48"/>
  <c r="T48"/>
  <c r="U48"/>
  <c r="V48"/>
  <c r="S36"/>
  <c r="T36"/>
  <c r="U36"/>
  <c r="V36"/>
  <c r="R49"/>
  <c r="R36"/>
  <c r="B21" i="357"/>
  <c r="B35" i="302" s="1"/>
  <c r="E5" i="20"/>
  <c r="F51" i="50"/>
  <c r="F52" i="55"/>
  <c r="F53"/>
  <c r="F54"/>
  <c r="F55"/>
  <c r="D9" i="186" l="1"/>
  <c r="D9" i="187"/>
  <c r="D8" i="185"/>
  <c r="D8" i="180"/>
  <c r="J21" i="68"/>
  <c r="K33"/>
  <c r="K29"/>
  <c r="J5"/>
  <c r="H7" i="65"/>
  <c r="M7" s="1"/>
  <c r="H7" i="66" s="1"/>
  <c r="C46" i="68"/>
  <c r="C47" i="71"/>
  <c r="C47" i="73"/>
  <c r="C48" i="75"/>
  <c r="C48" i="69"/>
  <c r="C48" i="79"/>
  <c r="K42" i="68"/>
  <c r="K40"/>
  <c r="P40" s="1"/>
  <c r="K40" i="67" s="1"/>
  <c r="K38" i="68"/>
  <c r="K36"/>
  <c r="J35"/>
  <c r="K32"/>
  <c r="J31"/>
  <c r="K28"/>
  <c r="J27"/>
  <c r="K24"/>
  <c r="J23"/>
  <c r="K20"/>
  <c r="J19"/>
  <c r="K16"/>
  <c r="K13"/>
  <c r="P13" s="1"/>
  <c r="K13" i="67" s="1"/>
  <c r="J12" i="68"/>
  <c r="K9"/>
  <c r="J8"/>
  <c r="O8" s="1"/>
  <c r="J8" i="67" s="1"/>
  <c r="K5" i="68"/>
  <c r="G46" i="71"/>
  <c r="K42"/>
  <c r="P49" i="72"/>
  <c r="P46"/>
  <c r="G42" i="69"/>
  <c r="L49" i="70"/>
  <c r="L46"/>
  <c r="G35" i="69"/>
  <c r="G35" i="79"/>
  <c r="L48" i="80"/>
  <c r="G25" i="79"/>
  <c r="G47" s="1"/>
  <c r="L47" i="80"/>
  <c r="C52" i="223"/>
  <c r="C49" i="73"/>
  <c r="C46"/>
  <c r="C49" i="75"/>
  <c r="C46"/>
  <c r="I42" i="66"/>
  <c r="N46" i="65"/>
  <c r="I42" i="73"/>
  <c r="N46" i="74"/>
  <c r="I42" i="69"/>
  <c r="N49" i="70"/>
  <c r="N46"/>
  <c r="B32" i="368"/>
  <c r="B30"/>
  <c r="H35" i="70"/>
  <c r="C48"/>
  <c r="H35" i="80"/>
  <c r="C48"/>
  <c r="J42" i="66"/>
  <c r="O46" i="65"/>
  <c r="I42" i="71"/>
  <c r="N49" i="72"/>
  <c r="N46"/>
  <c r="J35" i="71"/>
  <c r="O48" i="72"/>
  <c r="J25" i="71"/>
  <c r="J47" s="1"/>
  <c r="O47" i="72"/>
  <c r="J42" i="73"/>
  <c r="O46" i="74"/>
  <c r="J42" i="75"/>
  <c r="O46" i="76"/>
  <c r="J42" i="69"/>
  <c r="O49" i="70"/>
  <c r="O46"/>
  <c r="J35" i="69"/>
  <c r="J42" i="79"/>
  <c r="O46" i="80"/>
  <c r="O49"/>
  <c r="J35" i="79"/>
  <c r="O48" i="80"/>
  <c r="J25" i="79"/>
  <c r="J47" s="1"/>
  <c r="O47" i="80"/>
  <c r="C47" i="70"/>
  <c r="C47" i="80"/>
  <c r="C47" i="66"/>
  <c r="C48" i="71"/>
  <c r="C48" i="72"/>
  <c r="C48" i="73"/>
  <c r="C47" i="75"/>
  <c r="C47" i="69"/>
  <c r="C47" i="79"/>
  <c r="O48" i="62"/>
  <c r="K12" i="68"/>
  <c r="K8"/>
  <c r="P8" s="1"/>
  <c r="K8" i="67" s="1"/>
  <c r="B35" i="366"/>
  <c r="C35"/>
  <c r="H25" i="72"/>
  <c r="C47"/>
  <c r="G42" i="66"/>
  <c r="L46" i="65"/>
  <c r="G35" i="71"/>
  <c r="G49" s="1"/>
  <c r="L48" i="72"/>
  <c r="G25" i="71"/>
  <c r="G47" s="1"/>
  <c r="L47" i="72"/>
  <c r="G42" i="73"/>
  <c r="L46" i="74"/>
  <c r="G42" i="75"/>
  <c r="L46" i="76"/>
  <c r="G42" i="79"/>
  <c r="L49" i="80"/>
  <c r="L46"/>
  <c r="C49" i="71"/>
  <c r="C46"/>
  <c r="C49" i="69"/>
  <c r="C46"/>
  <c r="C49" i="79"/>
  <c r="C46"/>
  <c r="L49" i="72"/>
  <c r="L46"/>
  <c r="I35" i="71"/>
  <c r="N48" i="72"/>
  <c r="I25" i="71"/>
  <c r="I47" s="1"/>
  <c r="N47" i="72"/>
  <c r="I42" i="75"/>
  <c r="N46" i="76"/>
  <c r="I35" i="69"/>
  <c r="I42" i="79"/>
  <c r="N46" i="80"/>
  <c r="N49"/>
  <c r="I35" i="79"/>
  <c r="I48" s="1"/>
  <c r="N48" i="80"/>
  <c r="I25" i="79"/>
  <c r="I47" s="1"/>
  <c r="N47" i="80"/>
  <c r="J42" i="61"/>
  <c r="O49" i="62"/>
  <c r="C49" i="67"/>
  <c r="C46"/>
  <c r="C49" i="66"/>
  <c r="C46"/>
  <c r="J41" i="154"/>
  <c r="J44" s="1"/>
  <c r="C49" i="72"/>
  <c r="C46"/>
  <c r="Q41" i="154"/>
  <c r="C49" i="70"/>
  <c r="C46"/>
  <c r="V41" i="154"/>
  <c r="C46" i="80"/>
  <c r="C49"/>
  <c r="K42" i="66"/>
  <c r="P46" i="65"/>
  <c r="J42" i="71"/>
  <c r="O49" i="72"/>
  <c r="O46"/>
  <c r="K35" i="71"/>
  <c r="K48" s="1"/>
  <c r="P48" i="72"/>
  <c r="K25" i="71"/>
  <c r="K47" s="1"/>
  <c r="P47" i="72"/>
  <c r="K42" i="73"/>
  <c r="P46" i="74"/>
  <c r="K42" i="75"/>
  <c r="P46" i="76"/>
  <c r="K42" i="69"/>
  <c r="P49" i="70"/>
  <c r="P46"/>
  <c r="K35" i="69"/>
  <c r="K42" i="79"/>
  <c r="P49" i="80"/>
  <c r="P46"/>
  <c r="K35" i="79"/>
  <c r="P48" i="80"/>
  <c r="K25" i="79"/>
  <c r="K47" s="1"/>
  <c r="P47" i="80"/>
  <c r="B31" i="368"/>
  <c r="H6" i="65"/>
  <c r="M6" s="1"/>
  <c r="H6" i="66" s="1"/>
  <c r="K26" i="28"/>
  <c r="K25" s="1"/>
  <c r="K24" s="1"/>
  <c r="K23" s="1"/>
  <c r="K22" s="1"/>
  <c r="K21" s="1"/>
  <c r="K20" s="1"/>
  <c r="K19" s="1"/>
  <c r="K18" s="1"/>
  <c r="J17" i="68"/>
  <c r="J33"/>
  <c r="J40"/>
  <c r="O40" s="1"/>
  <c r="J40" i="67" s="1"/>
  <c r="J36" i="68"/>
  <c r="J32"/>
  <c r="J28"/>
  <c r="K25"/>
  <c r="K47" s="1"/>
  <c r="J24"/>
  <c r="K21"/>
  <c r="J20"/>
  <c r="K17"/>
  <c r="J16"/>
  <c r="J13"/>
  <c r="J9"/>
  <c r="K49"/>
  <c r="B41" i="154"/>
  <c r="C49" i="68"/>
  <c r="J15"/>
  <c r="J11"/>
  <c r="O11" s="1"/>
  <c r="J11" i="67" s="1"/>
  <c r="J7" i="68"/>
  <c r="O7" s="1"/>
  <c r="J7" i="67" s="1"/>
  <c r="J29" i="68"/>
  <c r="J25"/>
  <c r="J47" s="1"/>
  <c r="F53" i="222"/>
  <c r="C53"/>
  <c r="H39" i="80"/>
  <c r="M39" s="1"/>
  <c r="H39" i="79" s="1"/>
  <c r="L40" i="154"/>
  <c r="K27" i="68"/>
  <c r="J26"/>
  <c r="K23"/>
  <c r="J22"/>
  <c r="K19"/>
  <c r="J18"/>
  <c r="K15"/>
  <c r="J14"/>
  <c r="K11"/>
  <c r="P11" s="1"/>
  <c r="K11" i="67" s="1"/>
  <c r="J10" i="68"/>
  <c r="O10" s="1"/>
  <c r="J10" i="67" s="1"/>
  <c r="K7" i="68"/>
  <c r="P7" s="1"/>
  <c r="K7" i="67" s="1"/>
  <c r="J6" i="68"/>
  <c r="I5"/>
  <c r="N5" s="1"/>
  <c r="I5" i="67" s="1"/>
  <c r="K26" i="68"/>
  <c r="K22"/>
  <c r="K18"/>
  <c r="K14"/>
  <c r="K10"/>
  <c r="P10" s="1"/>
  <c r="K10" i="67" s="1"/>
  <c r="K6" i="68"/>
  <c r="P6" s="1"/>
  <c r="K6" i="67" s="1"/>
  <c r="O41" i="68"/>
  <c r="J41" i="67" s="1"/>
  <c r="J38" i="68"/>
  <c r="O39"/>
  <c r="J39" i="67" s="1"/>
  <c r="G50" i="222"/>
  <c r="P9" i="68"/>
  <c r="K9" i="67" s="1"/>
  <c r="P5" i="68"/>
  <c r="K5" i="67" s="1"/>
  <c r="H34" i="68"/>
  <c r="P43"/>
  <c r="K43" i="67" s="1"/>
  <c r="P41" i="68"/>
  <c r="K41" i="67" s="1"/>
  <c r="P39" i="68"/>
  <c r="K39" i="67" s="1"/>
  <c r="P42" i="68"/>
  <c r="P12"/>
  <c r="K12" i="67" s="1"/>
  <c r="I32" i="68"/>
  <c r="I24"/>
  <c r="I16"/>
  <c r="I8"/>
  <c r="N8" s="1"/>
  <c r="I8" i="67" s="1"/>
  <c r="I26" i="68"/>
  <c r="I22"/>
  <c r="I18"/>
  <c r="I14"/>
  <c r="I10"/>
  <c r="N10" s="1"/>
  <c r="I10" i="67" s="1"/>
  <c r="I6" i="68"/>
  <c r="N6" s="1"/>
  <c r="I6" i="67" s="1"/>
  <c r="I36" i="68"/>
  <c r="I12"/>
  <c r="N12" s="1"/>
  <c r="I12" i="67" s="1"/>
  <c r="I37" i="68"/>
  <c r="I40"/>
  <c r="N40" s="1"/>
  <c r="I40" i="67" s="1"/>
  <c r="I33" i="68"/>
  <c r="I29"/>
  <c r="I25"/>
  <c r="I21"/>
  <c r="I17"/>
  <c r="I13"/>
  <c r="N13" s="1"/>
  <c r="I13" i="67" s="1"/>
  <c r="I9" i="68"/>
  <c r="I39"/>
  <c r="N39" s="1"/>
  <c r="I39" i="67" s="1"/>
  <c r="I28" i="68"/>
  <c r="I41"/>
  <c r="N41" s="1"/>
  <c r="I41" i="67" s="1"/>
  <c r="I43" i="68"/>
  <c r="I20"/>
  <c r="I42"/>
  <c r="I38"/>
  <c r="I35"/>
  <c r="I31"/>
  <c r="I27"/>
  <c r="I23"/>
  <c r="I19"/>
  <c r="I15"/>
  <c r="I11"/>
  <c r="N11" s="1"/>
  <c r="I11" i="67" s="1"/>
  <c r="I7" i="68"/>
  <c r="O6"/>
  <c r="J6" i="67" s="1"/>
  <c r="O5" i="68"/>
  <c r="J5" i="67" s="1"/>
  <c r="J42" i="68"/>
  <c r="J46" s="1"/>
  <c r="O12"/>
  <c r="J12" i="67" s="1"/>
  <c r="O13" i="68"/>
  <c r="J13" i="67" s="1"/>
  <c r="O9" i="68"/>
  <c r="J9" i="67" s="1"/>
  <c r="H31" i="69"/>
  <c r="H39"/>
  <c r="T6" i="154"/>
  <c r="G52" i="224"/>
  <c r="S10" i="154"/>
  <c r="V38"/>
  <c r="G53" i="224"/>
  <c r="H28" i="69"/>
  <c r="H32"/>
  <c r="H36"/>
  <c r="H40"/>
  <c r="S7" i="154"/>
  <c r="G6"/>
  <c r="G52" i="223"/>
  <c r="G53" i="222"/>
  <c r="G51" i="224"/>
  <c r="H11" i="65"/>
  <c r="M11" s="1"/>
  <c r="H11" i="66" s="1"/>
  <c r="N25" i="27"/>
  <c r="N24" s="1"/>
  <c r="N23" s="1"/>
  <c r="N22" s="1"/>
  <c r="N21" s="1"/>
  <c r="N20" s="1"/>
  <c r="G11" i="154"/>
  <c r="V7"/>
  <c r="Q39"/>
  <c r="G49" i="223"/>
  <c r="G50" i="224"/>
  <c r="R11" i="154"/>
  <c r="M26" i="23"/>
  <c r="M25" s="1"/>
  <c r="M24" s="1"/>
  <c r="H26" i="27"/>
  <c r="U12" i="154"/>
  <c r="L10"/>
  <c r="F7"/>
  <c r="Q38"/>
  <c r="G51" i="223"/>
  <c r="G50"/>
  <c r="G52" i="222"/>
  <c r="G51"/>
  <c r="H5" i="154"/>
  <c r="O41"/>
  <c r="K26" i="20"/>
  <c r="K25" s="1"/>
  <c r="K24" s="1"/>
  <c r="K23" s="1"/>
  <c r="K22" s="1"/>
  <c r="K21" s="1"/>
  <c r="K20" s="1"/>
  <c r="K19" s="1"/>
  <c r="K18" s="1"/>
  <c r="K17" s="1"/>
  <c r="K16" s="1"/>
  <c r="K15" s="1"/>
  <c r="K13" s="1"/>
  <c r="K12" s="1"/>
  <c r="K11" s="1"/>
  <c r="K10" s="1"/>
  <c r="K9" s="1"/>
  <c r="K8" s="1"/>
  <c r="K7" s="1"/>
  <c r="K6" s="1"/>
  <c r="M5" i="154"/>
  <c r="R41"/>
  <c r="R44" s="1"/>
  <c r="H12" i="73"/>
  <c r="H8"/>
  <c r="V11" i="154"/>
  <c r="F11"/>
  <c r="G10"/>
  <c r="I9"/>
  <c r="R7"/>
  <c r="S6"/>
  <c r="U5"/>
  <c r="U39"/>
  <c r="U38"/>
  <c r="L9"/>
  <c r="K26" i="26"/>
  <c r="K25" s="1"/>
  <c r="K24" s="1"/>
  <c r="K23" s="1"/>
  <c r="K22" s="1"/>
  <c r="K21" s="1"/>
  <c r="K20" s="1"/>
  <c r="K19" s="1"/>
  <c r="K18" s="1"/>
  <c r="K17" s="1"/>
  <c r="K16" s="1"/>
  <c r="K15" s="1"/>
  <c r="K14" s="1"/>
  <c r="K13" s="1"/>
  <c r="K12" s="1"/>
  <c r="K11" s="1"/>
  <c r="K10" s="1"/>
  <c r="K9" s="1"/>
  <c r="K8" s="1"/>
  <c r="K7" s="1"/>
  <c r="K6" s="1"/>
  <c r="K5" s="1"/>
  <c r="H11" i="73"/>
  <c r="H7"/>
  <c r="H12" i="70"/>
  <c r="M12" s="1"/>
  <c r="H12" i="69" s="1"/>
  <c r="H10" i="80"/>
  <c r="M10" s="1"/>
  <c r="H10" i="79" s="1"/>
  <c r="S11" i="154"/>
  <c r="T10"/>
  <c r="F8"/>
  <c r="G7"/>
  <c r="P6"/>
  <c r="P5"/>
  <c r="U4"/>
  <c r="T39"/>
  <c r="R38"/>
  <c r="H8" i="72"/>
  <c r="M8" s="1"/>
  <c r="H8" i="71" s="1"/>
  <c r="H7" i="154"/>
  <c r="I7"/>
  <c r="L7"/>
  <c r="P7"/>
  <c r="M7"/>
  <c r="H7" i="72"/>
  <c r="M7" s="1"/>
  <c r="H7" i="71" s="1"/>
  <c r="I6" i="154"/>
  <c r="J6"/>
  <c r="K38"/>
  <c r="O38"/>
  <c r="L38"/>
  <c r="P38"/>
  <c r="H5" i="72"/>
  <c r="M5" s="1"/>
  <c r="H5" i="71" s="1"/>
  <c r="H4" i="154"/>
  <c r="H8"/>
  <c r="H9" i="72"/>
  <c r="M9" s="1"/>
  <c r="H9" i="71" s="1"/>
  <c r="H12" i="154"/>
  <c r="I40"/>
  <c r="J40"/>
  <c r="K4"/>
  <c r="O4"/>
  <c r="L4"/>
  <c r="P4"/>
  <c r="K8"/>
  <c r="O8"/>
  <c r="L8"/>
  <c r="P8"/>
  <c r="K12"/>
  <c r="O12"/>
  <c r="L12"/>
  <c r="P12"/>
  <c r="M40"/>
  <c r="N40"/>
  <c r="H5" i="70"/>
  <c r="M5" s="1"/>
  <c r="H5" i="69" s="1"/>
  <c r="S4" i="154"/>
  <c r="H9" i="70"/>
  <c r="M9" s="1"/>
  <c r="H9" i="69" s="1"/>
  <c r="S8" i="154"/>
  <c r="H13" i="70"/>
  <c r="M13" s="1"/>
  <c r="H13" i="69" s="1"/>
  <c r="S12" i="154"/>
  <c r="H29" i="70"/>
  <c r="M29" s="1"/>
  <c r="H29" i="69" s="1"/>
  <c r="Q40" i="154"/>
  <c r="H41" i="70"/>
  <c r="M41" s="1"/>
  <c r="H41" i="69" s="1"/>
  <c r="R40" i="154"/>
  <c r="H9" i="80"/>
  <c r="M9" s="1"/>
  <c r="H9" i="79" s="1"/>
  <c r="T8" i="154"/>
  <c r="H41" i="80"/>
  <c r="M41" s="1"/>
  <c r="H41" i="79" s="1"/>
  <c r="U40" i="154"/>
  <c r="V40"/>
  <c r="M10" i="65"/>
  <c r="F9" i="154"/>
  <c r="G9"/>
  <c r="F5"/>
  <c r="G5"/>
  <c r="O11"/>
  <c r="M23" i="72"/>
  <c r="O10" i="154"/>
  <c r="N7"/>
  <c r="M37" i="70"/>
  <c r="H37" i="69" s="1"/>
  <c r="H13" i="72"/>
  <c r="M13" s="1"/>
  <c r="H13" i="71" s="1"/>
  <c r="H33" i="70"/>
  <c r="M33" s="1"/>
  <c r="H33" i="69" s="1"/>
  <c r="H6" i="80"/>
  <c r="M6" s="1"/>
  <c r="H6" i="79" s="1"/>
  <c r="Q12" i="154"/>
  <c r="I12"/>
  <c r="H9"/>
  <c r="U8"/>
  <c r="M8"/>
  <c r="J7"/>
  <c r="T5"/>
  <c r="Q4"/>
  <c r="I4"/>
  <c r="S40"/>
  <c r="K40"/>
  <c r="M38"/>
  <c r="H11"/>
  <c r="I11"/>
  <c r="H40" i="72"/>
  <c r="M40" s="1"/>
  <c r="H40" i="71" s="1"/>
  <c r="J39" i="154"/>
  <c r="L11"/>
  <c r="P11"/>
  <c r="M11"/>
  <c r="N39"/>
  <c r="K39"/>
  <c r="O39"/>
  <c r="H11" i="72"/>
  <c r="M11" s="1"/>
  <c r="H11" i="71" s="1"/>
  <c r="I10" i="154"/>
  <c r="J10"/>
  <c r="H27" i="72"/>
  <c r="M27" s="1"/>
  <c r="H31"/>
  <c r="M31" s="1"/>
  <c r="H38" i="154"/>
  <c r="M6"/>
  <c r="N6"/>
  <c r="M10"/>
  <c r="N10"/>
  <c r="H41"/>
  <c r="I41"/>
  <c r="H6" i="76"/>
  <c r="M6" s="1"/>
  <c r="H6" i="75" s="1"/>
  <c r="N5" i="154"/>
  <c r="K5"/>
  <c r="O5"/>
  <c r="N9"/>
  <c r="K9"/>
  <c r="O9"/>
  <c r="H42" i="76"/>
  <c r="L41" i="154"/>
  <c r="P41"/>
  <c r="M41"/>
  <c r="M44" s="1"/>
  <c r="H6" i="70"/>
  <c r="M6" s="1"/>
  <c r="H6" i="69" s="1"/>
  <c r="R5" i="154"/>
  <c r="S5"/>
  <c r="H10" i="70"/>
  <c r="M10" s="1"/>
  <c r="H10" i="69" s="1"/>
  <c r="R9" i="154"/>
  <c r="S9"/>
  <c r="V9"/>
  <c r="T41"/>
  <c r="T44" s="1"/>
  <c r="H42" i="80"/>
  <c r="U41" i="154"/>
  <c r="H13" i="65"/>
  <c r="M13" s="1"/>
  <c r="H13" i="66" s="1"/>
  <c r="G12" i="154"/>
  <c r="H9" i="65"/>
  <c r="M9" s="1"/>
  <c r="H9" i="66" s="1"/>
  <c r="G8" i="154"/>
  <c r="H5" i="65"/>
  <c r="M5" s="1"/>
  <c r="H5" i="66" s="1"/>
  <c r="G4" i="154"/>
  <c r="K7"/>
  <c r="I39"/>
  <c r="M19" i="72"/>
  <c r="H35"/>
  <c r="K6" i="154"/>
  <c r="L39"/>
  <c r="H26" i="18"/>
  <c r="H26" i="19"/>
  <c r="H25" s="1"/>
  <c r="H24" s="1"/>
  <c r="H23" s="1"/>
  <c r="H22" s="1"/>
  <c r="H21" s="1"/>
  <c r="H20" s="1"/>
  <c r="H19" s="1"/>
  <c r="H18" s="1"/>
  <c r="H17" s="1"/>
  <c r="H16" s="1"/>
  <c r="H15" s="1"/>
  <c r="H14" s="1"/>
  <c r="H13" s="1"/>
  <c r="H12" s="1"/>
  <c r="H11" s="1"/>
  <c r="H10" s="1"/>
  <c r="H9" s="1"/>
  <c r="H8" s="1"/>
  <c r="H7" s="1"/>
  <c r="H6" s="1"/>
  <c r="H5" s="1"/>
  <c r="H26" i="20"/>
  <c r="H25" s="1"/>
  <c r="H24" s="1"/>
  <c r="H23" s="1"/>
  <c r="H22" s="1"/>
  <c r="H21" s="1"/>
  <c r="H20" s="1"/>
  <c r="H19" s="1"/>
  <c r="H18" s="1"/>
  <c r="H17" s="1"/>
  <c r="H16" s="1"/>
  <c r="H15" s="1"/>
  <c r="H14" s="1"/>
  <c r="H13" s="1"/>
  <c r="H12" s="1"/>
  <c r="H11" s="1"/>
  <c r="H10" s="1"/>
  <c r="H9" s="1"/>
  <c r="H8" s="1"/>
  <c r="H7" s="1"/>
  <c r="H6" s="1"/>
  <c r="H5" s="1"/>
  <c r="H26" i="22"/>
  <c r="H25" s="1"/>
  <c r="H24" s="1"/>
  <c r="H23" s="1"/>
  <c r="H22" s="1"/>
  <c r="H21" s="1"/>
  <c r="H20" s="1"/>
  <c r="H19" s="1"/>
  <c r="H18" s="1"/>
  <c r="H17" s="1"/>
  <c r="H16" s="1"/>
  <c r="H15" s="1"/>
  <c r="H14" s="1"/>
  <c r="H13" s="1"/>
  <c r="H12" s="1"/>
  <c r="H11" s="1"/>
  <c r="H10" s="1"/>
  <c r="H9" s="1"/>
  <c r="H8" s="1"/>
  <c r="H7" s="1"/>
  <c r="H6" s="1"/>
  <c r="H5" s="1"/>
  <c r="J26" i="25"/>
  <c r="J26" i="23"/>
  <c r="J25" s="1"/>
  <c r="H25" i="28"/>
  <c r="H24" s="1"/>
  <c r="H23" s="1"/>
  <c r="H22" s="1"/>
  <c r="H21" s="1"/>
  <c r="H20" s="1"/>
  <c r="H19" s="1"/>
  <c r="H18" s="1"/>
  <c r="H39" i="72"/>
  <c r="M39" s="1"/>
  <c r="H39" i="71" s="1"/>
  <c r="H39" i="76"/>
  <c r="M39" s="1"/>
  <c r="H39" i="75" s="1"/>
  <c r="V12" i="154"/>
  <c r="N12"/>
  <c r="F12"/>
  <c r="K11"/>
  <c r="P10"/>
  <c r="H10"/>
  <c r="U9"/>
  <c r="M9"/>
  <c r="E9"/>
  <c r="R8"/>
  <c r="J8"/>
  <c r="O7"/>
  <c r="L6"/>
  <c r="Q5"/>
  <c r="I5"/>
  <c r="V4"/>
  <c r="N4"/>
  <c r="N44" s="1"/>
  <c r="F4"/>
  <c r="S41"/>
  <c r="K41"/>
  <c r="P40"/>
  <c r="H40"/>
  <c r="M39"/>
  <c r="J38"/>
  <c r="H8" i="70"/>
  <c r="M8" s="1"/>
  <c r="H8" i="69" s="1"/>
  <c r="U11" i="154"/>
  <c r="E11"/>
  <c r="V10"/>
  <c r="R10"/>
  <c r="U7"/>
  <c r="E7"/>
  <c r="V6"/>
  <c r="R6"/>
  <c r="S39"/>
  <c r="U10"/>
  <c r="E10"/>
  <c r="T7"/>
  <c r="U6"/>
  <c r="E6"/>
  <c r="R39"/>
  <c r="S38"/>
  <c r="H12" i="72"/>
  <c r="M12" s="1"/>
  <c r="H12" i="71" s="1"/>
  <c r="H42" i="72"/>
  <c r="H38"/>
  <c r="M38" s="1"/>
  <c r="H34"/>
  <c r="M34" s="1"/>
  <c r="H30"/>
  <c r="M30" s="1"/>
  <c r="H26"/>
  <c r="M26" s="1"/>
  <c r="H22"/>
  <c r="M22" s="1"/>
  <c r="H18"/>
  <c r="M18" s="1"/>
  <c r="M36"/>
  <c r="M32"/>
  <c r="M28"/>
  <c r="M20"/>
  <c r="H14"/>
  <c r="M14" s="1"/>
  <c r="H10"/>
  <c r="M10" s="1"/>
  <c r="H10" i="71" s="1"/>
  <c r="H6" i="72"/>
  <c r="M6" s="1"/>
  <c r="H6" i="71" s="1"/>
  <c r="H24" i="72"/>
  <c r="M24" s="1"/>
  <c r="M37"/>
  <c r="M33"/>
  <c r="M29"/>
  <c r="M25"/>
  <c r="M47" s="1"/>
  <c r="M21"/>
  <c r="H41"/>
  <c r="M41" s="1"/>
  <c r="H41" i="71" s="1"/>
  <c r="M12" i="65"/>
  <c r="H12" i="66" s="1"/>
  <c r="M8" i="65"/>
  <c r="H8" i="66" s="1"/>
  <c r="H10"/>
  <c r="M35" i="80"/>
  <c r="M31"/>
  <c r="H31" i="79" s="1"/>
  <c r="H7"/>
  <c r="H11"/>
  <c r="H17" i="80"/>
  <c r="M17" s="1"/>
  <c r="H17" i="79" s="1"/>
  <c r="H13" i="80"/>
  <c r="M13" s="1"/>
  <c r="H13" i="79" s="1"/>
  <c r="H5" i="80"/>
  <c r="M5" s="1"/>
  <c r="H5" i="79" s="1"/>
  <c r="M37" i="80"/>
  <c r="M33"/>
  <c r="H33" i="79" s="1"/>
  <c r="M29" i="80"/>
  <c r="H29" i="79" s="1"/>
  <c r="H14"/>
  <c r="H18"/>
  <c r="H30"/>
  <c r="H34"/>
  <c r="H38"/>
  <c r="H40" i="80"/>
  <c r="M40" s="1"/>
  <c r="H40" i="79" s="1"/>
  <c r="H36" i="80"/>
  <c r="M36" s="1"/>
  <c r="H36" i="79" s="1"/>
  <c r="H32" i="80"/>
  <c r="M32" s="1"/>
  <c r="H32" i="79" s="1"/>
  <c r="H19" i="80"/>
  <c r="M19" s="1"/>
  <c r="H19" i="79" s="1"/>
  <c r="H15" i="80"/>
  <c r="M15" s="1"/>
  <c r="H15" i="79" s="1"/>
  <c r="M8" i="80"/>
  <c r="H8" i="79" s="1"/>
  <c r="H16" i="80"/>
  <c r="M16" s="1"/>
  <c r="H16" i="79" s="1"/>
  <c r="H12" i="80"/>
  <c r="M12" s="1"/>
  <c r="H12" i="79" s="1"/>
  <c r="H10" i="76"/>
  <c r="M10" s="1"/>
  <c r="H10" i="75" s="1"/>
  <c r="H11" i="76"/>
  <c r="M11" s="1"/>
  <c r="H11" i="75" s="1"/>
  <c r="H7" i="76"/>
  <c r="M7" s="1"/>
  <c r="H7" i="75" s="1"/>
  <c r="H40" i="76"/>
  <c r="M40" s="1"/>
  <c r="H40" i="75" s="1"/>
  <c r="H12" i="76"/>
  <c r="M12" s="1"/>
  <c r="H12" i="75" s="1"/>
  <c r="H8" i="76"/>
  <c r="M8" s="1"/>
  <c r="H8" i="75" s="1"/>
  <c r="H41" i="76"/>
  <c r="M41" s="1"/>
  <c r="H41" i="75" s="1"/>
  <c r="H14" i="76"/>
  <c r="M14" s="1"/>
  <c r="H14" i="75" s="1"/>
  <c r="H13" i="76"/>
  <c r="M13" s="1"/>
  <c r="H13" i="75" s="1"/>
  <c r="H9" i="76"/>
  <c r="M9" s="1"/>
  <c r="H9" i="75" s="1"/>
  <c r="H5" i="76"/>
  <c r="M5" s="1"/>
  <c r="H5" i="75" s="1"/>
  <c r="H13" i="74"/>
  <c r="M13" s="1"/>
  <c r="H13" i="73" s="1"/>
  <c r="H9" i="74"/>
  <c r="M9" s="1"/>
  <c r="H9" i="73" s="1"/>
  <c r="H5" i="74"/>
  <c r="M5" s="1"/>
  <c r="H5" i="73" s="1"/>
  <c r="M14" i="74"/>
  <c r="M10"/>
  <c r="H10" i="73" s="1"/>
  <c r="M6" i="74"/>
  <c r="H6" i="73" s="1"/>
  <c r="H42" i="70"/>
  <c r="H38"/>
  <c r="M38" s="1"/>
  <c r="H38" i="69" s="1"/>
  <c r="H34" i="70"/>
  <c r="M34" s="1"/>
  <c r="H34" i="69" s="1"/>
  <c r="H30" i="70"/>
  <c r="M30" s="1"/>
  <c r="H30" i="69" s="1"/>
  <c r="M14" i="70"/>
  <c r="H14" i="69" s="1"/>
  <c r="H11" i="70"/>
  <c r="M11" s="1"/>
  <c r="H11" i="69" s="1"/>
  <c r="H7" i="70"/>
  <c r="M7" s="1"/>
  <c r="H7" i="69" s="1"/>
  <c r="J26" i="19"/>
  <c r="J25" s="1"/>
  <c r="J24" s="1"/>
  <c r="J23" s="1"/>
  <c r="J22" s="1"/>
  <c r="J21" s="1"/>
  <c r="J20" s="1"/>
  <c r="J19" s="1"/>
  <c r="J18" s="1"/>
  <c r="J17" s="1"/>
  <c r="J16" s="1"/>
  <c r="J15" s="1"/>
  <c r="J14" s="1"/>
  <c r="J13" s="1"/>
  <c r="J12" s="1"/>
  <c r="J11" s="1"/>
  <c r="J10" s="1"/>
  <c r="J9" s="1"/>
  <c r="J8" s="1"/>
  <c r="J7" s="1"/>
  <c r="J6" s="1"/>
  <c r="J5" s="1"/>
  <c r="J26" i="20"/>
  <c r="H26" i="23"/>
  <c r="H25" s="1"/>
  <c r="H24" s="1"/>
  <c r="H23" s="1"/>
  <c r="H22" s="1"/>
  <c r="H21" s="1"/>
  <c r="H20" s="1"/>
  <c r="H19" s="1"/>
  <c r="H18" s="1"/>
  <c r="H17" s="1"/>
  <c r="H16" s="1"/>
  <c r="H15" s="1"/>
  <c r="H14" s="1"/>
  <c r="H13" s="1"/>
  <c r="H12" s="1"/>
  <c r="H11" s="1"/>
  <c r="H10" s="1"/>
  <c r="H9" s="1"/>
  <c r="H8" s="1"/>
  <c r="H7" s="1"/>
  <c r="H6" s="1"/>
  <c r="H5" s="1"/>
  <c r="F28" i="58" s="1"/>
  <c r="F58" s="1"/>
  <c r="N26" i="23"/>
  <c r="K26" i="22"/>
  <c r="K25" s="1"/>
  <c r="K24" s="1"/>
  <c r="K23" s="1"/>
  <c r="K22" s="1"/>
  <c r="K21" s="1"/>
  <c r="K20" s="1"/>
  <c r="K19" s="1"/>
  <c r="K18" s="1"/>
  <c r="K17" s="1"/>
  <c r="K16" s="1"/>
  <c r="K15" s="1"/>
  <c r="K14" s="1"/>
  <c r="K13" s="1"/>
  <c r="K12" s="1"/>
  <c r="K11" s="1"/>
  <c r="K10" s="1"/>
  <c r="K9" s="1"/>
  <c r="K8" s="1"/>
  <c r="K7" s="1"/>
  <c r="K6" s="1"/>
  <c r="K5" s="1"/>
  <c r="K4" s="1"/>
  <c r="K26" i="23"/>
  <c r="K25" s="1"/>
  <c r="K24" s="1"/>
  <c r="K23" s="1"/>
  <c r="K22" s="1"/>
  <c r="K21" s="1"/>
  <c r="K20" s="1"/>
  <c r="K19" s="1"/>
  <c r="K18" s="1"/>
  <c r="K17" s="1"/>
  <c r="K16" s="1"/>
  <c r="K14" s="1"/>
  <c r="K13" s="1"/>
  <c r="K12" s="1"/>
  <c r="K11" s="1"/>
  <c r="K10" s="1"/>
  <c r="J26" i="22"/>
  <c r="J25" s="1"/>
  <c r="J24" s="1"/>
  <c r="J23" s="1"/>
  <c r="J22" s="1"/>
  <c r="J21" s="1"/>
  <c r="J20" s="1"/>
  <c r="J19" s="1"/>
  <c r="J18" s="1"/>
  <c r="F50" i="50"/>
  <c r="H26" i="25"/>
  <c r="F49" i="50" s="1"/>
  <c r="J26" i="18"/>
  <c r="J25" s="1"/>
  <c r="J24" s="1"/>
  <c r="K26"/>
  <c r="K25" s="1"/>
  <c r="K24" s="1"/>
  <c r="K23" s="1"/>
  <c r="K21" s="1"/>
  <c r="J26" i="26"/>
  <c r="G49" i="51" s="1"/>
  <c r="J26" i="27"/>
  <c r="N25" i="28"/>
  <c r="N24" s="1"/>
  <c r="N23" s="1"/>
  <c r="N22" s="1"/>
  <c r="N21" s="1"/>
  <c r="N20" s="1"/>
  <c r="N19" s="1"/>
  <c r="N18" s="1"/>
  <c r="M26"/>
  <c r="M25" s="1"/>
  <c r="M24" s="1"/>
  <c r="L27"/>
  <c r="I27" s="1"/>
  <c r="J26"/>
  <c r="J25" s="1"/>
  <c r="H26" i="26"/>
  <c r="K26" i="27"/>
  <c r="M25"/>
  <c r="L26"/>
  <c r="I49" i="52" s="1"/>
  <c r="N25" i="23"/>
  <c r="N24" s="1"/>
  <c r="N23" s="1"/>
  <c r="N22" s="1"/>
  <c r="N21" s="1"/>
  <c r="N20" s="1"/>
  <c r="N19" s="1"/>
  <c r="N18" s="1"/>
  <c r="N12" s="1"/>
  <c r="N11" s="1"/>
  <c r="N10" s="1"/>
  <c r="N9" s="1"/>
  <c r="N8" s="1"/>
  <c r="N7" s="1"/>
  <c r="N6" s="1"/>
  <c r="N5" s="1"/>
  <c r="S57" i="25"/>
  <c r="K27" s="1"/>
  <c r="K25" s="1"/>
  <c r="K24" s="1"/>
  <c r="K23" s="1"/>
  <c r="K22" s="1"/>
  <c r="K21" s="1"/>
  <c r="K20" s="1"/>
  <c r="K19" s="1"/>
  <c r="K18" s="1"/>
  <c r="K14" s="1"/>
  <c r="K12" s="1"/>
  <c r="K8" s="1"/>
  <c r="R59"/>
  <c r="T58" i="24"/>
  <c r="H30" i="68"/>
  <c r="C39" i="74"/>
  <c r="C40"/>
  <c r="C41"/>
  <c r="C42"/>
  <c r="C39" i="65"/>
  <c r="C40"/>
  <c r="C41"/>
  <c r="C42"/>
  <c r="C14"/>
  <c r="H14" s="1"/>
  <c r="C15"/>
  <c r="H15" s="1"/>
  <c r="C16"/>
  <c r="H16" s="1"/>
  <c r="C17"/>
  <c r="H17" s="1"/>
  <c r="C18"/>
  <c r="H18" s="1"/>
  <c r="C19"/>
  <c r="H19" s="1"/>
  <c r="C20"/>
  <c r="H20" s="1"/>
  <c r="C21"/>
  <c r="H21" s="1"/>
  <c r="C22"/>
  <c r="H22" s="1"/>
  <c r="C23"/>
  <c r="H23" s="1"/>
  <c r="C24"/>
  <c r="H24" s="1"/>
  <c r="C25"/>
  <c r="C26"/>
  <c r="H26" s="1"/>
  <c r="C27"/>
  <c r="H27" s="1"/>
  <c r="C28"/>
  <c r="H28" s="1"/>
  <c r="C29"/>
  <c r="H29" s="1"/>
  <c r="C30"/>
  <c r="H30" s="1"/>
  <c r="C31"/>
  <c r="H31" s="1"/>
  <c r="C32"/>
  <c r="H32" s="1"/>
  <c r="C33"/>
  <c r="H33" s="1"/>
  <c r="C34"/>
  <c r="H34" s="1"/>
  <c r="C35"/>
  <c r="C36"/>
  <c r="H36" s="1"/>
  <c r="C37"/>
  <c r="H37" s="1"/>
  <c r="C38"/>
  <c r="H38" s="1"/>
  <c r="L21"/>
  <c r="H31" i="270"/>
  <c r="H32"/>
  <c r="H33"/>
  <c r="H34"/>
  <c r="E70" i="216"/>
  <c r="D70"/>
  <c r="E69"/>
  <c r="D69"/>
  <c r="E68"/>
  <c r="D68"/>
  <c r="E67"/>
  <c r="D67"/>
  <c r="E66"/>
  <c r="D66"/>
  <c r="E65"/>
  <c r="D65"/>
  <c r="E64"/>
  <c r="D64"/>
  <c r="E63"/>
  <c r="D63"/>
  <c r="E62"/>
  <c r="D62"/>
  <c r="E61"/>
  <c r="D61"/>
  <c r="E60"/>
  <c r="D60"/>
  <c r="E59"/>
  <c r="E77" s="1"/>
  <c r="D59"/>
  <c r="E58"/>
  <c r="D58"/>
  <c r="E57"/>
  <c r="D57"/>
  <c r="E56"/>
  <c r="D56"/>
  <c r="E55"/>
  <c r="D55"/>
  <c r="E54"/>
  <c r="D54"/>
  <c r="E53"/>
  <c r="D53"/>
  <c r="E52"/>
  <c r="D52"/>
  <c r="E51"/>
  <c r="D51"/>
  <c r="E50"/>
  <c r="D50"/>
  <c r="E49"/>
  <c r="D49"/>
  <c r="E48"/>
  <c r="D48"/>
  <c r="E47"/>
  <c r="D47"/>
  <c r="E46"/>
  <c r="D46"/>
  <c r="E45"/>
  <c r="D45"/>
  <c r="E44"/>
  <c r="D44"/>
  <c r="E43"/>
  <c r="E42"/>
  <c r="E41"/>
  <c r="E40"/>
  <c r="E39"/>
  <c r="E38"/>
  <c r="E37"/>
  <c r="E36"/>
  <c r="E35"/>
  <c r="E34"/>
  <c r="E33"/>
  <c r="E32"/>
  <c r="E31"/>
  <c r="E30"/>
  <c r="E29"/>
  <c r="E28"/>
  <c r="C44"/>
  <c r="C45"/>
  <c r="C46"/>
  <c r="C47"/>
  <c r="C48"/>
  <c r="C49"/>
  <c r="C50"/>
  <c r="C51"/>
  <c r="C52"/>
  <c r="C53"/>
  <c r="C54"/>
  <c r="C55"/>
  <c r="C56"/>
  <c r="C57"/>
  <c r="C58"/>
  <c r="C59"/>
  <c r="C60"/>
  <c r="C61"/>
  <c r="C62"/>
  <c r="C63"/>
  <c r="C64"/>
  <c r="C65"/>
  <c r="C66"/>
  <c r="C67"/>
  <c r="C68"/>
  <c r="C69"/>
  <c r="C70"/>
  <c r="B67"/>
  <c r="B68"/>
  <c r="B69"/>
  <c r="B70"/>
  <c r="B22"/>
  <c r="B23"/>
  <c r="B24"/>
  <c r="B25"/>
  <c r="B26"/>
  <c r="B27"/>
  <c r="B28"/>
  <c r="B29"/>
  <c r="B30"/>
  <c r="B31"/>
  <c r="B32"/>
  <c r="B33"/>
  <c r="B34"/>
  <c r="B35"/>
  <c r="B36"/>
  <c r="B37"/>
  <c r="B38"/>
  <c r="B39"/>
  <c r="B40"/>
  <c r="B41"/>
  <c r="B42"/>
  <c r="B43"/>
  <c r="B44"/>
  <c r="B45"/>
  <c r="B46"/>
  <c r="B47"/>
  <c r="B48"/>
  <c r="B76" s="1"/>
  <c r="B49"/>
  <c r="B50"/>
  <c r="B51"/>
  <c r="B52"/>
  <c r="B53"/>
  <c r="B54"/>
  <c r="B55"/>
  <c r="B56"/>
  <c r="B57"/>
  <c r="B58"/>
  <c r="B59"/>
  <c r="B60"/>
  <c r="B61"/>
  <c r="B62"/>
  <c r="B63"/>
  <c r="B64"/>
  <c r="B65"/>
  <c r="B66"/>
  <c r="B20"/>
  <c r="B21"/>
  <c r="B6"/>
  <c r="B7"/>
  <c r="B8"/>
  <c r="B9"/>
  <c r="B10"/>
  <c r="B11"/>
  <c r="B12"/>
  <c r="B13"/>
  <c r="B14"/>
  <c r="B15"/>
  <c r="B16"/>
  <c r="B17"/>
  <c r="B18"/>
  <c r="B19"/>
  <c r="B5"/>
  <c r="B75"/>
  <c r="G50" i="203"/>
  <c r="G51"/>
  <c r="G52"/>
  <c r="G53"/>
  <c r="G49" i="202"/>
  <c r="G50"/>
  <c r="G51"/>
  <c r="G52"/>
  <c r="E49"/>
  <c r="O50" i="15" s="1"/>
  <c r="E50" i="202"/>
  <c r="O51" i="15" s="1"/>
  <c r="E51" i="202"/>
  <c r="O52" i="15" s="1"/>
  <c r="E52" i="202"/>
  <c r="G49" i="201"/>
  <c r="G50"/>
  <c r="G51"/>
  <c r="G52"/>
  <c r="G53"/>
  <c r="G6"/>
  <c r="G7"/>
  <c r="G8"/>
  <c r="G9"/>
  <c r="G10"/>
  <c r="G11"/>
  <c r="G12"/>
  <c r="G13"/>
  <c r="G14"/>
  <c r="G15"/>
  <c r="G16"/>
  <c r="G17"/>
  <c r="G18"/>
  <c r="G57" s="1"/>
  <c r="G19"/>
  <c r="G20"/>
  <c r="G21"/>
  <c r="G22"/>
  <c r="G23"/>
  <c r="G24"/>
  <c r="G25"/>
  <c r="G26"/>
  <c r="G58" s="1"/>
  <c r="G27"/>
  <c r="G28"/>
  <c r="G29"/>
  <c r="G30"/>
  <c r="G31"/>
  <c r="G32"/>
  <c r="G33"/>
  <c r="G34"/>
  <c r="G59" s="1"/>
  <c r="G35"/>
  <c r="G36"/>
  <c r="G37"/>
  <c r="G38"/>
  <c r="G39"/>
  <c r="G40"/>
  <c r="G41"/>
  <c r="G42"/>
  <c r="G43"/>
  <c r="G44"/>
  <c r="G45"/>
  <c r="G46"/>
  <c r="G47"/>
  <c r="G48"/>
  <c r="G49" i="200"/>
  <c r="G50"/>
  <c r="G51"/>
  <c r="G52"/>
  <c r="E49"/>
  <c r="O50" i="14" s="1"/>
  <c r="E50" i="200"/>
  <c r="O51" i="14" s="1"/>
  <c r="E51" i="200"/>
  <c r="O52" i="14" s="1"/>
  <c r="E52" i="200"/>
  <c r="G7" i="199"/>
  <c r="G8"/>
  <c r="G9"/>
  <c r="G10"/>
  <c r="G11"/>
  <c r="G12"/>
  <c r="G13"/>
  <c r="G14"/>
  <c r="G15"/>
  <c r="G16"/>
  <c r="G17"/>
  <c r="G18"/>
  <c r="G57" s="1"/>
  <c r="G19"/>
  <c r="G20"/>
  <c r="G21"/>
  <c r="G22"/>
  <c r="G23"/>
  <c r="G24"/>
  <c r="G25"/>
  <c r="G26"/>
  <c r="G58" s="1"/>
  <c r="G27"/>
  <c r="G28"/>
  <c r="G29"/>
  <c r="G30"/>
  <c r="G31"/>
  <c r="G32"/>
  <c r="G33"/>
  <c r="G34"/>
  <c r="G60" s="1"/>
  <c r="G35"/>
  <c r="G36"/>
  <c r="G37"/>
  <c r="G38"/>
  <c r="G39"/>
  <c r="G40"/>
  <c r="G41"/>
  <c r="G42"/>
  <c r="G43"/>
  <c r="G44"/>
  <c r="G45"/>
  <c r="G46"/>
  <c r="G50"/>
  <c r="G51"/>
  <c r="G52"/>
  <c r="G53"/>
  <c r="G6"/>
  <c r="G49" i="198"/>
  <c r="G50"/>
  <c r="G51"/>
  <c r="G52"/>
  <c r="E49"/>
  <c r="O50" i="13" s="1"/>
  <c r="E50" i="198"/>
  <c r="O51" i="13" s="1"/>
  <c r="E51" i="198"/>
  <c r="O52" i="13" s="1"/>
  <c r="E52" i="198"/>
  <c r="C51" i="343"/>
  <c r="C52"/>
  <c r="C53"/>
  <c r="C54"/>
  <c r="C55"/>
  <c r="C5"/>
  <c r="C6"/>
  <c r="C7"/>
  <c r="C8"/>
  <c r="C9"/>
  <c r="C10"/>
  <c r="C11"/>
  <c r="C12"/>
  <c r="C13"/>
  <c r="C14"/>
  <c r="C15"/>
  <c r="C16"/>
  <c r="C17"/>
  <c r="C18"/>
  <c r="C19"/>
  <c r="C20"/>
  <c r="C21"/>
  <c r="C22"/>
  <c r="C23"/>
  <c r="C24"/>
  <c r="C25"/>
  <c r="C26"/>
  <c r="C27"/>
  <c r="C28"/>
  <c r="C29"/>
  <c r="C30"/>
  <c r="C31"/>
  <c r="C32"/>
  <c r="C33"/>
  <c r="I52" i="197"/>
  <c r="H52"/>
  <c r="G52"/>
  <c r="I51"/>
  <c r="H51"/>
  <c r="G51"/>
  <c r="I50"/>
  <c r="H50"/>
  <c r="G50"/>
  <c r="I49"/>
  <c r="H49"/>
  <c r="G49"/>
  <c r="I48"/>
  <c r="H48"/>
  <c r="G48"/>
  <c r="I47"/>
  <c r="H47"/>
  <c r="G47"/>
  <c r="I46"/>
  <c r="H46"/>
  <c r="G46"/>
  <c r="I45"/>
  <c r="H45"/>
  <c r="G45"/>
  <c r="I44"/>
  <c r="H44"/>
  <c r="G44"/>
  <c r="I43"/>
  <c r="H43"/>
  <c r="G43"/>
  <c r="C53" i="196"/>
  <c r="C54"/>
  <c r="C55"/>
  <c r="C56"/>
  <c r="H23"/>
  <c r="I23"/>
  <c r="J23"/>
  <c r="K23"/>
  <c r="H24"/>
  <c r="I24"/>
  <c r="J24"/>
  <c r="K24"/>
  <c r="H25"/>
  <c r="I25"/>
  <c r="J25"/>
  <c r="K25"/>
  <c r="H26"/>
  <c r="I26"/>
  <c r="J26"/>
  <c r="K26"/>
  <c r="H27"/>
  <c r="I27"/>
  <c r="J27"/>
  <c r="K27"/>
  <c r="H28"/>
  <c r="I28"/>
  <c r="J28"/>
  <c r="K28"/>
  <c r="H29"/>
  <c r="I29"/>
  <c r="J29"/>
  <c r="K29"/>
  <c r="H30"/>
  <c r="I30"/>
  <c r="J30"/>
  <c r="K30"/>
  <c r="H31"/>
  <c r="I31"/>
  <c r="J31"/>
  <c r="K31"/>
  <c r="H32"/>
  <c r="I32"/>
  <c r="J32"/>
  <c r="K32"/>
  <c r="H33"/>
  <c r="I33"/>
  <c r="J33"/>
  <c r="K33"/>
  <c r="H34"/>
  <c r="I34"/>
  <c r="J34"/>
  <c r="K34"/>
  <c r="H35"/>
  <c r="I35"/>
  <c r="J35"/>
  <c r="K35"/>
  <c r="H36"/>
  <c r="I36"/>
  <c r="J36"/>
  <c r="K36"/>
  <c r="H37"/>
  <c r="I37"/>
  <c r="J37"/>
  <c r="K37"/>
  <c r="H38"/>
  <c r="I38"/>
  <c r="J38"/>
  <c r="K38"/>
  <c r="H39"/>
  <c r="I39"/>
  <c r="J39"/>
  <c r="K39"/>
  <c r="H40"/>
  <c r="I40"/>
  <c r="J40"/>
  <c r="K40"/>
  <c r="H41"/>
  <c r="I41"/>
  <c r="J41"/>
  <c r="K41"/>
  <c r="H42"/>
  <c r="I42"/>
  <c r="J42"/>
  <c r="K42"/>
  <c r="H43"/>
  <c r="I43"/>
  <c r="J43"/>
  <c r="K43"/>
  <c r="H44"/>
  <c r="I44"/>
  <c r="J44"/>
  <c r="K44"/>
  <c r="H45"/>
  <c r="I45"/>
  <c r="J45"/>
  <c r="K45"/>
  <c r="H46"/>
  <c r="I46"/>
  <c r="J46"/>
  <c r="K46"/>
  <c r="H47"/>
  <c r="I47"/>
  <c r="J47"/>
  <c r="K47"/>
  <c r="H48"/>
  <c r="I48"/>
  <c r="J48"/>
  <c r="K48"/>
  <c r="H49"/>
  <c r="H64" s="1"/>
  <c r="I49"/>
  <c r="J49"/>
  <c r="K49"/>
  <c r="H50"/>
  <c r="I50"/>
  <c r="J50"/>
  <c r="K50"/>
  <c r="H51"/>
  <c r="I51"/>
  <c r="J51"/>
  <c r="K51"/>
  <c r="H52"/>
  <c r="I52"/>
  <c r="J52"/>
  <c r="K52"/>
  <c r="H53"/>
  <c r="I53"/>
  <c r="J53"/>
  <c r="K53"/>
  <c r="H9"/>
  <c r="I9"/>
  <c r="J9"/>
  <c r="K9"/>
  <c r="H10"/>
  <c r="I10"/>
  <c r="J10"/>
  <c r="K10"/>
  <c r="H11"/>
  <c r="I11"/>
  <c r="J11"/>
  <c r="K11"/>
  <c r="H12"/>
  <c r="I12"/>
  <c r="J12"/>
  <c r="K12"/>
  <c r="H13"/>
  <c r="I13"/>
  <c r="J13"/>
  <c r="K13"/>
  <c r="H14"/>
  <c r="I14"/>
  <c r="J14"/>
  <c r="K14"/>
  <c r="H15"/>
  <c r="I15"/>
  <c r="J15"/>
  <c r="K15"/>
  <c r="H16"/>
  <c r="I16"/>
  <c r="J16"/>
  <c r="K16"/>
  <c r="H17"/>
  <c r="I17"/>
  <c r="J17"/>
  <c r="K17"/>
  <c r="H18"/>
  <c r="I18"/>
  <c r="J18"/>
  <c r="K18"/>
  <c r="H6"/>
  <c r="I6"/>
  <c r="J6"/>
  <c r="K6"/>
  <c r="H7"/>
  <c r="I7"/>
  <c r="J7"/>
  <c r="K7"/>
  <c r="H8"/>
  <c r="I8"/>
  <c r="J8"/>
  <c r="K8"/>
  <c r="H19"/>
  <c r="I19"/>
  <c r="J19"/>
  <c r="K19"/>
  <c r="H20"/>
  <c r="I20"/>
  <c r="J20"/>
  <c r="K20"/>
  <c r="H21"/>
  <c r="I21"/>
  <c r="J21"/>
  <c r="K21"/>
  <c r="H22"/>
  <c r="I22"/>
  <c r="J22"/>
  <c r="K22"/>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F49" i="139"/>
  <c r="F50"/>
  <c r="F51"/>
  <c r="F52"/>
  <c r="I32" i="101"/>
  <c r="I33"/>
  <c r="I34"/>
  <c r="I35"/>
  <c r="I31"/>
  <c r="O34" i="358"/>
  <c r="P34"/>
  <c r="H32" i="101" s="1"/>
  <c r="O35" i="358"/>
  <c r="P35"/>
  <c r="H33" i="101" s="1"/>
  <c r="O36" i="358"/>
  <c r="G34" i="101" s="1"/>
  <c r="P36" i="358"/>
  <c r="H34" i="101" s="1"/>
  <c r="O37" i="358"/>
  <c r="P37"/>
  <c r="H35" i="101" s="1"/>
  <c r="O38" i="358"/>
  <c r="P38"/>
  <c r="L38"/>
  <c r="L34"/>
  <c r="L35"/>
  <c r="L36"/>
  <c r="L37"/>
  <c r="P33"/>
  <c r="P32" s="1"/>
  <c r="P31" s="1"/>
  <c r="P30" s="1"/>
  <c r="P29" s="1"/>
  <c r="P28" s="1"/>
  <c r="P27" s="1"/>
  <c r="P26" s="1"/>
  <c r="P25" s="1"/>
  <c r="P24" s="1"/>
  <c r="P23" s="1"/>
  <c r="P22" s="1"/>
  <c r="P21" s="1"/>
  <c r="P20" s="1"/>
  <c r="P19" s="1"/>
  <c r="P18" s="1"/>
  <c r="P17" s="1"/>
  <c r="P16" s="1"/>
  <c r="P15" s="1"/>
  <c r="P14" s="1"/>
  <c r="P13" s="1"/>
  <c r="P12" s="1"/>
  <c r="P11" s="1"/>
  <c r="P10" s="1"/>
  <c r="P9" s="1"/>
  <c r="P8" s="1"/>
  <c r="P7" s="1"/>
  <c r="O33"/>
  <c r="O32" s="1"/>
  <c r="O31" s="1"/>
  <c r="O30" s="1"/>
  <c r="O29" s="1"/>
  <c r="O28" s="1"/>
  <c r="O27" s="1"/>
  <c r="O26" s="1"/>
  <c r="O25" s="1"/>
  <c r="O24" s="1"/>
  <c r="O23" s="1"/>
  <c r="O22" s="1"/>
  <c r="O21" s="1"/>
  <c r="O20" s="1"/>
  <c r="O19" s="1"/>
  <c r="L33"/>
  <c r="E34"/>
  <c r="E32" i="101" s="1"/>
  <c r="F34" i="358"/>
  <c r="G34"/>
  <c r="H34"/>
  <c r="E35"/>
  <c r="E33" i="101" s="1"/>
  <c r="F35" i="358"/>
  <c r="F33" i="101" s="1"/>
  <c r="G35" i="358"/>
  <c r="H35"/>
  <c r="E36"/>
  <c r="F36"/>
  <c r="G36"/>
  <c r="H36"/>
  <c r="E37"/>
  <c r="E35" i="101" s="1"/>
  <c r="F37" i="358"/>
  <c r="G37"/>
  <c r="H37"/>
  <c r="E38"/>
  <c r="F38"/>
  <c r="G38"/>
  <c r="H38"/>
  <c r="F33"/>
  <c r="F32" s="1"/>
  <c r="F31" s="1"/>
  <c r="F30" s="1"/>
  <c r="F29" s="1"/>
  <c r="F28" s="1"/>
  <c r="F27" s="1"/>
  <c r="F26" s="1"/>
  <c r="F25" s="1"/>
  <c r="F24" s="1"/>
  <c r="F23" s="1"/>
  <c r="F22" s="1"/>
  <c r="F21" s="1"/>
  <c r="F20" s="1"/>
  <c r="F19" s="1"/>
  <c r="F18" s="1"/>
  <c r="F17" s="1"/>
  <c r="F16" s="1"/>
  <c r="F15" s="1"/>
  <c r="F14" s="1"/>
  <c r="F13" s="1"/>
  <c r="F12" s="1"/>
  <c r="F11" s="1"/>
  <c r="F10" s="1"/>
  <c r="F9" s="1"/>
  <c r="F8" s="1"/>
  <c r="F7" s="1"/>
  <c r="G33"/>
  <c r="G32" s="1"/>
  <c r="G31" s="1"/>
  <c r="G30" s="1"/>
  <c r="G29" s="1"/>
  <c r="G28" s="1"/>
  <c r="G27" s="1"/>
  <c r="G26" s="1"/>
  <c r="G25" s="1"/>
  <c r="G24" s="1"/>
  <c r="G23" s="1"/>
  <c r="G22" s="1"/>
  <c r="G21" s="1"/>
  <c r="G20" s="1"/>
  <c r="G19" s="1"/>
  <c r="G18" s="1"/>
  <c r="G17" s="1"/>
  <c r="G16" s="1"/>
  <c r="G15" s="1"/>
  <c r="G14" s="1"/>
  <c r="G13" s="1"/>
  <c r="G12" s="1"/>
  <c r="G11" s="1"/>
  <c r="G10" s="1"/>
  <c r="G9" s="1"/>
  <c r="G8" s="1"/>
  <c r="G7" s="1"/>
  <c r="H33"/>
  <c r="H32" s="1"/>
  <c r="H31" s="1"/>
  <c r="H30" s="1"/>
  <c r="H29" s="1"/>
  <c r="H28" s="1"/>
  <c r="H27" s="1"/>
  <c r="H26" s="1"/>
  <c r="H25" s="1"/>
  <c r="H24" s="1"/>
  <c r="H23" s="1"/>
  <c r="H22" s="1"/>
  <c r="H21" s="1"/>
  <c r="H20" s="1"/>
  <c r="H19" s="1"/>
  <c r="H18" s="1"/>
  <c r="H17" s="1"/>
  <c r="H16" s="1"/>
  <c r="H15" s="1"/>
  <c r="H14" s="1"/>
  <c r="H13" s="1"/>
  <c r="H12" s="1"/>
  <c r="H11" s="1"/>
  <c r="H10" s="1"/>
  <c r="H9" s="1"/>
  <c r="H8" s="1"/>
  <c r="H7" s="1"/>
  <c r="E33"/>
  <c r="E32" s="1"/>
  <c r="E31" s="1"/>
  <c r="E30" s="1"/>
  <c r="E29" s="1"/>
  <c r="E28" s="1"/>
  <c r="E27" s="1"/>
  <c r="E26" s="1"/>
  <c r="E25" s="1"/>
  <c r="E24" s="1"/>
  <c r="E23" s="1"/>
  <c r="E22" s="1"/>
  <c r="E21" s="1"/>
  <c r="E20" s="1"/>
  <c r="E19" s="1"/>
  <c r="E18" s="1"/>
  <c r="E17" s="1"/>
  <c r="E16" s="1"/>
  <c r="E15" s="1"/>
  <c r="E14" s="1"/>
  <c r="E13" s="1"/>
  <c r="E12" s="1"/>
  <c r="E11" s="1"/>
  <c r="E10" s="1"/>
  <c r="E9" s="1"/>
  <c r="E8" s="1"/>
  <c r="E7" s="1"/>
  <c r="B34"/>
  <c r="B32" i="101" s="1"/>
  <c r="C34" i="358"/>
  <c r="C32" i="101" s="1"/>
  <c r="B35" i="358"/>
  <c r="C35"/>
  <c r="C33" i="101" s="1"/>
  <c r="B36" i="358"/>
  <c r="B34" i="101" s="1"/>
  <c r="C36" i="358"/>
  <c r="C34" i="101" s="1"/>
  <c r="B37" i="358"/>
  <c r="C37"/>
  <c r="C38"/>
  <c r="C33"/>
  <c r="C32" s="1"/>
  <c r="C31" s="1"/>
  <c r="C30" s="1"/>
  <c r="C29" s="1"/>
  <c r="C28" s="1"/>
  <c r="C27" s="1"/>
  <c r="C26" s="1"/>
  <c r="C25" s="1"/>
  <c r="C24" s="1"/>
  <c r="C23" s="1"/>
  <c r="C22" s="1"/>
  <c r="C21" s="1"/>
  <c r="C20" s="1"/>
  <c r="C19" s="1"/>
  <c r="C18" s="1"/>
  <c r="C17" s="1"/>
  <c r="C16" s="1"/>
  <c r="C15" s="1"/>
  <c r="C14" s="1"/>
  <c r="C13" s="1"/>
  <c r="C12" s="1"/>
  <c r="C11" s="1"/>
  <c r="C10" s="1"/>
  <c r="C9" s="1"/>
  <c r="C8" s="1"/>
  <c r="C7" s="1"/>
  <c r="B33"/>
  <c r="B32" s="1"/>
  <c r="B31" s="1"/>
  <c r="B30" s="1"/>
  <c r="B29" s="1"/>
  <c r="B28" s="1"/>
  <c r="B27" s="1"/>
  <c r="B26" s="1"/>
  <c r="B25" s="1"/>
  <c r="B24" s="1"/>
  <c r="B23" s="1"/>
  <c r="B22" s="1"/>
  <c r="B21" s="1"/>
  <c r="B20" s="1"/>
  <c r="B19" s="1"/>
  <c r="B18" s="1"/>
  <c r="B17" s="1"/>
  <c r="B16" s="1"/>
  <c r="B15" s="1"/>
  <c r="B14" s="1"/>
  <c r="B13" s="1"/>
  <c r="B12" s="1"/>
  <c r="B11" s="1"/>
  <c r="B10" s="1"/>
  <c r="B9" s="1"/>
  <c r="B8" s="1"/>
  <c r="B7" s="1"/>
  <c r="AD37"/>
  <c r="AD36"/>
  <c r="AD35"/>
  <c r="AD34"/>
  <c r="AD33"/>
  <c r="AD82" s="1"/>
  <c r="AD32"/>
  <c r="AD81" s="1"/>
  <c r="AD31"/>
  <c r="AD30"/>
  <c r="AD29"/>
  <c r="AD78" s="1"/>
  <c r="AD28"/>
  <c r="AD77" s="1"/>
  <c r="AD27"/>
  <c r="AD26"/>
  <c r="AD25"/>
  <c r="AD74" s="1"/>
  <c r="AD24"/>
  <c r="AD73" s="1"/>
  <c r="AD23"/>
  <c r="AD22"/>
  <c r="AD21"/>
  <c r="AD70" s="1"/>
  <c r="AD20"/>
  <c r="AD69" s="1"/>
  <c r="AD19"/>
  <c r="AD18"/>
  <c r="AD17"/>
  <c r="AD66" s="1"/>
  <c r="AD16"/>
  <c r="AD65" s="1"/>
  <c r="AD15"/>
  <c r="AD14"/>
  <c r="AD13"/>
  <c r="AD62" s="1"/>
  <c r="AD12"/>
  <c r="AD61" s="1"/>
  <c r="B22" i="357"/>
  <c r="I48" i="71" l="1"/>
  <c r="J48"/>
  <c r="AD63" i="358"/>
  <c r="AD67"/>
  <c r="AD71"/>
  <c r="AD75"/>
  <c r="AD79"/>
  <c r="AD83"/>
  <c r="C77" i="216"/>
  <c r="D78"/>
  <c r="Q44" i="154"/>
  <c r="I46" i="68"/>
  <c r="H47" i="72"/>
  <c r="K46" i="68"/>
  <c r="O18" i="358"/>
  <c r="O17" s="1"/>
  <c r="O16" s="1"/>
  <c r="O15" s="1"/>
  <c r="O14" s="1"/>
  <c r="O13" s="1"/>
  <c r="O12" s="1"/>
  <c r="O11" s="1"/>
  <c r="O10" s="1"/>
  <c r="O9" s="1"/>
  <c r="O8" s="1"/>
  <c r="O7" s="1"/>
  <c r="C57" i="343"/>
  <c r="H25" i="65"/>
  <c r="H47" s="1"/>
  <c r="C47"/>
  <c r="C46" i="74"/>
  <c r="H35" i="79"/>
  <c r="K49"/>
  <c r="K46"/>
  <c r="K46" i="75"/>
  <c r="I46"/>
  <c r="J46" i="73"/>
  <c r="G62" i="199"/>
  <c r="K46" i="73"/>
  <c r="G49" i="79"/>
  <c r="G46"/>
  <c r="G49" i="69"/>
  <c r="G46"/>
  <c r="H35" i="65"/>
  <c r="C48"/>
  <c r="M42" i="72"/>
  <c r="H49"/>
  <c r="H46"/>
  <c r="M35"/>
  <c r="M48" s="1"/>
  <c r="H48"/>
  <c r="J49" i="71"/>
  <c r="J46"/>
  <c r="G46" i="75"/>
  <c r="J49" i="69"/>
  <c r="J46"/>
  <c r="J46" i="66"/>
  <c r="M35" i="70"/>
  <c r="I46" i="73"/>
  <c r="K49" i="71"/>
  <c r="K46"/>
  <c r="V44" i="154"/>
  <c r="I47" i="68"/>
  <c r="P46"/>
  <c r="J48" i="79"/>
  <c r="G48"/>
  <c r="C49" i="65"/>
  <c r="C46"/>
  <c r="K20" i="18"/>
  <c r="K19" s="1"/>
  <c r="K17" s="1"/>
  <c r="K16" s="1"/>
  <c r="K15" s="1"/>
  <c r="K14" s="1"/>
  <c r="K13" s="1"/>
  <c r="K12" s="1"/>
  <c r="K11" s="1"/>
  <c r="K10" s="1"/>
  <c r="K38" s="1"/>
  <c r="K39"/>
  <c r="G46" i="66"/>
  <c r="L22" i="358"/>
  <c r="L21" s="1"/>
  <c r="L20" s="1"/>
  <c r="L19" s="1"/>
  <c r="L18" s="1"/>
  <c r="L17" s="1"/>
  <c r="L16" s="1"/>
  <c r="L15" s="1"/>
  <c r="L14" s="1"/>
  <c r="L13" s="1"/>
  <c r="L12" s="1"/>
  <c r="L11" s="1"/>
  <c r="L10" s="1"/>
  <c r="L9" s="1"/>
  <c r="L8" s="1"/>
  <c r="L7" s="1"/>
  <c r="L41" s="1"/>
  <c r="L32"/>
  <c r="L31" s="1"/>
  <c r="L30" s="1"/>
  <c r="L29" s="1"/>
  <c r="L28" s="1"/>
  <c r="L27" s="1"/>
  <c r="L26" s="1"/>
  <c r="L25" s="1"/>
  <c r="L24" s="1"/>
  <c r="L23" s="1"/>
  <c r="M42" i="70"/>
  <c r="H49"/>
  <c r="H46"/>
  <c r="I46" i="79"/>
  <c r="I49"/>
  <c r="I46" i="71"/>
  <c r="I49"/>
  <c r="I46" i="69"/>
  <c r="I49"/>
  <c r="G59" i="199"/>
  <c r="G61"/>
  <c r="G63"/>
  <c r="G56"/>
  <c r="O53" i="14"/>
  <c r="O53" i="15"/>
  <c r="B36" i="302"/>
  <c r="C59" i="196"/>
  <c r="C68"/>
  <c r="C65"/>
  <c r="O53" i="13"/>
  <c r="F5" i="220"/>
  <c r="G61" i="201"/>
  <c r="G60"/>
  <c r="G56"/>
  <c r="G62"/>
  <c r="B78" i="216"/>
  <c r="B73"/>
  <c r="M42" i="80"/>
  <c r="H49"/>
  <c r="H46"/>
  <c r="M42" i="76"/>
  <c r="H49"/>
  <c r="H46"/>
  <c r="K49" i="69"/>
  <c r="K46"/>
  <c r="K46" i="66"/>
  <c r="G46" i="73"/>
  <c r="J49" i="79"/>
  <c r="J46"/>
  <c r="J46" i="75"/>
  <c r="I46" i="66"/>
  <c r="E75" i="216"/>
  <c r="D77"/>
  <c r="AD64" i="358"/>
  <c r="AD68"/>
  <c r="AD72"/>
  <c r="AD76"/>
  <c r="AD80"/>
  <c r="AD84"/>
  <c r="C78" i="216"/>
  <c r="E76"/>
  <c r="E78"/>
  <c r="K48" i="79"/>
  <c r="G48" i="71"/>
  <c r="O42" i="68"/>
  <c r="O46" s="1"/>
  <c r="J49"/>
  <c r="N42"/>
  <c r="N46" s="1"/>
  <c r="I49"/>
  <c r="K42" i="67"/>
  <c r="K46" s="1"/>
  <c r="H7" i="68"/>
  <c r="M7" s="1"/>
  <c r="H7" i="67" s="1"/>
  <c r="F31" i="101"/>
  <c r="C31"/>
  <c r="H31"/>
  <c r="G41" i="358"/>
  <c r="H41"/>
  <c r="B35" i="101"/>
  <c r="B33" i="88"/>
  <c r="B33" i="101"/>
  <c r="C33" i="120" s="1"/>
  <c r="G31" i="101"/>
  <c r="G36"/>
  <c r="G34" i="120"/>
  <c r="G32" i="101"/>
  <c r="I34" i="120"/>
  <c r="B31" i="101"/>
  <c r="C35" i="88"/>
  <c r="C35" i="101"/>
  <c r="E31"/>
  <c r="H36"/>
  <c r="H34" i="120"/>
  <c r="H32"/>
  <c r="B36" i="101"/>
  <c r="B34" i="120"/>
  <c r="B32"/>
  <c r="E36" i="101"/>
  <c r="E34" i="88"/>
  <c r="E34" i="101"/>
  <c r="E32" i="120"/>
  <c r="G35" i="88"/>
  <c r="G35" i="101"/>
  <c r="G33" i="88"/>
  <c r="G33" i="101"/>
  <c r="I36"/>
  <c r="I32" i="120"/>
  <c r="C36" i="88"/>
  <c r="C36" i="101"/>
  <c r="C34" i="120"/>
  <c r="C32"/>
  <c r="F36" i="101"/>
  <c r="F35" i="88"/>
  <c r="F35" i="101"/>
  <c r="F34" i="88"/>
  <c r="F34" i="101"/>
  <c r="F33" i="120"/>
  <c r="F32" i="101"/>
  <c r="I33" i="120"/>
  <c r="K25" i="27"/>
  <c r="H49" i="52"/>
  <c r="J25" i="20"/>
  <c r="G49" i="56"/>
  <c r="H25" i="18"/>
  <c r="F49" i="54"/>
  <c r="H25" i="27"/>
  <c r="F49" i="52"/>
  <c r="E36" i="88"/>
  <c r="J25" i="27"/>
  <c r="G49" i="52"/>
  <c r="F36" i="88"/>
  <c r="K17" i="28"/>
  <c r="H41" i="53"/>
  <c r="H17" i="28"/>
  <c r="F41" i="53"/>
  <c r="J25" i="26"/>
  <c r="G48" i="51" s="1"/>
  <c r="L26" i="28"/>
  <c r="I26" s="1"/>
  <c r="K9" i="23"/>
  <c r="K8" s="1"/>
  <c r="K7" s="1"/>
  <c r="K6" s="1"/>
  <c r="K5" s="1"/>
  <c r="H28" i="58" s="1"/>
  <c r="H58" s="1"/>
  <c r="H33"/>
  <c r="H59" s="1"/>
  <c r="J25" i="25"/>
  <c r="G48" i="50" s="1"/>
  <c r="G49"/>
  <c r="H25" i="26"/>
  <c r="F49" i="51"/>
  <c r="L44" i="154"/>
  <c r="AC41" i="68"/>
  <c r="H17"/>
  <c r="H37"/>
  <c r="H43"/>
  <c r="M43" s="1"/>
  <c r="H43" i="67" s="1"/>
  <c r="H15" i="68"/>
  <c r="H14"/>
  <c r="H28"/>
  <c r="H29"/>
  <c r="H16"/>
  <c r="H33"/>
  <c r="H31"/>
  <c r="H23"/>
  <c r="H12"/>
  <c r="M12" s="1"/>
  <c r="H12" i="67" s="1"/>
  <c r="H20" i="68"/>
  <c r="H36"/>
  <c r="H18"/>
  <c r="H27"/>
  <c r="H24"/>
  <c r="H35"/>
  <c r="H38"/>
  <c r="H25"/>
  <c r="H26"/>
  <c r="H32"/>
  <c r="H9"/>
  <c r="M9" s="1"/>
  <c r="H9" i="67" s="1"/>
  <c r="N7" i="68"/>
  <c r="I7" i="67" s="1"/>
  <c r="N43" i="68"/>
  <c r="I43" i="67" s="1"/>
  <c r="H21" i="68"/>
  <c r="H8"/>
  <c r="M8" s="1"/>
  <c r="H8" i="67" s="1"/>
  <c r="H19" i="68"/>
  <c r="H22"/>
  <c r="N9"/>
  <c r="I9" i="67" s="1"/>
  <c r="H40" i="68"/>
  <c r="M40" s="1"/>
  <c r="H40" i="67" s="1"/>
  <c r="H11" i="68"/>
  <c r="M11" s="1"/>
  <c r="H11" i="67" s="1"/>
  <c r="H10" i="68"/>
  <c r="M10" s="1"/>
  <c r="H10" i="67" s="1"/>
  <c r="H6" i="68"/>
  <c r="M6" s="1"/>
  <c r="H6" i="67" s="1"/>
  <c r="I44" i="154"/>
  <c r="U44"/>
  <c r="H39" i="68"/>
  <c r="M39" s="1"/>
  <c r="H39" i="67" s="1"/>
  <c r="H42" i="68"/>
  <c r="H46" s="1"/>
  <c r="H41"/>
  <c r="M41" s="1"/>
  <c r="H41" i="67" s="1"/>
  <c r="H5" i="68"/>
  <c r="M5" s="1"/>
  <c r="H5" i="67" s="1"/>
  <c r="H13" i="68"/>
  <c r="M13" s="1"/>
  <c r="H13" i="67" s="1"/>
  <c r="L26" i="23"/>
  <c r="I26" s="1"/>
  <c r="L25" i="28"/>
  <c r="I25" s="1"/>
  <c r="P44" i="154"/>
  <c r="S44"/>
  <c r="O44"/>
  <c r="C4"/>
  <c r="D4"/>
  <c r="B4"/>
  <c r="B44" s="1"/>
  <c r="E40"/>
  <c r="F40"/>
  <c r="G40"/>
  <c r="B40"/>
  <c r="D40"/>
  <c r="C40"/>
  <c r="B9"/>
  <c r="C9"/>
  <c r="D9"/>
  <c r="E41"/>
  <c r="E44" s="1"/>
  <c r="F41"/>
  <c r="F44" s="1"/>
  <c r="G41"/>
  <c r="G44" s="1"/>
  <c r="D41"/>
  <c r="C41"/>
  <c r="B10"/>
  <c r="C10"/>
  <c r="D10"/>
  <c r="B6"/>
  <c r="D6"/>
  <c r="C6"/>
  <c r="H25" i="25"/>
  <c r="F48" i="50" s="1"/>
  <c r="F39" i="154"/>
  <c r="G39"/>
  <c r="E39"/>
  <c r="B39"/>
  <c r="C39"/>
  <c r="D39"/>
  <c r="C12"/>
  <c r="D12"/>
  <c r="B12"/>
  <c r="C8"/>
  <c r="D8"/>
  <c r="B8"/>
  <c r="B5"/>
  <c r="C5"/>
  <c r="D5"/>
  <c r="G38"/>
  <c r="E38"/>
  <c r="F38"/>
  <c r="C38"/>
  <c r="D38"/>
  <c r="B38"/>
  <c r="D11"/>
  <c r="C11"/>
  <c r="B11"/>
  <c r="D7"/>
  <c r="B7"/>
  <c r="C7"/>
  <c r="K44"/>
  <c r="H44"/>
  <c r="H42" i="65"/>
  <c r="H41"/>
  <c r="M41" s="1"/>
  <c r="H41" i="66" s="1"/>
  <c r="H39" i="65"/>
  <c r="M39" s="1"/>
  <c r="H39" i="66" s="1"/>
  <c r="H40" i="65"/>
  <c r="M40" s="1"/>
  <c r="H40" i="66" s="1"/>
  <c r="B13" i="154"/>
  <c r="H40" i="74"/>
  <c r="M40" s="1"/>
  <c r="H40" i="73" s="1"/>
  <c r="H41" i="74"/>
  <c r="M41" s="1"/>
  <c r="H41" i="73" s="1"/>
  <c r="H42" i="74"/>
  <c r="H39"/>
  <c r="M39" s="1"/>
  <c r="H39" i="73" s="1"/>
  <c r="B11" i="44"/>
  <c r="B35" i="88"/>
  <c r="N10" i="28"/>
  <c r="N9" s="1"/>
  <c r="N8" s="1"/>
  <c r="N7" s="1"/>
  <c r="B36" i="88"/>
  <c r="B32"/>
  <c r="J23" i="18"/>
  <c r="J22" s="1"/>
  <c r="J21" s="1"/>
  <c r="I26" i="27"/>
  <c r="L24" i="28"/>
  <c r="M23"/>
  <c r="J24"/>
  <c r="L25" i="27"/>
  <c r="M24"/>
  <c r="M23" i="23"/>
  <c r="L24"/>
  <c r="J24"/>
  <c r="L25"/>
  <c r="I25" s="1"/>
  <c r="E30" i="101"/>
  <c r="D35" i="358"/>
  <c r="D33" i="101" s="1"/>
  <c r="B31" i="88"/>
  <c r="B31" i="125" s="1"/>
  <c r="B34" i="88"/>
  <c r="G30" i="101"/>
  <c r="D37" i="358"/>
  <c r="D35" i="101" s="1"/>
  <c r="D38" i="358"/>
  <c r="D36"/>
  <c r="D34" i="101" s="1"/>
  <c r="D34" i="358"/>
  <c r="D32" i="101" s="1"/>
  <c r="G36" i="88"/>
  <c r="E35"/>
  <c r="G34"/>
  <c r="C34"/>
  <c r="B74" i="216"/>
  <c r="B77"/>
  <c r="E5" i="198"/>
  <c r="E55" s="1"/>
  <c r="B24" i="309"/>
  <c r="B6"/>
  <c r="C6"/>
  <c r="D6"/>
  <c r="E6"/>
  <c r="F6"/>
  <c r="G6"/>
  <c r="B7"/>
  <c r="C7"/>
  <c r="D7"/>
  <c r="E7"/>
  <c r="F7"/>
  <c r="G7"/>
  <c r="B8"/>
  <c r="C8"/>
  <c r="D8"/>
  <c r="E8"/>
  <c r="F8"/>
  <c r="G8"/>
  <c r="B9"/>
  <c r="C9"/>
  <c r="D9"/>
  <c r="E9"/>
  <c r="F9"/>
  <c r="G9"/>
  <c r="B10"/>
  <c r="C10"/>
  <c r="D10"/>
  <c r="E10"/>
  <c r="F10"/>
  <c r="G10"/>
  <c r="B11"/>
  <c r="C11"/>
  <c r="D11"/>
  <c r="E11"/>
  <c r="F11"/>
  <c r="G11"/>
  <c r="C12"/>
  <c r="D12"/>
  <c r="E12"/>
  <c r="F12"/>
  <c r="G12"/>
  <c r="B13"/>
  <c r="C13"/>
  <c r="D13"/>
  <c r="E13"/>
  <c r="F13"/>
  <c r="G13"/>
  <c r="B14"/>
  <c r="C14"/>
  <c r="D14"/>
  <c r="E14"/>
  <c r="F14"/>
  <c r="G14"/>
  <c r="B15"/>
  <c r="C15"/>
  <c r="D15"/>
  <c r="E15"/>
  <c r="F15"/>
  <c r="G15"/>
  <c r="B16"/>
  <c r="C16"/>
  <c r="D16"/>
  <c r="E16"/>
  <c r="F16"/>
  <c r="G16"/>
  <c r="B17"/>
  <c r="C17"/>
  <c r="D17"/>
  <c r="E17"/>
  <c r="F17"/>
  <c r="G17"/>
  <c r="B18"/>
  <c r="B33" s="1"/>
  <c r="C18"/>
  <c r="C33" s="1"/>
  <c r="D18"/>
  <c r="D33" s="1"/>
  <c r="E18"/>
  <c r="E33" s="1"/>
  <c r="F18"/>
  <c r="F33" s="1"/>
  <c r="G18"/>
  <c r="G33" s="1"/>
  <c r="B19"/>
  <c r="C19"/>
  <c r="D19"/>
  <c r="E19"/>
  <c r="F19"/>
  <c r="G19"/>
  <c r="B20"/>
  <c r="B32" s="1"/>
  <c r="C20"/>
  <c r="C32" s="1"/>
  <c r="D20"/>
  <c r="D32" s="1"/>
  <c r="E20"/>
  <c r="E32" s="1"/>
  <c r="F20"/>
  <c r="F32" s="1"/>
  <c r="G20"/>
  <c r="G32" s="1"/>
  <c r="B21"/>
  <c r="C21"/>
  <c r="D21"/>
  <c r="E21"/>
  <c r="F21"/>
  <c r="G21"/>
  <c r="C22"/>
  <c r="D22"/>
  <c r="E22"/>
  <c r="F22"/>
  <c r="G22"/>
  <c r="C23"/>
  <c r="F23"/>
  <c r="C24"/>
  <c r="D24"/>
  <c r="E24"/>
  <c r="F24"/>
  <c r="G24"/>
  <c r="B25"/>
  <c r="H25" s="1"/>
  <c r="C25"/>
  <c r="D25"/>
  <c r="F25"/>
  <c r="G25"/>
  <c r="C26"/>
  <c r="D26"/>
  <c r="F26"/>
  <c r="G26"/>
  <c r="C21" i="308"/>
  <c r="D21"/>
  <c r="C23"/>
  <c r="D23"/>
  <c r="C24"/>
  <c r="D24"/>
  <c r="C25"/>
  <c r="D25"/>
  <c r="C5"/>
  <c r="D5"/>
  <c r="C6"/>
  <c r="D6"/>
  <c r="C7"/>
  <c r="D7"/>
  <c r="C8"/>
  <c r="D8"/>
  <c r="C9"/>
  <c r="D9"/>
  <c r="C10"/>
  <c r="D10"/>
  <c r="C11"/>
  <c r="D11"/>
  <c r="C12"/>
  <c r="D12"/>
  <c r="C13"/>
  <c r="D13"/>
  <c r="C14"/>
  <c r="D14"/>
  <c r="C15"/>
  <c r="D15"/>
  <c r="C16"/>
  <c r="D16"/>
  <c r="C17"/>
  <c r="D17"/>
  <c r="C18"/>
  <c r="D18"/>
  <c r="C19"/>
  <c r="C31" s="1"/>
  <c r="D19"/>
  <c r="D31" s="1"/>
  <c r="C20"/>
  <c r="D20"/>
  <c r="B5"/>
  <c r="B6"/>
  <c r="B7"/>
  <c r="B8"/>
  <c r="B9"/>
  <c r="B10"/>
  <c r="B11"/>
  <c r="B12"/>
  <c r="B13"/>
  <c r="B14"/>
  <c r="B15"/>
  <c r="B16"/>
  <c r="B17"/>
  <c r="B18"/>
  <c r="B19"/>
  <c r="B20"/>
  <c r="B21"/>
  <c r="B22"/>
  <c r="B23"/>
  <c r="B24"/>
  <c r="B25"/>
  <c r="N7" i="305"/>
  <c r="O7"/>
  <c r="P7"/>
  <c r="Q7"/>
  <c r="N8"/>
  <c r="O8"/>
  <c r="P8"/>
  <c r="Q8"/>
  <c r="N9"/>
  <c r="O9"/>
  <c r="P9"/>
  <c r="Q9"/>
  <c r="N10"/>
  <c r="O10"/>
  <c r="P10"/>
  <c r="Q10"/>
  <c r="N11"/>
  <c r="O11"/>
  <c r="P11"/>
  <c r="Q11"/>
  <c r="N12"/>
  <c r="O12"/>
  <c r="P12"/>
  <c r="Q12"/>
  <c r="N13"/>
  <c r="O13"/>
  <c r="P13"/>
  <c r="Q13"/>
  <c r="N14"/>
  <c r="O14"/>
  <c r="P14"/>
  <c r="Q14"/>
  <c r="N15"/>
  <c r="O15"/>
  <c r="P15"/>
  <c r="Q15"/>
  <c r="N16"/>
  <c r="O16"/>
  <c r="P16"/>
  <c r="Q16"/>
  <c r="N17"/>
  <c r="O17"/>
  <c r="P17"/>
  <c r="Q17"/>
  <c r="N18"/>
  <c r="O18"/>
  <c r="P18"/>
  <c r="Q18"/>
  <c r="N19"/>
  <c r="O19"/>
  <c r="P19"/>
  <c r="Q19"/>
  <c r="N20"/>
  <c r="O20"/>
  <c r="P20"/>
  <c r="Q20"/>
  <c r="N21"/>
  <c r="N33" s="1"/>
  <c r="O21"/>
  <c r="O33" s="1"/>
  <c r="P21"/>
  <c r="P33" s="1"/>
  <c r="Q21"/>
  <c r="Q33" s="1"/>
  <c r="N22"/>
  <c r="O22"/>
  <c r="P22"/>
  <c r="Q22"/>
  <c r="N23"/>
  <c r="O23"/>
  <c r="P23"/>
  <c r="Q23"/>
  <c r="N24"/>
  <c r="O24"/>
  <c r="P24"/>
  <c r="Q24"/>
  <c r="N25"/>
  <c r="O25"/>
  <c r="P25"/>
  <c r="Q25"/>
  <c r="N26"/>
  <c r="P26"/>
  <c r="Q26"/>
  <c r="N27"/>
  <c r="O27"/>
  <c r="P27"/>
  <c r="Q27"/>
  <c r="I7" i="306"/>
  <c r="J7"/>
  <c r="I8"/>
  <c r="J8"/>
  <c r="I9"/>
  <c r="J9"/>
  <c r="I10"/>
  <c r="J10"/>
  <c r="I11"/>
  <c r="J11"/>
  <c r="I12"/>
  <c r="J12"/>
  <c r="I13"/>
  <c r="J13"/>
  <c r="I14"/>
  <c r="J14"/>
  <c r="I15"/>
  <c r="J15"/>
  <c r="I16"/>
  <c r="J16"/>
  <c r="I17"/>
  <c r="J17"/>
  <c r="I18"/>
  <c r="J18"/>
  <c r="I19"/>
  <c r="J19"/>
  <c r="I20"/>
  <c r="J20"/>
  <c r="I21"/>
  <c r="I33" s="1"/>
  <c r="J21"/>
  <c r="J33" s="1"/>
  <c r="I22"/>
  <c r="J22"/>
  <c r="I23"/>
  <c r="J23"/>
  <c r="I25"/>
  <c r="J25"/>
  <c r="I26"/>
  <c r="J26"/>
  <c r="I27"/>
  <c r="J27"/>
  <c r="I6"/>
  <c r="J6"/>
  <c r="N23" i="304"/>
  <c r="O23"/>
  <c r="P23"/>
  <c r="Q23"/>
  <c r="N25"/>
  <c r="O25"/>
  <c r="P25"/>
  <c r="Q25"/>
  <c r="N26"/>
  <c r="N31" s="1"/>
  <c r="O26"/>
  <c r="P26"/>
  <c r="Q26"/>
  <c r="N27"/>
  <c r="Q27"/>
  <c r="B16" i="104"/>
  <c r="D16"/>
  <c r="E16"/>
  <c r="F16"/>
  <c r="G16"/>
  <c r="H16"/>
  <c r="B17"/>
  <c r="D17"/>
  <c r="E17"/>
  <c r="F17"/>
  <c r="G17"/>
  <c r="H17"/>
  <c r="B18"/>
  <c r="D18"/>
  <c r="E18"/>
  <c r="F18"/>
  <c r="G18"/>
  <c r="H18"/>
  <c r="B12"/>
  <c r="C43" i="6"/>
  <c r="C43" i="293" s="1"/>
  <c r="C44" i="6"/>
  <c r="C44" i="293" s="1"/>
  <c r="C45" i="6"/>
  <c r="C45" i="293" s="1"/>
  <c r="C46" i="6"/>
  <c r="C46" i="293" s="1"/>
  <c r="C47" i="6"/>
  <c r="C47" i="293" s="1"/>
  <c r="C48" i="6"/>
  <c r="C48" i="293" s="1"/>
  <c r="C49" i="6"/>
  <c r="C49" i="293" s="1"/>
  <c r="C50" i="6"/>
  <c r="C50" i="293" s="1"/>
  <c r="C51" i="6"/>
  <c r="C51" i="293" s="1"/>
  <c r="C52" i="6"/>
  <c r="C52" i="293" s="1"/>
  <c r="C53" i="6"/>
  <c r="C54"/>
  <c r="C55"/>
  <c r="C56"/>
  <c r="C67" s="1"/>
  <c r="C42"/>
  <c r="C42" i="293" s="1"/>
  <c r="H36" i="258"/>
  <c r="G36"/>
  <c r="F36"/>
  <c r="E36"/>
  <c r="C36"/>
  <c r="B36"/>
  <c r="H35"/>
  <c r="G35"/>
  <c r="F35"/>
  <c r="E35"/>
  <c r="C35"/>
  <c r="B35"/>
  <c r="H34"/>
  <c r="G34"/>
  <c r="F34"/>
  <c r="E34"/>
  <c r="C34"/>
  <c r="B34"/>
  <c r="H33"/>
  <c r="G33"/>
  <c r="F33"/>
  <c r="E33"/>
  <c r="C33"/>
  <c r="B33"/>
  <c r="H32"/>
  <c r="G32"/>
  <c r="F32"/>
  <c r="E32"/>
  <c r="C32"/>
  <c r="B32"/>
  <c r="H31"/>
  <c r="G31"/>
  <c r="F31"/>
  <c r="E31"/>
  <c r="C31"/>
  <c r="B31"/>
  <c r="H30"/>
  <c r="G30"/>
  <c r="F30"/>
  <c r="E30"/>
  <c r="C30"/>
  <c r="B30"/>
  <c r="H29"/>
  <c r="G29"/>
  <c r="F29"/>
  <c r="E29"/>
  <c r="C29"/>
  <c r="B29"/>
  <c r="H28"/>
  <c r="G28"/>
  <c r="F28"/>
  <c r="E28"/>
  <c r="C28"/>
  <c r="B28"/>
  <c r="H27"/>
  <c r="G27"/>
  <c r="F27"/>
  <c r="E27"/>
  <c r="C27"/>
  <c r="B27"/>
  <c r="H26"/>
  <c r="G26"/>
  <c r="F26"/>
  <c r="E26"/>
  <c r="C26"/>
  <c r="B26"/>
  <c r="H25"/>
  <c r="G25"/>
  <c r="F25"/>
  <c r="E25"/>
  <c r="C25"/>
  <c r="B25"/>
  <c r="H24"/>
  <c r="G24"/>
  <c r="F24"/>
  <c r="E24"/>
  <c r="C24"/>
  <c r="B24"/>
  <c r="H23"/>
  <c r="G23"/>
  <c r="F23"/>
  <c r="E23"/>
  <c r="C23"/>
  <c r="B23"/>
  <c r="H22"/>
  <c r="G22"/>
  <c r="F22"/>
  <c r="E22"/>
  <c r="C22"/>
  <c r="B22"/>
  <c r="H21"/>
  <c r="G21"/>
  <c r="F21"/>
  <c r="E21"/>
  <c r="C21"/>
  <c r="B21"/>
  <c r="H20"/>
  <c r="G20"/>
  <c r="F20"/>
  <c r="E20"/>
  <c r="C20"/>
  <c r="B20"/>
  <c r="H19"/>
  <c r="G19"/>
  <c r="F19"/>
  <c r="E19"/>
  <c r="C19"/>
  <c r="B19"/>
  <c r="H18"/>
  <c r="G18"/>
  <c r="F18"/>
  <c r="E18"/>
  <c r="C18"/>
  <c r="B18"/>
  <c r="H17"/>
  <c r="G17"/>
  <c r="F17"/>
  <c r="E17"/>
  <c r="C17"/>
  <c r="B17"/>
  <c r="H16"/>
  <c r="G16"/>
  <c r="F16"/>
  <c r="E16"/>
  <c r="C16"/>
  <c r="B16"/>
  <c r="H15"/>
  <c r="G15"/>
  <c r="F15"/>
  <c r="E15"/>
  <c r="C15"/>
  <c r="B15"/>
  <c r="H14"/>
  <c r="G14"/>
  <c r="F14"/>
  <c r="E14"/>
  <c r="C14"/>
  <c r="B14"/>
  <c r="H13"/>
  <c r="G13"/>
  <c r="F13"/>
  <c r="E13"/>
  <c r="C13"/>
  <c r="B13"/>
  <c r="H12"/>
  <c r="G12"/>
  <c r="F12"/>
  <c r="E12"/>
  <c r="C12"/>
  <c r="B12"/>
  <c r="H11"/>
  <c r="G11"/>
  <c r="F11"/>
  <c r="E11"/>
  <c r="C11"/>
  <c r="B11"/>
  <c r="H10"/>
  <c r="G10"/>
  <c r="F10"/>
  <c r="E10"/>
  <c r="C10"/>
  <c r="B10"/>
  <c r="H9"/>
  <c r="G9"/>
  <c r="F9"/>
  <c r="E9"/>
  <c r="C9"/>
  <c r="B9"/>
  <c r="H8"/>
  <c r="G8"/>
  <c r="F8"/>
  <c r="E8"/>
  <c r="C8"/>
  <c r="B8"/>
  <c r="H7"/>
  <c r="G7"/>
  <c r="F7"/>
  <c r="E7"/>
  <c r="C7"/>
  <c r="B7"/>
  <c r="H6"/>
  <c r="G6"/>
  <c r="F6"/>
  <c r="E6"/>
  <c r="C6"/>
  <c r="B6"/>
  <c r="Z35" i="241"/>
  <c r="Y35"/>
  <c r="X35"/>
  <c r="W35"/>
  <c r="V35"/>
  <c r="U35"/>
  <c r="T35"/>
  <c r="S35"/>
  <c r="R35"/>
  <c r="Q35"/>
  <c r="P35"/>
  <c r="Z34"/>
  <c r="Y34"/>
  <c r="X34"/>
  <c r="W34"/>
  <c r="V34"/>
  <c r="U34"/>
  <c r="T34"/>
  <c r="S34"/>
  <c r="R34"/>
  <c r="Q34"/>
  <c r="P34"/>
  <c r="Z33"/>
  <c r="Y33"/>
  <c r="X33"/>
  <c r="W33"/>
  <c r="V33"/>
  <c r="U33"/>
  <c r="T33"/>
  <c r="S33"/>
  <c r="R33"/>
  <c r="Q33"/>
  <c r="P33"/>
  <c r="Z32"/>
  <c r="Y32"/>
  <c r="X32"/>
  <c r="W32"/>
  <c r="V32"/>
  <c r="U32"/>
  <c r="T32"/>
  <c r="S32"/>
  <c r="R32"/>
  <c r="Q32"/>
  <c r="P32"/>
  <c r="Z31"/>
  <c r="Y31"/>
  <c r="X31"/>
  <c r="W31"/>
  <c r="V31"/>
  <c r="U31"/>
  <c r="T31"/>
  <c r="S31"/>
  <c r="R31"/>
  <c r="Q31"/>
  <c r="P31"/>
  <c r="P36"/>
  <c r="Q36"/>
  <c r="R36"/>
  <c r="S36"/>
  <c r="T36"/>
  <c r="U36"/>
  <c r="V36"/>
  <c r="W36"/>
  <c r="X36"/>
  <c r="Y36"/>
  <c r="Z36"/>
  <c r="P37"/>
  <c r="Q37"/>
  <c r="R37"/>
  <c r="S37"/>
  <c r="T37"/>
  <c r="U37"/>
  <c r="V37"/>
  <c r="W37"/>
  <c r="X37"/>
  <c r="Y37"/>
  <c r="Z37"/>
  <c r="P38"/>
  <c r="Q38"/>
  <c r="R38"/>
  <c r="S38"/>
  <c r="T38"/>
  <c r="U38"/>
  <c r="V38"/>
  <c r="W38"/>
  <c r="X38"/>
  <c r="Y38"/>
  <c r="Z38"/>
  <c r="P39"/>
  <c r="Q39"/>
  <c r="R39"/>
  <c r="S39"/>
  <c r="T39"/>
  <c r="U39"/>
  <c r="V39"/>
  <c r="W39"/>
  <c r="X39"/>
  <c r="Y39"/>
  <c r="Z39"/>
  <c r="P40"/>
  <c r="Q40"/>
  <c r="R40"/>
  <c r="S40"/>
  <c r="T40"/>
  <c r="U40"/>
  <c r="V40"/>
  <c r="W40"/>
  <c r="X40"/>
  <c r="Y40"/>
  <c r="Z40"/>
  <c r="P41"/>
  <c r="Q41"/>
  <c r="R41"/>
  <c r="S41"/>
  <c r="T41"/>
  <c r="U41"/>
  <c r="V41"/>
  <c r="W41"/>
  <c r="X41"/>
  <c r="Y41"/>
  <c r="Z41"/>
  <c r="P42"/>
  <c r="Q42"/>
  <c r="R42"/>
  <c r="S42"/>
  <c r="T42"/>
  <c r="U42"/>
  <c r="V42"/>
  <c r="W42"/>
  <c r="X42"/>
  <c r="Y42"/>
  <c r="Z42"/>
  <c r="P43"/>
  <c r="Q43"/>
  <c r="R43"/>
  <c r="S43"/>
  <c r="T43"/>
  <c r="U43"/>
  <c r="V43"/>
  <c r="W43"/>
  <c r="X43"/>
  <c r="Y43"/>
  <c r="Z43"/>
  <c r="P44"/>
  <c r="Q44"/>
  <c r="R44"/>
  <c r="S44"/>
  <c r="T44"/>
  <c r="U44"/>
  <c r="V44"/>
  <c r="W44"/>
  <c r="X44"/>
  <c r="Y44"/>
  <c r="Z44"/>
  <c r="P45"/>
  <c r="Q45"/>
  <c r="R45"/>
  <c r="S45"/>
  <c r="T45"/>
  <c r="U45"/>
  <c r="V45"/>
  <c r="W45"/>
  <c r="X45"/>
  <c r="Y45"/>
  <c r="Z45"/>
  <c r="P46"/>
  <c r="Q46"/>
  <c r="R46"/>
  <c r="S46"/>
  <c r="T46"/>
  <c r="U46"/>
  <c r="V46"/>
  <c r="W46"/>
  <c r="X46"/>
  <c r="Y46"/>
  <c r="Z46"/>
  <c r="O42"/>
  <c r="O46"/>
  <c r="O45"/>
  <c r="O44"/>
  <c r="O43"/>
  <c r="O41"/>
  <c r="O40"/>
  <c r="O39"/>
  <c r="O37"/>
  <c r="O36"/>
  <c r="O35"/>
  <c r="O34"/>
  <c r="O33"/>
  <c r="O32"/>
  <c r="O31"/>
  <c r="AP39"/>
  <c r="AP15"/>
  <c r="B7" i="238"/>
  <c r="C7"/>
  <c r="D7"/>
  <c r="E7"/>
  <c r="F7"/>
  <c r="G7"/>
  <c r="H7"/>
  <c r="I7"/>
  <c r="J7"/>
  <c r="K7"/>
  <c r="L7"/>
  <c r="M7"/>
  <c r="N7"/>
  <c r="B8"/>
  <c r="C8"/>
  <c r="D8"/>
  <c r="E8"/>
  <c r="F8"/>
  <c r="G8"/>
  <c r="H8"/>
  <c r="I8"/>
  <c r="J8"/>
  <c r="K8"/>
  <c r="L8"/>
  <c r="M8"/>
  <c r="N8"/>
  <c r="B9"/>
  <c r="C9"/>
  <c r="D9"/>
  <c r="E9"/>
  <c r="F9"/>
  <c r="G9"/>
  <c r="H9"/>
  <c r="I9"/>
  <c r="J9"/>
  <c r="K9"/>
  <c r="L9"/>
  <c r="M9"/>
  <c r="N9"/>
  <c r="B10"/>
  <c r="C10"/>
  <c r="D10"/>
  <c r="E10"/>
  <c r="F10"/>
  <c r="G10"/>
  <c r="H10"/>
  <c r="I10"/>
  <c r="J10"/>
  <c r="K10"/>
  <c r="L10"/>
  <c r="M10"/>
  <c r="N10"/>
  <c r="B11"/>
  <c r="C11"/>
  <c r="D11"/>
  <c r="E11"/>
  <c r="F11"/>
  <c r="G11"/>
  <c r="H11"/>
  <c r="I11"/>
  <c r="J11"/>
  <c r="K11"/>
  <c r="L11"/>
  <c r="M11"/>
  <c r="N11"/>
  <c r="B12"/>
  <c r="C12"/>
  <c r="D12"/>
  <c r="E12"/>
  <c r="F12"/>
  <c r="G12"/>
  <c r="H12"/>
  <c r="I12"/>
  <c r="J12"/>
  <c r="K12"/>
  <c r="L12"/>
  <c r="M12"/>
  <c r="N12"/>
  <c r="B13"/>
  <c r="C13"/>
  <c r="D13"/>
  <c r="E13"/>
  <c r="F13"/>
  <c r="G13"/>
  <c r="H13"/>
  <c r="I13"/>
  <c r="J13"/>
  <c r="K13"/>
  <c r="L13"/>
  <c r="M13"/>
  <c r="N13"/>
  <c r="B14"/>
  <c r="C14"/>
  <c r="D14"/>
  <c r="E14"/>
  <c r="F14"/>
  <c r="G14"/>
  <c r="H14"/>
  <c r="I14"/>
  <c r="J14"/>
  <c r="K14"/>
  <c r="L14"/>
  <c r="M14"/>
  <c r="N14"/>
  <c r="B15"/>
  <c r="C15"/>
  <c r="D15"/>
  <c r="E15"/>
  <c r="F15"/>
  <c r="G15"/>
  <c r="H15"/>
  <c r="I15"/>
  <c r="J15"/>
  <c r="K15"/>
  <c r="L15"/>
  <c r="M15"/>
  <c r="N15"/>
  <c r="B16"/>
  <c r="C16"/>
  <c r="D16"/>
  <c r="E16"/>
  <c r="F16"/>
  <c r="G16"/>
  <c r="H16"/>
  <c r="I16"/>
  <c r="J16"/>
  <c r="K16"/>
  <c r="L16"/>
  <c r="M16"/>
  <c r="N16"/>
  <c r="B17"/>
  <c r="C17"/>
  <c r="D17"/>
  <c r="E17"/>
  <c r="F17"/>
  <c r="G17"/>
  <c r="H17"/>
  <c r="I17"/>
  <c r="J17"/>
  <c r="K17"/>
  <c r="L17"/>
  <c r="M17"/>
  <c r="N17"/>
  <c r="B18"/>
  <c r="C18"/>
  <c r="D18"/>
  <c r="E18"/>
  <c r="F18"/>
  <c r="G18"/>
  <c r="H18"/>
  <c r="I18"/>
  <c r="J18"/>
  <c r="K18"/>
  <c r="L18"/>
  <c r="M18"/>
  <c r="N18"/>
  <c r="B19"/>
  <c r="C19"/>
  <c r="D19"/>
  <c r="E19"/>
  <c r="F19"/>
  <c r="G19"/>
  <c r="H19"/>
  <c r="I19"/>
  <c r="J19"/>
  <c r="K19"/>
  <c r="L19"/>
  <c r="M19"/>
  <c r="N19"/>
  <c r="B20"/>
  <c r="C20"/>
  <c r="D20"/>
  <c r="E20"/>
  <c r="F20"/>
  <c r="G20"/>
  <c r="H20"/>
  <c r="I20"/>
  <c r="J20"/>
  <c r="K20"/>
  <c r="L20"/>
  <c r="M20"/>
  <c r="N20"/>
  <c r="B21"/>
  <c r="C21"/>
  <c r="D21"/>
  <c r="E21"/>
  <c r="F21"/>
  <c r="G21"/>
  <c r="H21"/>
  <c r="I21"/>
  <c r="J21"/>
  <c r="K21"/>
  <c r="L21"/>
  <c r="M21"/>
  <c r="N21"/>
  <c r="B22"/>
  <c r="C22"/>
  <c r="D22"/>
  <c r="E22"/>
  <c r="F22"/>
  <c r="G22"/>
  <c r="H22"/>
  <c r="I22"/>
  <c r="J22"/>
  <c r="K22"/>
  <c r="L22"/>
  <c r="M22"/>
  <c r="N22"/>
  <c r="B23"/>
  <c r="C23"/>
  <c r="D23"/>
  <c r="E23"/>
  <c r="F23"/>
  <c r="G23"/>
  <c r="H23"/>
  <c r="I23"/>
  <c r="J23"/>
  <c r="K23"/>
  <c r="L23"/>
  <c r="M23"/>
  <c r="N23"/>
  <c r="B24"/>
  <c r="C24"/>
  <c r="D24"/>
  <c r="E24"/>
  <c r="F24"/>
  <c r="G24"/>
  <c r="H24"/>
  <c r="I24"/>
  <c r="J24"/>
  <c r="K24"/>
  <c r="L24"/>
  <c r="M24"/>
  <c r="N24"/>
  <c r="B25"/>
  <c r="C25"/>
  <c r="C43" s="1"/>
  <c r="D25"/>
  <c r="E25"/>
  <c r="E43" s="1"/>
  <c r="F25"/>
  <c r="G25"/>
  <c r="G43" s="1"/>
  <c r="H25"/>
  <c r="I25"/>
  <c r="I43" s="1"/>
  <c r="J25"/>
  <c r="K25"/>
  <c r="K43" s="1"/>
  <c r="L25"/>
  <c r="M25"/>
  <c r="M43" s="1"/>
  <c r="N25"/>
  <c r="B26"/>
  <c r="C26"/>
  <c r="D26"/>
  <c r="E26"/>
  <c r="F26"/>
  <c r="G26"/>
  <c r="H26"/>
  <c r="I26"/>
  <c r="J26"/>
  <c r="K26"/>
  <c r="L26"/>
  <c r="M26"/>
  <c r="N26"/>
  <c r="B27"/>
  <c r="C27"/>
  <c r="D27"/>
  <c r="E27"/>
  <c r="F27"/>
  <c r="G27"/>
  <c r="H27"/>
  <c r="I27"/>
  <c r="J27"/>
  <c r="K27"/>
  <c r="L27"/>
  <c r="M27"/>
  <c r="N27"/>
  <c r="B28"/>
  <c r="C28"/>
  <c r="D28"/>
  <c r="E28"/>
  <c r="F28"/>
  <c r="G28"/>
  <c r="H28"/>
  <c r="I28"/>
  <c r="J28"/>
  <c r="K28"/>
  <c r="L28"/>
  <c r="M28"/>
  <c r="N28"/>
  <c r="B29"/>
  <c r="C29"/>
  <c r="D29"/>
  <c r="E29"/>
  <c r="F29"/>
  <c r="G29"/>
  <c r="H29"/>
  <c r="I29"/>
  <c r="J29"/>
  <c r="K29"/>
  <c r="L29"/>
  <c r="M29"/>
  <c r="N29"/>
  <c r="B30"/>
  <c r="C30"/>
  <c r="D30"/>
  <c r="E30"/>
  <c r="F30"/>
  <c r="G30"/>
  <c r="H30"/>
  <c r="I30"/>
  <c r="J30"/>
  <c r="K30"/>
  <c r="L30"/>
  <c r="M30"/>
  <c r="N30"/>
  <c r="B31"/>
  <c r="C31"/>
  <c r="D31"/>
  <c r="E31"/>
  <c r="F31"/>
  <c r="G31"/>
  <c r="H31"/>
  <c r="I31"/>
  <c r="J31"/>
  <c r="K31"/>
  <c r="L31"/>
  <c r="M31"/>
  <c r="N31"/>
  <c r="B32"/>
  <c r="C32"/>
  <c r="D32"/>
  <c r="E32"/>
  <c r="F32"/>
  <c r="G32"/>
  <c r="H32"/>
  <c r="I32"/>
  <c r="J32"/>
  <c r="K32"/>
  <c r="L32"/>
  <c r="M32"/>
  <c r="N32"/>
  <c r="B33"/>
  <c r="C33"/>
  <c r="D33"/>
  <c r="E33"/>
  <c r="F33"/>
  <c r="G33"/>
  <c r="H33"/>
  <c r="I33"/>
  <c r="J33"/>
  <c r="K33"/>
  <c r="L33"/>
  <c r="M33"/>
  <c r="N33"/>
  <c r="B34"/>
  <c r="C34"/>
  <c r="D34"/>
  <c r="E34"/>
  <c r="F34"/>
  <c r="G34"/>
  <c r="H34"/>
  <c r="I34"/>
  <c r="J34"/>
  <c r="K34"/>
  <c r="L34"/>
  <c r="M34"/>
  <c r="N34"/>
  <c r="B35"/>
  <c r="C35"/>
  <c r="D35"/>
  <c r="E35"/>
  <c r="F35"/>
  <c r="G35"/>
  <c r="H35"/>
  <c r="I35"/>
  <c r="J35"/>
  <c r="K35"/>
  <c r="L35"/>
  <c r="M35"/>
  <c r="N35"/>
  <c r="B36"/>
  <c r="C36"/>
  <c r="D36"/>
  <c r="E36"/>
  <c r="F36"/>
  <c r="G36"/>
  <c r="H36"/>
  <c r="I36"/>
  <c r="J36"/>
  <c r="K36"/>
  <c r="L36"/>
  <c r="M36"/>
  <c r="N36"/>
  <c r="B37"/>
  <c r="C37"/>
  <c r="D37"/>
  <c r="E37"/>
  <c r="F37"/>
  <c r="G37"/>
  <c r="H37"/>
  <c r="I37"/>
  <c r="J37"/>
  <c r="K37"/>
  <c r="L37"/>
  <c r="M37"/>
  <c r="N37"/>
  <c r="C34" i="237"/>
  <c r="D34"/>
  <c r="E34"/>
  <c r="H34"/>
  <c r="I34"/>
  <c r="J34"/>
  <c r="K34"/>
  <c r="L34"/>
  <c r="M34"/>
  <c r="N34"/>
  <c r="O34"/>
  <c r="C35"/>
  <c r="D35"/>
  <c r="E35"/>
  <c r="H35"/>
  <c r="I35"/>
  <c r="J35"/>
  <c r="K35"/>
  <c r="L35"/>
  <c r="M35"/>
  <c r="N35"/>
  <c r="O35"/>
  <c r="C36"/>
  <c r="D36"/>
  <c r="E36"/>
  <c r="H36"/>
  <c r="I36"/>
  <c r="J36"/>
  <c r="K36"/>
  <c r="L36"/>
  <c r="M36"/>
  <c r="N36"/>
  <c r="O36"/>
  <c r="C5"/>
  <c r="J5"/>
  <c r="S84"/>
  <c r="T84"/>
  <c r="U84"/>
  <c r="V84"/>
  <c r="W84"/>
  <c r="X84"/>
  <c r="Y84"/>
  <c r="Z84"/>
  <c r="AA84"/>
  <c r="AB84"/>
  <c r="AC84"/>
  <c r="AD84"/>
  <c r="S85"/>
  <c r="T85"/>
  <c r="U85"/>
  <c r="V85"/>
  <c r="W85"/>
  <c r="X85"/>
  <c r="Y85"/>
  <c r="Z85"/>
  <c r="AA85"/>
  <c r="AB85"/>
  <c r="AC85"/>
  <c r="AD85"/>
  <c r="S86"/>
  <c r="T86"/>
  <c r="U86"/>
  <c r="V86"/>
  <c r="W86"/>
  <c r="X86"/>
  <c r="Y86"/>
  <c r="Z86"/>
  <c r="AA86"/>
  <c r="AB86"/>
  <c r="AC86"/>
  <c r="AD86"/>
  <c r="S87"/>
  <c r="T87"/>
  <c r="U87"/>
  <c r="V87"/>
  <c r="W87"/>
  <c r="X87"/>
  <c r="Y87"/>
  <c r="Z87"/>
  <c r="AA87"/>
  <c r="AB87"/>
  <c r="AC87"/>
  <c r="AD87"/>
  <c r="S88"/>
  <c r="T88"/>
  <c r="U88"/>
  <c r="V88"/>
  <c r="W88"/>
  <c r="X88"/>
  <c r="Y88"/>
  <c r="Z88"/>
  <c r="AA88"/>
  <c r="AB88"/>
  <c r="AC88"/>
  <c r="AD88"/>
  <c r="S89"/>
  <c r="T89"/>
  <c r="U89"/>
  <c r="V89"/>
  <c r="W89"/>
  <c r="X89"/>
  <c r="Y89"/>
  <c r="Z89"/>
  <c r="AA89"/>
  <c r="AB89"/>
  <c r="AC89"/>
  <c r="AD89"/>
  <c r="S90"/>
  <c r="T90"/>
  <c r="U90"/>
  <c r="V90"/>
  <c r="W90"/>
  <c r="X90"/>
  <c r="Y90"/>
  <c r="Z90"/>
  <c r="AA90"/>
  <c r="AB90"/>
  <c r="AC90"/>
  <c r="AD90"/>
  <c r="S91"/>
  <c r="T91"/>
  <c r="U91"/>
  <c r="V91"/>
  <c r="W91"/>
  <c r="X91"/>
  <c r="Y91"/>
  <c r="Z91"/>
  <c r="AA91"/>
  <c r="AB91"/>
  <c r="AC91"/>
  <c r="AD91"/>
  <c r="S92"/>
  <c r="T92"/>
  <c r="U92"/>
  <c r="V92"/>
  <c r="W92"/>
  <c r="X92"/>
  <c r="Y92"/>
  <c r="Z92"/>
  <c r="AA92"/>
  <c r="AB92"/>
  <c r="AC92"/>
  <c r="AD92"/>
  <c r="S93"/>
  <c r="T93"/>
  <c r="U93"/>
  <c r="V93"/>
  <c r="W93"/>
  <c r="X93"/>
  <c r="Y93"/>
  <c r="Z93"/>
  <c r="AA93"/>
  <c r="AB93"/>
  <c r="AC93"/>
  <c r="AD93"/>
  <c r="S94"/>
  <c r="T94"/>
  <c r="U94"/>
  <c r="V94"/>
  <c r="W94"/>
  <c r="X94"/>
  <c r="Y94"/>
  <c r="Z94"/>
  <c r="AA94"/>
  <c r="AB94"/>
  <c r="AC94"/>
  <c r="AD94"/>
  <c r="S95"/>
  <c r="T95"/>
  <c r="U95"/>
  <c r="V95"/>
  <c r="W95"/>
  <c r="X95"/>
  <c r="Y95"/>
  <c r="Z95"/>
  <c r="AA95"/>
  <c r="AB95"/>
  <c r="AC95"/>
  <c r="AD95"/>
  <c r="S96"/>
  <c r="T96"/>
  <c r="U96"/>
  <c r="V96"/>
  <c r="W96"/>
  <c r="X96"/>
  <c r="Y96"/>
  <c r="Z96"/>
  <c r="AA96"/>
  <c r="AB96"/>
  <c r="AC96"/>
  <c r="AD96"/>
  <c r="S97"/>
  <c r="T97"/>
  <c r="U97"/>
  <c r="V97"/>
  <c r="W97"/>
  <c r="X97"/>
  <c r="Y97"/>
  <c r="Z97"/>
  <c r="AA97"/>
  <c r="AB97"/>
  <c r="AC97"/>
  <c r="AD97"/>
  <c r="S98"/>
  <c r="T98"/>
  <c r="U98"/>
  <c r="V98"/>
  <c r="W98"/>
  <c r="X98"/>
  <c r="Y98"/>
  <c r="Z98"/>
  <c r="AA98"/>
  <c r="AB98"/>
  <c r="AC98"/>
  <c r="AD98"/>
  <c r="S99"/>
  <c r="T99"/>
  <c r="U99"/>
  <c r="V99"/>
  <c r="W99"/>
  <c r="X99"/>
  <c r="Y99"/>
  <c r="Z99"/>
  <c r="AA99"/>
  <c r="AB99"/>
  <c r="AC99"/>
  <c r="AD99"/>
  <c r="S100"/>
  <c r="T100"/>
  <c r="U100"/>
  <c r="V100"/>
  <c r="W100"/>
  <c r="X100"/>
  <c r="Y100"/>
  <c r="Z100"/>
  <c r="AA100"/>
  <c r="AB100"/>
  <c r="AC100"/>
  <c r="AD100"/>
  <c r="S101"/>
  <c r="T101"/>
  <c r="U101"/>
  <c r="V101"/>
  <c r="W101"/>
  <c r="X101"/>
  <c r="Y101"/>
  <c r="Z101"/>
  <c r="AA101"/>
  <c r="AB101"/>
  <c r="AC101"/>
  <c r="AD101"/>
  <c r="S102"/>
  <c r="T102"/>
  <c r="U102"/>
  <c r="V102"/>
  <c r="W102"/>
  <c r="X102"/>
  <c r="Y102"/>
  <c r="Z102"/>
  <c r="AA102"/>
  <c r="AB102"/>
  <c r="AC102"/>
  <c r="AD102"/>
  <c r="S103"/>
  <c r="T103"/>
  <c r="U103"/>
  <c r="V103"/>
  <c r="W103"/>
  <c r="X103"/>
  <c r="Y103"/>
  <c r="Z103"/>
  <c r="AA103"/>
  <c r="AB103"/>
  <c r="AC103"/>
  <c r="AD103"/>
  <c r="S104"/>
  <c r="T104"/>
  <c r="U104"/>
  <c r="V104"/>
  <c r="W104"/>
  <c r="X104"/>
  <c r="Y104"/>
  <c r="Z104"/>
  <c r="AA104"/>
  <c r="AB104"/>
  <c r="AC104"/>
  <c r="AD104"/>
  <c r="S105"/>
  <c r="T105"/>
  <c r="U105"/>
  <c r="V105"/>
  <c r="W105"/>
  <c r="X105"/>
  <c r="Y105"/>
  <c r="Z105"/>
  <c r="AA105"/>
  <c r="AB105"/>
  <c r="AC105"/>
  <c r="AD105"/>
  <c r="S106"/>
  <c r="T106"/>
  <c r="U106"/>
  <c r="V106"/>
  <c r="W106"/>
  <c r="X106"/>
  <c r="Y106"/>
  <c r="Z106"/>
  <c r="AA106"/>
  <c r="AB106"/>
  <c r="AC106"/>
  <c r="AD106"/>
  <c r="S107"/>
  <c r="T107"/>
  <c r="U107"/>
  <c r="V107"/>
  <c r="W107"/>
  <c r="X107"/>
  <c r="Y107"/>
  <c r="Z107"/>
  <c r="AA107"/>
  <c r="AB107"/>
  <c r="AC107"/>
  <c r="AD107"/>
  <c r="S108"/>
  <c r="T108"/>
  <c r="U108"/>
  <c r="V108"/>
  <c r="W108"/>
  <c r="X108"/>
  <c r="Y108"/>
  <c r="Z108"/>
  <c r="AA108"/>
  <c r="AB108"/>
  <c r="AC108"/>
  <c r="AD108"/>
  <c r="S109"/>
  <c r="T109"/>
  <c r="U109"/>
  <c r="V109"/>
  <c r="W109"/>
  <c r="X109"/>
  <c r="Y109"/>
  <c r="Z109"/>
  <c r="AA109"/>
  <c r="AB109"/>
  <c r="AC109"/>
  <c r="AD109"/>
  <c r="S110"/>
  <c r="T110"/>
  <c r="U110"/>
  <c r="V110"/>
  <c r="W110"/>
  <c r="X110"/>
  <c r="Y110"/>
  <c r="Z110"/>
  <c r="AA110"/>
  <c r="AB110"/>
  <c r="AC110"/>
  <c r="AD110"/>
  <c r="S111"/>
  <c r="T111"/>
  <c r="U111"/>
  <c r="V111"/>
  <c r="W111"/>
  <c r="X111"/>
  <c r="Y111"/>
  <c r="Z111"/>
  <c r="AA111"/>
  <c r="AB111"/>
  <c r="AC111"/>
  <c r="AD111"/>
  <c r="S112"/>
  <c r="T112"/>
  <c r="U112"/>
  <c r="V112"/>
  <c r="W112"/>
  <c r="X112"/>
  <c r="Y112"/>
  <c r="Z112"/>
  <c r="AA112"/>
  <c r="AB112"/>
  <c r="AC112"/>
  <c r="AD112"/>
  <c r="S113"/>
  <c r="T113"/>
  <c r="U113"/>
  <c r="V113"/>
  <c r="W113"/>
  <c r="X113"/>
  <c r="Y113"/>
  <c r="Z113"/>
  <c r="AA113"/>
  <c r="AB113"/>
  <c r="AC113"/>
  <c r="AD113"/>
  <c r="S114"/>
  <c r="T114"/>
  <c r="U114"/>
  <c r="V114"/>
  <c r="W114"/>
  <c r="X114"/>
  <c r="Y114"/>
  <c r="Z114"/>
  <c r="AA114"/>
  <c r="AB114"/>
  <c r="AC114"/>
  <c r="AD114"/>
  <c r="S115"/>
  <c r="T115"/>
  <c r="U115"/>
  <c r="V115"/>
  <c r="W115"/>
  <c r="X115"/>
  <c r="Y115"/>
  <c r="Z115"/>
  <c r="AA115"/>
  <c r="AB115"/>
  <c r="AC115"/>
  <c r="AD115"/>
  <c r="S116"/>
  <c r="T116"/>
  <c r="U116"/>
  <c r="V116"/>
  <c r="W116"/>
  <c r="X116"/>
  <c r="Y116"/>
  <c r="Z116"/>
  <c r="AA116"/>
  <c r="AB116"/>
  <c r="AC116"/>
  <c r="AD116"/>
  <c r="R85"/>
  <c r="R86"/>
  <c r="R87"/>
  <c r="R88"/>
  <c r="R89"/>
  <c r="R90"/>
  <c r="R91"/>
  <c r="R92"/>
  <c r="R93"/>
  <c r="R94"/>
  <c r="R95"/>
  <c r="R96"/>
  <c r="R97"/>
  <c r="R98"/>
  <c r="R99"/>
  <c r="R100"/>
  <c r="R101"/>
  <c r="R102"/>
  <c r="R103"/>
  <c r="R104"/>
  <c r="R105"/>
  <c r="R106"/>
  <c r="R107"/>
  <c r="R108"/>
  <c r="R109"/>
  <c r="R110"/>
  <c r="R111"/>
  <c r="R112"/>
  <c r="R113"/>
  <c r="R114"/>
  <c r="R115"/>
  <c r="R116"/>
  <c r="R84"/>
  <c r="C32"/>
  <c r="D32"/>
  <c r="E32"/>
  <c r="H32"/>
  <c r="I32"/>
  <c r="J32"/>
  <c r="K32"/>
  <c r="L32"/>
  <c r="M32"/>
  <c r="N32"/>
  <c r="O32"/>
  <c r="C33"/>
  <c r="D33"/>
  <c r="E33"/>
  <c r="H33"/>
  <c r="I33"/>
  <c r="J33"/>
  <c r="K33"/>
  <c r="L33"/>
  <c r="M33"/>
  <c r="N33"/>
  <c r="O33"/>
  <c r="C11"/>
  <c r="H22" i="127"/>
  <c r="I22"/>
  <c r="J22"/>
  <c r="L22"/>
  <c r="M22"/>
  <c r="P22"/>
  <c r="Q22"/>
  <c r="R22"/>
  <c r="S22"/>
  <c r="T22"/>
  <c r="V22"/>
  <c r="W22"/>
  <c r="X22"/>
  <c r="H23"/>
  <c r="I23"/>
  <c r="J23"/>
  <c r="L23"/>
  <c r="M23"/>
  <c r="P23"/>
  <c r="Q23"/>
  <c r="R23"/>
  <c r="S23"/>
  <c r="T23"/>
  <c r="V23"/>
  <c r="W23"/>
  <c r="X23"/>
  <c r="H24"/>
  <c r="I24"/>
  <c r="J24"/>
  <c r="L24"/>
  <c r="M24"/>
  <c r="P24"/>
  <c r="Q24"/>
  <c r="R24"/>
  <c r="S24"/>
  <c r="T24"/>
  <c r="V24"/>
  <c r="W24"/>
  <c r="X24"/>
  <c r="H25"/>
  <c r="H44" s="1"/>
  <c r="I25"/>
  <c r="I44" s="1"/>
  <c r="J25"/>
  <c r="J44" s="1"/>
  <c r="L25"/>
  <c r="L44" s="1"/>
  <c r="M25"/>
  <c r="M44" s="1"/>
  <c r="P25"/>
  <c r="P44" s="1"/>
  <c r="Q25"/>
  <c r="Q44" s="1"/>
  <c r="R25"/>
  <c r="R44" s="1"/>
  <c r="S25"/>
  <c r="S44" s="1"/>
  <c r="T25"/>
  <c r="T44" s="1"/>
  <c r="V25"/>
  <c r="V44" s="1"/>
  <c r="W25"/>
  <c r="W44" s="1"/>
  <c r="X25"/>
  <c r="X44" s="1"/>
  <c r="H26"/>
  <c r="I26"/>
  <c r="J26"/>
  <c r="L26"/>
  <c r="M26"/>
  <c r="P26"/>
  <c r="Q26"/>
  <c r="R26"/>
  <c r="S26"/>
  <c r="T26"/>
  <c r="V26"/>
  <c r="W26"/>
  <c r="X26"/>
  <c r="H27"/>
  <c r="I27"/>
  <c r="J27"/>
  <c r="L27"/>
  <c r="M27"/>
  <c r="P27"/>
  <c r="Q27"/>
  <c r="R27"/>
  <c r="S27"/>
  <c r="T27"/>
  <c r="V27"/>
  <c r="W27"/>
  <c r="X27"/>
  <c r="H28"/>
  <c r="I28"/>
  <c r="J28"/>
  <c r="L28"/>
  <c r="M28"/>
  <c r="P28"/>
  <c r="Q28"/>
  <c r="R28"/>
  <c r="S28"/>
  <c r="T28"/>
  <c r="V28"/>
  <c r="W28"/>
  <c r="X28"/>
  <c r="H29"/>
  <c r="I29"/>
  <c r="J29"/>
  <c r="L29"/>
  <c r="M29"/>
  <c r="P29"/>
  <c r="Q29"/>
  <c r="R29"/>
  <c r="S29"/>
  <c r="T29"/>
  <c r="V29"/>
  <c r="W29"/>
  <c r="X29"/>
  <c r="H30"/>
  <c r="I30"/>
  <c r="J30"/>
  <c r="L30"/>
  <c r="M30"/>
  <c r="P30"/>
  <c r="Q30"/>
  <c r="R30"/>
  <c r="S30"/>
  <c r="T30"/>
  <c r="V30"/>
  <c r="W30"/>
  <c r="X30"/>
  <c r="H31"/>
  <c r="I31"/>
  <c r="J31"/>
  <c r="L31"/>
  <c r="M31"/>
  <c r="P31"/>
  <c r="Q31"/>
  <c r="R31"/>
  <c r="S31"/>
  <c r="T31"/>
  <c r="V31"/>
  <c r="W31"/>
  <c r="X31"/>
  <c r="H32"/>
  <c r="I32"/>
  <c r="J32"/>
  <c r="L32"/>
  <c r="M32"/>
  <c r="P32"/>
  <c r="Q32"/>
  <c r="R32"/>
  <c r="S32"/>
  <c r="T32"/>
  <c r="V32"/>
  <c r="W32"/>
  <c r="X32"/>
  <c r="H33"/>
  <c r="I33"/>
  <c r="J33"/>
  <c r="L33"/>
  <c r="M33"/>
  <c r="P33"/>
  <c r="Q33"/>
  <c r="R33"/>
  <c r="S33"/>
  <c r="T33"/>
  <c r="V33"/>
  <c r="W33"/>
  <c r="X33"/>
  <c r="H34"/>
  <c r="I34"/>
  <c r="J34"/>
  <c r="L34"/>
  <c r="M34"/>
  <c r="P34"/>
  <c r="Q34"/>
  <c r="R34"/>
  <c r="S34"/>
  <c r="T34"/>
  <c r="V34"/>
  <c r="W34"/>
  <c r="X34"/>
  <c r="H35"/>
  <c r="I35"/>
  <c r="J35"/>
  <c r="L35"/>
  <c r="M35"/>
  <c r="P35"/>
  <c r="Q35"/>
  <c r="R35"/>
  <c r="S35"/>
  <c r="T35"/>
  <c r="V35"/>
  <c r="W35"/>
  <c r="X35"/>
  <c r="H36"/>
  <c r="I36"/>
  <c r="J36"/>
  <c r="L36"/>
  <c r="M36"/>
  <c r="P36"/>
  <c r="Q36"/>
  <c r="R36"/>
  <c r="S36"/>
  <c r="T36"/>
  <c r="V36"/>
  <c r="W36"/>
  <c r="X36"/>
  <c r="B31" i="308" l="1"/>
  <c r="H24" i="25"/>
  <c r="N43" i="238"/>
  <c r="J43"/>
  <c r="F43"/>
  <c r="B43"/>
  <c r="I44"/>
  <c r="I42"/>
  <c r="C32" i="308"/>
  <c r="C30"/>
  <c r="F31" i="309"/>
  <c r="E31"/>
  <c r="J20" i="18"/>
  <c r="J19" s="1"/>
  <c r="J18" s="1"/>
  <c r="J17" s="1"/>
  <c r="J16" s="1"/>
  <c r="J15" s="1"/>
  <c r="J14" s="1"/>
  <c r="J13" s="1"/>
  <c r="J12" s="1"/>
  <c r="J11" s="1"/>
  <c r="J10" s="1"/>
  <c r="J38" s="1"/>
  <c r="J39"/>
  <c r="H42" i="71"/>
  <c r="M46" i="72"/>
  <c r="M49"/>
  <c r="J39" i="237"/>
  <c r="J44" i="238"/>
  <c r="J42"/>
  <c r="B44"/>
  <c r="B42"/>
  <c r="J30" i="306"/>
  <c r="J32"/>
  <c r="J34"/>
  <c r="D32" i="308"/>
  <c r="D30"/>
  <c r="G31" i="309"/>
  <c r="E39" i="88"/>
  <c r="H42" i="75"/>
  <c r="M46" i="76"/>
  <c r="K44" i="238"/>
  <c r="K42"/>
  <c r="G44"/>
  <c r="G42"/>
  <c r="C44"/>
  <c r="C42"/>
  <c r="B30" i="308"/>
  <c r="B32"/>
  <c r="C31" i="309"/>
  <c r="M42" i="65"/>
  <c r="H49"/>
  <c r="H46"/>
  <c r="M46" i="80"/>
  <c r="M49"/>
  <c r="H42" i="79"/>
  <c r="B36" i="366"/>
  <c r="C36"/>
  <c r="H42" i="69"/>
  <c r="M46" i="70"/>
  <c r="M49"/>
  <c r="H42" i="258"/>
  <c r="G42"/>
  <c r="F42"/>
  <c r="I31" i="306"/>
  <c r="C44" i="154"/>
  <c r="H47" i="68"/>
  <c r="H48" i="65"/>
  <c r="C39" i="237"/>
  <c r="M44" i="238"/>
  <c r="M42"/>
  <c r="E44"/>
  <c r="E42"/>
  <c r="N30" i="304"/>
  <c r="I32" i="306"/>
  <c r="I30"/>
  <c r="I34"/>
  <c r="E35" i="120"/>
  <c r="N44" i="238"/>
  <c r="N42"/>
  <c r="F44"/>
  <c r="F42"/>
  <c r="B42" i="258"/>
  <c r="B31" i="309"/>
  <c r="M42" i="74"/>
  <c r="H46"/>
  <c r="L44" i="238"/>
  <c r="L42"/>
  <c r="H44"/>
  <c r="H42"/>
  <c r="D44"/>
  <c r="D42"/>
  <c r="D31" i="309"/>
  <c r="K9" i="18"/>
  <c r="K8" s="1"/>
  <c r="K7" s="1"/>
  <c r="K6" s="1"/>
  <c r="K37"/>
  <c r="H35" i="69"/>
  <c r="C42" i="258"/>
  <c r="L43" i="238"/>
  <c r="H43"/>
  <c r="D43"/>
  <c r="E42" i="258"/>
  <c r="J31" i="306"/>
  <c r="J24" i="26"/>
  <c r="G47" i="51" s="1"/>
  <c r="M42" i="68"/>
  <c r="M46" s="1"/>
  <c r="H49"/>
  <c r="J42" i="67"/>
  <c r="J46" s="1"/>
  <c r="I42"/>
  <c r="I46" s="1"/>
  <c r="N34" i="305"/>
  <c r="N32"/>
  <c r="Q34"/>
  <c r="Q32"/>
  <c r="O32"/>
  <c r="O34"/>
  <c r="P32"/>
  <c r="P34"/>
  <c r="C18" i="104"/>
  <c r="C55" i="293"/>
  <c r="C16" i="104"/>
  <c r="C53" i="293"/>
  <c r="C19" i="104"/>
  <c r="C64" i="6"/>
  <c r="C56" i="293"/>
  <c r="C17" i="104"/>
  <c r="C54" i="293"/>
  <c r="C30" i="101"/>
  <c r="H33" i="120"/>
  <c r="H31"/>
  <c r="H35"/>
  <c r="I35"/>
  <c r="B46" i="358"/>
  <c r="D32" i="120"/>
  <c r="D33"/>
  <c r="I36"/>
  <c r="G36"/>
  <c r="I30" i="101"/>
  <c r="D35" i="120"/>
  <c r="B30" i="101"/>
  <c r="E30" i="120" s="1"/>
  <c r="F35"/>
  <c r="C36"/>
  <c r="E36"/>
  <c r="H36"/>
  <c r="B31"/>
  <c r="G32"/>
  <c r="F30" i="101"/>
  <c r="D36"/>
  <c r="F36" i="120"/>
  <c r="G33"/>
  <c r="E34"/>
  <c r="C31"/>
  <c r="I31"/>
  <c r="G35"/>
  <c r="H30" i="101"/>
  <c r="B36" i="120"/>
  <c r="B33"/>
  <c r="D34"/>
  <c r="F32"/>
  <c r="F34"/>
  <c r="E31"/>
  <c r="C35"/>
  <c r="G31"/>
  <c r="B35"/>
  <c r="E33"/>
  <c r="F31"/>
  <c r="H6" i="309"/>
  <c r="K16" i="28"/>
  <c r="H40" i="53"/>
  <c r="H24" i="18"/>
  <c r="F48" i="54"/>
  <c r="I25" i="27"/>
  <c r="I48" i="52"/>
  <c r="H16" i="28"/>
  <c r="F40" i="53"/>
  <c r="H24" i="27"/>
  <c r="F48" i="52"/>
  <c r="J24" i="20"/>
  <c r="G48" i="56"/>
  <c r="H24" i="26"/>
  <c r="F48" i="51"/>
  <c r="J24" i="27"/>
  <c r="G48" i="52"/>
  <c r="K24" i="27"/>
  <c r="H48" i="52"/>
  <c r="J24" i="25"/>
  <c r="G47" i="50" s="1"/>
  <c r="AC40" i="68"/>
  <c r="D44" i="154"/>
  <c r="B32" i="125"/>
  <c r="B30" i="88"/>
  <c r="B30" i="125" s="1"/>
  <c r="B34"/>
  <c r="B33"/>
  <c r="B36"/>
  <c r="C29" i="101"/>
  <c r="J12" i="309"/>
  <c r="B35" i="125"/>
  <c r="M22" i="28"/>
  <c r="L23"/>
  <c r="J23"/>
  <c r="I24"/>
  <c r="L24" i="27"/>
  <c r="M23"/>
  <c r="H23" i="25"/>
  <c r="F47" i="50"/>
  <c r="M22" i="23"/>
  <c r="L23"/>
  <c r="J23"/>
  <c r="I24"/>
  <c r="E29" i="101"/>
  <c r="J15" i="309"/>
  <c r="J11"/>
  <c r="J7"/>
  <c r="K37" i="127"/>
  <c r="I24" i="309"/>
  <c r="I13"/>
  <c r="H9"/>
  <c r="B36" i="237"/>
  <c r="J24" i="309"/>
  <c r="I20"/>
  <c r="I12"/>
  <c r="H18"/>
  <c r="H10"/>
  <c r="I25"/>
  <c r="I23"/>
  <c r="E19" i="308"/>
  <c r="E11"/>
  <c r="E7"/>
  <c r="I21" i="309"/>
  <c r="H7"/>
  <c r="J6"/>
  <c r="E6" i="308"/>
  <c r="E25"/>
  <c r="J19" i="309"/>
  <c r="I18"/>
  <c r="I9"/>
  <c r="J20"/>
  <c r="H17"/>
  <c r="J16"/>
  <c r="H15"/>
  <c r="H13"/>
  <c r="H8"/>
  <c r="E17" i="308"/>
  <c r="H22" i="309"/>
  <c r="H16"/>
  <c r="H14"/>
  <c r="I11"/>
  <c r="I8"/>
  <c r="I17"/>
  <c r="E15" i="308"/>
  <c r="I26" i="309"/>
  <c r="H21"/>
  <c r="I16"/>
  <c r="I10"/>
  <c r="J8"/>
  <c r="H24"/>
  <c r="E10" i="308"/>
  <c r="E24"/>
  <c r="H20" i="309"/>
  <c r="J18"/>
  <c r="B35" i="237"/>
  <c r="E16" i="308"/>
  <c r="E14"/>
  <c r="E9"/>
  <c r="E21"/>
  <c r="J26" i="309"/>
  <c r="I22"/>
  <c r="H19"/>
  <c r="I14"/>
  <c r="H11"/>
  <c r="I6"/>
  <c r="E8" i="308"/>
  <c r="E12"/>
  <c r="E5"/>
  <c r="J17" i="309"/>
  <c r="I15"/>
  <c r="H12"/>
  <c r="J10"/>
  <c r="J9"/>
  <c r="I7"/>
  <c r="B34" i="237"/>
  <c r="E20" i="308"/>
  <c r="E18"/>
  <c r="E13"/>
  <c r="E23"/>
  <c r="J25" i="309"/>
  <c r="J22"/>
  <c r="J21"/>
  <c r="I19"/>
  <c r="J14"/>
  <c r="J13"/>
  <c r="B33" i="237"/>
  <c r="B32"/>
  <c r="AD25" i="357"/>
  <c r="AE25"/>
  <c r="AF25"/>
  <c r="AG25"/>
  <c r="AH25"/>
  <c r="AI25"/>
  <c r="AJ25"/>
  <c r="AK25"/>
  <c r="AL25"/>
  <c r="AM25"/>
  <c r="AN25"/>
  <c r="AO25"/>
  <c r="AP25"/>
  <c r="AQ25"/>
  <c r="AR25"/>
  <c r="AS25"/>
  <c r="AT25"/>
  <c r="AU25"/>
  <c r="AV25"/>
  <c r="AW25"/>
  <c r="AX25"/>
  <c r="AD26"/>
  <c r="AE26"/>
  <c r="AF26"/>
  <c r="AG26"/>
  <c r="AH26"/>
  <c r="AI26"/>
  <c r="AJ26"/>
  <c r="AK26"/>
  <c r="AL26"/>
  <c r="AM26"/>
  <c r="AN26"/>
  <c r="AO26"/>
  <c r="AP26"/>
  <c r="AQ26"/>
  <c r="AR26"/>
  <c r="AS26"/>
  <c r="AT26"/>
  <c r="AU26"/>
  <c r="AV26"/>
  <c r="AW26"/>
  <c r="AX26"/>
  <c r="AD27"/>
  <c r="AE27"/>
  <c r="AF27"/>
  <c r="AG27"/>
  <c r="AH27"/>
  <c r="AI27"/>
  <c r="AJ27"/>
  <c r="AK27"/>
  <c r="AL27"/>
  <c r="AM27"/>
  <c r="AN27"/>
  <c r="AO27"/>
  <c r="AP27"/>
  <c r="AQ27"/>
  <c r="AR27"/>
  <c r="AS27"/>
  <c r="AT27"/>
  <c r="AU27"/>
  <c r="AV27"/>
  <c r="AW27"/>
  <c r="AX27"/>
  <c r="AD28"/>
  <c r="AE28"/>
  <c r="AF28"/>
  <c r="AG28"/>
  <c r="AH28"/>
  <c r="AI28"/>
  <c r="AJ28"/>
  <c r="AK28"/>
  <c r="AL28"/>
  <c r="AM28"/>
  <c r="AN28"/>
  <c r="AO28"/>
  <c r="AP28"/>
  <c r="AQ28"/>
  <c r="AR28"/>
  <c r="AS28"/>
  <c r="AT28"/>
  <c r="AU28"/>
  <c r="AV28"/>
  <c r="AW28"/>
  <c r="AX28"/>
  <c r="AD29"/>
  <c r="AE29"/>
  <c r="AF29"/>
  <c r="AG29"/>
  <c r="AH29"/>
  <c r="AI29"/>
  <c r="AJ29"/>
  <c r="AK29"/>
  <c r="AL29"/>
  <c r="AM29"/>
  <c r="AN29"/>
  <c r="AO29"/>
  <c r="AP29"/>
  <c r="AQ29"/>
  <c r="AR29"/>
  <c r="AS29"/>
  <c r="AT29"/>
  <c r="AU29"/>
  <c r="AV29"/>
  <c r="AW29"/>
  <c r="AX29"/>
  <c r="AD30"/>
  <c r="AE30"/>
  <c r="AF30"/>
  <c r="AG30"/>
  <c r="AH30"/>
  <c r="AI30"/>
  <c r="AJ30"/>
  <c r="AK30"/>
  <c r="AL30"/>
  <c r="AM30"/>
  <c r="AN30"/>
  <c r="AO30"/>
  <c r="AP30"/>
  <c r="AQ30"/>
  <c r="AR30"/>
  <c r="AS30"/>
  <c r="AT30"/>
  <c r="AU30"/>
  <c r="AV30"/>
  <c r="AW30"/>
  <c r="AX30"/>
  <c r="AD31"/>
  <c r="AE31"/>
  <c r="AF31"/>
  <c r="AG31"/>
  <c r="AH31"/>
  <c r="AI31"/>
  <c r="AJ31"/>
  <c r="AK31"/>
  <c r="AL31"/>
  <c r="AM31"/>
  <c r="AN31"/>
  <c r="AO31"/>
  <c r="AP31"/>
  <c r="AQ31"/>
  <c r="AR31"/>
  <c r="AS31"/>
  <c r="AT31"/>
  <c r="AU31"/>
  <c r="AV31"/>
  <c r="AW31"/>
  <c r="AX31"/>
  <c r="AD32"/>
  <c r="AE32"/>
  <c r="AF32"/>
  <c r="AG32"/>
  <c r="AH32"/>
  <c r="AI32"/>
  <c r="AJ32"/>
  <c r="AK32"/>
  <c r="AL32"/>
  <c r="AM32"/>
  <c r="AN32"/>
  <c r="AO32"/>
  <c r="AP32"/>
  <c r="AQ32"/>
  <c r="AR32"/>
  <c r="AS32"/>
  <c r="AT32"/>
  <c r="AU32"/>
  <c r="AV32"/>
  <c r="AW32"/>
  <c r="AX32"/>
  <c r="AD33"/>
  <c r="AE33"/>
  <c r="AF33"/>
  <c r="AG33"/>
  <c r="AH33"/>
  <c r="AI33"/>
  <c r="AJ33"/>
  <c r="AK33"/>
  <c r="AL33"/>
  <c r="AM33"/>
  <c r="AN33"/>
  <c r="AO33"/>
  <c r="AP33"/>
  <c r="AQ33"/>
  <c r="AR33"/>
  <c r="AS33"/>
  <c r="AT33"/>
  <c r="AU33"/>
  <c r="AV33"/>
  <c r="AW33"/>
  <c r="AX33"/>
  <c r="AD34"/>
  <c r="AE34"/>
  <c r="AF34"/>
  <c r="AG34"/>
  <c r="AH34"/>
  <c r="AI34"/>
  <c r="AJ34"/>
  <c r="AK34"/>
  <c r="AL34"/>
  <c r="AM34"/>
  <c r="AN34"/>
  <c r="AO34"/>
  <c r="AP34"/>
  <c r="AQ34"/>
  <c r="AR34"/>
  <c r="AS34"/>
  <c r="AT34"/>
  <c r="AU34"/>
  <c r="AV34"/>
  <c r="AW34"/>
  <c r="AX34"/>
  <c r="AD35"/>
  <c r="AE35"/>
  <c r="AF35"/>
  <c r="AG35"/>
  <c r="AH35"/>
  <c r="AI35"/>
  <c r="AJ35"/>
  <c r="AK35"/>
  <c r="AL35"/>
  <c r="AM35"/>
  <c r="AN35"/>
  <c r="AO35"/>
  <c r="AP35"/>
  <c r="AQ35"/>
  <c r="AR35"/>
  <c r="AS35"/>
  <c r="AT35"/>
  <c r="AU35"/>
  <c r="AV35"/>
  <c r="AW35"/>
  <c r="AX35"/>
  <c r="AD24"/>
  <c r="AE24"/>
  <c r="AF24"/>
  <c r="AG24"/>
  <c r="AH24"/>
  <c r="AI24"/>
  <c r="AJ24"/>
  <c r="AK24"/>
  <c r="AL24"/>
  <c r="AM24"/>
  <c r="AN24"/>
  <c r="AO24"/>
  <c r="AP24"/>
  <c r="AQ24"/>
  <c r="AR24"/>
  <c r="AS24"/>
  <c r="AT24"/>
  <c r="AU24"/>
  <c r="AV24"/>
  <c r="AW24"/>
  <c r="AX24"/>
  <c r="V22"/>
  <c r="V21"/>
  <c r="I35" i="302" s="1"/>
  <c r="V20" i="357"/>
  <c r="V19"/>
  <c r="I33" i="302" s="1"/>
  <c r="V18" i="357"/>
  <c r="I32" i="302" s="1"/>
  <c r="V17" i="357"/>
  <c r="O18"/>
  <c r="G32" i="302" s="1"/>
  <c r="P18" i="357"/>
  <c r="H32" i="302" s="1"/>
  <c r="O19" i="357"/>
  <c r="G33" i="302" s="1"/>
  <c r="P19" i="357"/>
  <c r="H33" i="302" s="1"/>
  <c r="O20" i="357"/>
  <c r="P20"/>
  <c r="O21"/>
  <c r="G35" i="302" s="1"/>
  <c r="P21" i="357"/>
  <c r="H35" i="302" s="1"/>
  <c r="O22" i="357"/>
  <c r="P22"/>
  <c r="P17"/>
  <c r="O17"/>
  <c r="L18"/>
  <c r="L19"/>
  <c r="L20"/>
  <c r="L21"/>
  <c r="L22"/>
  <c r="L17"/>
  <c r="H22"/>
  <c r="G22"/>
  <c r="F22"/>
  <c r="E22"/>
  <c r="H21"/>
  <c r="G21"/>
  <c r="F21"/>
  <c r="F35" i="302" s="1"/>
  <c r="E21" i="357"/>
  <c r="E35" i="302" s="1"/>
  <c r="H20" i="357"/>
  <c r="G20"/>
  <c r="F20"/>
  <c r="E20"/>
  <c r="B20"/>
  <c r="H19"/>
  <c r="G19"/>
  <c r="F19"/>
  <c r="F33" i="302" s="1"/>
  <c r="E19" i="357"/>
  <c r="E33" i="302" s="1"/>
  <c r="B19" i="357"/>
  <c r="B33" i="302" s="1"/>
  <c r="H18" i="357"/>
  <c r="G18"/>
  <c r="F18"/>
  <c r="F32" i="302" s="1"/>
  <c r="E18" i="357"/>
  <c r="E32" i="302" s="1"/>
  <c r="B18" i="357"/>
  <c r="B32" i="302" s="1"/>
  <c r="H17" i="357"/>
  <c r="G17"/>
  <c r="F17"/>
  <c r="F31" i="302" s="1"/>
  <c r="E17" i="357"/>
  <c r="E31" i="302" s="1"/>
  <c r="B17" i="357"/>
  <c r="B31" i="302" s="1"/>
  <c r="J33" i="309" l="1"/>
  <c r="I32"/>
  <c r="J32"/>
  <c r="H32"/>
  <c r="I33"/>
  <c r="J23" i="26"/>
  <c r="G46" i="51" s="1"/>
  <c r="B32" i="366"/>
  <c r="C32"/>
  <c r="F34" i="302"/>
  <c r="G32" i="366"/>
  <c r="I31" i="309"/>
  <c r="E34" i="302"/>
  <c r="H36"/>
  <c r="H32" i="366"/>
  <c r="F32"/>
  <c r="G33"/>
  <c r="I36" i="302"/>
  <c r="E30" i="308"/>
  <c r="E32"/>
  <c r="C67" i="293"/>
  <c r="H46" i="69"/>
  <c r="H49"/>
  <c r="H46" i="79"/>
  <c r="H49"/>
  <c r="H42" i="66"/>
  <c r="M46" i="65"/>
  <c r="J23" i="25"/>
  <c r="G46" i="50" s="1"/>
  <c r="E31" i="366"/>
  <c r="F35"/>
  <c r="F36" i="302"/>
  <c r="G36"/>
  <c r="G34"/>
  <c r="I34"/>
  <c r="H46" i="71"/>
  <c r="C31" i="366"/>
  <c r="B31"/>
  <c r="F33"/>
  <c r="E35"/>
  <c r="E36" i="302"/>
  <c r="H34"/>
  <c r="I33" i="366"/>
  <c r="H42" i="73"/>
  <c r="M46" i="74"/>
  <c r="J9" i="18"/>
  <c r="J8" s="1"/>
  <c r="J7" s="1"/>
  <c r="J6" s="1"/>
  <c r="J5" s="1"/>
  <c r="E33" i="366"/>
  <c r="B34" i="302"/>
  <c r="H31"/>
  <c r="G35" i="366"/>
  <c r="I32"/>
  <c r="F31"/>
  <c r="E32"/>
  <c r="B33"/>
  <c r="C33"/>
  <c r="G31" i="302"/>
  <c r="H35" i="366"/>
  <c r="H33"/>
  <c r="I31" i="302"/>
  <c r="I35" i="366"/>
  <c r="J31" i="309"/>
  <c r="H31"/>
  <c r="H46" i="75"/>
  <c r="E31" i="308"/>
  <c r="H33" i="309"/>
  <c r="H42" i="67"/>
  <c r="H46" s="1"/>
  <c r="I29" i="101"/>
  <c r="B30" i="120"/>
  <c r="I30"/>
  <c r="H28" i="101"/>
  <c r="H29"/>
  <c r="C30" i="120"/>
  <c r="F29" i="101"/>
  <c r="G29"/>
  <c r="D36" i="120"/>
  <c r="B29" i="101"/>
  <c r="H30" i="120"/>
  <c r="F30"/>
  <c r="G30"/>
  <c r="J23" i="27"/>
  <c r="J22" s="1"/>
  <c r="J21" s="1"/>
  <c r="J20" s="1"/>
  <c r="J19" s="1"/>
  <c r="J18" s="1"/>
  <c r="J17" s="1"/>
  <c r="G47" i="52"/>
  <c r="H23" i="27"/>
  <c r="H22" s="1"/>
  <c r="H21" s="1"/>
  <c r="H20" s="1"/>
  <c r="H19" s="1"/>
  <c r="H18" s="1"/>
  <c r="H17" s="1"/>
  <c r="H16" s="1"/>
  <c r="H15" s="1"/>
  <c r="H14" s="1"/>
  <c r="H13" s="1"/>
  <c r="H12" s="1"/>
  <c r="H11" s="1"/>
  <c r="H10" s="1"/>
  <c r="H9" s="1"/>
  <c r="H8" s="1"/>
  <c r="H7" s="1"/>
  <c r="H6" s="1"/>
  <c r="H5" s="1"/>
  <c r="F47" i="52"/>
  <c r="K15" i="28"/>
  <c r="H39" i="53"/>
  <c r="K23" i="27"/>
  <c r="K22" s="1"/>
  <c r="K21" s="1"/>
  <c r="K20" s="1"/>
  <c r="K19" s="1"/>
  <c r="K18" s="1"/>
  <c r="K17" s="1"/>
  <c r="K16" s="1"/>
  <c r="K15" s="1"/>
  <c r="K14" s="1"/>
  <c r="K13" s="1"/>
  <c r="K12" s="1"/>
  <c r="K11" s="1"/>
  <c r="K10" s="1"/>
  <c r="K9" s="1"/>
  <c r="K8" s="1"/>
  <c r="K7" s="1"/>
  <c r="K6" s="1"/>
  <c r="H47" i="52"/>
  <c r="H23" i="26"/>
  <c r="F47" i="51"/>
  <c r="I24" i="27"/>
  <c r="I47" i="52"/>
  <c r="J23" i="20"/>
  <c r="G47" i="56"/>
  <c r="H15" i="28"/>
  <c r="F39" i="53"/>
  <c r="H23" i="18"/>
  <c r="F47" i="54"/>
  <c r="AC39" i="68"/>
  <c r="B29" i="88"/>
  <c r="B29" i="125" s="1"/>
  <c r="B16" i="357"/>
  <c r="B30" i="302" s="1"/>
  <c r="H16" i="357"/>
  <c r="C28" i="101"/>
  <c r="M21" i="28"/>
  <c r="L22"/>
  <c r="J22"/>
  <c r="I23"/>
  <c r="M22" i="27"/>
  <c r="L23"/>
  <c r="J22" i="26"/>
  <c r="G45" i="51" s="1"/>
  <c r="F46" i="50"/>
  <c r="H22" i="25"/>
  <c r="J22"/>
  <c r="G45" i="50" s="1"/>
  <c r="I23" i="23"/>
  <c r="J22"/>
  <c r="L22"/>
  <c r="M21"/>
  <c r="K31" i="127"/>
  <c r="K28"/>
  <c r="K33"/>
  <c r="K30"/>
  <c r="K34"/>
  <c r="K27"/>
  <c r="K29"/>
  <c r="K36"/>
  <c r="K32"/>
  <c r="K35"/>
  <c r="L16" i="357"/>
  <c r="O16"/>
  <c r="V16"/>
  <c r="D17"/>
  <c r="D31" i="302" s="1"/>
  <c r="D21" i="357"/>
  <c r="D35" i="302" s="1"/>
  <c r="D22" i="357"/>
  <c r="D19"/>
  <c r="D33" i="302" s="1"/>
  <c r="D18" i="357"/>
  <c r="D32" i="302" s="1"/>
  <c r="D20" i="357"/>
  <c r="P16"/>
  <c r="F16"/>
  <c r="F30" i="302" s="1"/>
  <c r="G16" i="357"/>
  <c r="E16"/>
  <c r="E30" i="302" s="1"/>
  <c r="D53" i="359"/>
  <c r="C6" i="111"/>
  <c r="B4"/>
  <c r="C4"/>
  <c r="D4"/>
  <c r="E4"/>
  <c r="F4"/>
  <c r="G4"/>
  <c r="H4"/>
  <c r="B5"/>
  <c r="C5"/>
  <c r="D5"/>
  <c r="E5"/>
  <c r="F5"/>
  <c r="G5"/>
  <c r="H5"/>
  <c r="B6"/>
  <c r="D6"/>
  <c r="E6"/>
  <c r="F6"/>
  <c r="G6"/>
  <c r="H6"/>
  <c r="B7"/>
  <c r="C7"/>
  <c r="D7"/>
  <c r="E7"/>
  <c r="F7"/>
  <c r="G7"/>
  <c r="H7"/>
  <c r="B8"/>
  <c r="C8"/>
  <c r="D8"/>
  <c r="E8"/>
  <c r="F8"/>
  <c r="G8"/>
  <c r="H8"/>
  <c r="B9"/>
  <c r="C9"/>
  <c r="D9"/>
  <c r="E9"/>
  <c r="F9"/>
  <c r="G9"/>
  <c r="H9"/>
  <c r="B10"/>
  <c r="C10"/>
  <c r="D10"/>
  <c r="E10"/>
  <c r="F10"/>
  <c r="G10"/>
  <c r="H10"/>
  <c r="B11"/>
  <c r="C11"/>
  <c r="D11"/>
  <c r="E11"/>
  <c r="F11"/>
  <c r="G11"/>
  <c r="H11"/>
  <c r="B12"/>
  <c r="C12"/>
  <c r="D12"/>
  <c r="E12"/>
  <c r="F12"/>
  <c r="G12"/>
  <c r="H12"/>
  <c r="B13"/>
  <c r="C13"/>
  <c r="D13"/>
  <c r="E13"/>
  <c r="F13"/>
  <c r="G13"/>
  <c r="H13"/>
  <c r="B14"/>
  <c r="C14"/>
  <c r="D14"/>
  <c r="E14"/>
  <c r="F14"/>
  <c r="G14"/>
  <c r="H14"/>
  <c r="B15"/>
  <c r="C15"/>
  <c r="D15"/>
  <c r="E15"/>
  <c r="F15"/>
  <c r="G15"/>
  <c r="H15"/>
  <c r="B16"/>
  <c r="C16"/>
  <c r="D16"/>
  <c r="E16"/>
  <c r="F16"/>
  <c r="G16"/>
  <c r="H16"/>
  <c r="B17"/>
  <c r="C17"/>
  <c r="D17"/>
  <c r="E17"/>
  <c r="F17"/>
  <c r="G17"/>
  <c r="H17"/>
  <c r="B18"/>
  <c r="C18"/>
  <c r="D18"/>
  <c r="E18"/>
  <c r="F18"/>
  <c r="G18"/>
  <c r="H18"/>
  <c r="B19"/>
  <c r="C19"/>
  <c r="D19"/>
  <c r="E19"/>
  <c r="F19"/>
  <c r="G19"/>
  <c r="H19"/>
  <c r="B20"/>
  <c r="C20"/>
  <c r="D20"/>
  <c r="E20"/>
  <c r="F20"/>
  <c r="G20"/>
  <c r="H20"/>
  <c r="B21"/>
  <c r="C21"/>
  <c r="D21"/>
  <c r="E21"/>
  <c r="F21"/>
  <c r="G21"/>
  <c r="H21"/>
  <c r="B22"/>
  <c r="C22"/>
  <c r="D22"/>
  <c r="E22"/>
  <c r="F22"/>
  <c r="G22"/>
  <c r="H22"/>
  <c r="B23"/>
  <c r="C23"/>
  <c r="D23"/>
  <c r="E23"/>
  <c r="F23"/>
  <c r="G23"/>
  <c r="H23"/>
  <c r="B24"/>
  <c r="C24"/>
  <c r="D24"/>
  <c r="E24"/>
  <c r="F24"/>
  <c r="G24"/>
  <c r="H24"/>
  <c r="B25"/>
  <c r="C25"/>
  <c r="D25"/>
  <c r="E25"/>
  <c r="F25"/>
  <c r="G25"/>
  <c r="H25"/>
  <c r="B26"/>
  <c r="C26"/>
  <c r="D26"/>
  <c r="E26"/>
  <c r="F26"/>
  <c r="G26"/>
  <c r="H26"/>
  <c r="B27"/>
  <c r="C27"/>
  <c r="D27"/>
  <c r="E27"/>
  <c r="F27"/>
  <c r="G27"/>
  <c r="H27"/>
  <c r="B28"/>
  <c r="C28"/>
  <c r="D28"/>
  <c r="E28"/>
  <c r="F28"/>
  <c r="G28"/>
  <c r="H28"/>
  <c r="B29"/>
  <c r="C29"/>
  <c r="D29"/>
  <c r="E29"/>
  <c r="F29"/>
  <c r="G29"/>
  <c r="H29"/>
  <c r="B30"/>
  <c r="C30"/>
  <c r="D30"/>
  <c r="E30"/>
  <c r="F30"/>
  <c r="G30"/>
  <c r="H30"/>
  <c r="B31"/>
  <c r="C31"/>
  <c r="D31"/>
  <c r="E31"/>
  <c r="F31"/>
  <c r="G31"/>
  <c r="H31"/>
  <c r="B32"/>
  <c r="C32"/>
  <c r="D32"/>
  <c r="E32"/>
  <c r="F32"/>
  <c r="G32"/>
  <c r="H32"/>
  <c r="B33"/>
  <c r="C33"/>
  <c r="D33"/>
  <c r="E33"/>
  <c r="F33"/>
  <c r="G33"/>
  <c r="H33"/>
  <c r="B34"/>
  <c r="C34"/>
  <c r="D34"/>
  <c r="E34"/>
  <c r="F34"/>
  <c r="G34"/>
  <c r="H34"/>
  <c r="B35"/>
  <c r="C35"/>
  <c r="D35"/>
  <c r="E35"/>
  <c r="F35"/>
  <c r="G35"/>
  <c r="H35"/>
  <c r="B36"/>
  <c r="C36"/>
  <c r="D36"/>
  <c r="E36"/>
  <c r="F36"/>
  <c r="G36"/>
  <c r="H36"/>
  <c r="B37"/>
  <c r="C37"/>
  <c r="D37"/>
  <c r="E37"/>
  <c r="F37"/>
  <c r="G37"/>
  <c r="H37"/>
  <c r="B38"/>
  <c r="C38"/>
  <c r="D38"/>
  <c r="E38"/>
  <c r="F38"/>
  <c r="G38"/>
  <c r="H38"/>
  <c r="B39"/>
  <c r="C39"/>
  <c r="D39"/>
  <c r="E39"/>
  <c r="F39"/>
  <c r="G39"/>
  <c r="H39"/>
  <c r="B40"/>
  <c r="C40"/>
  <c r="D40"/>
  <c r="E40"/>
  <c r="F40"/>
  <c r="G40"/>
  <c r="H40"/>
  <c r="B41"/>
  <c r="C41"/>
  <c r="D41"/>
  <c r="E41"/>
  <c r="F41"/>
  <c r="G41"/>
  <c r="H41"/>
  <c r="B42"/>
  <c r="C42"/>
  <c r="D42"/>
  <c r="E42"/>
  <c r="F42"/>
  <c r="G42"/>
  <c r="H42"/>
  <c r="B43"/>
  <c r="C43"/>
  <c r="D43"/>
  <c r="E43"/>
  <c r="F43"/>
  <c r="G43"/>
  <c r="H43"/>
  <c r="B44"/>
  <c r="C44"/>
  <c r="D44"/>
  <c r="E44"/>
  <c r="F44"/>
  <c r="G44"/>
  <c r="H44"/>
  <c r="B45"/>
  <c r="C45"/>
  <c r="D45"/>
  <c r="E45"/>
  <c r="F45"/>
  <c r="G45"/>
  <c r="H45"/>
  <c r="B46"/>
  <c r="C46"/>
  <c r="D46"/>
  <c r="E46"/>
  <c r="F46"/>
  <c r="G46"/>
  <c r="H46"/>
  <c r="AA4" i="272"/>
  <c r="AA5"/>
  <c r="AA6"/>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B18" i="96"/>
  <c r="B16" i="266" s="1"/>
  <c r="C18" i="96"/>
  <c r="D18"/>
  <c r="E18"/>
  <c r="F18"/>
  <c r="B19"/>
  <c r="B17" i="266" s="1"/>
  <c r="C19" i="96"/>
  <c r="D19"/>
  <c r="E19"/>
  <c r="F19"/>
  <c r="B20"/>
  <c r="B18" i="266" s="1"/>
  <c r="C20" i="96"/>
  <c r="D20"/>
  <c r="E20"/>
  <c r="F20"/>
  <c r="B21"/>
  <c r="C21"/>
  <c r="D21"/>
  <c r="E21"/>
  <c r="F21"/>
  <c r="B22"/>
  <c r="C22"/>
  <c r="D22"/>
  <c r="E22"/>
  <c r="F22"/>
  <c r="B23"/>
  <c r="C23"/>
  <c r="D23"/>
  <c r="E23"/>
  <c r="F23"/>
  <c r="B24"/>
  <c r="C24"/>
  <c r="D24"/>
  <c r="E24"/>
  <c r="F24"/>
  <c r="G18" i="218"/>
  <c r="H18"/>
  <c r="I18"/>
  <c r="J18"/>
  <c r="G19"/>
  <c r="H19"/>
  <c r="I19"/>
  <c r="J19"/>
  <c r="H20"/>
  <c r="I20"/>
  <c r="J20"/>
  <c r="G21"/>
  <c r="I21"/>
  <c r="J21"/>
  <c r="G22"/>
  <c r="H22"/>
  <c r="I22"/>
  <c r="J22"/>
  <c r="G7"/>
  <c r="H7"/>
  <c r="I7"/>
  <c r="J7"/>
  <c r="G8"/>
  <c r="H8"/>
  <c r="I8"/>
  <c r="J8"/>
  <c r="G9"/>
  <c r="H9"/>
  <c r="I9"/>
  <c r="J9"/>
  <c r="G10"/>
  <c r="H10"/>
  <c r="I10"/>
  <c r="J10"/>
  <c r="G11"/>
  <c r="H11"/>
  <c r="I11"/>
  <c r="J11"/>
  <c r="G12"/>
  <c r="H12"/>
  <c r="I12"/>
  <c r="J12"/>
  <c r="G13"/>
  <c r="H13"/>
  <c r="I13"/>
  <c r="J13"/>
  <c r="G14"/>
  <c r="H14"/>
  <c r="I14"/>
  <c r="J14"/>
  <c r="G15"/>
  <c r="H15"/>
  <c r="I15"/>
  <c r="J15"/>
  <c r="G16"/>
  <c r="H16"/>
  <c r="I16"/>
  <c r="J16"/>
  <c r="G17"/>
  <c r="H17"/>
  <c r="I17"/>
  <c r="J17"/>
  <c r="B7" i="99"/>
  <c r="G5" i="266" s="1"/>
  <c r="C7" i="99"/>
  <c r="D7"/>
  <c r="E7"/>
  <c r="F7"/>
  <c r="B8"/>
  <c r="G6" i="266" s="1"/>
  <c r="C8" i="99"/>
  <c r="D8"/>
  <c r="E8"/>
  <c r="F8"/>
  <c r="B9"/>
  <c r="G7" i="266" s="1"/>
  <c r="C9" i="99"/>
  <c r="D9"/>
  <c r="E9"/>
  <c r="F9"/>
  <c r="B10"/>
  <c r="G8" i="266" s="1"/>
  <c r="C10" i="99"/>
  <c r="D10"/>
  <c r="E10"/>
  <c r="F10"/>
  <c r="B11"/>
  <c r="G9" i="266" s="1"/>
  <c r="C11" i="99"/>
  <c r="D11"/>
  <c r="E11"/>
  <c r="F11"/>
  <c r="B12"/>
  <c r="C12"/>
  <c r="D12"/>
  <c r="E12"/>
  <c r="F12"/>
  <c r="B13"/>
  <c r="G11" i="266" s="1"/>
  <c r="C13" i="99"/>
  <c r="D13"/>
  <c r="E13"/>
  <c r="F13"/>
  <c r="B14"/>
  <c r="G12" i="266" s="1"/>
  <c r="C14" i="99"/>
  <c r="D14"/>
  <c r="E14"/>
  <c r="F14"/>
  <c r="B15"/>
  <c r="G13" i="266" s="1"/>
  <c r="C15" i="99"/>
  <c r="D15"/>
  <c r="E15"/>
  <c r="F15"/>
  <c r="B16"/>
  <c r="G14" i="266" s="1"/>
  <c r="C16" i="99"/>
  <c r="D16"/>
  <c r="E16"/>
  <c r="F16"/>
  <c r="B17"/>
  <c r="G15" i="266" s="1"/>
  <c r="C17" i="99"/>
  <c r="D17"/>
  <c r="E17"/>
  <c r="F17"/>
  <c r="B18"/>
  <c r="G16" i="266" s="1"/>
  <c r="C18" i="99"/>
  <c r="D18"/>
  <c r="E18"/>
  <c r="F18"/>
  <c r="B19"/>
  <c r="G17" i="266" s="1"/>
  <c r="C19" i="99"/>
  <c r="D19"/>
  <c r="E19"/>
  <c r="F19"/>
  <c r="B20"/>
  <c r="G18" i="266" s="1"/>
  <c r="C20" i="99"/>
  <c r="D20"/>
  <c r="E20"/>
  <c r="B21"/>
  <c r="C21"/>
  <c r="D21"/>
  <c r="E21"/>
  <c r="F21"/>
  <c r="B22"/>
  <c r="C22"/>
  <c r="D22"/>
  <c r="E22"/>
  <c r="F22"/>
  <c r="B23"/>
  <c r="C23"/>
  <c r="D23"/>
  <c r="E23"/>
  <c r="F23"/>
  <c r="B24"/>
  <c r="C24"/>
  <c r="D24"/>
  <c r="E24"/>
  <c r="F20" i="97"/>
  <c r="F21"/>
  <c r="F22"/>
  <c r="F24"/>
  <c r="B20" i="98"/>
  <c r="F18" i="266" s="1"/>
  <c r="E20" i="98"/>
  <c r="B21"/>
  <c r="C21"/>
  <c r="D21"/>
  <c r="E21"/>
  <c r="F21"/>
  <c r="B22"/>
  <c r="C22"/>
  <c r="D22"/>
  <c r="E22"/>
  <c r="F22"/>
  <c r="B23"/>
  <c r="C23"/>
  <c r="D23"/>
  <c r="E23"/>
  <c r="B24"/>
  <c r="C24"/>
  <c r="D24"/>
  <c r="E24"/>
  <c r="B20" i="97"/>
  <c r="E18" i="266" s="1"/>
  <c r="C20" i="97"/>
  <c r="D20"/>
  <c r="E20"/>
  <c r="B21"/>
  <c r="C21"/>
  <c r="D21"/>
  <c r="E21"/>
  <c r="B22"/>
  <c r="C22"/>
  <c r="D22"/>
  <c r="E22"/>
  <c r="B23"/>
  <c r="D23"/>
  <c r="B24"/>
  <c r="C24"/>
  <c r="D24"/>
  <c r="C53" i="17" l="1"/>
  <c r="C18" i="179"/>
  <c r="D24" i="218"/>
  <c r="E30" i="366"/>
  <c r="D34" i="302"/>
  <c r="L15" i="357"/>
  <c r="B30" i="366"/>
  <c r="C30"/>
  <c r="B29" i="99"/>
  <c r="B34"/>
  <c r="D35" i="366"/>
  <c r="G34"/>
  <c r="F36"/>
  <c r="E34"/>
  <c r="F34"/>
  <c r="C34" i="99"/>
  <c r="C29"/>
  <c r="G10" i="266"/>
  <c r="H30" i="302"/>
  <c r="D36"/>
  <c r="G30"/>
  <c r="J35" i="18"/>
  <c r="J36"/>
  <c r="H34" i="366"/>
  <c r="I34"/>
  <c r="B24" i="218"/>
  <c r="D29" i="99"/>
  <c r="D34"/>
  <c r="F30" i="366"/>
  <c r="D33"/>
  <c r="I30" i="302"/>
  <c r="B34" i="366"/>
  <c r="C34"/>
  <c r="H46" i="73"/>
  <c r="G36" i="366"/>
  <c r="I36"/>
  <c r="H36"/>
  <c r="C24" i="218"/>
  <c r="E29" i="99"/>
  <c r="E34"/>
  <c r="G15" i="357"/>
  <c r="D32" i="366"/>
  <c r="D31"/>
  <c r="I31"/>
  <c r="G31"/>
  <c r="H31"/>
  <c r="E36"/>
  <c r="H46" i="66"/>
  <c r="J37" i="18"/>
  <c r="H15" i="357"/>
  <c r="G29" i="120"/>
  <c r="E28" i="101"/>
  <c r="G28"/>
  <c r="B29" i="120"/>
  <c r="F29"/>
  <c r="H27" i="101"/>
  <c r="I28"/>
  <c r="B28" i="88"/>
  <c r="B28" i="125" s="1"/>
  <c r="B28" i="101"/>
  <c r="H28" i="120" s="1"/>
  <c r="I29"/>
  <c r="F28" i="101"/>
  <c r="H29" i="120"/>
  <c r="E29"/>
  <c r="C29"/>
  <c r="H14" i="28"/>
  <c r="F38" i="53"/>
  <c r="H22" i="18"/>
  <c r="F46" i="54"/>
  <c r="J22" i="20"/>
  <c r="G46" i="56"/>
  <c r="H22" i="26"/>
  <c r="F46" i="51"/>
  <c r="K14" i="28"/>
  <c r="H38" i="53"/>
  <c r="I23" i="27"/>
  <c r="AC38" i="68"/>
  <c r="B27" i="101"/>
  <c r="B23" i="218"/>
  <c r="C27" i="101"/>
  <c r="L21" i="28"/>
  <c r="M20"/>
  <c r="I22"/>
  <c r="J21"/>
  <c r="M21" i="27"/>
  <c r="L22"/>
  <c r="I22" s="1"/>
  <c r="J21" i="26"/>
  <c r="G44" i="51" s="1"/>
  <c r="J21" i="25"/>
  <c r="G44" i="50" s="1"/>
  <c r="F45"/>
  <c r="H21" i="25"/>
  <c r="I22" i="23"/>
  <c r="J21"/>
  <c r="L21"/>
  <c r="I44" i="58" s="1"/>
  <c r="M20" i="23"/>
  <c r="H26" i="101"/>
  <c r="H29" i="108" s="1"/>
  <c r="L45" i="358"/>
  <c r="K26" i="127"/>
  <c r="D23" i="218"/>
  <c r="E21"/>
  <c r="E20"/>
  <c r="P15" i="357"/>
  <c r="B15"/>
  <c r="B29" i="302" s="1"/>
  <c r="V15" i="357"/>
  <c r="E22" i="218"/>
  <c r="B21"/>
  <c r="F15" i="357"/>
  <c r="F29" i="302" s="1"/>
  <c r="O15" i="357"/>
  <c r="E15"/>
  <c r="E29" i="302" s="1"/>
  <c r="D16" i="357"/>
  <c r="D30" i="302" s="1"/>
  <c r="C22" i="218"/>
  <c r="C21"/>
  <c r="F21"/>
  <c r="B22"/>
  <c r="D22"/>
  <c r="D21"/>
  <c r="F22"/>
  <c r="B20"/>
  <c r="D18" i="266" s="1"/>
  <c r="B20" i="340"/>
  <c r="C18" i="266" s="1"/>
  <c r="C20" i="340"/>
  <c r="D20"/>
  <c r="E20"/>
  <c r="F20"/>
  <c r="B21"/>
  <c r="C21"/>
  <c r="D21"/>
  <c r="E21"/>
  <c r="F21"/>
  <c r="B22"/>
  <c r="C22"/>
  <c r="D22"/>
  <c r="E22"/>
  <c r="F22"/>
  <c r="B23"/>
  <c r="C23"/>
  <c r="D23"/>
  <c r="E23"/>
  <c r="F23"/>
  <c r="B24"/>
  <c r="C24"/>
  <c r="D24"/>
  <c r="E24"/>
  <c r="F24"/>
  <c r="C6"/>
  <c r="D6"/>
  <c r="E6"/>
  <c r="F6"/>
  <c r="C7"/>
  <c r="D7"/>
  <c r="E7"/>
  <c r="F7"/>
  <c r="C8"/>
  <c r="D8"/>
  <c r="E8"/>
  <c r="F8"/>
  <c r="C9"/>
  <c r="D9"/>
  <c r="E9"/>
  <c r="F9"/>
  <c r="C10"/>
  <c r="D10"/>
  <c r="E10"/>
  <c r="F10"/>
  <c r="C11"/>
  <c r="D11"/>
  <c r="E11"/>
  <c r="F11"/>
  <c r="C12"/>
  <c r="D12"/>
  <c r="E12"/>
  <c r="F12"/>
  <c r="C13"/>
  <c r="D13"/>
  <c r="E13"/>
  <c r="F13"/>
  <c r="C14"/>
  <c r="D14"/>
  <c r="E14"/>
  <c r="F14"/>
  <c r="C15"/>
  <c r="D15"/>
  <c r="E15"/>
  <c r="F15"/>
  <c r="C16"/>
  <c r="D16"/>
  <c r="E16"/>
  <c r="F16"/>
  <c r="C17"/>
  <c r="D17"/>
  <c r="E17"/>
  <c r="F17"/>
  <c r="C18"/>
  <c r="D18"/>
  <c r="E18"/>
  <c r="F18"/>
  <c r="C19"/>
  <c r="D19"/>
  <c r="E19"/>
  <c r="F19"/>
  <c r="C21" i="92"/>
  <c r="C22"/>
  <c r="C23"/>
  <c r="C24"/>
  <c r="C25"/>
  <c r="G61" i="51" l="1"/>
  <c r="D18" i="179"/>
  <c r="H12" i="180"/>
  <c r="G61" i="50"/>
  <c r="I61" i="58"/>
  <c r="C28" i="340"/>
  <c r="C33"/>
  <c r="G29" i="302"/>
  <c r="G14" i="357"/>
  <c r="H30" i="366"/>
  <c r="E29"/>
  <c r="D34"/>
  <c r="E33" i="340"/>
  <c r="E28"/>
  <c r="E32"/>
  <c r="E29"/>
  <c r="E34"/>
  <c r="E27"/>
  <c r="D30" i="366"/>
  <c r="C34" i="340"/>
  <c r="C27"/>
  <c r="C29"/>
  <c r="C32"/>
  <c r="I29" i="302"/>
  <c r="G30" i="366"/>
  <c r="D33" i="340"/>
  <c r="D28"/>
  <c r="D34"/>
  <c r="D27"/>
  <c r="D29"/>
  <c r="D32"/>
  <c r="H14" i="357"/>
  <c r="I30" i="366"/>
  <c r="H29" i="302"/>
  <c r="D36" i="366"/>
  <c r="F28" i="340"/>
  <c r="F33"/>
  <c r="F32"/>
  <c r="F29"/>
  <c r="F34"/>
  <c r="F27"/>
  <c r="F29" i="366"/>
  <c r="B29"/>
  <c r="C29"/>
  <c r="L14" i="357"/>
  <c r="E41" i="358"/>
  <c r="H28" i="108"/>
  <c r="F27" i="101"/>
  <c r="E27"/>
  <c r="I28" i="120"/>
  <c r="G28"/>
  <c r="H26" i="108"/>
  <c r="H34"/>
  <c r="H35"/>
  <c r="H32"/>
  <c r="H31"/>
  <c r="H33"/>
  <c r="H36"/>
  <c r="H30"/>
  <c r="B27" i="120"/>
  <c r="C27"/>
  <c r="I27" i="101"/>
  <c r="G27"/>
  <c r="F28" i="120"/>
  <c r="B28"/>
  <c r="H27"/>
  <c r="H27" i="108"/>
  <c r="E28" i="120"/>
  <c r="C28"/>
  <c r="O37" i="127"/>
  <c r="J21" i="20"/>
  <c r="G45" i="56"/>
  <c r="H21" i="26"/>
  <c r="F45" i="51"/>
  <c r="H21" i="18"/>
  <c r="F45" i="54"/>
  <c r="K13" i="28"/>
  <c r="H37" i="53"/>
  <c r="H13" i="28"/>
  <c r="F37" i="53"/>
  <c r="G26" i="101"/>
  <c r="B27" i="88"/>
  <c r="B27" i="125" s="1"/>
  <c r="O28" i="127"/>
  <c r="L20" i="28"/>
  <c r="M19"/>
  <c r="I21"/>
  <c r="J20"/>
  <c r="L21" i="27"/>
  <c r="I21" s="1"/>
  <c r="M20"/>
  <c r="J20" i="26"/>
  <c r="G43" i="51" s="1"/>
  <c r="H20" i="25"/>
  <c r="F44" i="50"/>
  <c r="J20" i="25"/>
  <c r="G43" i="50" s="1"/>
  <c r="J20" i="23"/>
  <c r="I21"/>
  <c r="M19"/>
  <c r="L20"/>
  <c r="I43" i="58" s="1"/>
  <c r="N30" i="127"/>
  <c r="I26" i="101"/>
  <c r="I28" i="108" s="1"/>
  <c r="O27" i="127"/>
  <c r="O32"/>
  <c r="O33"/>
  <c r="O35"/>
  <c r="O34"/>
  <c r="O36"/>
  <c r="O31"/>
  <c r="O30"/>
  <c r="O29"/>
  <c r="F26" i="101"/>
  <c r="F37" i="127"/>
  <c r="G37"/>
  <c r="K25"/>
  <c r="K44" s="1"/>
  <c r="V14" i="357"/>
  <c r="E14"/>
  <c r="E28" i="302" s="1"/>
  <c r="D15" i="357"/>
  <c r="D29" i="302" s="1"/>
  <c r="F14" i="357"/>
  <c r="F28" i="302" s="1"/>
  <c r="B14" i="357"/>
  <c r="B28" i="302" s="1"/>
  <c r="O14" i="357"/>
  <c r="P14"/>
  <c r="C6" i="92"/>
  <c r="B31" i="341"/>
  <c r="C31"/>
  <c r="E31"/>
  <c r="F31"/>
  <c r="G31"/>
  <c r="B32"/>
  <c r="C32"/>
  <c r="E32"/>
  <c r="F32"/>
  <c r="G32"/>
  <c r="B33"/>
  <c r="C33"/>
  <c r="E33"/>
  <c r="F33"/>
  <c r="G33"/>
  <c r="B34"/>
  <c r="C34"/>
  <c r="E34"/>
  <c r="F34"/>
  <c r="G34"/>
  <c r="B35"/>
  <c r="C35"/>
  <c r="E35"/>
  <c r="F35"/>
  <c r="G35"/>
  <c r="G26"/>
  <c r="G27"/>
  <c r="G28"/>
  <c r="G29"/>
  <c r="G30"/>
  <c r="B25"/>
  <c r="B26"/>
  <c r="C26"/>
  <c r="E26"/>
  <c r="F26"/>
  <c r="B27"/>
  <c r="C27"/>
  <c r="E27"/>
  <c r="F27"/>
  <c r="B28"/>
  <c r="C28"/>
  <c r="E28"/>
  <c r="F28"/>
  <c r="B29"/>
  <c r="C29"/>
  <c r="E29"/>
  <c r="F29"/>
  <c r="B30"/>
  <c r="C30"/>
  <c r="E30"/>
  <c r="F30"/>
  <c r="B31" i="328"/>
  <c r="C31"/>
  <c r="E31"/>
  <c r="F31"/>
  <c r="G31"/>
  <c r="B32"/>
  <c r="C32"/>
  <c r="E32"/>
  <c r="F32"/>
  <c r="G32"/>
  <c r="B33"/>
  <c r="C33"/>
  <c r="E33"/>
  <c r="F33"/>
  <c r="G33"/>
  <c r="B34"/>
  <c r="C34"/>
  <c r="E34"/>
  <c r="F34"/>
  <c r="G34"/>
  <c r="B35"/>
  <c r="C35"/>
  <c r="E35"/>
  <c r="F35"/>
  <c r="G35"/>
  <c r="B25"/>
  <c r="C25"/>
  <c r="B26"/>
  <c r="C26"/>
  <c r="E26"/>
  <c r="F26"/>
  <c r="G26"/>
  <c r="B27"/>
  <c r="C27"/>
  <c r="E27"/>
  <c r="F27"/>
  <c r="G27"/>
  <c r="B28"/>
  <c r="C28"/>
  <c r="E28"/>
  <c r="F28"/>
  <c r="G28"/>
  <c r="B29"/>
  <c r="C29"/>
  <c r="E29"/>
  <c r="F29"/>
  <c r="G29"/>
  <c r="B30"/>
  <c r="C30"/>
  <c r="E30"/>
  <c r="F30"/>
  <c r="G30"/>
  <c r="B25" i="363"/>
  <c r="C25"/>
  <c r="E25"/>
  <c r="F25"/>
  <c r="G25"/>
  <c r="B26"/>
  <c r="C26"/>
  <c r="E26"/>
  <c r="F26"/>
  <c r="G26"/>
  <c r="B27"/>
  <c r="C27"/>
  <c r="E27"/>
  <c r="F27"/>
  <c r="G27"/>
  <c r="B28"/>
  <c r="C28"/>
  <c r="E28"/>
  <c r="F28"/>
  <c r="G28"/>
  <c r="B29"/>
  <c r="C29"/>
  <c r="E29"/>
  <c r="F29"/>
  <c r="G29"/>
  <c r="B30"/>
  <c r="C30"/>
  <c r="E30"/>
  <c r="F30"/>
  <c r="G30"/>
  <c r="B31"/>
  <c r="C31"/>
  <c r="E31"/>
  <c r="F31"/>
  <c r="G31"/>
  <c r="B32"/>
  <c r="C32"/>
  <c r="E32"/>
  <c r="F32"/>
  <c r="G32"/>
  <c r="B33"/>
  <c r="C33"/>
  <c r="E33"/>
  <c r="F33"/>
  <c r="G33"/>
  <c r="B34"/>
  <c r="C34"/>
  <c r="E34"/>
  <c r="F34"/>
  <c r="G34"/>
  <c r="B35"/>
  <c r="C35"/>
  <c r="E35"/>
  <c r="F35"/>
  <c r="G35"/>
  <c r="B36"/>
  <c r="C36"/>
  <c r="E36"/>
  <c r="F36"/>
  <c r="G36"/>
  <c r="B37"/>
  <c r="C37"/>
  <c r="E37"/>
  <c r="F37"/>
  <c r="G37"/>
  <c r="B38"/>
  <c r="C38"/>
  <c r="E38"/>
  <c r="F38"/>
  <c r="G38"/>
  <c r="B39"/>
  <c r="C39"/>
  <c r="E39"/>
  <c r="F39"/>
  <c r="G39"/>
  <c r="B40"/>
  <c r="C40"/>
  <c r="E40"/>
  <c r="F40"/>
  <c r="G40"/>
  <c r="B41"/>
  <c r="C41"/>
  <c r="E41"/>
  <c r="F41"/>
  <c r="G41"/>
  <c r="B42"/>
  <c r="C42"/>
  <c r="E42"/>
  <c r="F42"/>
  <c r="G42"/>
  <c r="B43"/>
  <c r="C43"/>
  <c r="E43"/>
  <c r="F43"/>
  <c r="G43"/>
  <c r="B44"/>
  <c r="C44"/>
  <c r="E44"/>
  <c r="F44"/>
  <c r="G44"/>
  <c r="B45"/>
  <c r="C45"/>
  <c r="E45"/>
  <c r="F45"/>
  <c r="G45"/>
  <c r="B46"/>
  <c r="C46"/>
  <c r="E46"/>
  <c r="F46"/>
  <c r="G46"/>
  <c r="B47"/>
  <c r="C47"/>
  <c r="E47"/>
  <c r="F47"/>
  <c r="G47"/>
  <c r="B48"/>
  <c r="C48"/>
  <c r="E48"/>
  <c r="F48"/>
  <c r="G48"/>
  <c r="B49"/>
  <c r="C49"/>
  <c r="E49"/>
  <c r="F49"/>
  <c r="G49"/>
  <c r="B50"/>
  <c r="C50"/>
  <c r="E50"/>
  <c r="F50"/>
  <c r="G50"/>
  <c r="B51"/>
  <c r="C51"/>
  <c r="E51"/>
  <c r="F51"/>
  <c r="G51"/>
  <c r="B52"/>
  <c r="C52"/>
  <c r="E52"/>
  <c r="F52"/>
  <c r="G52"/>
  <c r="B53"/>
  <c r="C53"/>
  <c r="E53"/>
  <c r="F53"/>
  <c r="G53"/>
  <c r="B54"/>
  <c r="C54"/>
  <c r="E54"/>
  <c r="F54"/>
  <c r="G54"/>
  <c r="B55"/>
  <c r="C55"/>
  <c r="E55"/>
  <c r="F55"/>
  <c r="G55"/>
  <c r="C24"/>
  <c r="E24"/>
  <c r="F24"/>
  <c r="G24"/>
  <c r="B18"/>
  <c r="B19"/>
  <c r="B20"/>
  <c r="B21"/>
  <c r="B22"/>
  <c r="B23"/>
  <c r="B24"/>
  <c r="B5"/>
  <c r="C5"/>
  <c r="E5"/>
  <c r="F5"/>
  <c r="G5"/>
  <c r="B6"/>
  <c r="C6"/>
  <c r="E6"/>
  <c r="F6"/>
  <c r="G6"/>
  <c r="B7"/>
  <c r="C7"/>
  <c r="E7"/>
  <c r="F7"/>
  <c r="G7"/>
  <c r="B8"/>
  <c r="C8"/>
  <c r="E8"/>
  <c r="F8"/>
  <c r="G8"/>
  <c r="B9"/>
  <c r="C9"/>
  <c r="E9"/>
  <c r="F9"/>
  <c r="G9"/>
  <c r="B10"/>
  <c r="C10"/>
  <c r="E10"/>
  <c r="F10"/>
  <c r="G10"/>
  <c r="B11"/>
  <c r="C11"/>
  <c r="E11"/>
  <c r="F11"/>
  <c r="G11"/>
  <c r="B12"/>
  <c r="C12"/>
  <c r="E12"/>
  <c r="F12"/>
  <c r="G12"/>
  <c r="B13"/>
  <c r="C13"/>
  <c r="E13"/>
  <c r="F13"/>
  <c r="G13"/>
  <c r="B14"/>
  <c r="C14"/>
  <c r="E14"/>
  <c r="F14"/>
  <c r="G14"/>
  <c r="B15"/>
  <c r="C15"/>
  <c r="E15"/>
  <c r="F15"/>
  <c r="G15"/>
  <c r="B16"/>
  <c r="C16"/>
  <c r="E16"/>
  <c r="F16"/>
  <c r="G16"/>
  <c r="B17"/>
  <c r="C17"/>
  <c r="E17"/>
  <c r="F17"/>
  <c r="G17"/>
  <c r="C18"/>
  <c r="E18"/>
  <c r="F18"/>
  <c r="G18"/>
  <c r="C19"/>
  <c r="E19"/>
  <c r="F19"/>
  <c r="G19"/>
  <c r="C20"/>
  <c r="E20"/>
  <c r="F20"/>
  <c r="G20"/>
  <c r="C21"/>
  <c r="E21"/>
  <c r="F21"/>
  <c r="G21"/>
  <c r="C22"/>
  <c r="E22"/>
  <c r="F22"/>
  <c r="G22"/>
  <c r="C23"/>
  <c r="E23"/>
  <c r="F23"/>
  <c r="G23"/>
  <c r="C4"/>
  <c r="F4"/>
  <c r="G4"/>
  <c r="B4"/>
  <c r="B5" i="281"/>
  <c r="B6"/>
  <c r="B7"/>
  <c r="B8"/>
  <c r="B9"/>
  <c r="B10"/>
  <c r="B11"/>
  <c r="B12"/>
  <c r="B13"/>
  <c r="B4"/>
  <c r="B50"/>
  <c r="C50"/>
  <c r="E50"/>
  <c r="F50"/>
  <c r="G50"/>
  <c r="B51"/>
  <c r="C51"/>
  <c r="E51"/>
  <c r="F51"/>
  <c r="G51"/>
  <c r="B52"/>
  <c r="C52"/>
  <c r="E52"/>
  <c r="F52"/>
  <c r="G52"/>
  <c r="B53"/>
  <c r="C53"/>
  <c r="E53"/>
  <c r="F53"/>
  <c r="G53"/>
  <c r="B54"/>
  <c r="C54"/>
  <c r="E54"/>
  <c r="F54"/>
  <c r="G54"/>
  <c r="B55"/>
  <c r="C55"/>
  <c r="E55"/>
  <c r="F55"/>
  <c r="G55"/>
  <c r="G55" i="280"/>
  <c r="F55"/>
  <c r="E55"/>
  <c r="C55"/>
  <c r="B55"/>
  <c r="G54"/>
  <c r="F54"/>
  <c r="E54"/>
  <c r="C54"/>
  <c r="B54"/>
  <c r="G53"/>
  <c r="F53"/>
  <c r="E53"/>
  <c r="C53"/>
  <c r="B53"/>
  <c r="G52"/>
  <c r="F52"/>
  <c r="E52"/>
  <c r="C52"/>
  <c r="B52"/>
  <c r="G51"/>
  <c r="F51"/>
  <c r="E51"/>
  <c r="C51"/>
  <c r="B51"/>
  <c r="G50"/>
  <c r="F50"/>
  <c r="E50"/>
  <c r="C50"/>
  <c r="B50"/>
  <c r="G49"/>
  <c r="F49"/>
  <c r="E49"/>
  <c r="C49"/>
  <c r="B49"/>
  <c r="G48"/>
  <c r="F48"/>
  <c r="E48"/>
  <c r="C48"/>
  <c r="B48"/>
  <c r="B7" i="279"/>
  <c r="C7"/>
  <c r="E7"/>
  <c r="F7"/>
  <c r="G7"/>
  <c r="B8"/>
  <c r="C8"/>
  <c r="E8"/>
  <c r="F8"/>
  <c r="G8"/>
  <c r="B9"/>
  <c r="C9"/>
  <c r="E9"/>
  <c r="F9"/>
  <c r="G9"/>
  <c r="B10"/>
  <c r="C10"/>
  <c r="E10"/>
  <c r="F10"/>
  <c r="G10"/>
  <c r="B11"/>
  <c r="C11"/>
  <c r="E11"/>
  <c r="F11"/>
  <c r="G11"/>
  <c r="B12"/>
  <c r="C12"/>
  <c r="E12"/>
  <c r="F12"/>
  <c r="G12"/>
  <c r="B13"/>
  <c r="C13"/>
  <c r="E13"/>
  <c r="F13"/>
  <c r="G13"/>
  <c r="B14"/>
  <c r="C14"/>
  <c r="E14"/>
  <c r="F14"/>
  <c r="G14"/>
  <c r="B15"/>
  <c r="C15"/>
  <c r="E15"/>
  <c r="F15"/>
  <c r="G15"/>
  <c r="B16"/>
  <c r="C16"/>
  <c r="E16"/>
  <c r="F16"/>
  <c r="G16"/>
  <c r="B17"/>
  <c r="C17"/>
  <c r="E17"/>
  <c r="F17"/>
  <c r="G17"/>
  <c r="B18"/>
  <c r="C18"/>
  <c r="E18"/>
  <c r="F18"/>
  <c r="G18"/>
  <c r="B19"/>
  <c r="C19"/>
  <c r="E19"/>
  <c r="F19"/>
  <c r="G19"/>
  <c r="B20"/>
  <c r="C20"/>
  <c r="E20"/>
  <c r="F20"/>
  <c r="G20"/>
  <c r="B21"/>
  <c r="C21"/>
  <c r="E21"/>
  <c r="F21"/>
  <c r="G21"/>
  <c r="B22"/>
  <c r="C22"/>
  <c r="E22"/>
  <c r="F22"/>
  <c r="G22"/>
  <c r="B23"/>
  <c r="C23"/>
  <c r="E23"/>
  <c r="F23"/>
  <c r="G23"/>
  <c r="B24"/>
  <c r="C24"/>
  <c r="E24"/>
  <c r="F24"/>
  <c r="G24"/>
  <c r="B25"/>
  <c r="C25"/>
  <c r="E25"/>
  <c r="F25"/>
  <c r="G25"/>
  <c r="B51"/>
  <c r="C51"/>
  <c r="E51"/>
  <c r="F51"/>
  <c r="G51"/>
  <c r="B52"/>
  <c r="C52"/>
  <c r="E52"/>
  <c r="F52"/>
  <c r="G52"/>
  <c r="B53"/>
  <c r="C53"/>
  <c r="E53"/>
  <c r="F53"/>
  <c r="G53"/>
  <c r="B54"/>
  <c r="C54"/>
  <c r="E54"/>
  <c r="F54"/>
  <c r="G54"/>
  <c r="B55"/>
  <c r="C55"/>
  <c r="E55"/>
  <c r="F55"/>
  <c r="G55"/>
  <c r="B26"/>
  <c r="C26"/>
  <c r="E26"/>
  <c r="F26"/>
  <c r="G26"/>
  <c r="B27"/>
  <c r="C27"/>
  <c r="E27"/>
  <c r="F27"/>
  <c r="G27"/>
  <c r="B28"/>
  <c r="C28"/>
  <c r="E28"/>
  <c r="F28"/>
  <c r="G28"/>
  <c r="B29"/>
  <c r="C29"/>
  <c r="E29"/>
  <c r="F29"/>
  <c r="G29"/>
  <c r="B30"/>
  <c r="C30"/>
  <c r="E30"/>
  <c r="F30"/>
  <c r="G30"/>
  <c r="B31"/>
  <c r="C31"/>
  <c r="E31"/>
  <c r="F31"/>
  <c r="G31"/>
  <c r="B32"/>
  <c r="C32"/>
  <c r="E32"/>
  <c r="F32"/>
  <c r="G32"/>
  <c r="B33"/>
  <c r="C33"/>
  <c r="E33"/>
  <c r="F33"/>
  <c r="G33"/>
  <c r="B34"/>
  <c r="C34"/>
  <c r="E34"/>
  <c r="F34"/>
  <c r="G34"/>
  <c r="B35"/>
  <c r="C35"/>
  <c r="E35"/>
  <c r="F35"/>
  <c r="G35"/>
  <c r="B36"/>
  <c r="C36"/>
  <c r="E36"/>
  <c r="F36"/>
  <c r="G36"/>
  <c r="B37"/>
  <c r="C37"/>
  <c r="E37"/>
  <c r="F37"/>
  <c r="G37"/>
  <c r="B38"/>
  <c r="C38"/>
  <c r="E38"/>
  <c r="F38"/>
  <c r="G38"/>
  <c r="B39"/>
  <c r="C39"/>
  <c r="E39"/>
  <c r="F39"/>
  <c r="G39"/>
  <c r="B40"/>
  <c r="C40"/>
  <c r="E40"/>
  <c r="F40"/>
  <c r="G40"/>
  <c r="B41"/>
  <c r="C41"/>
  <c r="E41"/>
  <c r="F41"/>
  <c r="G41"/>
  <c r="B42"/>
  <c r="C42"/>
  <c r="E42"/>
  <c r="F42"/>
  <c r="G42"/>
  <c r="B43"/>
  <c r="C43"/>
  <c r="E43"/>
  <c r="F43"/>
  <c r="G43"/>
  <c r="B44"/>
  <c r="C44"/>
  <c r="E44"/>
  <c r="F44"/>
  <c r="G44"/>
  <c r="B45"/>
  <c r="C45"/>
  <c r="E45"/>
  <c r="F45"/>
  <c r="G45"/>
  <c r="B46"/>
  <c r="C46"/>
  <c r="E46"/>
  <c r="F46"/>
  <c r="G46"/>
  <c r="B47"/>
  <c r="C47"/>
  <c r="E47"/>
  <c r="F47"/>
  <c r="G47"/>
  <c r="B48"/>
  <c r="C48"/>
  <c r="E48"/>
  <c r="F48"/>
  <c r="G48"/>
  <c r="B49"/>
  <c r="C49"/>
  <c r="E49"/>
  <c r="F49"/>
  <c r="G49"/>
  <c r="B50" i="278"/>
  <c r="C50"/>
  <c r="E50"/>
  <c r="F50"/>
  <c r="G50"/>
  <c r="B51"/>
  <c r="C51"/>
  <c r="E51"/>
  <c r="F51"/>
  <c r="G51"/>
  <c r="B52"/>
  <c r="C52"/>
  <c r="E52"/>
  <c r="F52"/>
  <c r="G52"/>
  <c r="B53"/>
  <c r="C53"/>
  <c r="E53"/>
  <c r="F53"/>
  <c r="G53"/>
  <c r="B54"/>
  <c r="C54"/>
  <c r="E54"/>
  <c r="F54"/>
  <c r="G54"/>
  <c r="B55"/>
  <c r="C55"/>
  <c r="E55"/>
  <c r="F55"/>
  <c r="G55"/>
  <c r="D55" i="362"/>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D4"/>
  <c r="D55" i="277"/>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D4"/>
  <c r="D55" i="276"/>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D4"/>
  <c r="D55" i="27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D4"/>
  <c r="D4" i="274"/>
  <c r="D5"/>
  <c r="D6"/>
  <c r="D7"/>
  <c r="D8"/>
  <c r="D9"/>
  <c r="D10"/>
  <c r="D11"/>
  <c r="D12"/>
  <c r="D13"/>
  <c r="D14"/>
  <c r="D15"/>
  <c r="D16"/>
  <c r="D59" s="1"/>
  <c r="D17"/>
  <c r="D18"/>
  <c r="D19"/>
  <c r="D20"/>
  <c r="D21"/>
  <c r="D22"/>
  <c r="D23"/>
  <c r="D24"/>
  <c r="D60" s="1"/>
  <c r="D25"/>
  <c r="D26"/>
  <c r="D27"/>
  <c r="D28"/>
  <c r="D29"/>
  <c r="D30"/>
  <c r="D31"/>
  <c r="D32"/>
  <c r="D61" s="1"/>
  <c r="D33"/>
  <c r="D34"/>
  <c r="D35"/>
  <c r="D36"/>
  <c r="D37"/>
  <c r="D38"/>
  <c r="D39"/>
  <c r="D40"/>
  <c r="D41"/>
  <c r="D42"/>
  <c r="D43"/>
  <c r="D62" s="1"/>
  <c r="D44"/>
  <c r="D45"/>
  <c r="D46"/>
  <c r="D47"/>
  <c r="D48"/>
  <c r="D49"/>
  <c r="D50"/>
  <c r="D51"/>
  <c r="D52"/>
  <c r="D53"/>
  <c r="D54"/>
  <c r="D55"/>
  <c r="K50" i="362"/>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K9"/>
  <c r="K8"/>
  <c r="K7"/>
  <c r="K6"/>
  <c r="K5"/>
  <c r="K4"/>
  <c r="D55" i="361"/>
  <c r="D54"/>
  <c r="D53"/>
  <c r="D52"/>
  <c r="D51"/>
  <c r="D50"/>
  <c r="D49"/>
  <c r="D48"/>
  <c r="D47"/>
  <c r="D46"/>
  <c r="D45"/>
  <c r="D44"/>
  <c r="D43"/>
  <c r="D62" s="1"/>
  <c r="D42"/>
  <c r="D41"/>
  <c r="D40"/>
  <c r="D39"/>
  <c r="D38"/>
  <c r="D37"/>
  <c r="D36"/>
  <c r="D35"/>
  <c r="D34"/>
  <c r="D33"/>
  <c r="D32"/>
  <c r="D31"/>
  <c r="D30"/>
  <c r="D29"/>
  <c r="D28"/>
  <c r="D27"/>
  <c r="D26"/>
  <c r="D25"/>
  <c r="D24"/>
  <c r="D23"/>
  <c r="D22"/>
  <c r="D21"/>
  <c r="D20"/>
  <c r="D19"/>
  <c r="D18"/>
  <c r="D17"/>
  <c r="D16"/>
  <c r="D15"/>
  <c r="D14"/>
  <c r="D13"/>
  <c r="D12"/>
  <c r="D11"/>
  <c r="D10"/>
  <c r="D9"/>
  <c r="D8"/>
  <c r="D7"/>
  <c r="D6"/>
  <c r="D5"/>
  <c r="D4"/>
  <c r="D55" i="214"/>
  <c r="D54"/>
  <c r="D53"/>
  <c r="D52"/>
  <c r="D51"/>
  <c r="D50"/>
  <c r="D49"/>
  <c r="D48"/>
  <c r="D47"/>
  <c r="D46"/>
  <c r="D45"/>
  <c r="D44"/>
  <c r="D43"/>
  <c r="D62" s="1"/>
  <c r="D42"/>
  <c r="D41"/>
  <c r="D40"/>
  <c r="D39"/>
  <c r="D38"/>
  <c r="D37"/>
  <c r="D36"/>
  <c r="D35"/>
  <c r="D34"/>
  <c r="D33"/>
  <c r="D32"/>
  <c r="D31"/>
  <c r="D30"/>
  <c r="D29"/>
  <c r="D28"/>
  <c r="D27"/>
  <c r="D26"/>
  <c r="D25"/>
  <c r="D24"/>
  <c r="D23"/>
  <c r="D22"/>
  <c r="D21"/>
  <c r="D20"/>
  <c r="D19"/>
  <c r="D18"/>
  <c r="D17"/>
  <c r="D16"/>
  <c r="D15"/>
  <c r="D14"/>
  <c r="D13"/>
  <c r="D12"/>
  <c r="D11"/>
  <c r="D10"/>
  <c r="D9"/>
  <c r="D8"/>
  <c r="D7"/>
  <c r="D6"/>
  <c r="D5"/>
  <c r="D4"/>
  <c r="D55" i="213"/>
  <c r="D54"/>
  <c r="D53"/>
  <c r="D52"/>
  <c r="D51"/>
  <c r="D50"/>
  <c r="D49"/>
  <c r="D48"/>
  <c r="D47"/>
  <c r="D46"/>
  <c r="D45"/>
  <c r="D44"/>
  <c r="D43"/>
  <c r="D62" s="1"/>
  <c r="D42"/>
  <c r="D41"/>
  <c r="D40"/>
  <c r="D39"/>
  <c r="D38"/>
  <c r="D37"/>
  <c r="D36"/>
  <c r="D35"/>
  <c r="D34"/>
  <c r="D33"/>
  <c r="D32"/>
  <c r="D31"/>
  <c r="D30"/>
  <c r="D29"/>
  <c r="D28"/>
  <c r="D27"/>
  <c r="D26"/>
  <c r="D25"/>
  <c r="D24"/>
  <c r="D23"/>
  <c r="D22"/>
  <c r="D21"/>
  <c r="D20"/>
  <c r="D19"/>
  <c r="D18"/>
  <c r="D17"/>
  <c r="D16"/>
  <c r="D15"/>
  <c r="D14"/>
  <c r="D13"/>
  <c r="D12"/>
  <c r="D11"/>
  <c r="D10"/>
  <c r="D9"/>
  <c r="D8"/>
  <c r="D7"/>
  <c r="D6"/>
  <c r="D5"/>
  <c r="D4"/>
  <c r="D55" i="212"/>
  <c r="D54"/>
  <c r="D53"/>
  <c r="D52"/>
  <c r="D51"/>
  <c r="D50"/>
  <c r="D49"/>
  <c r="D48"/>
  <c r="D47"/>
  <c r="D46"/>
  <c r="D45"/>
  <c r="D44"/>
  <c r="D43"/>
  <c r="D62" s="1"/>
  <c r="D42"/>
  <c r="D41"/>
  <c r="D40"/>
  <c r="D39"/>
  <c r="D38"/>
  <c r="D37"/>
  <c r="D36"/>
  <c r="D35"/>
  <c r="D34"/>
  <c r="D33"/>
  <c r="D32"/>
  <c r="D31"/>
  <c r="D30"/>
  <c r="D29"/>
  <c r="D28"/>
  <c r="D27"/>
  <c r="D26"/>
  <c r="D25"/>
  <c r="D24"/>
  <c r="D23"/>
  <c r="D22"/>
  <c r="D21"/>
  <c r="D20"/>
  <c r="D19"/>
  <c r="D18"/>
  <c r="D17"/>
  <c r="D16"/>
  <c r="D15"/>
  <c r="D14"/>
  <c r="D13"/>
  <c r="D12"/>
  <c r="D11"/>
  <c r="D10"/>
  <c r="D9"/>
  <c r="D8"/>
  <c r="D7"/>
  <c r="D6"/>
  <c r="D5"/>
  <c r="D4"/>
  <c r="D55" i="211"/>
  <c r="D54"/>
  <c r="D53"/>
  <c r="D52"/>
  <c r="D51"/>
  <c r="D50"/>
  <c r="D49"/>
  <c r="D48"/>
  <c r="D47"/>
  <c r="D46"/>
  <c r="D45"/>
  <c r="D44"/>
  <c r="D43"/>
  <c r="D62" s="1"/>
  <c r="D42"/>
  <c r="D41"/>
  <c r="D40"/>
  <c r="D39"/>
  <c r="D38"/>
  <c r="D37"/>
  <c r="D36"/>
  <c r="D35"/>
  <c r="D34"/>
  <c r="D33"/>
  <c r="D32"/>
  <c r="D31"/>
  <c r="D30"/>
  <c r="D29"/>
  <c r="D28"/>
  <c r="D27"/>
  <c r="D26"/>
  <c r="D25"/>
  <c r="D24"/>
  <c r="D23"/>
  <c r="D22"/>
  <c r="D21"/>
  <c r="D20"/>
  <c r="D19"/>
  <c r="D18"/>
  <c r="D17"/>
  <c r="D16"/>
  <c r="D15"/>
  <c r="D14"/>
  <c r="D13"/>
  <c r="D12"/>
  <c r="D11"/>
  <c r="D10"/>
  <c r="D9"/>
  <c r="D8"/>
  <c r="D7"/>
  <c r="D6"/>
  <c r="D5"/>
  <c r="D4"/>
  <c r="D55" i="360"/>
  <c r="D54"/>
  <c r="D53"/>
  <c r="D52"/>
  <c r="D51"/>
  <c r="D50"/>
  <c r="D49"/>
  <c r="D48"/>
  <c r="D47"/>
  <c r="D46"/>
  <c r="D45"/>
  <c r="D44"/>
  <c r="D43"/>
  <c r="D62" s="1"/>
  <c r="D42"/>
  <c r="D41"/>
  <c r="D40"/>
  <c r="D39"/>
  <c r="D38"/>
  <c r="D37"/>
  <c r="D36"/>
  <c r="D35"/>
  <c r="D34"/>
  <c r="D33"/>
  <c r="D32"/>
  <c r="D31"/>
  <c r="D30"/>
  <c r="D29"/>
  <c r="D28"/>
  <c r="D27"/>
  <c r="D26"/>
  <c r="D25"/>
  <c r="D24"/>
  <c r="D23"/>
  <c r="D22"/>
  <c r="D21"/>
  <c r="D20"/>
  <c r="D19"/>
  <c r="D18"/>
  <c r="D17"/>
  <c r="D16"/>
  <c r="D15"/>
  <c r="D14"/>
  <c r="D13"/>
  <c r="D12"/>
  <c r="D11"/>
  <c r="D10"/>
  <c r="D9"/>
  <c r="D8"/>
  <c r="D7"/>
  <c r="D6"/>
  <c r="D5"/>
  <c r="D4"/>
  <c r="D55" i="210"/>
  <c r="D54"/>
  <c r="D53"/>
  <c r="D52"/>
  <c r="D51"/>
  <c r="D50"/>
  <c r="D49"/>
  <c r="D48"/>
  <c r="D47"/>
  <c r="D46"/>
  <c r="D45"/>
  <c r="D44"/>
  <c r="D43"/>
  <c r="D62" s="1"/>
  <c r="D42"/>
  <c r="D41"/>
  <c r="D40"/>
  <c r="D39"/>
  <c r="D38"/>
  <c r="D37"/>
  <c r="D36"/>
  <c r="D35"/>
  <c r="D34"/>
  <c r="D33"/>
  <c r="D32"/>
  <c r="D31"/>
  <c r="D30"/>
  <c r="D29"/>
  <c r="D28"/>
  <c r="D27"/>
  <c r="D26"/>
  <c r="D25"/>
  <c r="D24"/>
  <c r="D23"/>
  <c r="D22"/>
  <c r="D21"/>
  <c r="D20"/>
  <c r="D19"/>
  <c r="D18"/>
  <c r="D17"/>
  <c r="D16"/>
  <c r="D15"/>
  <c r="D14"/>
  <c r="D13"/>
  <c r="D12"/>
  <c r="D11"/>
  <c r="D10"/>
  <c r="D9"/>
  <c r="D8"/>
  <c r="D7"/>
  <c r="D6"/>
  <c r="D5"/>
  <c r="D4"/>
  <c r="D55" i="209"/>
  <c r="D54"/>
  <c r="D53"/>
  <c r="D52"/>
  <c r="D51"/>
  <c r="D50"/>
  <c r="D49"/>
  <c r="D48"/>
  <c r="D47"/>
  <c r="D46"/>
  <c r="D45"/>
  <c r="D44"/>
  <c r="D43"/>
  <c r="D62" s="1"/>
  <c r="D42"/>
  <c r="D41"/>
  <c r="D40"/>
  <c r="D39"/>
  <c r="D38"/>
  <c r="D37"/>
  <c r="D36"/>
  <c r="D35"/>
  <c r="D34"/>
  <c r="D33"/>
  <c r="D32"/>
  <c r="D31"/>
  <c r="D30"/>
  <c r="D29"/>
  <c r="D28"/>
  <c r="D27"/>
  <c r="D26"/>
  <c r="D25"/>
  <c r="D24"/>
  <c r="D23"/>
  <c r="D22"/>
  <c r="D21"/>
  <c r="D20"/>
  <c r="D19"/>
  <c r="D18"/>
  <c r="D17"/>
  <c r="D16"/>
  <c r="D15"/>
  <c r="D14"/>
  <c r="D13"/>
  <c r="D12"/>
  <c r="D11"/>
  <c r="D10"/>
  <c r="D9"/>
  <c r="D8"/>
  <c r="D7"/>
  <c r="D6"/>
  <c r="D5"/>
  <c r="D4"/>
  <c r="D55" i="208"/>
  <c r="D54"/>
  <c r="D53"/>
  <c r="D52"/>
  <c r="D51"/>
  <c r="D50"/>
  <c r="D49"/>
  <c r="D48"/>
  <c r="D47"/>
  <c r="D46"/>
  <c r="D45"/>
  <c r="D44"/>
  <c r="D43"/>
  <c r="D62" s="1"/>
  <c r="D42"/>
  <c r="D41"/>
  <c r="D40"/>
  <c r="D39"/>
  <c r="D38"/>
  <c r="D37"/>
  <c r="D36"/>
  <c r="D35"/>
  <c r="D34"/>
  <c r="D33"/>
  <c r="D32"/>
  <c r="D31"/>
  <c r="D30"/>
  <c r="D29"/>
  <c r="D28"/>
  <c r="D27"/>
  <c r="D26"/>
  <c r="D25"/>
  <c r="D24"/>
  <c r="D23"/>
  <c r="D22"/>
  <c r="D21"/>
  <c r="D20"/>
  <c r="D19"/>
  <c r="D18"/>
  <c r="D17"/>
  <c r="D16"/>
  <c r="D15"/>
  <c r="D14"/>
  <c r="D13"/>
  <c r="D12"/>
  <c r="D11"/>
  <c r="D10"/>
  <c r="D9"/>
  <c r="D8"/>
  <c r="D7"/>
  <c r="D6"/>
  <c r="D5"/>
  <c r="D4"/>
  <c r="D4" i="207"/>
  <c r="K50" i="361"/>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K9"/>
  <c r="K8"/>
  <c r="K7"/>
  <c r="K6"/>
  <c r="K5"/>
  <c r="K4"/>
  <c r="K50" i="360"/>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K9"/>
  <c r="K8"/>
  <c r="K7"/>
  <c r="K6"/>
  <c r="K5"/>
  <c r="K4"/>
  <c r="D51" i="207"/>
  <c r="D52"/>
  <c r="D53"/>
  <c r="D54"/>
  <c r="D55"/>
  <c r="D5"/>
  <c r="D6"/>
  <c r="D6" i="278" s="1"/>
  <c r="D7" i="207"/>
  <c r="D8"/>
  <c r="D9"/>
  <c r="D10"/>
  <c r="D10" i="278" s="1"/>
  <c r="D11" i="207"/>
  <c r="D12"/>
  <c r="D13"/>
  <c r="D14"/>
  <c r="D14" i="278" s="1"/>
  <c r="D15" i="207"/>
  <c r="D16"/>
  <c r="D17"/>
  <c r="D18"/>
  <c r="D18" i="278" s="1"/>
  <c r="D19" i="207"/>
  <c r="D20"/>
  <c r="D21"/>
  <c r="D22"/>
  <c r="D22" i="278" s="1"/>
  <c r="D23" i="207"/>
  <c r="D24"/>
  <c r="D25"/>
  <c r="D26"/>
  <c r="D26" i="278" s="1"/>
  <c r="D27" i="207"/>
  <c r="D28"/>
  <c r="D29"/>
  <c r="D30"/>
  <c r="D30" i="278" s="1"/>
  <c r="D31" i="207"/>
  <c r="D32"/>
  <c r="D33"/>
  <c r="D34"/>
  <c r="D34" i="278" s="1"/>
  <c r="D35" i="207"/>
  <c r="D36"/>
  <c r="D37"/>
  <c r="D38"/>
  <c r="D38" i="278" s="1"/>
  <c r="D39" i="207"/>
  <c r="D40"/>
  <c r="D41"/>
  <c r="D42"/>
  <c r="D42" i="278" s="1"/>
  <c r="D43" i="207"/>
  <c r="D44"/>
  <c r="D45"/>
  <c r="D46"/>
  <c r="D46" i="278" s="1"/>
  <c r="D47" i="207"/>
  <c r="D48"/>
  <c r="D49"/>
  <c r="D50"/>
  <c r="D50" i="278" s="1"/>
  <c r="K15" i="207"/>
  <c r="B42" i="131"/>
  <c r="B43"/>
  <c r="B44"/>
  <c r="B45"/>
  <c r="B46"/>
  <c r="B47"/>
  <c r="B48"/>
  <c r="B49"/>
  <c r="B50"/>
  <c r="B51"/>
  <c r="B52"/>
  <c r="B53"/>
  <c r="B54"/>
  <c r="B55"/>
  <c r="B56"/>
  <c r="H41" i="123"/>
  <c r="I41"/>
  <c r="H42"/>
  <c r="I42"/>
  <c r="H43"/>
  <c r="I43"/>
  <c r="H44"/>
  <c r="I44"/>
  <c r="H45"/>
  <c r="I45"/>
  <c r="H46"/>
  <c r="I46"/>
  <c r="H47"/>
  <c r="I47"/>
  <c r="H48"/>
  <c r="I48"/>
  <c r="H49"/>
  <c r="I49"/>
  <c r="H50"/>
  <c r="I50"/>
  <c r="H51"/>
  <c r="I51"/>
  <c r="H52"/>
  <c r="H61" s="1"/>
  <c r="I52"/>
  <c r="I61" s="1"/>
  <c r="B49"/>
  <c r="B28" i="126" s="1"/>
  <c r="C49" i="123"/>
  <c r="C28" i="126" s="1"/>
  <c r="E49" i="123"/>
  <c r="E28" i="126" s="1"/>
  <c r="F49" i="123"/>
  <c r="F28" i="126" s="1"/>
  <c r="G49" i="123"/>
  <c r="G28" i="126" s="1"/>
  <c r="B50" i="123"/>
  <c r="B29" i="126" s="1"/>
  <c r="C50" i="123"/>
  <c r="C29" i="126" s="1"/>
  <c r="E50" i="123"/>
  <c r="E29" i="126" s="1"/>
  <c r="F50" i="123"/>
  <c r="F29" i="126" s="1"/>
  <c r="G50" i="123"/>
  <c r="G29" i="126" s="1"/>
  <c r="B51" i="123"/>
  <c r="B30" i="126" s="1"/>
  <c r="C51" i="123"/>
  <c r="C30" i="126" s="1"/>
  <c r="E51" i="123"/>
  <c r="E30" i="126" s="1"/>
  <c r="F51" i="123"/>
  <c r="F30" i="126" s="1"/>
  <c r="G51" i="123"/>
  <c r="G30" i="126" s="1"/>
  <c r="B52" i="123"/>
  <c r="C52"/>
  <c r="E52"/>
  <c r="F52"/>
  <c r="G52"/>
  <c r="B41"/>
  <c r="B20" i="126" s="1"/>
  <c r="C41" i="123"/>
  <c r="C20" i="126" s="1"/>
  <c r="E41" i="123"/>
  <c r="E20" i="126" s="1"/>
  <c r="F41" i="123"/>
  <c r="F20" i="126" s="1"/>
  <c r="G41" i="123"/>
  <c r="G20" i="126" s="1"/>
  <c r="B42" i="123"/>
  <c r="B21" i="126" s="1"/>
  <c r="C42" i="123"/>
  <c r="C21" i="126" s="1"/>
  <c r="E42" i="123"/>
  <c r="E21" i="126" s="1"/>
  <c r="F42" i="123"/>
  <c r="F21" i="126" s="1"/>
  <c r="G42" i="123"/>
  <c r="G21" i="126" s="1"/>
  <c r="B43" i="123"/>
  <c r="B22" i="126" s="1"/>
  <c r="C43" i="123"/>
  <c r="C22" i="126" s="1"/>
  <c r="E43" i="123"/>
  <c r="E22" i="126" s="1"/>
  <c r="F43" i="123"/>
  <c r="F22" i="126" s="1"/>
  <c r="G43" i="123"/>
  <c r="G22" i="126" s="1"/>
  <c r="B44" i="123"/>
  <c r="C44"/>
  <c r="C23" i="126" s="1"/>
  <c r="E44" i="123"/>
  <c r="E23" i="126" s="1"/>
  <c r="F44" i="123"/>
  <c r="F23" i="126" s="1"/>
  <c r="G44" i="123"/>
  <c r="G23" i="126" s="1"/>
  <c r="B45" i="123"/>
  <c r="B24" i="126" s="1"/>
  <c r="C45" i="123"/>
  <c r="C24" i="126" s="1"/>
  <c r="E45" i="123"/>
  <c r="E24" i="126" s="1"/>
  <c r="F45" i="123"/>
  <c r="F24" i="126" s="1"/>
  <c r="G45" i="123"/>
  <c r="G24" i="126" s="1"/>
  <c r="B46" i="123"/>
  <c r="B25" i="126" s="1"/>
  <c r="C46" i="123"/>
  <c r="C25" i="126" s="1"/>
  <c r="E46" i="123"/>
  <c r="E25" i="126" s="1"/>
  <c r="F46" i="123"/>
  <c r="F25" i="126" s="1"/>
  <c r="G46" i="123"/>
  <c r="G25" i="126" s="1"/>
  <c r="B47" i="123"/>
  <c r="B26" i="126" s="1"/>
  <c r="C47" i="123"/>
  <c r="C26" i="126" s="1"/>
  <c r="E47" i="123"/>
  <c r="E26" i="126" s="1"/>
  <c r="F47" i="123"/>
  <c r="F26" i="126" s="1"/>
  <c r="G47" i="123"/>
  <c r="G26" i="126" s="1"/>
  <c r="B48" i="123"/>
  <c r="B27" i="126" s="1"/>
  <c r="C48" i="123"/>
  <c r="C27" i="126" s="1"/>
  <c r="E48" i="123"/>
  <c r="E27" i="126" s="1"/>
  <c r="F48" i="123"/>
  <c r="F27" i="126" s="1"/>
  <c r="G48" i="123"/>
  <c r="G27" i="126" s="1"/>
  <c r="F61" i="50" l="1"/>
  <c r="D12" i="180"/>
  <c r="D12" i="184"/>
  <c r="D12" i="182"/>
  <c r="D12" i="183"/>
  <c r="F60" i="363"/>
  <c r="E61"/>
  <c r="G60"/>
  <c r="D35" i="328"/>
  <c r="D58" i="208"/>
  <c r="D63"/>
  <c r="D63" i="209"/>
  <c r="D58"/>
  <c r="D58" i="211"/>
  <c r="D63"/>
  <c r="D58" i="361"/>
  <c r="D63"/>
  <c r="D58" i="274"/>
  <c r="D63"/>
  <c r="F28" i="366"/>
  <c r="B23" i="126"/>
  <c r="G31"/>
  <c r="G61" i="123"/>
  <c r="G58" i="363"/>
  <c r="G59"/>
  <c r="I28" i="302"/>
  <c r="C31" i="126"/>
  <c r="C61" i="123"/>
  <c r="B58" i="363"/>
  <c r="B59"/>
  <c r="G28" i="302"/>
  <c r="E28" i="366"/>
  <c r="H39" i="18"/>
  <c r="H29" i="366"/>
  <c r="H13" i="357"/>
  <c r="G29" i="366"/>
  <c r="D61" i="276"/>
  <c r="D59" i="277"/>
  <c r="D60"/>
  <c r="D59" i="362"/>
  <c r="D61"/>
  <c r="F62" i="279"/>
  <c r="G61"/>
  <c r="G60"/>
  <c r="E63" i="363"/>
  <c r="D62" i="276"/>
  <c r="D62" i="277"/>
  <c r="D62" i="362"/>
  <c r="B62" i="279"/>
  <c r="C61"/>
  <c r="C60"/>
  <c r="B60" i="363"/>
  <c r="F61"/>
  <c r="C62" i="279"/>
  <c r="E61"/>
  <c r="E60"/>
  <c r="C60" i="363"/>
  <c r="G61"/>
  <c r="G63"/>
  <c r="B63"/>
  <c r="F62"/>
  <c r="F31" i="126"/>
  <c r="F61" i="123"/>
  <c r="D58" i="210"/>
  <c r="D63"/>
  <c r="D58" i="360"/>
  <c r="D63"/>
  <c r="D58" i="212"/>
  <c r="D63"/>
  <c r="D58" i="213"/>
  <c r="D63"/>
  <c r="D58" i="214"/>
  <c r="D63"/>
  <c r="E59" i="363"/>
  <c r="E58"/>
  <c r="G13" i="357"/>
  <c r="B31" i="126"/>
  <c r="B61" i="123"/>
  <c r="B63" i="131"/>
  <c r="D63" i="276"/>
  <c r="D58"/>
  <c r="D63" i="277"/>
  <c r="D58"/>
  <c r="D63" i="362"/>
  <c r="D58"/>
  <c r="B28" i="366"/>
  <c r="C28"/>
  <c r="L13" i="357"/>
  <c r="E31" i="126"/>
  <c r="E61" i="123"/>
  <c r="D63" i="207"/>
  <c r="D58"/>
  <c r="C58" i="363"/>
  <c r="C59"/>
  <c r="H28" i="302"/>
  <c r="D29" i="366"/>
  <c r="I29"/>
  <c r="D59" i="276"/>
  <c r="D60"/>
  <c r="D61" i="277"/>
  <c r="D60" i="362"/>
  <c r="B61" i="279"/>
  <c r="B60"/>
  <c r="C62" i="363"/>
  <c r="G62" i="279"/>
  <c r="B61" i="363"/>
  <c r="F63"/>
  <c r="E62"/>
  <c r="D59" i="208"/>
  <c r="D60"/>
  <c r="D61"/>
  <c r="D59" i="209"/>
  <c r="D60"/>
  <c r="D61"/>
  <c r="D59" i="210"/>
  <c r="D60"/>
  <c r="D61"/>
  <c r="D59" i="360"/>
  <c r="D60"/>
  <c r="D61"/>
  <c r="D59" i="211"/>
  <c r="D60"/>
  <c r="D61"/>
  <c r="D59" i="212"/>
  <c r="D60"/>
  <c r="D61"/>
  <c r="D59" i="213"/>
  <c r="D60"/>
  <c r="D61"/>
  <c r="D59" i="214"/>
  <c r="D60"/>
  <c r="D61"/>
  <c r="D59" i="361"/>
  <c r="D60"/>
  <c r="D61"/>
  <c r="E62" i="279"/>
  <c r="F61"/>
  <c r="F60"/>
  <c r="E60" i="363"/>
  <c r="C61"/>
  <c r="C63"/>
  <c r="G62"/>
  <c r="B62"/>
  <c r="D59" i="275"/>
  <c r="D60"/>
  <c r="D61"/>
  <c r="D63"/>
  <c r="D58"/>
  <c r="D62"/>
  <c r="N31" i="127"/>
  <c r="G25" i="341"/>
  <c r="N36" i="127"/>
  <c r="G25" i="328"/>
  <c r="N28" i="127"/>
  <c r="N32"/>
  <c r="N29"/>
  <c r="G24" i="341"/>
  <c r="N34" i="127"/>
  <c r="N27"/>
  <c r="N35"/>
  <c r="N33"/>
  <c r="D37"/>
  <c r="E26" i="101"/>
  <c r="F26" i="108"/>
  <c r="F31"/>
  <c r="F33"/>
  <c r="F36"/>
  <c r="F35"/>
  <c r="F32"/>
  <c r="F34"/>
  <c r="F30"/>
  <c r="F29"/>
  <c r="B37" i="127"/>
  <c r="B26" i="101"/>
  <c r="I26" i="120" s="1"/>
  <c r="F27"/>
  <c r="F27" i="108"/>
  <c r="I26"/>
  <c r="I31"/>
  <c r="I34"/>
  <c r="I35"/>
  <c r="I32"/>
  <c r="I33"/>
  <c r="I36"/>
  <c r="I30"/>
  <c r="I29"/>
  <c r="G26"/>
  <c r="G34"/>
  <c r="G36"/>
  <c r="G31"/>
  <c r="G32"/>
  <c r="G30"/>
  <c r="G35"/>
  <c r="G33"/>
  <c r="G29"/>
  <c r="I27" i="120"/>
  <c r="I27" i="108"/>
  <c r="F28"/>
  <c r="F25" i="341"/>
  <c r="G28" i="108"/>
  <c r="G27" i="120"/>
  <c r="G27" i="108"/>
  <c r="H25" i="101"/>
  <c r="C25" i="341"/>
  <c r="C26" i="101"/>
  <c r="E27" i="120"/>
  <c r="H20" i="26"/>
  <c r="F44" i="51"/>
  <c r="E37" i="127"/>
  <c r="N37"/>
  <c r="H12" i="28"/>
  <c r="F36" i="53"/>
  <c r="H20" i="18"/>
  <c r="F44" i="54"/>
  <c r="J20" i="20"/>
  <c r="G44" i="56"/>
  <c r="U37" i="127"/>
  <c r="K12" i="28"/>
  <c r="H36" i="53"/>
  <c r="AC36" i="68"/>
  <c r="B25" i="101"/>
  <c r="B36" i="127"/>
  <c r="B26" i="88"/>
  <c r="B26" i="125" s="1"/>
  <c r="B34" i="127"/>
  <c r="B33"/>
  <c r="B35"/>
  <c r="E17" i="179"/>
  <c r="F17" s="1"/>
  <c r="E16"/>
  <c r="F25" i="328"/>
  <c r="D28" i="127"/>
  <c r="C25" i="101"/>
  <c r="E25" i="341"/>
  <c r="D29" i="127"/>
  <c r="D30"/>
  <c r="D33"/>
  <c r="D32"/>
  <c r="D34"/>
  <c r="D36"/>
  <c r="D27"/>
  <c r="D35"/>
  <c r="D31"/>
  <c r="E25" i="328"/>
  <c r="M18" i="28"/>
  <c r="L19"/>
  <c r="J19"/>
  <c r="I20"/>
  <c r="L20" i="27"/>
  <c r="J16"/>
  <c r="J19" i="26"/>
  <c r="G42" i="51" s="1"/>
  <c r="H19" i="25"/>
  <c r="F43" i="50"/>
  <c r="J19" i="25"/>
  <c r="G42" i="50" s="1"/>
  <c r="J19" i="23"/>
  <c r="I20"/>
  <c r="M18"/>
  <c r="L19"/>
  <c r="I42" i="58" s="1"/>
  <c r="O45" i="358"/>
  <c r="U30" i="127"/>
  <c r="U27"/>
  <c r="U36"/>
  <c r="U35"/>
  <c r="U33"/>
  <c r="U32"/>
  <c r="U34"/>
  <c r="U31"/>
  <c r="U29"/>
  <c r="F27"/>
  <c r="F35"/>
  <c r="F33"/>
  <c r="F32"/>
  <c r="F36"/>
  <c r="F31"/>
  <c r="F34"/>
  <c r="F30"/>
  <c r="F29"/>
  <c r="E33"/>
  <c r="E30"/>
  <c r="E31"/>
  <c r="E27"/>
  <c r="E36"/>
  <c r="E34"/>
  <c r="E35"/>
  <c r="E32"/>
  <c r="E29"/>
  <c r="P45" i="358"/>
  <c r="O26" i="127"/>
  <c r="E28"/>
  <c r="G27"/>
  <c r="G31"/>
  <c r="G29"/>
  <c r="G36"/>
  <c r="G34"/>
  <c r="G35"/>
  <c r="G32"/>
  <c r="G30"/>
  <c r="G28"/>
  <c r="G33"/>
  <c r="F28"/>
  <c r="U28"/>
  <c r="K24"/>
  <c r="D34" i="363"/>
  <c r="D50"/>
  <c r="D38"/>
  <c r="D54"/>
  <c r="O13" i="357"/>
  <c r="P13"/>
  <c r="V13"/>
  <c r="D30" i="363"/>
  <c r="D46"/>
  <c r="D53" i="280"/>
  <c r="D5" i="363"/>
  <c r="D13"/>
  <c r="D21"/>
  <c r="D29"/>
  <c r="D37"/>
  <c r="D45"/>
  <c r="D49"/>
  <c r="D8"/>
  <c r="D12"/>
  <c r="D16"/>
  <c r="D28"/>
  <c r="D32"/>
  <c r="D36"/>
  <c r="D40"/>
  <c r="D44"/>
  <c r="D48"/>
  <c r="D52"/>
  <c r="D4" i="278"/>
  <c r="D7" i="279"/>
  <c r="D11"/>
  <c r="D15"/>
  <c r="D19"/>
  <c r="D23"/>
  <c r="D27"/>
  <c r="D31"/>
  <c r="D35"/>
  <c r="D39"/>
  <c r="D43"/>
  <c r="D47"/>
  <c r="D51"/>
  <c r="D55"/>
  <c r="D51" i="281"/>
  <c r="D55"/>
  <c r="D7" i="363"/>
  <c r="D11"/>
  <c r="D15"/>
  <c r="F13" i="357"/>
  <c r="F27" i="302" s="1"/>
  <c r="E13" i="357"/>
  <c r="E27" i="302" s="1"/>
  <c r="D14" i="357"/>
  <c r="D28" i="302" s="1"/>
  <c r="B13" i="357"/>
  <c r="B27" i="302" s="1"/>
  <c r="D26" i="363"/>
  <c r="D42"/>
  <c r="D49" i="280"/>
  <c r="D9" i="363"/>
  <c r="D17"/>
  <c r="D25"/>
  <c r="D33"/>
  <c r="D41"/>
  <c r="D53"/>
  <c r="D27"/>
  <c r="D35"/>
  <c r="D43"/>
  <c r="D51"/>
  <c r="D49" i="278"/>
  <c r="D45"/>
  <c r="D41"/>
  <c r="D37"/>
  <c r="D33"/>
  <c r="D29"/>
  <c r="D25"/>
  <c r="D21"/>
  <c r="D17"/>
  <c r="D13"/>
  <c r="D9"/>
  <c r="D5"/>
  <c r="D10" i="279"/>
  <c r="D14"/>
  <c r="D18"/>
  <c r="D22"/>
  <c r="D26"/>
  <c r="D30"/>
  <c r="D34"/>
  <c r="D38"/>
  <c r="D42"/>
  <c r="D46"/>
  <c r="D54"/>
  <c r="D50" i="280"/>
  <c r="D54"/>
  <c r="D50" i="281"/>
  <c r="D54"/>
  <c r="D6" i="363"/>
  <c r="D10"/>
  <c r="D14"/>
  <c r="D18"/>
  <c r="D22"/>
  <c r="D19"/>
  <c r="D23"/>
  <c r="D31"/>
  <c r="D39"/>
  <c r="D47"/>
  <c r="D55"/>
  <c r="D53" i="278"/>
  <c r="D4" i="363"/>
  <c r="D20"/>
  <c r="D24"/>
  <c r="D12" i="279"/>
  <c r="D20"/>
  <c r="D28"/>
  <c r="D36"/>
  <c r="D44"/>
  <c r="D52"/>
  <c r="D52" i="280"/>
  <c r="D47" i="278"/>
  <c r="D43"/>
  <c r="D39"/>
  <c r="D35"/>
  <c r="D31"/>
  <c r="D27"/>
  <c r="D23"/>
  <c r="D19"/>
  <c r="D15"/>
  <c r="D11"/>
  <c r="D7"/>
  <c r="D51" i="280"/>
  <c r="D55"/>
  <c r="D8" i="279"/>
  <c r="D16"/>
  <c r="D24"/>
  <c r="D32"/>
  <c r="D40"/>
  <c r="D48"/>
  <c r="D48" i="280"/>
  <c r="D52" i="281"/>
  <c r="D52" i="278"/>
  <c r="D48"/>
  <c r="D44"/>
  <c r="D40"/>
  <c r="D36"/>
  <c r="D32"/>
  <c r="D28"/>
  <c r="D24"/>
  <c r="D20"/>
  <c r="D16"/>
  <c r="D12"/>
  <c r="D8"/>
  <c r="D55"/>
  <c r="D51"/>
  <c r="D54"/>
  <c r="D9" i="279"/>
  <c r="D13"/>
  <c r="D17"/>
  <c r="D21"/>
  <c r="D25"/>
  <c r="D29"/>
  <c r="D33"/>
  <c r="D37"/>
  <c r="D41"/>
  <c r="D45"/>
  <c r="D49"/>
  <c r="D53"/>
  <c r="D53" i="281"/>
  <c r="D35" i="341"/>
  <c r="D50" i="122"/>
  <c r="D51"/>
  <c r="D52"/>
  <c r="D53"/>
  <c r="D54"/>
  <c r="D56"/>
  <c r="D42"/>
  <c r="D43"/>
  <c r="D44"/>
  <c r="D45"/>
  <c r="D46"/>
  <c r="D47"/>
  <c r="D48"/>
  <c r="D49"/>
  <c r="F16" i="179" l="1"/>
  <c r="C10" i="180" s="1"/>
  <c r="G10" s="1"/>
  <c r="E10"/>
  <c r="F10" s="1"/>
  <c r="G61" i="56"/>
  <c r="F61" i="51"/>
  <c r="F12" i="183"/>
  <c r="F12" i="182"/>
  <c r="F61" i="54"/>
  <c r="F12" i="180"/>
  <c r="F12" i="184"/>
  <c r="D63" i="122"/>
  <c r="D63" i="363"/>
  <c r="B27" i="366"/>
  <c r="C27"/>
  <c r="H27" i="302"/>
  <c r="I28" i="366"/>
  <c r="D59" i="363"/>
  <c r="D58"/>
  <c r="F27" i="366"/>
  <c r="I27" i="302"/>
  <c r="L12" i="357"/>
  <c r="D62" i="122"/>
  <c r="E27" i="366"/>
  <c r="D58" i="278"/>
  <c r="D59"/>
  <c r="F42" i="126"/>
  <c r="C42"/>
  <c r="D63" i="278"/>
  <c r="D62" i="363"/>
  <c r="D60" i="278"/>
  <c r="D61" i="279"/>
  <c r="D60" i="363"/>
  <c r="G28" i="366"/>
  <c r="B42" i="126"/>
  <c r="D28" i="366"/>
  <c r="G27" i="302"/>
  <c r="H28" i="366"/>
  <c r="E42" i="126"/>
  <c r="G12" i="357"/>
  <c r="H12"/>
  <c r="G42" i="126"/>
  <c r="D62" i="278"/>
  <c r="D60" i="279"/>
  <c r="D61" i="278"/>
  <c r="D62" i="279"/>
  <c r="D61" i="363"/>
  <c r="G25" i="101"/>
  <c r="G25" i="120" s="1"/>
  <c r="G24" i="328"/>
  <c r="N26" i="127"/>
  <c r="C26" i="120"/>
  <c r="C26" i="108"/>
  <c r="C34"/>
  <c r="C32"/>
  <c r="C31"/>
  <c r="C33"/>
  <c r="C30"/>
  <c r="C36"/>
  <c r="C35"/>
  <c r="C29"/>
  <c r="C28"/>
  <c r="C27"/>
  <c r="H39" i="119"/>
  <c r="H24" i="101"/>
  <c r="H47" s="1"/>
  <c r="B26" i="120"/>
  <c r="B26" i="108"/>
  <c r="B32"/>
  <c r="B34"/>
  <c r="B31"/>
  <c r="B33"/>
  <c r="B36"/>
  <c r="B35"/>
  <c r="B30"/>
  <c r="B29"/>
  <c r="B27"/>
  <c r="H26" i="120"/>
  <c r="B28" i="108"/>
  <c r="E26"/>
  <c r="E26" i="120"/>
  <c r="E35" i="108"/>
  <c r="E32"/>
  <c r="E33"/>
  <c r="E36"/>
  <c r="E31"/>
  <c r="E30"/>
  <c r="E34"/>
  <c r="E29"/>
  <c r="E28"/>
  <c r="E25" i="101"/>
  <c r="E27" i="108"/>
  <c r="F26" i="120"/>
  <c r="F25" i="101"/>
  <c r="C25" i="108"/>
  <c r="C25" i="120"/>
  <c r="H25"/>
  <c r="H25" i="108"/>
  <c r="B25"/>
  <c r="B25" i="120"/>
  <c r="I25" i="101"/>
  <c r="G39" i="119"/>
  <c r="G24" i="101"/>
  <c r="G47" s="1"/>
  <c r="G26" i="120"/>
  <c r="I20" i="27"/>
  <c r="I43" i="52"/>
  <c r="H19" i="18"/>
  <c r="F43" i="54"/>
  <c r="H19" i="26"/>
  <c r="F43" i="51"/>
  <c r="K11" i="28"/>
  <c r="H35" i="53"/>
  <c r="J19" i="20"/>
  <c r="G43" i="56"/>
  <c r="H11" i="28"/>
  <c r="F35" i="53"/>
  <c r="AC35" i="68"/>
  <c r="G36" i="67" s="1"/>
  <c r="B24" i="88"/>
  <c r="B24" i="341"/>
  <c r="B24" i="328"/>
  <c r="C24" i="341"/>
  <c r="C45" i="358"/>
  <c r="C24" i="328"/>
  <c r="E45" i="358"/>
  <c r="E24" i="341"/>
  <c r="D26" i="127"/>
  <c r="E24" i="328"/>
  <c r="J18" i="28"/>
  <c r="G41" i="53" s="1"/>
  <c r="I19" i="28"/>
  <c r="M17"/>
  <c r="L18"/>
  <c r="I41" i="53" s="1"/>
  <c r="J15" i="27"/>
  <c r="J18" i="26"/>
  <c r="G41" i="51" s="1"/>
  <c r="J18" i="25"/>
  <c r="G41" i="50" s="1"/>
  <c r="F42"/>
  <c r="H18" i="25"/>
  <c r="L18" i="23"/>
  <c r="I41" i="58" s="1"/>
  <c r="M17" i="23"/>
  <c r="I19"/>
  <c r="J18"/>
  <c r="N25" i="127"/>
  <c r="N44" s="1"/>
  <c r="G23" i="328"/>
  <c r="G23" i="341"/>
  <c r="G42" s="1"/>
  <c r="O25" i="127"/>
  <c r="O44" s="1"/>
  <c r="G45" i="358"/>
  <c r="F26" i="127"/>
  <c r="H45" i="358"/>
  <c r="G26" i="127"/>
  <c r="F45" i="358"/>
  <c r="E26" i="127"/>
  <c r="F24" i="341"/>
  <c r="F24" i="328"/>
  <c r="U26" i="127"/>
  <c r="V45" i="358"/>
  <c r="L46"/>
  <c r="K23" i="127"/>
  <c r="P12" i="357"/>
  <c r="B12"/>
  <c r="B26" i="302" s="1"/>
  <c r="E12" i="357"/>
  <c r="E26" i="302" s="1"/>
  <c r="D13" i="357"/>
  <c r="D27" i="302" s="1"/>
  <c r="V12" i="357"/>
  <c r="F12"/>
  <c r="F26" i="302" s="1"/>
  <c r="F27" i="364" s="1"/>
  <c r="O12" i="357"/>
  <c r="G24" i="88"/>
  <c r="G25"/>
  <c r="G26"/>
  <c r="G27"/>
  <c r="G28"/>
  <c r="G29"/>
  <c r="G30"/>
  <c r="G31"/>
  <c r="G32"/>
  <c r="E32"/>
  <c r="F32"/>
  <c r="E33"/>
  <c r="F33"/>
  <c r="C32"/>
  <c r="C33"/>
  <c r="B25"/>
  <c r="B25" i="125" s="1"/>
  <c r="C25" i="88"/>
  <c r="E25"/>
  <c r="F25"/>
  <c r="C26"/>
  <c r="E26"/>
  <c r="F26"/>
  <c r="C27"/>
  <c r="E27"/>
  <c r="F27"/>
  <c r="C28"/>
  <c r="E28"/>
  <c r="F28"/>
  <c r="C29"/>
  <c r="E29"/>
  <c r="F29"/>
  <c r="C30"/>
  <c r="E30"/>
  <c r="F30"/>
  <c r="C31"/>
  <c r="E31"/>
  <c r="F31"/>
  <c r="H12" i="182" l="1"/>
  <c r="H12" i="184"/>
  <c r="H12" i="183"/>
  <c r="G42" i="328"/>
  <c r="B26" i="366"/>
  <c r="B26" i="364"/>
  <c r="C26" i="366"/>
  <c r="B35" i="364"/>
  <c r="B36"/>
  <c r="B31"/>
  <c r="B32"/>
  <c r="B33"/>
  <c r="B30"/>
  <c r="B34"/>
  <c r="B29"/>
  <c r="B28"/>
  <c r="E26"/>
  <c r="E26" i="366"/>
  <c r="E35" i="364"/>
  <c r="E33"/>
  <c r="E32"/>
  <c r="E31"/>
  <c r="E30"/>
  <c r="E34"/>
  <c r="E36"/>
  <c r="E29"/>
  <c r="E28"/>
  <c r="G43" i="88"/>
  <c r="D27" i="366"/>
  <c r="G11" i="357"/>
  <c r="G27" i="366"/>
  <c r="E27" i="364"/>
  <c r="B27"/>
  <c r="F26" i="366"/>
  <c r="F26" i="364"/>
  <c r="F32"/>
  <c r="F35"/>
  <c r="F33"/>
  <c r="F31"/>
  <c r="F36"/>
  <c r="F34"/>
  <c r="F30"/>
  <c r="F29"/>
  <c r="F28"/>
  <c r="H11" i="357"/>
  <c r="G26" i="302"/>
  <c r="G27" i="364" s="1"/>
  <c r="L11" i="357"/>
  <c r="I26" i="302"/>
  <c r="H26"/>
  <c r="I27" i="366"/>
  <c r="H27"/>
  <c r="B24" i="125"/>
  <c r="B43" i="88"/>
  <c r="G25" i="108"/>
  <c r="G23" i="101"/>
  <c r="C24" i="88"/>
  <c r="C24" i="101"/>
  <c r="C47" s="1"/>
  <c r="F39" i="119"/>
  <c r="F24" i="101"/>
  <c r="F47" s="1"/>
  <c r="I25" i="120"/>
  <c r="I25" i="108"/>
  <c r="F25"/>
  <c r="F25" i="120"/>
  <c r="H23" i="101"/>
  <c r="G24" i="108"/>
  <c r="G42" s="1"/>
  <c r="E25" i="120"/>
  <c r="E25" i="108"/>
  <c r="B24" i="101"/>
  <c r="B47" s="1"/>
  <c r="B45" i="358"/>
  <c r="H24" i="108"/>
  <c r="H42" s="1"/>
  <c r="I39" i="119"/>
  <c r="I24" i="101"/>
  <c r="I47" s="1"/>
  <c r="E39" i="119"/>
  <c r="E24" i="101"/>
  <c r="E47" s="1"/>
  <c r="H18" i="18"/>
  <c r="F42" i="54"/>
  <c r="H10" i="28"/>
  <c r="F34" i="53"/>
  <c r="K10" i="28"/>
  <c r="H34" i="53"/>
  <c r="H18" i="26"/>
  <c r="F42" i="51"/>
  <c r="J18" i="20"/>
  <c r="G42" i="56"/>
  <c r="E28" i="125"/>
  <c r="G26" i="67"/>
  <c r="G30"/>
  <c r="G35"/>
  <c r="G27"/>
  <c r="G31"/>
  <c r="G13"/>
  <c r="G25"/>
  <c r="G29"/>
  <c r="G42"/>
  <c r="G28"/>
  <c r="G37"/>
  <c r="G43"/>
  <c r="G41"/>
  <c r="G40"/>
  <c r="G39"/>
  <c r="G38"/>
  <c r="AC34" i="68"/>
  <c r="G34" i="67" s="1"/>
  <c r="B23" i="341"/>
  <c r="B42" s="1"/>
  <c r="B44" i="358"/>
  <c r="B23" i="328"/>
  <c r="B42" s="1"/>
  <c r="B23" i="101"/>
  <c r="B39" i="119"/>
  <c r="F24" i="88"/>
  <c r="F25" i="125"/>
  <c r="C23" i="341"/>
  <c r="C42" s="1"/>
  <c r="C23" i="328"/>
  <c r="C42" s="1"/>
  <c r="C23" i="101"/>
  <c r="F29" i="125"/>
  <c r="E23" i="328"/>
  <c r="E42" s="1"/>
  <c r="E23" i="341"/>
  <c r="E42" s="1"/>
  <c r="D25" i="127"/>
  <c r="D44" s="1"/>
  <c r="E24" i="88"/>
  <c r="M16" i="28"/>
  <c r="I18"/>
  <c r="J17"/>
  <c r="G40" i="53" s="1"/>
  <c r="J14" i="27"/>
  <c r="J17" i="26"/>
  <c r="G40" i="51" s="1"/>
  <c r="F41" i="50"/>
  <c r="H17" i="25"/>
  <c r="H16" s="1"/>
  <c r="H15" s="1"/>
  <c r="H14" s="1"/>
  <c r="H13" s="1"/>
  <c r="H12" s="1"/>
  <c r="H11" s="1"/>
  <c r="H10" s="1"/>
  <c r="H9" s="1"/>
  <c r="H8" s="1"/>
  <c r="H7" s="1"/>
  <c r="H6" s="1"/>
  <c r="H5" s="1"/>
  <c r="F28" i="50" s="1"/>
  <c r="F58" s="1"/>
  <c r="J17" i="25"/>
  <c r="G40" i="50" s="1"/>
  <c r="M16" i="23"/>
  <c r="I18"/>
  <c r="J17"/>
  <c r="G22" i="328"/>
  <c r="G22" i="341"/>
  <c r="N24" i="127"/>
  <c r="F30" i="125"/>
  <c r="E33"/>
  <c r="G27"/>
  <c r="G23" i="88"/>
  <c r="G23" i="125" s="1"/>
  <c r="G25" i="127"/>
  <c r="G44" s="1"/>
  <c r="O24"/>
  <c r="E29" i="125"/>
  <c r="E25" i="127"/>
  <c r="E44" s="1"/>
  <c r="F23" i="328"/>
  <c r="F42" s="1"/>
  <c r="F23" i="341"/>
  <c r="F42" s="1"/>
  <c r="F25" i="127"/>
  <c r="F44" s="1"/>
  <c r="U25"/>
  <c r="U44" s="1"/>
  <c r="E30" i="125"/>
  <c r="C31"/>
  <c r="C36"/>
  <c r="C34"/>
  <c r="C35"/>
  <c r="C27"/>
  <c r="C28"/>
  <c r="F26"/>
  <c r="E25"/>
  <c r="C33"/>
  <c r="F32"/>
  <c r="G30"/>
  <c r="G26"/>
  <c r="E31"/>
  <c r="E36"/>
  <c r="E35"/>
  <c r="E34"/>
  <c r="C30"/>
  <c r="F28"/>
  <c r="E27"/>
  <c r="C26"/>
  <c r="F33"/>
  <c r="G32"/>
  <c r="G28"/>
  <c r="G24"/>
  <c r="G31"/>
  <c r="G35"/>
  <c r="G33"/>
  <c r="G36"/>
  <c r="G34"/>
  <c r="F31"/>
  <c r="F34"/>
  <c r="F35"/>
  <c r="F36"/>
  <c r="C29"/>
  <c r="F27"/>
  <c r="E26"/>
  <c r="C25"/>
  <c r="C24"/>
  <c r="C32"/>
  <c r="E32"/>
  <c r="G29"/>
  <c r="G25"/>
  <c r="K22" i="127"/>
  <c r="O11" i="357"/>
  <c r="E11"/>
  <c r="D12"/>
  <c r="D26" i="302" s="1"/>
  <c r="D27" i="364" s="1"/>
  <c r="P11" i="357"/>
  <c r="B11"/>
  <c r="B25" i="302" s="1"/>
  <c r="F11" i="357"/>
  <c r="V11"/>
  <c r="C25" i="366" l="1"/>
  <c r="B25"/>
  <c r="B25" i="364"/>
  <c r="B41" i="302"/>
  <c r="G43" i="125"/>
  <c r="F24"/>
  <c r="F43" s="1"/>
  <c r="F43" i="88"/>
  <c r="H26" i="364"/>
  <c r="H26" i="366"/>
  <c r="H33" i="364"/>
  <c r="H32"/>
  <c r="H35"/>
  <c r="H34"/>
  <c r="H36"/>
  <c r="H31"/>
  <c r="H30"/>
  <c r="H29"/>
  <c r="H28"/>
  <c r="F25" i="302"/>
  <c r="E24" i="125"/>
  <c r="E43" s="1"/>
  <c r="E43" i="88"/>
  <c r="I25" i="302"/>
  <c r="H25"/>
  <c r="C43" i="88"/>
  <c r="L10" i="357"/>
  <c r="H10"/>
  <c r="H27" i="364"/>
  <c r="G25" i="302"/>
  <c r="E25"/>
  <c r="I26" i="364"/>
  <c r="I26" i="366"/>
  <c r="I33" i="364"/>
  <c r="I32"/>
  <c r="I35"/>
  <c r="I36"/>
  <c r="I31"/>
  <c r="I34"/>
  <c r="I30"/>
  <c r="I29"/>
  <c r="I28"/>
  <c r="D26" i="366"/>
  <c r="D26" i="364"/>
  <c r="D35"/>
  <c r="D32"/>
  <c r="D31"/>
  <c r="D33"/>
  <c r="D36"/>
  <c r="D34"/>
  <c r="D30"/>
  <c r="D29"/>
  <c r="D28"/>
  <c r="E39" i="125"/>
  <c r="C43"/>
  <c r="G26" i="366"/>
  <c r="G26" i="364"/>
  <c r="G33"/>
  <c r="G32"/>
  <c r="G35"/>
  <c r="G34"/>
  <c r="G31"/>
  <c r="G36"/>
  <c r="G30"/>
  <c r="G29"/>
  <c r="G28"/>
  <c r="G10" i="357"/>
  <c r="B41" i="364"/>
  <c r="G49" i="67"/>
  <c r="I27" i="364"/>
  <c r="B43" i="125"/>
  <c r="F23" i="101"/>
  <c r="B24" i="120"/>
  <c r="B24" i="108"/>
  <c r="B42" s="1"/>
  <c r="G23" i="120"/>
  <c r="G23" i="108"/>
  <c r="I23" i="101"/>
  <c r="G24" i="120"/>
  <c r="G42" s="1"/>
  <c r="H24"/>
  <c r="H42" s="1"/>
  <c r="H22" i="101"/>
  <c r="C23" i="108"/>
  <c r="C23" i="120"/>
  <c r="I24" i="108"/>
  <c r="I42" s="1"/>
  <c r="I24" i="120"/>
  <c r="I42" s="1"/>
  <c r="F24" i="108"/>
  <c r="F42" s="1"/>
  <c r="F24" i="120"/>
  <c r="F42" s="1"/>
  <c r="G22" i="101"/>
  <c r="E23"/>
  <c r="B23" i="120"/>
  <c r="B23" i="108"/>
  <c r="E24" i="120"/>
  <c r="E42" s="1"/>
  <c r="E24" i="108"/>
  <c r="E42" s="1"/>
  <c r="H23" i="120"/>
  <c r="H23" i="108"/>
  <c r="C24"/>
  <c r="C42" s="1"/>
  <c r="C24" i="120"/>
  <c r="H17" i="18"/>
  <c r="F41" i="54"/>
  <c r="H17" i="26"/>
  <c r="F41" i="51"/>
  <c r="H9" i="28"/>
  <c r="H8" s="1"/>
  <c r="F33" i="53"/>
  <c r="K9" i="28"/>
  <c r="K8" s="1"/>
  <c r="H33" i="53"/>
  <c r="J17" i="20"/>
  <c r="G41" i="56"/>
  <c r="G32" i="67"/>
  <c r="AC33" i="68"/>
  <c r="G33" i="67" s="1"/>
  <c r="B22" i="328"/>
  <c r="B22" i="101"/>
  <c r="B23" i="88"/>
  <c r="B23" i="125" s="1"/>
  <c r="B22" i="341"/>
  <c r="C22"/>
  <c r="C23" i="88"/>
  <c r="C23" i="125" s="1"/>
  <c r="C22" i="101"/>
  <c r="C22" i="328"/>
  <c r="E22"/>
  <c r="E23" i="88"/>
  <c r="E23" i="125" s="1"/>
  <c r="D24" i="127"/>
  <c r="E22" i="341"/>
  <c r="M15" i="28"/>
  <c r="J16"/>
  <c r="G39" i="53" s="1"/>
  <c r="J13" i="27"/>
  <c r="J16" i="26"/>
  <c r="G39" i="51" s="1"/>
  <c r="J16" i="25"/>
  <c r="G39" i="50" s="1"/>
  <c r="M15" i="23"/>
  <c r="J16"/>
  <c r="O46" i="358"/>
  <c r="G21" i="341"/>
  <c r="G21" i="328"/>
  <c r="G22" i="88"/>
  <c r="G22" i="125" s="1"/>
  <c r="N23" i="127"/>
  <c r="F22" i="101"/>
  <c r="F22" i="328"/>
  <c r="F22" i="341"/>
  <c r="E24" i="127"/>
  <c r="F23" i="88"/>
  <c r="F23" i="125" s="1"/>
  <c r="O23" i="127"/>
  <c r="F24"/>
  <c r="G15" i="322"/>
  <c r="G24" i="127"/>
  <c r="U24"/>
  <c r="P10" i="357"/>
  <c r="F10"/>
  <c r="E10"/>
  <c r="D11"/>
  <c r="D25" i="302" s="1"/>
  <c r="V10" i="357"/>
  <c r="B10"/>
  <c r="O10"/>
  <c r="H53" i="87"/>
  <c r="I53"/>
  <c r="K53"/>
  <c r="L53"/>
  <c r="M53"/>
  <c r="H54"/>
  <c r="I54"/>
  <c r="K54"/>
  <c r="L54"/>
  <c r="M54"/>
  <c r="H55"/>
  <c r="I55"/>
  <c r="K55"/>
  <c r="L55"/>
  <c r="M55"/>
  <c r="H56"/>
  <c r="I56"/>
  <c r="K56"/>
  <c r="L56"/>
  <c r="M56"/>
  <c r="H57"/>
  <c r="I57"/>
  <c r="K57"/>
  <c r="L57"/>
  <c r="M57"/>
  <c r="I6"/>
  <c r="H6"/>
  <c r="D53"/>
  <c r="J53" s="1"/>
  <c r="D54"/>
  <c r="J54" s="1"/>
  <c r="D55"/>
  <c r="J55" s="1"/>
  <c r="D56"/>
  <c r="J56" s="1"/>
  <c r="D57"/>
  <c r="J57" s="1"/>
  <c r="D6"/>
  <c r="I53" i="11"/>
  <c r="D52" i="118" s="1"/>
  <c r="I54" i="11"/>
  <c r="D53" i="118" s="1"/>
  <c r="I55" i="11"/>
  <c r="D54" i="118" s="1"/>
  <c r="I56" i="11"/>
  <c r="D55" i="118" s="1"/>
  <c r="I57" i="11"/>
  <c r="I7"/>
  <c r="I8"/>
  <c r="I9"/>
  <c r="I10"/>
  <c r="I11"/>
  <c r="I12"/>
  <c r="I13"/>
  <c r="I14"/>
  <c r="I15"/>
  <c r="I16"/>
  <c r="I17"/>
  <c r="I18"/>
  <c r="I19"/>
  <c r="I20"/>
  <c r="I21"/>
  <c r="I22"/>
  <c r="I23"/>
  <c r="I24"/>
  <c r="I25"/>
  <c r="I26"/>
  <c r="I27"/>
  <c r="I28"/>
  <c r="I29"/>
  <c r="I30"/>
  <c r="I31"/>
  <c r="I32"/>
  <c r="I33"/>
  <c r="I34"/>
  <c r="I35"/>
  <c r="I36"/>
  <c r="I37"/>
  <c r="I38"/>
  <c r="I39"/>
  <c r="I40"/>
  <c r="I41"/>
  <c r="I42"/>
  <c r="D41" i="118" s="1"/>
  <c r="I43" i="11"/>
  <c r="D42" i="118" s="1"/>
  <c r="I44" i="11"/>
  <c r="D43" i="118" s="1"/>
  <c r="I45" i="11"/>
  <c r="I46"/>
  <c r="D45" i="118" s="1"/>
  <c r="I47" i="11"/>
  <c r="D46" i="118" s="1"/>
  <c r="I48" i="11"/>
  <c r="D47" i="118" s="1"/>
  <c r="I49" i="11"/>
  <c r="D48" i="118" s="1"/>
  <c r="I50" i="11"/>
  <c r="D49" i="118" s="1"/>
  <c r="I51" i="11"/>
  <c r="D50" i="118" s="1"/>
  <c r="I52" i="11"/>
  <c r="D51" i="118" s="1"/>
  <c r="I6" i="11"/>
  <c r="D96" i="354"/>
  <c r="D92"/>
  <c r="D88"/>
  <c r="D84"/>
  <c r="D80"/>
  <c r="C81"/>
  <c r="C82"/>
  <c r="C83"/>
  <c r="C84"/>
  <c r="C85"/>
  <c r="C86"/>
  <c r="C87"/>
  <c r="C88"/>
  <c r="C89"/>
  <c r="C90"/>
  <c r="C91"/>
  <c r="C92"/>
  <c r="C93"/>
  <c r="C94"/>
  <c r="C95"/>
  <c r="C96"/>
  <c r="C97"/>
  <c r="C98"/>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23" i="332"/>
  <c r="C24"/>
  <c r="C25"/>
  <c r="C26"/>
  <c r="C27"/>
  <c r="C16"/>
  <c r="C17"/>
  <c r="C18"/>
  <c r="C19"/>
  <c r="C20"/>
  <c r="C21"/>
  <c r="C22"/>
  <c r="M26" i="322"/>
  <c r="L26"/>
  <c r="K26"/>
  <c r="J26"/>
  <c r="I26"/>
  <c r="H26"/>
  <c r="G26"/>
  <c r="F26"/>
  <c r="E26"/>
  <c r="M25"/>
  <c r="L25"/>
  <c r="K25"/>
  <c r="J25"/>
  <c r="I25"/>
  <c r="H25"/>
  <c r="G25"/>
  <c r="F25"/>
  <c r="E25"/>
  <c r="M24"/>
  <c r="L24"/>
  <c r="K24"/>
  <c r="J24"/>
  <c r="I24"/>
  <c r="H24"/>
  <c r="G24"/>
  <c r="F24"/>
  <c r="E24"/>
  <c r="M23"/>
  <c r="L23"/>
  <c r="K23"/>
  <c r="J23"/>
  <c r="I23"/>
  <c r="H23"/>
  <c r="G23"/>
  <c r="F23"/>
  <c r="E23"/>
  <c r="M22"/>
  <c r="L22"/>
  <c r="K22"/>
  <c r="J22"/>
  <c r="I22"/>
  <c r="H22"/>
  <c r="G22"/>
  <c r="F22"/>
  <c r="E22"/>
  <c r="M21"/>
  <c r="L21"/>
  <c r="K21"/>
  <c r="J21"/>
  <c r="I21"/>
  <c r="H21"/>
  <c r="G21"/>
  <c r="F21"/>
  <c r="E21"/>
  <c r="X20"/>
  <c r="W20"/>
  <c r="V20"/>
  <c r="U20"/>
  <c r="T20"/>
  <c r="S20"/>
  <c r="R20"/>
  <c r="Q20"/>
  <c r="P20"/>
  <c r="O20"/>
  <c r="N20"/>
  <c r="M20"/>
  <c r="L20"/>
  <c r="G20"/>
  <c r="F20"/>
  <c r="E20"/>
  <c r="X19"/>
  <c r="W19"/>
  <c r="V19"/>
  <c r="U19"/>
  <c r="T19"/>
  <c r="S19"/>
  <c r="R19"/>
  <c r="Q19"/>
  <c r="P19"/>
  <c r="O19"/>
  <c r="N19"/>
  <c r="M19"/>
  <c r="L19"/>
  <c r="G19"/>
  <c r="F19"/>
  <c r="E19"/>
  <c r="X18"/>
  <c r="W18"/>
  <c r="V18"/>
  <c r="U18"/>
  <c r="T18"/>
  <c r="S18"/>
  <c r="R18"/>
  <c r="Q18"/>
  <c r="P18"/>
  <c r="O18"/>
  <c r="N18"/>
  <c r="M18"/>
  <c r="L18"/>
  <c r="G18"/>
  <c r="F18"/>
  <c r="E18"/>
  <c r="X17"/>
  <c r="W17"/>
  <c r="V17"/>
  <c r="U17"/>
  <c r="T17"/>
  <c r="S17"/>
  <c r="R17"/>
  <c r="Q17"/>
  <c r="P17"/>
  <c r="O17"/>
  <c r="N17"/>
  <c r="M17"/>
  <c r="L17"/>
  <c r="G17"/>
  <c r="F17"/>
  <c r="E17"/>
  <c r="X16"/>
  <c r="W16"/>
  <c r="V16"/>
  <c r="U16"/>
  <c r="T16"/>
  <c r="S16"/>
  <c r="R16"/>
  <c r="Q16"/>
  <c r="P16"/>
  <c r="O16"/>
  <c r="N16"/>
  <c r="M16"/>
  <c r="L16"/>
  <c r="G16"/>
  <c r="F16"/>
  <c r="E16"/>
  <c r="X15"/>
  <c r="W15"/>
  <c r="V15"/>
  <c r="T15"/>
  <c r="S15"/>
  <c r="R15"/>
  <c r="Q15"/>
  <c r="P15"/>
  <c r="O15"/>
  <c r="N15"/>
  <c r="M15"/>
  <c r="L15"/>
  <c r="X14"/>
  <c r="W14"/>
  <c r="V14"/>
  <c r="T14"/>
  <c r="Q14"/>
  <c r="P14"/>
  <c r="M14"/>
  <c r="L14"/>
  <c r="W13"/>
  <c r="V13"/>
  <c r="D22"/>
  <c r="D23"/>
  <c r="E27"/>
  <c r="F27"/>
  <c r="G27"/>
  <c r="H27"/>
  <c r="I27"/>
  <c r="J27"/>
  <c r="K27"/>
  <c r="L27"/>
  <c r="M27"/>
  <c r="D16"/>
  <c r="D21"/>
  <c r="D25" i="366" l="1"/>
  <c r="D25" i="364"/>
  <c r="D41" i="302"/>
  <c r="C41" i="366"/>
  <c r="I60" i="87"/>
  <c r="I24" i="302"/>
  <c r="V27" i="357"/>
  <c r="C42" i="120"/>
  <c r="E25" i="364"/>
  <c r="E25" i="366"/>
  <c r="E41" i="302"/>
  <c r="G24"/>
  <c r="O27" i="357"/>
  <c r="E24" i="302"/>
  <c r="E27" i="357"/>
  <c r="G25" i="364"/>
  <c r="G25" i="366"/>
  <c r="G41" i="302"/>
  <c r="L9" i="357"/>
  <c r="L27"/>
  <c r="H25" i="366"/>
  <c r="H25" i="364"/>
  <c r="H41" s="1"/>
  <c r="H41" i="302"/>
  <c r="G9" i="357"/>
  <c r="G27"/>
  <c r="H24" i="302"/>
  <c r="P27" i="357"/>
  <c r="G41" i="364"/>
  <c r="H9" i="357"/>
  <c r="H27"/>
  <c r="F25" i="364"/>
  <c r="F25" i="366"/>
  <c r="F41" i="302"/>
  <c r="B41" i="366"/>
  <c r="B24" i="302"/>
  <c r="B27" i="357"/>
  <c r="F24" i="302"/>
  <c r="F27" i="357"/>
  <c r="B42" i="120"/>
  <c r="I25" i="364"/>
  <c r="I25" i="366"/>
  <c r="I41" i="302"/>
  <c r="I61" i="11"/>
  <c r="I63"/>
  <c r="D44" i="118"/>
  <c r="D67" s="1"/>
  <c r="I60" i="11"/>
  <c r="I62"/>
  <c r="I64"/>
  <c r="D56" i="118"/>
  <c r="H21" i="101"/>
  <c r="H21" i="108" s="1"/>
  <c r="P46" i="358"/>
  <c r="E23" i="120"/>
  <c r="E23" i="108"/>
  <c r="F23"/>
  <c r="F23" i="120"/>
  <c r="F22"/>
  <c r="F22" i="108"/>
  <c r="B22" i="120"/>
  <c r="B22" i="108"/>
  <c r="C22"/>
  <c r="C22" i="120"/>
  <c r="I22" i="101"/>
  <c r="G21"/>
  <c r="E22"/>
  <c r="G22" i="108"/>
  <c r="G22" i="120"/>
  <c r="H22"/>
  <c r="H22" i="108"/>
  <c r="I23" i="120"/>
  <c r="I23" i="108"/>
  <c r="J16" i="20"/>
  <c r="G40" i="56"/>
  <c r="H7" i="28"/>
  <c r="F31" i="53"/>
  <c r="K7" i="28"/>
  <c r="H31" i="53"/>
  <c r="H16" i="26"/>
  <c r="F40" i="51"/>
  <c r="H16" i="18"/>
  <c r="F40" i="54"/>
  <c r="B21" i="328"/>
  <c r="B22" i="88"/>
  <c r="B22" i="125" s="1"/>
  <c r="B21" i="341"/>
  <c r="E15" i="322"/>
  <c r="D36" i="88"/>
  <c r="O14" i="322"/>
  <c r="C21" i="328"/>
  <c r="C21" i="341"/>
  <c r="C22" i="88"/>
  <c r="C22" i="125" s="1"/>
  <c r="E46" i="358"/>
  <c r="E22" i="88"/>
  <c r="E22" i="125" s="1"/>
  <c r="E21" i="328"/>
  <c r="E21" i="341"/>
  <c r="D23" i="127"/>
  <c r="D15" i="322"/>
  <c r="M14" i="28"/>
  <c r="J15"/>
  <c r="G38" i="53" s="1"/>
  <c r="J12" i="27"/>
  <c r="J15" i="26"/>
  <c r="G38" i="51" s="1"/>
  <c r="J15" i="25"/>
  <c r="G38" i="50" s="1"/>
  <c r="M14" i="23"/>
  <c r="J15"/>
  <c r="G21" i="88"/>
  <c r="G21" i="125" s="1"/>
  <c r="G20" i="341"/>
  <c r="G20" i="328"/>
  <c r="N22" i="127"/>
  <c r="N14" i="322"/>
  <c r="U23" i="127"/>
  <c r="V46" i="358"/>
  <c r="G46"/>
  <c r="F23" i="127"/>
  <c r="D35" i="88"/>
  <c r="H46" i="358"/>
  <c r="G23" i="127"/>
  <c r="O22"/>
  <c r="F46" i="358"/>
  <c r="F21" i="341"/>
  <c r="F21" i="328"/>
  <c r="E23" i="127"/>
  <c r="F22" i="88"/>
  <c r="F22" i="125" s="1"/>
  <c r="U15" i="322"/>
  <c r="D34" i="88"/>
  <c r="F15" i="322"/>
  <c r="F9" i="357"/>
  <c r="F23" i="302" s="1"/>
  <c r="O9" i="357"/>
  <c r="V9"/>
  <c r="E9"/>
  <c r="E23" i="302" s="1"/>
  <c r="D10" i="357"/>
  <c r="P9"/>
  <c r="B9"/>
  <c r="B23" i="302" s="1"/>
  <c r="E80" i="354"/>
  <c r="E92"/>
  <c r="E84"/>
  <c r="E96"/>
  <c r="E88"/>
  <c r="B21" i="315"/>
  <c r="N22" i="321" s="1"/>
  <c r="N22" i="322" s="1"/>
  <c r="C21" i="315"/>
  <c r="O22" i="321" s="1"/>
  <c r="O22" i="322" s="1"/>
  <c r="D21" i="315"/>
  <c r="P22" i="321" s="1"/>
  <c r="P22" i="322" s="1"/>
  <c r="E21" i="315"/>
  <c r="Q22" i="321" s="1"/>
  <c r="Q22" i="322" s="1"/>
  <c r="F21" i="315"/>
  <c r="R22" i="321" s="1"/>
  <c r="R22" i="322" s="1"/>
  <c r="G21" i="315"/>
  <c r="S22" i="321" s="1"/>
  <c r="S22" i="322" s="1"/>
  <c r="H21" i="315"/>
  <c r="T22" i="321" s="1"/>
  <c r="T22" i="322" s="1"/>
  <c r="I21" i="315"/>
  <c r="U22" i="321" s="1"/>
  <c r="U22" i="322" s="1"/>
  <c r="J21" i="315"/>
  <c r="K21"/>
  <c r="V22" i="321" s="1"/>
  <c r="V22" i="322" s="1"/>
  <c r="L21" i="315"/>
  <c r="W22" i="321" s="1"/>
  <c r="W22" i="322" s="1"/>
  <c r="M21" i="315"/>
  <c r="X22" i="321" s="1"/>
  <c r="X22" i="322" s="1"/>
  <c r="B22" i="315"/>
  <c r="N23" i="321" s="1"/>
  <c r="N23" i="322" s="1"/>
  <c r="C22" i="315"/>
  <c r="O23" i="321" s="1"/>
  <c r="O23" i="322" s="1"/>
  <c r="D22" i="315"/>
  <c r="P23" i="321" s="1"/>
  <c r="P23" i="322" s="1"/>
  <c r="E22" i="315"/>
  <c r="Q23" i="321" s="1"/>
  <c r="Q23" i="322" s="1"/>
  <c r="F22" i="315"/>
  <c r="R23" i="321" s="1"/>
  <c r="R23" i="322" s="1"/>
  <c r="G22" i="315"/>
  <c r="S23" i="321" s="1"/>
  <c r="S23" i="322" s="1"/>
  <c r="H22" i="315"/>
  <c r="T23" i="321" s="1"/>
  <c r="T23" i="322" s="1"/>
  <c r="I22" i="315"/>
  <c r="U23" i="321" s="1"/>
  <c r="U23" i="322" s="1"/>
  <c r="J22" i="315"/>
  <c r="K22"/>
  <c r="V23" i="321" s="1"/>
  <c r="V23" i="322" s="1"/>
  <c r="L22" i="315"/>
  <c r="W23" i="321" s="1"/>
  <c r="W23" i="322" s="1"/>
  <c r="M22" i="315"/>
  <c r="X23" i="321" s="1"/>
  <c r="X23" i="322" s="1"/>
  <c r="B23" i="315"/>
  <c r="N24" i="321" s="1"/>
  <c r="N24" i="322" s="1"/>
  <c r="C23" i="315"/>
  <c r="O24" i="321" s="1"/>
  <c r="O24" i="322" s="1"/>
  <c r="D23" i="315"/>
  <c r="P24" i="321" s="1"/>
  <c r="P24" i="322" s="1"/>
  <c r="E23" i="315"/>
  <c r="Q24" i="321" s="1"/>
  <c r="Q24" i="322" s="1"/>
  <c r="F23" i="315"/>
  <c r="R24" i="321" s="1"/>
  <c r="R24" i="322" s="1"/>
  <c r="G23" i="315"/>
  <c r="S24" i="321" s="1"/>
  <c r="S24" i="322" s="1"/>
  <c r="H23" i="315"/>
  <c r="T24" i="321" s="1"/>
  <c r="T24" i="322" s="1"/>
  <c r="I23" i="315"/>
  <c r="U24" i="321" s="1"/>
  <c r="U24" i="322" s="1"/>
  <c r="J23" i="315"/>
  <c r="K23"/>
  <c r="V24" i="321" s="1"/>
  <c r="V24" i="322" s="1"/>
  <c r="L23" i="315"/>
  <c r="W24" i="321" s="1"/>
  <c r="W24" i="322" s="1"/>
  <c r="M23" i="315"/>
  <c r="X24" i="321" s="1"/>
  <c r="X24" i="322" s="1"/>
  <c r="B24" i="315"/>
  <c r="N25" i="321" s="1"/>
  <c r="N25" i="322" s="1"/>
  <c r="C24" i="315"/>
  <c r="O25" i="321" s="1"/>
  <c r="O25" i="322" s="1"/>
  <c r="D24" i="315"/>
  <c r="P25" i="321" s="1"/>
  <c r="P25" i="322" s="1"/>
  <c r="E24" i="315"/>
  <c r="Q25" i="321" s="1"/>
  <c r="Q25" i="322" s="1"/>
  <c r="F24" i="315"/>
  <c r="R25" i="321" s="1"/>
  <c r="R25" i="322" s="1"/>
  <c r="G24" i="315"/>
  <c r="S25" i="321" s="1"/>
  <c r="S25" i="322" s="1"/>
  <c r="H24" i="315"/>
  <c r="T25" i="321" s="1"/>
  <c r="T25" i="322" s="1"/>
  <c r="I24" i="315"/>
  <c r="U25" i="321" s="1"/>
  <c r="U25" i="322" s="1"/>
  <c r="J24" i="315"/>
  <c r="K24"/>
  <c r="V25" i="321" s="1"/>
  <c r="V25" i="322" s="1"/>
  <c r="L24" i="315"/>
  <c r="W25" i="321" s="1"/>
  <c r="W25" i="322" s="1"/>
  <c r="M24" i="315"/>
  <c r="X25" i="321" s="1"/>
  <c r="X25" i="322" s="1"/>
  <c r="B25" i="315"/>
  <c r="N26" i="321" s="1"/>
  <c r="N26" i="322" s="1"/>
  <c r="C25" i="315"/>
  <c r="D25"/>
  <c r="P26" i="321" s="1"/>
  <c r="P26" i="322" s="1"/>
  <c r="E25" i="315"/>
  <c r="Q26" i="321" s="1"/>
  <c r="Q26" i="322" s="1"/>
  <c r="F25" i="315"/>
  <c r="R26" i="321" s="1"/>
  <c r="R26" i="322" s="1"/>
  <c r="G25" i="315"/>
  <c r="S26" i="321" s="1"/>
  <c r="S26" i="322" s="1"/>
  <c r="H25" i="315"/>
  <c r="T26" i="321" s="1"/>
  <c r="T26" i="322" s="1"/>
  <c r="I25" i="315"/>
  <c r="U26" i="321" s="1"/>
  <c r="U26" i="322" s="1"/>
  <c r="J25" i="315"/>
  <c r="K25"/>
  <c r="V26" i="321" s="1"/>
  <c r="V26" i="322" s="1"/>
  <c r="L25" i="315"/>
  <c r="W26" i="321" s="1"/>
  <c r="W26" i="322" s="1"/>
  <c r="M25" i="315"/>
  <c r="X26" i="321" s="1"/>
  <c r="X26" i="322" s="1"/>
  <c r="B26" i="315"/>
  <c r="N27" i="321" s="1"/>
  <c r="N27" i="322" s="1"/>
  <c r="C26" i="315"/>
  <c r="O27" i="321" s="1"/>
  <c r="O27" i="322" s="1"/>
  <c r="D26" i="315"/>
  <c r="P27" i="321" s="1"/>
  <c r="P27" i="322" s="1"/>
  <c r="E26" i="315"/>
  <c r="Q27" i="321" s="1"/>
  <c r="Q27" i="322" s="1"/>
  <c r="F26" i="315"/>
  <c r="R27" i="321" s="1"/>
  <c r="R27" i="322" s="1"/>
  <c r="G26" i="315"/>
  <c r="S27" i="321" s="1"/>
  <c r="S27" i="322" s="1"/>
  <c r="H26" i="315"/>
  <c r="T27" i="321" s="1"/>
  <c r="T27" i="322" s="1"/>
  <c r="I26" i="315"/>
  <c r="U27" i="321" s="1"/>
  <c r="U27" i="322" s="1"/>
  <c r="J26" i="315"/>
  <c r="K26"/>
  <c r="V27" i="321" s="1"/>
  <c r="V27" i="322" s="1"/>
  <c r="L26" i="315"/>
  <c r="W27" i="321" s="1"/>
  <c r="W27" i="322" s="1"/>
  <c r="M26" i="315"/>
  <c r="X27" i="321" s="1"/>
  <c r="X27" i="322" s="1"/>
  <c r="C20" i="315"/>
  <c r="O21" i="321" s="1"/>
  <c r="O21" i="322" s="1"/>
  <c r="D20" i="315"/>
  <c r="P21" i="321" s="1"/>
  <c r="P21" i="322" s="1"/>
  <c r="E20" i="315"/>
  <c r="Q21" i="321" s="1"/>
  <c r="Q21" i="322" s="1"/>
  <c r="F20" i="315"/>
  <c r="R21" i="321" s="1"/>
  <c r="R21" i="322" s="1"/>
  <c r="G20" i="315"/>
  <c r="S21" i="321" s="1"/>
  <c r="S21" i="322" s="1"/>
  <c r="H20" i="315"/>
  <c r="T21" i="321" s="1"/>
  <c r="T21" i="322" s="1"/>
  <c r="I20" i="315"/>
  <c r="U21" i="321" s="1"/>
  <c r="U21" i="322" s="1"/>
  <c r="J20" i="315"/>
  <c r="K20"/>
  <c r="V21" i="321" s="1"/>
  <c r="V21" i="322" s="1"/>
  <c r="L20" i="315"/>
  <c r="W21" i="321" s="1"/>
  <c r="W21" i="322" s="1"/>
  <c r="M20" i="315"/>
  <c r="X21" i="321" s="1"/>
  <c r="X21" i="322" s="1"/>
  <c r="H22" i="313"/>
  <c r="J22" s="1"/>
  <c r="H23"/>
  <c r="J23" s="1"/>
  <c r="H24"/>
  <c r="J24" s="1"/>
  <c r="H25"/>
  <c r="I25" s="1"/>
  <c r="E22"/>
  <c r="G22" s="1"/>
  <c r="E23"/>
  <c r="F23" s="1"/>
  <c r="E24"/>
  <c r="G24" s="1"/>
  <c r="E25"/>
  <c r="G25" s="1"/>
  <c r="B22"/>
  <c r="D22" s="1"/>
  <c r="B23"/>
  <c r="D23" s="1"/>
  <c r="B24"/>
  <c r="D24" s="1"/>
  <c r="B25"/>
  <c r="D25" s="1"/>
  <c r="B21"/>
  <c r="D21" s="1"/>
  <c r="C19" i="314"/>
  <c r="C20"/>
  <c r="C21"/>
  <c r="C22"/>
  <c r="C23"/>
  <c r="C24"/>
  <c r="C18"/>
  <c r="C19" i="312"/>
  <c r="C20"/>
  <c r="C21"/>
  <c r="C22"/>
  <c r="C23"/>
  <c r="C24"/>
  <c r="C18"/>
  <c r="D21"/>
  <c r="D22"/>
  <c r="D23"/>
  <c r="D24"/>
  <c r="B21"/>
  <c r="B22"/>
  <c r="B23"/>
  <c r="B24"/>
  <c r="B19"/>
  <c r="B20"/>
  <c r="D21" i="314"/>
  <c r="D22"/>
  <c r="D23"/>
  <c r="D24"/>
  <c r="D19"/>
  <c r="A8" i="4"/>
  <c r="A7"/>
  <c r="A6"/>
  <c r="N16" i="73"/>
  <c r="H23" i="302" l="1"/>
  <c r="B23" i="366"/>
  <c r="B23" i="364"/>
  <c r="C23" i="366"/>
  <c r="L8" i="357"/>
  <c r="E23" i="364"/>
  <c r="E23" i="366"/>
  <c r="I41"/>
  <c r="F24" i="364"/>
  <c r="F24" i="366"/>
  <c r="G41"/>
  <c r="E41" i="364"/>
  <c r="G23" i="302"/>
  <c r="F41" i="366"/>
  <c r="I24" i="364"/>
  <c r="I24" i="366"/>
  <c r="D41"/>
  <c r="I23" i="302"/>
  <c r="G8" i="357"/>
  <c r="H41" i="366"/>
  <c r="D24" i="302"/>
  <c r="D27" i="357"/>
  <c r="F23" i="366"/>
  <c r="F23" i="364"/>
  <c r="D39" i="88"/>
  <c r="B24" i="366"/>
  <c r="B24" i="364"/>
  <c r="C24" i="366"/>
  <c r="F41" i="364"/>
  <c r="H8" i="357"/>
  <c r="H24" i="366"/>
  <c r="H24" i="364"/>
  <c r="E24" i="366"/>
  <c r="E24" i="364"/>
  <c r="G24" i="366"/>
  <c r="G24" i="364"/>
  <c r="E41" i="366"/>
  <c r="D41" i="364"/>
  <c r="I41"/>
  <c r="C21" i="101"/>
  <c r="C21" i="108" s="1"/>
  <c r="C46" i="358"/>
  <c r="F21" i="101"/>
  <c r="H20"/>
  <c r="I21"/>
  <c r="E21"/>
  <c r="E22" i="108"/>
  <c r="E22" i="120"/>
  <c r="I22" i="108"/>
  <c r="I22" i="120"/>
  <c r="B21" i="101"/>
  <c r="G21" i="108"/>
  <c r="K6" i="28"/>
  <c r="H30" i="53"/>
  <c r="H15" i="26"/>
  <c r="F39" i="51"/>
  <c r="H6" i="28"/>
  <c r="F30" i="53"/>
  <c r="J15" i="20"/>
  <c r="G39" i="56"/>
  <c r="H15" i="18"/>
  <c r="F39" i="54"/>
  <c r="B22" i="127"/>
  <c r="B20" i="341"/>
  <c r="B20" i="328"/>
  <c r="B21" i="88"/>
  <c r="B21" i="125" s="1"/>
  <c r="O26" i="321"/>
  <c r="O26" i="322" s="1"/>
  <c r="C21" i="88"/>
  <c r="C21" i="125" s="1"/>
  <c r="C20" i="341"/>
  <c r="C20" i="328"/>
  <c r="D22" i="127"/>
  <c r="E21" i="88"/>
  <c r="E21" i="125" s="1"/>
  <c r="D14" i="322"/>
  <c r="E20" i="341"/>
  <c r="E20" i="328"/>
  <c r="M13" i="28"/>
  <c r="J14"/>
  <c r="G37" i="53" s="1"/>
  <c r="J11" i="27"/>
  <c r="J14" i="26"/>
  <c r="G37" i="51" s="1"/>
  <c r="J14" i="25"/>
  <c r="G37" i="50" s="1"/>
  <c r="J14" i="23"/>
  <c r="M13"/>
  <c r="G19" i="341"/>
  <c r="N21" i="127"/>
  <c r="G20" i="88"/>
  <c r="G20" i="125" s="1"/>
  <c r="G19" i="328"/>
  <c r="N13" i="322"/>
  <c r="F22" i="127"/>
  <c r="F14" i="322"/>
  <c r="E22" i="127"/>
  <c r="F21" i="88"/>
  <c r="F21" i="125" s="1"/>
  <c r="F20" i="328"/>
  <c r="F20" i="341"/>
  <c r="E14" i="322"/>
  <c r="G22" i="127"/>
  <c r="G14" i="322"/>
  <c r="U22" i="127"/>
  <c r="U14" i="322"/>
  <c r="G23" i="313"/>
  <c r="O21" i="127"/>
  <c r="O13" i="322"/>
  <c r="C22" i="313"/>
  <c r="P8" i="357"/>
  <c r="E8"/>
  <c r="E22" i="302" s="1"/>
  <c r="D9" i="357"/>
  <c r="D23" i="302" s="1"/>
  <c r="O8" i="357"/>
  <c r="B8"/>
  <c r="B22" i="302" s="1"/>
  <c r="V8" i="357"/>
  <c r="F8"/>
  <c r="F22" i="302" s="1"/>
  <c r="I22" i="313"/>
  <c r="C24"/>
  <c r="F25"/>
  <c r="I24"/>
  <c r="C21"/>
  <c r="C23"/>
  <c r="F24"/>
  <c r="I23"/>
  <c r="J25"/>
  <c r="C25"/>
  <c r="F22"/>
  <c r="B32" i="127"/>
  <c r="B31"/>
  <c r="B30"/>
  <c r="B29"/>
  <c r="B28"/>
  <c r="B27"/>
  <c r="B26"/>
  <c r="B25"/>
  <c r="B44" s="1"/>
  <c r="B24"/>
  <c r="B23"/>
  <c r="B7" i="17"/>
  <c r="D7"/>
  <c r="E7"/>
  <c r="F7"/>
  <c r="G7"/>
  <c r="H7"/>
  <c r="B8"/>
  <c r="D8"/>
  <c r="E8"/>
  <c r="F8"/>
  <c r="G8"/>
  <c r="H8"/>
  <c r="B9"/>
  <c r="D9"/>
  <c r="E9"/>
  <c r="F9"/>
  <c r="G9"/>
  <c r="H9"/>
  <c r="B10"/>
  <c r="D10"/>
  <c r="E10"/>
  <c r="F10"/>
  <c r="G10"/>
  <c r="H10"/>
  <c r="B11"/>
  <c r="D11"/>
  <c r="E11"/>
  <c r="F11"/>
  <c r="G11"/>
  <c r="H11"/>
  <c r="B12"/>
  <c r="D12"/>
  <c r="E12"/>
  <c r="F12"/>
  <c r="G12"/>
  <c r="H12"/>
  <c r="B13"/>
  <c r="D13"/>
  <c r="E13"/>
  <c r="F13"/>
  <c r="G13"/>
  <c r="H13"/>
  <c r="B14"/>
  <c r="D14"/>
  <c r="E14"/>
  <c r="F14"/>
  <c r="G14"/>
  <c r="H14"/>
  <c r="B15"/>
  <c r="D15"/>
  <c r="E15"/>
  <c r="F15"/>
  <c r="G15"/>
  <c r="H15"/>
  <c r="B16"/>
  <c r="D16"/>
  <c r="E16"/>
  <c r="F16"/>
  <c r="G16"/>
  <c r="H16"/>
  <c r="B17"/>
  <c r="D17"/>
  <c r="E17"/>
  <c r="F17"/>
  <c r="G17"/>
  <c r="H17"/>
  <c r="B18"/>
  <c r="D18"/>
  <c r="E18"/>
  <c r="F18"/>
  <c r="G18"/>
  <c r="H18"/>
  <c r="B19"/>
  <c r="D19"/>
  <c r="E19"/>
  <c r="F19"/>
  <c r="G19"/>
  <c r="H19"/>
  <c r="B20"/>
  <c r="D20"/>
  <c r="E20"/>
  <c r="F20"/>
  <c r="G20"/>
  <c r="H20"/>
  <c r="B21"/>
  <c r="D21"/>
  <c r="E21"/>
  <c r="F21"/>
  <c r="G21"/>
  <c r="H21"/>
  <c r="B22"/>
  <c r="D22"/>
  <c r="E22"/>
  <c r="F22"/>
  <c r="G22"/>
  <c r="H22"/>
  <c r="B23"/>
  <c r="D23"/>
  <c r="E23"/>
  <c r="F23"/>
  <c r="G23"/>
  <c r="H23"/>
  <c r="B24"/>
  <c r="D24"/>
  <c r="E24"/>
  <c r="F24"/>
  <c r="G24"/>
  <c r="H24"/>
  <c r="B25"/>
  <c r="D25"/>
  <c r="E25"/>
  <c r="F25"/>
  <c r="G25"/>
  <c r="H25"/>
  <c r="B26"/>
  <c r="D26"/>
  <c r="E26"/>
  <c r="F26"/>
  <c r="G26"/>
  <c r="H26"/>
  <c r="B27"/>
  <c r="D27"/>
  <c r="E27"/>
  <c r="F27"/>
  <c r="G27"/>
  <c r="H27"/>
  <c r="B28"/>
  <c r="D28"/>
  <c r="E28"/>
  <c r="F28"/>
  <c r="G28"/>
  <c r="H28"/>
  <c r="B29"/>
  <c r="D29"/>
  <c r="E29"/>
  <c r="F29"/>
  <c r="G29"/>
  <c r="H29"/>
  <c r="B30"/>
  <c r="D30"/>
  <c r="E30"/>
  <c r="F30"/>
  <c r="G30"/>
  <c r="H30"/>
  <c r="B31"/>
  <c r="D31"/>
  <c r="E31"/>
  <c r="F31"/>
  <c r="G31"/>
  <c r="H31"/>
  <c r="B32"/>
  <c r="D32"/>
  <c r="E32"/>
  <c r="F32"/>
  <c r="G32"/>
  <c r="H32"/>
  <c r="B33"/>
  <c r="D33"/>
  <c r="E33"/>
  <c r="F33"/>
  <c r="G33"/>
  <c r="H33"/>
  <c r="B34"/>
  <c r="D34"/>
  <c r="E34"/>
  <c r="F34"/>
  <c r="G34"/>
  <c r="H34"/>
  <c r="B35"/>
  <c r="D35"/>
  <c r="E35"/>
  <c r="F35"/>
  <c r="G35"/>
  <c r="H35"/>
  <c r="B36"/>
  <c r="D36"/>
  <c r="E36"/>
  <c r="F36"/>
  <c r="G36"/>
  <c r="H36"/>
  <c r="B37"/>
  <c r="D37"/>
  <c r="E37"/>
  <c r="F37"/>
  <c r="G37"/>
  <c r="H37"/>
  <c r="B38"/>
  <c r="D38"/>
  <c r="E38"/>
  <c r="F38"/>
  <c r="G38"/>
  <c r="H38"/>
  <c r="B39"/>
  <c r="D39"/>
  <c r="E39"/>
  <c r="F39"/>
  <c r="G39"/>
  <c r="H39"/>
  <c r="B40"/>
  <c r="D40"/>
  <c r="E40"/>
  <c r="F40"/>
  <c r="G40"/>
  <c r="H40"/>
  <c r="B41"/>
  <c r="D41"/>
  <c r="E41"/>
  <c r="F41"/>
  <c r="G41"/>
  <c r="H41"/>
  <c r="B42"/>
  <c r="D42"/>
  <c r="E42"/>
  <c r="F42"/>
  <c r="G42"/>
  <c r="H42"/>
  <c r="B43"/>
  <c r="D43"/>
  <c r="E43"/>
  <c r="F43"/>
  <c r="G43"/>
  <c r="H43"/>
  <c r="B44"/>
  <c r="D44"/>
  <c r="E44"/>
  <c r="F44"/>
  <c r="G44"/>
  <c r="H44"/>
  <c r="B45"/>
  <c r="D45"/>
  <c r="E45"/>
  <c r="F45"/>
  <c r="G45"/>
  <c r="H45"/>
  <c r="B46"/>
  <c r="D46"/>
  <c r="E46"/>
  <c r="F46"/>
  <c r="G46"/>
  <c r="H46"/>
  <c r="B47"/>
  <c r="D47"/>
  <c r="E47"/>
  <c r="F47"/>
  <c r="G47"/>
  <c r="H47"/>
  <c r="B48"/>
  <c r="D48"/>
  <c r="E48"/>
  <c r="F48"/>
  <c r="G48"/>
  <c r="H48"/>
  <c r="B49"/>
  <c r="D49"/>
  <c r="E49"/>
  <c r="F49"/>
  <c r="G49"/>
  <c r="H49"/>
  <c r="B50"/>
  <c r="D50"/>
  <c r="E50"/>
  <c r="F50"/>
  <c r="G50"/>
  <c r="H50"/>
  <c r="B51"/>
  <c r="D51"/>
  <c r="E51"/>
  <c r="F51"/>
  <c r="G51"/>
  <c r="H51"/>
  <c r="B52"/>
  <c r="D52"/>
  <c r="E52"/>
  <c r="F52"/>
  <c r="G52"/>
  <c r="H52"/>
  <c r="B53"/>
  <c r="F57"/>
  <c r="H6"/>
  <c r="G6"/>
  <c r="F6"/>
  <c r="E6"/>
  <c r="D6"/>
  <c r="B6"/>
  <c r="D42" i="123"/>
  <c r="D21" i="126" s="1"/>
  <c r="C6" i="17"/>
  <c r="C57" s="1"/>
  <c r="C7"/>
  <c r="C8"/>
  <c r="C9"/>
  <c r="C10"/>
  <c r="C11"/>
  <c r="C12"/>
  <c r="C13"/>
  <c r="C14"/>
  <c r="C15"/>
  <c r="C16"/>
  <c r="C17"/>
  <c r="C18"/>
  <c r="C19"/>
  <c r="C20"/>
  <c r="C21"/>
  <c r="C22"/>
  <c r="C23"/>
  <c r="C24"/>
  <c r="C25"/>
  <c r="C26"/>
  <c r="C27"/>
  <c r="C28"/>
  <c r="C29"/>
  <c r="C30"/>
  <c r="C31"/>
  <c r="C32"/>
  <c r="C33"/>
  <c r="C34"/>
  <c r="C35"/>
  <c r="C36"/>
  <c r="C37"/>
  <c r="C38"/>
  <c r="C39"/>
  <c r="C40"/>
  <c r="C41"/>
  <c r="D41" i="123"/>
  <c r="D20" i="126" s="1"/>
  <c r="D43" i="123"/>
  <c r="D22" i="126" s="1"/>
  <c r="D44" i="123"/>
  <c r="D23" i="126" s="1"/>
  <c r="D45" i="123"/>
  <c r="D24" i="126" s="1"/>
  <c r="D46" i="123"/>
  <c r="D25" i="126" s="1"/>
  <c r="D47" i="123"/>
  <c r="D26" i="126" s="1"/>
  <c r="D48" i="123"/>
  <c r="D27" i="126" s="1"/>
  <c r="D49" i="123"/>
  <c r="D28" i="126" s="1"/>
  <c r="D50" i="123"/>
  <c r="D29" i="126" s="1"/>
  <c r="D52" i="359"/>
  <c r="D52" i="123"/>
  <c r="D33" i="358"/>
  <c r="D32" s="1"/>
  <c r="D31" s="1"/>
  <c r="D30" s="1"/>
  <c r="D29" s="1"/>
  <c r="D28" s="1"/>
  <c r="D27" s="1"/>
  <c r="D26" s="1"/>
  <c r="D25" s="1"/>
  <c r="D24" s="1"/>
  <c r="D23" s="1"/>
  <c r="D22" s="1"/>
  <c r="D21" s="1"/>
  <c r="D20" s="1"/>
  <c r="D19" s="1"/>
  <c r="D18" s="1"/>
  <c r="D17" s="1"/>
  <c r="D16" s="1"/>
  <c r="D15" s="1"/>
  <c r="D14" s="1"/>
  <c r="D13" s="1"/>
  <c r="D12" s="1"/>
  <c r="D11" s="1"/>
  <c r="D10" s="1"/>
  <c r="D9" s="1"/>
  <c r="D8" s="1"/>
  <c r="D7" s="1"/>
  <c r="G42"/>
  <c r="H42"/>
  <c r="I42"/>
  <c r="J42"/>
  <c r="K42"/>
  <c r="L42"/>
  <c r="M42"/>
  <c r="N42"/>
  <c r="Q42"/>
  <c r="R42"/>
  <c r="S42"/>
  <c r="T42"/>
  <c r="U42"/>
  <c r="W42"/>
  <c r="X42"/>
  <c r="Y42"/>
  <c r="G43"/>
  <c r="H43"/>
  <c r="I43"/>
  <c r="J43"/>
  <c r="K43"/>
  <c r="L43"/>
  <c r="M43"/>
  <c r="N43"/>
  <c r="Q43"/>
  <c r="R43"/>
  <c r="S43"/>
  <c r="T43"/>
  <c r="U43"/>
  <c r="W43"/>
  <c r="X43"/>
  <c r="Y43"/>
  <c r="C44"/>
  <c r="E44"/>
  <c r="F44"/>
  <c r="G44"/>
  <c r="H44"/>
  <c r="I44"/>
  <c r="J44"/>
  <c r="K44"/>
  <c r="L44"/>
  <c r="M44"/>
  <c r="N44"/>
  <c r="O44"/>
  <c r="P44"/>
  <c r="Q44"/>
  <c r="R44"/>
  <c r="S44"/>
  <c r="T44"/>
  <c r="U44"/>
  <c r="V44"/>
  <c r="W44"/>
  <c r="X44"/>
  <c r="Y44"/>
  <c r="G49"/>
  <c r="H49"/>
  <c r="I49"/>
  <c r="J49"/>
  <c r="K49"/>
  <c r="L49"/>
  <c r="M49"/>
  <c r="N49"/>
  <c r="Q49"/>
  <c r="R49"/>
  <c r="S49"/>
  <c r="T49"/>
  <c r="U49"/>
  <c r="W49"/>
  <c r="X49"/>
  <c r="Y49"/>
  <c r="B50"/>
  <c r="C50"/>
  <c r="E50"/>
  <c r="F50"/>
  <c r="G50"/>
  <c r="H50"/>
  <c r="I50"/>
  <c r="J50"/>
  <c r="K50"/>
  <c r="L50"/>
  <c r="M50"/>
  <c r="N50"/>
  <c r="O50"/>
  <c r="P50"/>
  <c r="Q50"/>
  <c r="R50"/>
  <c r="S50"/>
  <c r="T50"/>
  <c r="U50"/>
  <c r="V50"/>
  <c r="W50"/>
  <c r="X50"/>
  <c r="Y50"/>
  <c r="B43" i="127" l="1"/>
  <c r="E57" i="17"/>
  <c r="D23" i="366"/>
  <c r="D23" i="364"/>
  <c r="H7" i="357"/>
  <c r="L7"/>
  <c r="D31" i="126"/>
  <c r="D61" i="123"/>
  <c r="I22" i="302"/>
  <c r="E22" i="366"/>
  <c r="E22" i="364"/>
  <c r="D24" i="366"/>
  <c r="D24" i="364"/>
  <c r="G7" i="357"/>
  <c r="H23" i="366"/>
  <c r="H23" i="364"/>
  <c r="H57" i="17"/>
  <c r="D57"/>
  <c r="F22" i="366"/>
  <c r="F22" i="364"/>
  <c r="G22" i="302"/>
  <c r="B22" i="366"/>
  <c r="C22"/>
  <c r="B22" i="364"/>
  <c r="H22" i="302"/>
  <c r="I23" i="364"/>
  <c r="I23" i="366"/>
  <c r="G23" i="364"/>
  <c r="G23" i="366"/>
  <c r="G57" i="17"/>
  <c r="B57"/>
  <c r="D31" i="101"/>
  <c r="D31" i="120" s="1"/>
  <c r="B21" i="108"/>
  <c r="B21" i="120"/>
  <c r="H21"/>
  <c r="F21" i="108"/>
  <c r="F21" i="120"/>
  <c r="H19" i="101"/>
  <c r="I20"/>
  <c r="C21" i="120"/>
  <c r="I21"/>
  <c r="I21" i="108"/>
  <c r="E21" i="120"/>
  <c r="E21" i="108"/>
  <c r="H20"/>
  <c r="G21" i="120"/>
  <c r="H14" i="26"/>
  <c r="F38" i="51"/>
  <c r="H14" i="18"/>
  <c r="F38" i="54"/>
  <c r="H5" i="28"/>
  <c r="F28" i="53" s="1"/>
  <c r="F29"/>
  <c r="K5" i="28"/>
  <c r="H28" i="53" s="1"/>
  <c r="H29"/>
  <c r="J14" i="20"/>
  <c r="J13" s="1"/>
  <c r="J12" s="1"/>
  <c r="J11" s="1"/>
  <c r="J10" s="1"/>
  <c r="J9" s="1"/>
  <c r="J8" s="1"/>
  <c r="J7" s="1"/>
  <c r="J6" s="1"/>
  <c r="J5" s="1"/>
  <c r="G38" i="56"/>
  <c r="B21" i="127"/>
  <c r="B19" i="328"/>
  <c r="B20" i="88"/>
  <c r="B20" i="125" s="1"/>
  <c r="B19" i="341"/>
  <c r="D51" i="123"/>
  <c r="D30" i="126" s="1"/>
  <c r="C20" i="88"/>
  <c r="C20" i="125" s="1"/>
  <c r="C19" i="341"/>
  <c r="C19" i="328"/>
  <c r="D13" i="322"/>
  <c r="E19" i="328"/>
  <c r="D21" i="127"/>
  <c r="E20" i="88"/>
  <c r="E20" i="125" s="1"/>
  <c r="E19" i="341"/>
  <c r="J13" i="28"/>
  <c r="G36" i="53" s="1"/>
  <c r="M12" i="28"/>
  <c r="J10" i="27"/>
  <c r="J13" i="26"/>
  <c r="G36" i="51" s="1"/>
  <c r="J13" i="25"/>
  <c r="G36" i="50" s="1"/>
  <c r="J13" i="23"/>
  <c r="M12"/>
  <c r="N12" i="322"/>
  <c r="G18" i="341"/>
  <c r="N20" i="127"/>
  <c r="G18" i="328"/>
  <c r="G19" i="88"/>
  <c r="G19" i="125" s="1"/>
  <c r="U13" i="322"/>
  <c r="U21" i="127"/>
  <c r="F20" i="88"/>
  <c r="F20" i="125" s="1"/>
  <c r="F19" i="341"/>
  <c r="F19" i="328"/>
  <c r="E21" i="127"/>
  <c r="E13" i="322"/>
  <c r="O20" i="127"/>
  <c r="O12" i="322"/>
  <c r="O7" i="357"/>
  <c r="P7"/>
  <c r="V7"/>
  <c r="E7"/>
  <c r="D8"/>
  <c r="D22" i="302" s="1"/>
  <c r="F7" i="357"/>
  <c r="B7"/>
  <c r="C46" i="17"/>
  <c r="D33" i="88"/>
  <c r="D32" i="341"/>
  <c r="D32" i="328"/>
  <c r="D33" i="341"/>
  <c r="D33" i="328"/>
  <c r="D31" i="88"/>
  <c r="D30" i="328"/>
  <c r="D30" i="341"/>
  <c r="D32" i="88"/>
  <c r="D31" i="341"/>
  <c r="D31" i="328"/>
  <c r="D34"/>
  <c r="D34" i="341"/>
  <c r="C50" i="17"/>
  <c r="C43"/>
  <c r="C51"/>
  <c r="C49"/>
  <c r="C45"/>
  <c r="C52"/>
  <c r="C48"/>
  <c r="C44"/>
  <c r="C47"/>
  <c r="C42"/>
  <c r="F58" i="53" l="1"/>
  <c r="F59"/>
  <c r="H58"/>
  <c r="H59"/>
  <c r="G21" i="302"/>
  <c r="O25" i="357"/>
  <c r="O26"/>
  <c r="D22" i="366"/>
  <c r="D22" i="364"/>
  <c r="G22" i="366"/>
  <c r="G22" i="364"/>
  <c r="L25" i="357"/>
  <c r="L26"/>
  <c r="F21" i="302"/>
  <c r="F25" i="357"/>
  <c r="F26"/>
  <c r="H21" i="302"/>
  <c r="P25" i="357"/>
  <c r="P26"/>
  <c r="H22" i="366"/>
  <c r="H22" i="364"/>
  <c r="I22"/>
  <c r="I22" i="366"/>
  <c r="B21" i="302"/>
  <c r="B25" i="357"/>
  <c r="B26"/>
  <c r="I21" i="302"/>
  <c r="V25" i="357"/>
  <c r="V26"/>
  <c r="D42" i="126"/>
  <c r="H25" i="357"/>
  <c r="H26"/>
  <c r="E21" i="302"/>
  <c r="E25" i="357"/>
  <c r="E26"/>
  <c r="G25"/>
  <c r="G26"/>
  <c r="I20" i="108"/>
  <c r="H18" i="101"/>
  <c r="I19"/>
  <c r="H19" i="108"/>
  <c r="D29" i="328"/>
  <c r="D30" i="101"/>
  <c r="H13" i="18"/>
  <c r="F37" i="54"/>
  <c r="H13" i="26"/>
  <c r="F37" i="51"/>
  <c r="B18" i="328"/>
  <c r="B18" i="341"/>
  <c r="B19" i="88"/>
  <c r="B19" i="125" s="1"/>
  <c r="B20" i="127"/>
  <c r="D30" i="88"/>
  <c r="D30" i="125" s="1"/>
  <c r="D29" i="341"/>
  <c r="C18"/>
  <c r="C18" i="328"/>
  <c r="C19" i="88"/>
  <c r="C19" i="125" s="1"/>
  <c r="E18" i="328"/>
  <c r="E19" i="88"/>
  <c r="E19" i="125" s="1"/>
  <c r="E18" i="341"/>
  <c r="D20" i="127"/>
  <c r="D12" i="322"/>
  <c r="J12" i="28"/>
  <c r="G35" i="53" s="1"/>
  <c r="M11" i="28"/>
  <c r="J9" i="27"/>
  <c r="J12" i="26"/>
  <c r="G35" i="51" s="1"/>
  <c r="J12" i="25"/>
  <c r="G35" i="50" s="1"/>
  <c r="J12" i="23"/>
  <c r="M11"/>
  <c r="L12"/>
  <c r="I35" i="58" s="1"/>
  <c r="G17" i="341"/>
  <c r="N11" i="322"/>
  <c r="N19" i="127"/>
  <c r="G17" i="328"/>
  <c r="G18" i="88"/>
  <c r="G18" i="125" s="1"/>
  <c r="D32"/>
  <c r="O11" i="322"/>
  <c r="O19" i="127"/>
  <c r="F19" i="88"/>
  <c r="F19" i="125" s="1"/>
  <c r="E12" i="322"/>
  <c r="F18" i="328"/>
  <c r="F18" i="341"/>
  <c r="E20" i="127"/>
  <c r="U12" i="322"/>
  <c r="U20" i="127"/>
  <c r="D31" i="125"/>
  <c r="D34"/>
  <c r="D35"/>
  <c r="D36"/>
  <c r="D33"/>
  <c r="D7" i="357"/>
  <c r="D4" i="49"/>
  <c r="E4"/>
  <c r="G4"/>
  <c r="H4"/>
  <c r="D5"/>
  <c r="E5"/>
  <c r="G5"/>
  <c r="H5"/>
  <c r="D6"/>
  <c r="E6"/>
  <c r="G6"/>
  <c r="H6"/>
  <c r="D7"/>
  <c r="D22" s="1"/>
  <c r="E7"/>
  <c r="E22" s="1"/>
  <c r="G7"/>
  <c r="G22" s="1"/>
  <c r="H7"/>
  <c r="H22" s="1"/>
  <c r="D8"/>
  <c r="E8"/>
  <c r="G8"/>
  <c r="H8"/>
  <c r="D9"/>
  <c r="E9"/>
  <c r="G9"/>
  <c r="H9"/>
  <c r="D10"/>
  <c r="E10"/>
  <c r="G10"/>
  <c r="H10"/>
  <c r="D11"/>
  <c r="E11"/>
  <c r="G11"/>
  <c r="H11"/>
  <c r="D12"/>
  <c r="E12"/>
  <c r="G12"/>
  <c r="H12"/>
  <c r="D13"/>
  <c r="E13"/>
  <c r="G13"/>
  <c r="H13"/>
  <c r="D14"/>
  <c r="E14"/>
  <c r="G14"/>
  <c r="H14"/>
  <c r="D15"/>
  <c r="E15"/>
  <c r="G15"/>
  <c r="H15"/>
  <c r="D16"/>
  <c r="E16"/>
  <c r="G16"/>
  <c r="H16"/>
  <c r="D17"/>
  <c r="E17"/>
  <c r="G17"/>
  <c r="H17"/>
  <c r="D18"/>
  <c r="E18"/>
  <c r="G18"/>
  <c r="H18"/>
  <c r="B5"/>
  <c r="B6"/>
  <c r="B7"/>
  <c r="B8"/>
  <c r="B9"/>
  <c r="B10"/>
  <c r="B11"/>
  <c r="B12"/>
  <c r="B13"/>
  <c r="B14"/>
  <c r="B15"/>
  <c r="B16"/>
  <c r="B17"/>
  <c r="B18"/>
  <c r="G14" i="48"/>
  <c r="H14"/>
  <c r="E14"/>
  <c r="D7"/>
  <c r="E7"/>
  <c r="G7"/>
  <c r="H7"/>
  <c r="D8"/>
  <c r="E8"/>
  <c r="G8"/>
  <c r="H8"/>
  <c r="D9"/>
  <c r="E9"/>
  <c r="G9"/>
  <c r="H9"/>
  <c r="D10"/>
  <c r="E10"/>
  <c r="G10"/>
  <c r="H10"/>
  <c r="D11"/>
  <c r="E11"/>
  <c r="G11"/>
  <c r="H11"/>
  <c r="D12"/>
  <c r="E12"/>
  <c r="G12"/>
  <c r="H12"/>
  <c r="E6"/>
  <c r="G6"/>
  <c r="H6"/>
  <c r="E5"/>
  <c r="E13"/>
  <c r="E15"/>
  <c r="E16"/>
  <c r="E17"/>
  <c r="E18"/>
  <c r="D5"/>
  <c r="D6"/>
  <c r="D13"/>
  <c r="D14"/>
  <c r="D15"/>
  <c r="D16"/>
  <c r="D17"/>
  <c r="D18"/>
  <c r="B5"/>
  <c r="B6"/>
  <c r="B7"/>
  <c r="B8"/>
  <c r="B9"/>
  <c r="B10"/>
  <c r="B11"/>
  <c r="B12"/>
  <c r="B13"/>
  <c r="B14"/>
  <c r="B15"/>
  <c r="B16"/>
  <c r="B17"/>
  <c r="B18"/>
  <c r="H15" i="47"/>
  <c r="D5"/>
  <c r="E5"/>
  <c r="D6"/>
  <c r="E6"/>
  <c r="D7"/>
  <c r="E7"/>
  <c r="E22" s="1"/>
  <c r="D8"/>
  <c r="E8"/>
  <c r="D9"/>
  <c r="E9"/>
  <c r="D10"/>
  <c r="E10"/>
  <c r="D11"/>
  <c r="E11"/>
  <c r="D12"/>
  <c r="E12"/>
  <c r="D13"/>
  <c r="E13"/>
  <c r="D14"/>
  <c r="E14"/>
  <c r="D15"/>
  <c r="E15"/>
  <c r="D16"/>
  <c r="E16"/>
  <c r="D17"/>
  <c r="E17"/>
  <c r="D18"/>
  <c r="E18"/>
  <c r="E4"/>
  <c r="D4"/>
  <c r="B14"/>
  <c r="B15"/>
  <c r="B16"/>
  <c r="B17"/>
  <c r="B18"/>
  <c r="B5"/>
  <c r="B6"/>
  <c r="B7"/>
  <c r="B8"/>
  <c r="B9"/>
  <c r="B10"/>
  <c r="B11"/>
  <c r="B12"/>
  <c r="B13"/>
  <c r="E4" i="46"/>
  <c r="E5"/>
  <c r="E6"/>
  <c r="E7"/>
  <c r="E22" s="1"/>
  <c r="E8"/>
  <c r="E9"/>
  <c r="E10"/>
  <c r="E11"/>
  <c r="E13"/>
  <c r="E14"/>
  <c r="E15"/>
  <c r="E16"/>
  <c r="E17"/>
  <c r="E18"/>
  <c r="D5"/>
  <c r="D6"/>
  <c r="D7"/>
  <c r="D8"/>
  <c r="D9"/>
  <c r="D10"/>
  <c r="D11"/>
  <c r="D12"/>
  <c r="D13"/>
  <c r="D14"/>
  <c r="D15"/>
  <c r="D16"/>
  <c r="D17"/>
  <c r="D18"/>
  <c r="B5"/>
  <c r="B6"/>
  <c r="B7"/>
  <c r="B8"/>
  <c r="B9"/>
  <c r="B10"/>
  <c r="B11"/>
  <c r="B12"/>
  <c r="B13"/>
  <c r="B14"/>
  <c r="B15"/>
  <c r="B16"/>
  <c r="B17"/>
  <c r="B18"/>
  <c r="D4"/>
  <c r="B5" i="44"/>
  <c r="D5"/>
  <c r="E5"/>
  <c r="G5"/>
  <c r="H5"/>
  <c r="B6"/>
  <c r="D6"/>
  <c r="E6"/>
  <c r="G6"/>
  <c r="H6"/>
  <c r="B7"/>
  <c r="D7"/>
  <c r="E7"/>
  <c r="G7"/>
  <c r="H7"/>
  <c r="H22" s="1"/>
  <c r="B8"/>
  <c r="D8"/>
  <c r="E8"/>
  <c r="G8"/>
  <c r="H8"/>
  <c r="B9"/>
  <c r="D9"/>
  <c r="E9"/>
  <c r="G9"/>
  <c r="H9"/>
  <c r="B10"/>
  <c r="D10"/>
  <c r="E10"/>
  <c r="G10"/>
  <c r="H10"/>
  <c r="D11"/>
  <c r="E11"/>
  <c r="G11"/>
  <c r="H11"/>
  <c r="B12"/>
  <c r="D12"/>
  <c r="E12"/>
  <c r="G12"/>
  <c r="H12"/>
  <c r="B13"/>
  <c r="D13"/>
  <c r="E13"/>
  <c r="G13"/>
  <c r="H13"/>
  <c r="B14"/>
  <c r="D14"/>
  <c r="E14"/>
  <c r="G14"/>
  <c r="H14"/>
  <c r="B15"/>
  <c r="D15"/>
  <c r="E15"/>
  <c r="G15"/>
  <c r="H15"/>
  <c r="B16"/>
  <c r="D16"/>
  <c r="E16"/>
  <c r="G16"/>
  <c r="H16"/>
  <c r="B17"/>
  <c r="D17"/>
  <c r="E17"/>
  <c r="G17"/>
  <c r="H17"/>
  <c r="B18"/>
  <c r="D18"/>
  <c r="E18"/>
  <c r="G18"/>
  <c r="H18"/>
  <c r="D4"/>
  <c r="E4"/>
  <c r="G4"/>
  <c r="H4"/>
  <c r="D4" i="43"/>
  <c r="E4"/>
  <c r="B5"/>
  <c r="D5"/>
  <c r="E5"/>
  <c r="B6"/>
  <c r="D6"/>
  <c r="E6"/>
  <c r="B7"/>
  <c r="D7"/>
  <c r="D22" s="1"/>
  <c r="E7"/>
  <c r="B8"/>
  <c r="D8"/>
  <c r="E8"/>
  <c r="B9"/>
  <c r="D9"/>
  <c r="E9"/>
  <c r="B10"/>
  <c r="D10"/>
  <c r="E10"/>
  <c r="B11"/>
  <c r="D11"/>
  <c r="E11"/>
  <c r="B12"/>
  <c r="D12"/>
  <c r="E12"/>
  <c r="B13"/>
  <c r="D13"/>
  <c r="E13"/>
  <c r="B14"/>
  <c r="D14"/>
  <c r="E14"/>
  <c r="B15"/>
  <c r="D15"/>
  <c r="E15"/>
  <c r="B16"/>
  <c r="D16"/>
  <c r="E16"/>
  <c r="B17"/>
  <c r="D17"/>
  <c r="E17"/>
  <c r="B18"/>
  <c r="D18"/>
  <c r="E18"/>
  <c r="B14" i="45"/>
  <c r="D14"/>
  <c r="E14"/>
  <c r="G14"/>
  <c r="H14"/>
  <c r="B15"/>
  <c r="D15"/>
  <c r="E15"/>
  <c r="G15"/>
  <c r="H15"/>
  <c r="B16"/>
  <c r="D16"/>
  <c r="E16"/>
  <c r="G16"/>
  <c r="H16"/>
  <c r="B17"/>
  <c r="D17"/>
  <c r="E17"/>
  <c r="G17"/>
  <c r="H17"/>
  <c r="B18"/>
  <c r="D18"/>
  <c r="E18"/>
  <c r="G18"/>
  <c r="H18"/>
  <c r="D18" i="42"/>
  <c r="E18"/>
  <c r="E5"/>
  <c r="E6"/>
  <c r="E7"/>
  <c r="E22" s="1"/>
  <c r="E8"/>
  <c r="E9"/>
  <c r="E10"/>
  <c r="E11"/>
  <c r="E12"/>
  <c r="E13"/>
  <c r="E14"/>
  <c r="E15"/>
  <c r="E16"/>
  <c r="E17"/>
  <c r="D4" i="40"/>
  <c r="H4"/>
  <c r="B5"/>
  <c r="D5"/>
  <c r="E5"/>
  <c r="B6"/>
  <c r="D6"/>
  <c r="E6"/>
  <c r="B7"/>
  <c r="D7"/>
  <c r="D22" s="1"/>
  <c r="E7"/>
  <c r="E22" s="1"/>
  <c r="B8"/>
  <c r="D8"/>
  <c r="B9"/>
  <c r="D9"/>
  <c r="E9"/>
  <c r="B10"/>
  <c r="D10"/>
  <c r="E10"/>
  <c r="B11"/>
  <c r="D11"/>
  <c r="E11"/>
  <c r="B12"/>
  <c r="D12"/>
  <c r="E12"/>
  <c r="B13"/>
  <c r="D13"/>
  <c r="E13"/>
  <c r="B14"/>
  <c r="D14"/>
  <c r="E14"/>
  <c r="B15"/>
  <c r="D15"/>
  <c r="E15"/>
  <c r="B16"/>
  <c r="D16"/>
  <c r="E16"/>
  <c r="B17"/>
  <c r="D17"/>
  <c r="E17"/>
  <c r="B18"/>
  <c r="D18"/>
  <c r="E18"/>
  <c r="F31" i="34"/>
  <c r="F30"/>
  <c r="F29"/>
  <c r="F28"/>
  <c r="F27"/>
  <c r="F26"/>
  <c r="F25"/>
  <c r="F24"/>
  <c r="F23"/>
  <c r="F22"/>
  <c r="F21"/>
  <c r="F20"/>
  <c r="F19"/>
  <c r="F18"/>
  <c r="F17"/>
  <c r="F18" i="31"/>
  <c r="F19"/>
  <c r="F20"/>
  <c r="F21"/>
  <c r="F22"/>
  <c r="F23"/>
  <c r="F24"/>
  <c r="F25"/>
  <c r="F26"/>
  <c r="F27"/>
  <c r="F28"/>
  <c r="F29"/>
  <c r="F30"/>
  <c r="F31"/>
  <c r="F17"/>
  <c r="I29" i="28"/>
  <c r="F16" i="49"/>
  <c r="I31" i="28"/>
  <c r="F18" i="49"/>
  <c r="I29" i="24"/>
  <c r="F16" i="45"/>
  <c r="F17"/>
  <c r="F18"/>
  <c r="I29" i="23"/>
  <c r="B14" i="42"/>
  <c r="B15"/>
  <c r="B16"/>
  <c r="B17"/>
  <c r="B18"/>
  <c r="D14"/>
  <c r="D15"/>
  <c r="D16"/>
  <c r="D17"/>
  <c r="D5"/>
  <c r="D6"/>
  <c r="D7"/>
  <c r="D22" s="1"/>
  <c r="D8"/>
  <c r="D9"/>
  <c r="D10"/>
  <c r="D11"/>
  <c r="D12"/>
  <c r="D13"/>
  <c r="D4"/>
  <c r="B5"/>
  <c r="B6"/>
  <c r="B7"/>
  <c r="B8"/>
  <c r="B9"/>
  <c r="B10"/>
  <c r="B11"/>
  <c r="B12"/>
  <c r="B13"/>
  <c r="E4"/>
  <c r="D4" i="41"/>
  <c r="B4" i="40"/>
  <c r="B23" i="43" l="1"/>
  <c r="B23" i="42"/>
  <c r="E21" i="40"/>
  <c r="E23"/>
  <c r="E21" i="42"/>
  <c r="E23"/>
  <c r="D21" i="43"/>
  <c r="D23"/>
  <c r="G21" i="44"/>
  <c r="G23"/>
  <c r="B23" i="47"/>
  <c r="D21"/>
  <c r="D23"/>
  <c r="B23" i="48"/>
  <c r="G23"/>
  <c r="G22"/>
  <c r="H23" i="49"/>
  <c r="H21"/>
  <c r="E22" i="43"/>
  <c r="D22" i="44"/>
  <c r="H21" i="40"/>
  <c r="H22"/>
  <c r="E23" i="44"/>
  <c r="E21"/>
  <c r="B23" i="46"/>
  <c r="E21"/>
  <c r="E23"/>
  <c r="G21" i="49"/>
  <c r="G23"/>
  <c r="E21" i="43"/>
  <c r="E23"/>
  <c r="H21" i="44"/>
  <c r="H23"/>
  <c r="B23"/>
  <c r="D23" i="46"/>
  <c r="D21"/>
  <c r="E21" i="47"/>
  <c r="E23"/>
  <c r="H22" i="48"/>
  <c r="H23"/>
  <c r="D23" i="49"/>
  <c r="D21"/>
  <c r="E22" i="44"/>
  <c r="D23" i="40"/>
  <c r="D21"/>
  <c r="D23" i="42"/>
  <c r="D21"/>
  <c r="B23" i="40"/>
  <c r="B21"/>
  <c r="D21" i="44"/>
  <c r="D23"/>
  <c r="D23" i="48"/>
  <c r="E23"/>
  <c r="B23" i="49"/>
  <c r="E23"/>
  <c r="E21"/>
  <c r="B22" i="40"/>
  <c r="G22" i="44"/>
  <c r="D22" i="46"/>
  <c r="D22" i="47"/>
  <c r="D39" i="125"/>
  <c r="G21" i="364"/>
  <c r="G21" i="366"/>
  <c r="G39" i="302"/>
  <c r="G40"/>
  <c r="I21" i="364"/>
  <c r="I21" i="366"/>
  <c r="I39" i="302"/>
  <c r="I40"/>
  <c r="B21" i="364"/>
  <c r="C21" i="366"/>
  <c r="B21"/>
  <c r="B39" i="302"/>
  <c r="B40"/>
  <c r="D21"/>
  <c r="D25" i="357"/>
  <c r="D26"/>
  <c r="E21" i="364"/>
  <c r="E21" i="366"/>
  <c r="E39" i="302"/>
  <c r="E40"/>
  <c r="H21" i="366"/>
  <c r="H21" i="364"/>
  <c r="H39" i="302"/>
  <c r="H40"/>
  <c r="F21" i="364"/>
  <c r="F21" i="366"/>
  <c r="F39" i="302"/>
  <c r="F40"/>
  <c r="H17" i="101"/>
  <c r="I18"/>
  <c r="D29"/>
  <c r="I19" i="108"/>
  <c r="D30" i="120"/>
  <c r="H18" i="108"/>
  <c r="H12" i="18"/>
  <c r="F36" i="54"/>
  <c r="H12" i="26"/>
  <c r="F36" i="51"/>
  <c r="D28" i="328"/>
  <c r="D28" i="341"/>
  <c r="B17"/>
  <c r="B19" i="127"/>
  <c r="B18" i="88"/>
  <c r="B18" i="125" s="1"/>
  <c r="B17" i="328"/>
  <c r="D29" i="88"/>
  <c r="D29" i="125" s="1"/>
  <c r="I12" i="23"/>
  <c r="C17" i="341"/>
  <c r="C18" i="88"/>
  <c r="C18" i="125" s="1"/>
  <c r="C17" i="328"/>
  <c r="D19" i="127"/>
  <c r="E17" i="341"/>
  <c r="E17" i="328"/>
  <c r="E18" i="88"/>
  <c r="E18" i="125" s="1"/>
  <c r="D11" i="322"/>
  <c r="J11" i="28"/>
  <c r="G34" i="53" s="1"/>
  <c r="M10" i="28"/>
  <c r="J8" i="27"/>
  <c r="J11" i="26"/>
  <c r="G34" i="51" s="1"/>
  <c r="J11" i="25"/>
  <c r="G34" i="50" s="1"/>
  <c r="M10" i="23"/>
  <c r="L11"/>
  <c r="J11"/>
  <c r="N18" i="127"/>
  <c r="G16" i="341"/>
  <c r="G16" i="328"/>
  <c r="G17" i="88"/>
  <c r="G17" i="125" s="1"/>
  <c r="N10" i="322"/>
  <c r="O18" i="127"/>
  <c r="O10" i="322"/>
  <c r="E19" i="127"/>
  <c r="F17" i="341"/>
  <c r="F17" i="328"/>
  <c r="F18" i="88"/>
  <c r="F18" i="125" s="1"/>
  <c r="E11" i="322"/>
  <c r="U11"/>
  <c r="U19" i="127"/>
  <c r="E49" i="358"/>
  <c r="F18" i="44"/>
  <c r="F15"/>
  <c r="F16"/>
  <c r="F17" i="49"/>
  <c r="F15" i="45"/>
  <c r="F17" i="44"/>
  <c r="F15" i="49"/>
  <c r="I30" i="23"/>
  <c r="I30" i="24"/>
  <c r="I32" i="28"/>
  <c r="I31" i="23"/>
  <c r="I31" i="24"/>
  <c r="I32" i="23"/>
  <c r="I32" i="24"/>
  <c r="I30" i="28"/>
  <c r="C31" i="39"/>
  <c r="C30"/>
  <c r="C17" i="49" s="1"/>
  <c r="C29" i="39"/>
  <c r="C28"/>
  <c r="C15" i="49" s="1"/>
  <c r="C27" i="39"/>
  <c r="C26"/>
  <c r="C25"/>
  <c r="C24"/>
  <c r="C23"/>
  <c r="C22"/>
  <c r="C21"/>
  <c r="C20"/>
  <c r="C19"/>
  <c r="C18"/>
  <c r="C17"/>
  <c r="C31" i="38"/>
  <c r="C30"/>
  <c r="C29"/>
  <c r="C28"/>
  <c r="C27"/>
  <c r="C26"/>
  <c r="C25"/>
  <c r="C24"/>
  <c r="C23"/>
  <c r="C22"/>
  <c r="C21"/>
  <c r="C20"/>
  <c r="C19"/>
  <c r="C18"/>
  <c r="C17"/>
  <c r="C31" i="37"/>
  <c r="C30"/>
  <c r="C29"/>
  <c r="C28"/>
  <c r="C27"/>
  <c r="C26"/>
  <c r="C25"/>
  <c r="C24"/>
  <c r="C23"/>
  <c r="C22"/>
  <c r="C21"/>
  <c r="C20"/>
  <c r="C19"/>
  <c r="C18"/>
  <c r="C17"/>
  <c r="C31" i="36"/>
  <c r="C30"/>
  <c r="C29"/>
  <c r="C28"/>
  <c r="C27"/>
  <c r="C26"/>
  <c r="C25"/>
  <c r="C24"/>
  <c r="C23"/>
  <c r="C22"/>
  <c r="C21"/>
  <c r="C20"/>
  <c r="C19"/>
  <c r="C18"/>
  <c r="C17"/>
  <c r="C31" i="35"/>
  <c r="C30"/>
  <c r="C29"/>
  <c r="C28"/>
  <c r="C15" i="45" s="1"/>
  <c r="C27" i="35"/>
  <c r="C26"/>
  <c r="C25"/>
  <c r="C24"/>
  <c r="C23"/>
  <c r="C22"/>
  <c r="C21"/>
  <c r="C20"/>
  <c r="C19"/>
  <c r="C18"/>
  <c r="C17"/>
  <c r="C31" i="34"/>
  <c r="C30"/>
  <c r="C29"/>
  <c r="C28"/>
  <c r="C15" i="44" s="1"/>
  <c r="C27" i="34"/>
  <c r="C26"/>
  <c r="C25"/>
  <c r="C24"/>
  <c r="C23"/>
  <c r="C22"/>
  <c r="C21"/>
  <c r="C20"/>
  <c r="C19"/>
  <c r="C18"/>
  <c r="C17"/>
  <c r="C31" i="33"/>
  <c r="C30"/>
  <c r="C29"/>
  <c r="C28"/>
  <c r="C27"/>
  <c r="C26"/>
  <c r="C25"/>
  <c r="C24"/>
  <c r="C23"/>
  <c r="C22"/>
  <c r="C21"/>
  <c r="C20"/>
  <c r="C19"/>
  <c r="C18"/>
  <c r="C17"/>
  <c r="C31" i="30"/>
  <c r="C30"/>
  <c r="C29"/>
  <c r="C28"/>
  <c r="C27"/>
  <c r="C26"/>
  <c r="C25"/>
  <c r="C24"/>
  <c r="C23"/>
  <c r="C22"/>
  <c r="C21"/>
  <c r="C20"/>
  <c r="C19"/>
  <c r="C18"/>
  <c r="C17"/>
  <c r="C31" i="31"/>
  <c r="C30"/>
  <c r="C29"/>
  <c r="C28"/>
  <c r="C27"/>
  <c r="C26"/>
  <c r="C25"/>
  <c r="C24"/>
  <c r="C23"/>
  <c r="C22"/>
  <c r="C21"/>
  <c r="C20"/>
  <c r="C19"/>
  <c r="C18"/>
  <c r="C17"/>
  <c r="C17" i="32"/>
  <c r="C29"/>
  <c r="C30"/>
  <c r="C31"/>
  <c r="C18"/>
  <c r="C19"/>
  <c r="C20"/>
  <c r="C21"/>
  <c r="C22"/>
  <c r="C23"/>
  <c r="C24"/>
  <c r="C25"/>
  <c r="C26"/>
  <c r="C27"/>
  <c r="C28"/>
  <c r="B14" i="41"/>
  <c r="D14"/>
  <c r="B15"/>
  <c r="D15"/>
  <c r="B16"/>
  <c r="D16"/>
  <c r="B17"/>
  <c r="D17"/>
  <c r="B18"/>
  <c r="D18"/>
  <c r="O18" i="32"/>
  <c r="N18"/>
  <c r="E26" i="23"/>
  <c r="E27"/>
  <c r="E28"/>
  <c r="E29"/>
  <c r="E5" i="22"/>
  <c r="E6"/>
  <c r="E7"/>
  <c r="E9"/>
  <c r="E11"/>
  <c r="E12"/>
  <c r="E13"/>
  <c r="E15"/>
  <c r="E17"/>
  <c r="E18"/>
  <c r="E19"/>
  <c r="E23"/>
  <c r="E25"/>
  <c r="E8"/>
  <c r="E10"/>
  <c r="E14"/>
  <c r="E21"/>
  <c r="E16"/>
  <c r="E22"/>
  <c r="E20"/>
  <c r="E24"/>
  <c r="C65" i="21"/>
  <c r="C35" i="162" s="1"/>
  <c r="C66" i="21"/>
  <c r="C36" i="162" s="1"/>
  <c r="C68" i="21"/>
  <c r="C38" i="162" s="1"/>
  <c r="C64" i="21"/>
  <c r="C34" i="162" s="1"/>
  <c r="A165" i="4"/>
  <c r="A163"/>
  <c r="A161"/>
  <c r="A159"/>
  <c r="A158"/>
  <c r="A157"/>
  <c r="A156"/>
  <c r="A155"/>
  <c r="A154"/>
  <c r="A153"/>
  <c r="A131"/>
  <c r="A127"/>
  <c r="A96"/>
  <c r="A95"/>
  <c r="A38"/>
  <c r="D33" i="356"/>
  <c r="F33"/>
  <c r="D12" i="354"/>
  <c r="D16"/>
  <c r="D20"/>
  <c r="D24"/>
  <c r="D28"/>
  <c r="D32"/>
  <c r="D36"/>
  <c r="D40"/>
  <c r="D44"/>
  <c r="D48"/>
  <c r="D52"/>
  <c r="D56"/>
  <c r="D60"/>
  <c r="D64"/>
  <c r="D68"/>
  <c r="D72"/>
  <c r="D76"/>
  <c r="D8"/>
  <c r="C5"/>
  <c r="U5" i="332"/>
  <c r="V5"/>
  <c r="W5"/>
  <c r="U6"/>
  <c r="V6"/>
  <c r="W6"/>
  <c r="U7"/>
  <c r="V7"/>
  <c r="W7"/>
  <c r="U8"/>
  <c r="V8"/>
  <c r="W8"/>
  <c r="U9"/>
  <c r="V9"/>
  <c r="W9"/>
  <c r="U10"/>
  <c r="V10"/>
  <c r="W10"/>
  <c r="U11"/>
  <c r="V11"/>
  <c r="W11"/>
  <c r="U12"/>
  <c r="V12"/>
  <c r="W12"/>
  <c r="U13"/>
  <c r="V13"/>
  <c r="W13"/>
  <c r="U14"/>
  <c r="V14"/>
  <c r="W14"/>
  <c r="U4"/>
  <c r="V4"/>
  <c r="W4"/>
  <c r="L24" i="323"/>
  <c r="L25"/>
  <c r="L26"/>
  <c r="L27"/>
  <c r="L28"/>
  <c r="L29"/>
  <c r="I30"/>
  <c r="L30"/>
  <c r="L31"/>
  <c r="I31"/>
  <c r="C35" i="215"/>
  <c r="C39"/>
  <c r="B58" i="343"/>
  <c r="C67" i="139"/>
  <c r="D67"/>
  <c r="E67"/>
  <c r="G67"/>
  <c r="H67"/>
  <c r="I67"/>
  <c r="B67"/>
  <c r="C34" i="343"/>
  <c r="C35"/>
  <c r="C36"/>
  <c r="C37"/>
  <c r="C38"/>
  <c r="C39"/>
  <c r="C40"/>
  <c r="C41"/>
  <c r="C42"/>
  <c r="C43"/>
  <c r="C44"/>
  <c r="C59" s="1"/>
  <c r="C45"/>
  <c r="C46"/>
  <c r="C47"/>
  <c r="C48"/>
  <c r="C49"/>
  <c r="C50"/>
  <c r="C74" i="7"/>
  <c r="AG6"/>
  <c r="AG7"/>
  <c r="AG8"/>
  <c r="AG9"/>
  <c r="AG10"/>
  <c r="AG11"/>
  <c r="AG12"/>
  <c r="AG13"/>
  <c r="AG14"/>
  <c r="AG15"/>
  <c r="AG16"/>
  <c r="AG17"/>
  <c r="AG18"/>
  <c r="AG19"/>
  <c r="AG20"/>
  <c r="AG21"/>
  <c r="AG22"/>
  <c r="AG23"/>
  <c r="AG24"/>
  <c r="AG25"/>
  <c r="AG26"/>
  <c r="AG27"/>
  <c r="AG28"/>
  <c r="AG29"/>
  <c r="AG30"/>
  <c r="AG31"/>
  <c r="AG32"/>
  <c r="AG33"/>
  <c r="AG34"/>
  <c r="AG35"/>
  <c r="AG36"/>
  <c r="AG37"/>
  <c r="AG38"/>
  <c r="AG39"/>
  <c r="AG40"/>
  <c r="AG41"/>
  <c r="AG42"/>
  <c r="AG43"/>
  <c r="AG44"/>
  <c r="AG45"/>
  <c r="Y59" i="122"/>
  <c r="AF6"/>
  <c r="AF20"/>
  <c r="AF21"/>
  <c r="AF22"/>
  <c r="AF23"/>
  <c r="AF24"/>
  <c r="AF25"/>
  <c r="AF26"/>
  <c r="AF27"/>
  <c r="AF28"/>
  <c r="AF29"/>
  <c r="AF30"/>
  <c r="AF31"/>
  <c r="AF32"/>
  <c r="AF33"/>
  <c r="AF34"/>
  <c r="AF35"/>
  <c r="AF36"/>
  <c r="AF37"/>
  <c r="AF38"/>
  <c r="AF39"/>
  <c r="AF40"/>
  <c r="AF41"/>
  <c r="C41" s="1"/>
  <c r="C4" i="281"/>
  <c r="C8"/>
  <c r="C12"/>
  <c r="C20"/>
  <c r="C28"/>
  <c r="C36"/>
  <c r="C40"/>
  <c r="C44"/>
  <c r="C48"/>
  <c r="C8" i="280"/>
  <c r="C40"/>
  <c r="C5" i="278"/>
  <c r="C9"/>
  <c r="C13"/>
  <c r="C21"/>
  <c r="C6" i="281"/>
  <c r="C10"/>
  <c r="C14"/>
  <c r="C18"/>
  <c r="C22"/>
  <c r="C26"/>
  <c r="C30"/>
  <c r="C34"/>
  <c r="C38"/>
  <c r="C42"/>
  <c r="C46"/>
  <c r="C4" i="280"/>
  <c r="C6"/>
  <c r="C10"/>
  <c r="C12"/>
  <c r="C14"/>
  <c r="C18"/>
  <c r="C20"/>
  <c r="C22"/>
  <c r="C26"/>
  <c r="C28"/>
  <c r="C30"/>
  <c r="C34"/>
  <c r="C36"/>
  <c r="C38"/>
  <c r="C42"/>
  <c r="C44"/>
  <c r="C46"/>
  <c r="C7" i="278"/>
  <c r="C11"/>
  <c r="C15"/>
  <c r="C17"/>
  <c r="C19"/>
  <c r="C23"/>
  <c r="C60" i="207"/>
  <c r="C25" i="278"/>
  <c r="C27"/>
  <c r="C29"/>
  <c r="C31"/>
  <c r="C61" i="207"/>
  <c r="C33" i="278"/>
  <c r="C35"/>
  <c r="C37"/>
  <c r="C39"/>
  <c r="C41"/>
  <c r="C43"/>
  <c r="C45"/>
  <c r="C47"/>
  <c r="C49"/>
  <c r="B19" i="340"/>
  <c r="C17" i="266" s="1"/>
  <c r="B18" i="340"/>
  <c r="C16" i="266" s="1"/>
  <c r="B17" i="340"/>
  <c r="C15" i="266" s="1"/>
  <c r="B16" i="340"/>
  <c r="C14" i="266" s="1"/>
  <c r="B15" i="340"/>
  <c r="C13" i="266" s="1"/>
  <c r="B14" i="340"/>
  <c r="C12" i="266" s="1"/>
  <c r="B13" i="340"/>
  <c r="C11" i="266" s="1"/>
  <c r="B12" i="340"/>
  <c r="B11"/>
  <c r="C9" i="266" s="1"/>
  <c r="B10" i="340"/>
  <c r="C8" i="266" s="1"/>
  <c r="B9" i="340"/>
  <c r="C7" i="266" s="1"/>
  <c r="B8" i="340"/>
  <c r="C6" i="266" s="1"/>
  <c r="B7" i="340"/>
  <c r="C5" i="266" s="1"/>
  <c r="B6" i="340"/>
  <c r="C5" i="263"/>
  <c r="C6"/>
  <c r="C7"/>
  <c r="C8"/>
  <c r="C9"/>
  <c r="C10"/>
  <c r="C11"/>
  <c r="C12"/>
  <c r="C13"/>
  <c r="C14"/>
  <c r="C15"/>
  <c r="C16"/>
  <c r="C17"/>
  <c r="C18"/>
  <c r="C19"/>
  <c r="C20"/>
  <c r="C21"/>
  <c r="C4"/>
  <c r="B5" i="314"/>
  <c r="C5" s="1"/>
  <c r="B6"/>
  <c r="D6" s="1"/>
  <c r="B7"/>
  <c r="C7" s="1"/>
  <c r="B8"/>
  <c r="D8" s="1"/>
  <c r="B9"/>
  <c r="C9" s="1"/>
  <c r="B10"/>
  <c r="D10" s="1"/>
  <c r="B11"/>
  <c r="C11" s="1"/>
  <c r="B12"/>
  <c r="D12" s="1"/>
  <c r="B13"/>
  <c r="C13" s="1"/>
  <c r="B14"/>
  <c r="B15"/>
  <c r="B16"/>
  <c r="B17"/>
  <c r="B4"/>
  <c r="D4" s="1"/>
  <c r="H20" i="313"/>
  <c r="H21"/>
  <c r="H19"/>
  <c r="H6"/>
  <c r="I6" s="1"/>
  <c r="H7"/>
  <c r="I7" s="1"/>
  <c r="H8"/>
  <c r="I8" s="1"/>
  <c r="H9"/>
  <c r="I9" s="1"/>
  <c r="H10"/>
  <c r="I10" s="1"/>
  <c r="H11"/>
  <c r="I11" s="1"/>
  <c r="H12"/>
  <c r="I12" s="1"/>
  <c r="H13"/>
  <c r="I13" s="1"/>
  <c r="H14"/>
  <c r="I14" s="1"/>
  <c r="H15"/>
  <c r="I15" s="1"/>
  <c r="H16"/>
  <c r="I16" s="1"/>
  <c r="H17"/>
  <c r="I17" s="1"/>
  <c r="H18"/>
  <c r="I18" s="1"/>
  <c r="H5"/>
  <c r="I5" s="1"/>
  <c r="E20"/>
  <c r="E21"/>
  <c r="F21" s="1"/>
  <c r="E19"/>
  <c r="E6"/>
  <c r="G6" s="1"/>
  <c r="E7"/>
  <c r="F7" s="1"/>
  <c r="E8"/>
  <c r="G8" s="1"/>
  <c r="E9"/>
  <c r="F9" s="1"/>
  <c r="E10"/>
  <c r="G10" s="1"/>
  <c r="E11"/>
  <c r="G11" s="1"/>
  <c r="E12"/>
  <c r="G12" s="1"/>
  <c r="E13"/>
  <c r="G13" s="1"/>
  <c r="E14"/>
  <c r="F14" s="1"/>
  <c r="E15"/>
  <c r="G15" s="1"/>
  <c r="E16"/>
  <c r="G16" s="1"/>
  <c r="E17"/>
  <c r="F17" s="1"/>
  <c r="E18"/>
  <c r="F18" s="1"/>
  <c r="E5"/>
  <c r="G5" s="1"/>
  <c r="B20"/>
  <c r="B19"/>
  <c r="C19" s="1"/>
  <c r="B6"/>
  <c r="D6" s="1"/>
  <c r="B7"/>
  <c r="C7" s="1"/>
  <c r="B8"/>
  <c r="D8" s="1"/>
  <c r="B9"/>
  <c r="C9" s="1"/>
  <c r="B10"/>
  <c r="D10" s="1"/>
  <c r="B11"/>
  <c r="C11" s="1"/>
  <c r="B12"/>
  <c r="D12" s="1"/>
  <c r="B13"/>
  <c r="C13" s="1"/>
  <c r="B14"/>
  <c r="D14" s="1"/>
  <c r="B15"/>
  <c r="C15" s="1"/>
  <c r="B16"/>
  <c r="D16" s="1"/>
  <c r="B17"/>
  <c r="C17" s="1"/>
  <c r="B18"/>
  <c r="D18" s="1"/>
  <c r="B5"/>
  <c r="C5" s="1"/>
  <c r="O20"/>
  <c r="C62" i="139"/>
  <c r="D62"/>
  <c r="E62"/>
  <c r="G62"/>
  <c r="H62"/>
  <c r="I62"/>
  <c r="B62"/>
  <c r="B15" i="104"/>
  <c r="I59" i="6"/>
  <c r="J59"/>
  <c r="K59"/>
  <c r="L59"/>
  <c r="M59"/>
  <c r="N59"/>
  <c r="O59"/>
  <c r="P59"/>
  <c r="Q59"/>
  <c r="R59"/>
  <c r="S59"/>
  <c r="T59"/>
  <c r="U59"/>
  <c r="W59"/>
  <c r="X59"/>
  <c r="Y59"/>
  <c r="Z59"/>
  <c r="X41" i="7"/>
  <c r="G41" s="1"/>
  <c r="AE6" i="6"/>
  <c r="AE59" s="1"/>
  <c r="AE7"/>
  <c r="AE8"/>
  <c r="AE9"/>
  <c r="AE10"/>
  <c r="AE11"/>
  <c r="AE12"/>
  <c r="AE13"/>
  <c r="AE14"/>
  <c r="AE15"/>
  <c r="AE16"/>
  <c r="AE17"/>
  <c r="AE18"/>
  <c r="AE19"/>
  <c r="AE20"/>
  <c r="AE21"/>
  <c r="AE22"/>
  <c r="AE23"/>
  <c r="AE24"/>
  <c r="AE25"/>
  <c r="AE26"/>
  <c r="AE27"/>
  <c r="AE28"/>
  <c r="AE29"/>
  <c r="AE30"/>
  <c r="AE31"/>
  <c r="AE32"/>
  <c r="AE33"/>
  <c r="AE34"/>
  <c r="AE35"/>
  <c r="AE36"/>
  <c r="AE37"/>
  <c r="AE38"/>
  <c r="AE39"/>
  <c r="AE40"/>
  <c r="AE41"/>
  <c r="F41" s="1"/>
  <c r="F41" i="293" s="1"/>
  <c r="AC6" i="6"/>
  <c r="AC59" s="1"/>
  <c r="AC7"/>
  <c r="AC8"/>
  <c r="AC9"/>
  <c r="AC10"/>
  <c r="AC11"/>
  <c r="AC12"/>
  <c r="AC13"/>
  <c r="AC14"/>
  <c r="AC15"/>
  <c r="AC16"/>
  <c r="AC17"/>
  <c r="AC18"/>
  <c r="AC19"/>
  <c r="AC20"/>
  <c r="AC21"/>
  <c r="AC22"/>
  <c r="AC23"/>
  <c r="AC24"/>
  <c r="AC25"/>
  <c r="AC26"/>
  <c r="AC27"/>
  <c r="AC28"/>
  <c r="AC29"/>
  <c r="AC30"/>
  <c r="AC31"/>
  <c r="AC32"/>
  <c r="AC33"/>
  <c r="AC34"/>
  <c r="AC35"/>
  <c r="AC36"/>
  <c r="AC37"/>
  <c r="AC38"/>
  <c r="AC39"/>
  <c r="AC40"/>
  <c r="AC41"/>
  <c r="D41" s="1"/>
  <c r="AD6"/>
  <c r="AD59" s="1"/>
  <c r="AD7"/>
  <c r="AD8"/>
  <c r="AD9"/>
  <c r="AD10"/>
  <c r="AD11"/>
  <c r="AD12"/>
  <c r="AD13"/>
  <c r="AD14"/>
  <c r="AD15"/>
  <c r="AD16"/>
  <c r="AD17"/>
  <c r="AD18"/>
  <c r="AD19"/>
  <c r="AD20"/>
  <c r="AD21"/>
  <c r="AD22"/>
  <c r="AD23"/>
  <c r="AD24"/>
  <c r="AD25"/>
  <c r="AD26"/>
  <c r="AD27"/>
  <c r="AD28"/>
  <c r="AD29"/>
  <c r="AD30"/>
  <c r="AD31"/>
  <c r="AD32"/>
  <c r="AD33"/>
  <c r="AD34"/>
  <c r="AD35"/>
  <c r="AD36"/>
  <c r="AD37"/>
  <c r="AD38"/>
  <c r="AD39"/>
  <c r="AD40"/>
  <c r="AD41"/>
  <c r="E41" s="1"/>
  <c r="AA6"/>
  <c r="AA59" s="1"/>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B41" s="1"/>
  <c r="AA42"/>
  <c r="AA43"/>
  <c r="AA44"/>
  <c r="AA45"/>
  <c r="V7"/>
  <c r="V8"/>
  <c r="V9"/>
  <c r="V10"/>
  <c r="V11"/>
  <c r="V12"/>
  <c r="V13"/>
  <c r="V14"/>
  <c r="V15"/>
  <c r="V16"/>
  <c r="V17"/>
  <c r="V18"/>
  <c r="V19"/>
  <c r="V20"/>
  <c r="V21"/>
  <c r="V22"/>
  <c r="V23"/>
  <c r="V24"/>
  <c r="V25"/>
  <c r="V26"/>
  <c r="V27"/>
  <c r="V28"/>
  <c r="V29"/>
  <c r="V30"/>
  <c r="V31"/>
  <c r="V32"/>
  <c r="V33"/>
  <c r="V34"/>
  <c r="V35"/>
  <c r="V36"/>
  <c r="V37"/>
  <c r="V38"/>
  <c r="V39"/>
  <c r="V40"/>
  <c r="V41"/>
  <c r="V42"/>
  <c r="V6"/>
  <c r="V59" s="1"/>
  <c r="O6" i="313"/>
  <c r="O7"/>
  <c r="O8"/>
  <c r="O9"/>
  <c r="O10"/>
  <c r="O11"/>
  <c r="O12"/>
  <c r="O13"/>
  <c r="O14"/>
  <c r="O15"/>
  <c r="O16"/>
  <c r="O17"/>
  <c r="O18"/>
  <c r="O19"/>
  <c r="O21"/>
  <c r="O5"/>
  <c r="B20" i="315"/>
  <c r="N21" i="321" s="1"/>
  <c r="N21" i="322" s="1"/>
  <c r="D19" i="312"/>
  <c r="D20"/>
  <c r="D18"/>
  <c r="D5"/>
  <c r="D6"/>
  <c r="D7"/>
  <c r="D8"/>
  <c r="D9"/>
  <c r="D10"/>
  <c r="D11"/>
  <c r="D12"/>
  <c r="D13"/>
  <c r="D14"/>
  <c r="D15"/>
  <c r="D16"/>
  <c r="D17"/>
  <c r="D4"/>
  <c r="C5"/>
  <c r="C6"/>
  <c r="C7"/>
  <c r="C8"/>
  <c r="C9"/>
  <c r="C10"/>
  <c r="C11"/>
  <c r="C12"/>
  <c r="C13"/>
  <c r="C14"/>
  <c r="C15"/>
  <c r="C16"/>
  <c r="C17"/>
  <c r="C4"/>
  <c r="B18"/>
  <c r="B5"/>
  <c r="B6"/>
  <c r="B7"/>
  <c r="B8"/>
  <c r="B9"/>
  <c r="B10"/>
  <c r="B11"/>
  <c r="B12"/>
  <c r="B13"/>
  <c r="B14"/>
  <c r="B15"/>
  <c r="B16"/>
  <c r="B17"/>
  <c r="B4"/>
  <c r="G5" i="309"/>
  <c r="F5"/>
  <c r="E5"/>
  <c r="D5"/>
  <c r="C5"/>
  <c r="B5"/>
  <c r="A37" i="4"/>
  <c r="A36"/>
  <c r="A29"/>
  <c r="A28"/>
  <c r="A27"/>
  <c r="A26"/>
  <c r="N7" i="304"/>
  <c r="O7"/>
  <c r="P7"/>
  <c r="Q7"/>
  <c r="N8"/>
  <c r="O8"/>
  <c r="P8"/>
  <c r="Q8"/>
  <c r="N9"/>
  <c r="O9"/>
  <c r="P9"/>
  <c r="Q9"/>
  <c r="N10"/>
  <c r="O10"/>
  <c r="P10"/>
  <c r="Q10"/>
  <c r="N11"/>
  <c r="O11"/>
  <c r="P11"/>
  <c r="Q11"/>
  <c r="N12"/>
  <c r="O12"/>
  <c r="P12"/>
  <c r="Q12"/>
  <c r="N13"/>
  <c r="O13"/>
  <c r="P13"/>
  <c r="Q13"/>
  <c r="N14"/>
  <c r="O14"/>
  <c r="P14"/>
  <c r="Q14"/>
  <c r="N15"/>
  <c r="N33" s="1"/>
  <c r="O15"/>
  <c r="O33" s="1"/>
  <c r="P15"/>
  <c r="P33" s="1"/>
  <c r="Q15"/>
  <c r="Q33" s="1"/>
  <c r="N16"/>
  <c r="O16"/>
  <c r="P16"/>
  <c r="Q16"/>
  <c r="N17"/>
  <c r="O17"/>
  <c r="P17"/>
  <c r="Q17"/>
  <c r="N18"/>
  <c r="O18"/>
  <c r="P18"/>
  <c r="Q18"/>
  <c r="N19"/>
  <c r="O19"/>
  <c r="P19"/>
  <c r="Q19"/>
  <c r="N20"/>
  <c r="O20"/>
  <c r="P20"/>
  <c r="Q20"/>
  <c r="N21"/>
  <c r="O21"/>
  <c r="P21"/>
  <c r="Q21"/>
  <c r="N22"/>
  <c r="O22"/>
  <c r="P22"/>
  <c r="Q22"/>
  <c r="O6"/>
  <c r="P6"/>
  <c r="Q6"/>
  <c r="O6" i="305"/>
  <c r="P6"/>
  <c r="Q6"/>
  <c r="N6"/>
  <c r="D4" i="308"/>
  <c r="C4"/>
  <c r="B4"/>
  <c r="C32" i="304"/>
  <c r="D32"/>
  <c r="E32"/>
  <c r="F32"/>
  <c r="G32"/>
  <c r="H32"/>
  <c r="I32"/>
  <c r="J32"/>
  <c r="K32"/>
  <c r="L32"/>
  <c r="M32"/>
  <c r="B32"/>
  <c r="B33" i="303"/>
  <c r="B32"/>
  <c r="B30"/>
  <c r="A44" i="4"/>
  <c r="O41" i="302"/>
  <c r="N41"/>
  <c r="M41"/>
  <c r="L41"/>
  <c r="K41"/>
  <c r="O40"/>
  <c r="N40"/>
  <c r="M40"/>
  <c r="L40"/>
  <c r="K40"/>
  <c r="O39"/>
  <c r="N39"/>
  <c r="M39"/>
  <c r="L39"/>
  <c r="K39"/>
  <c r="A151" i="4"/>
  <c r="A149"/>
  <c r="A135"/>
  <c r="A134"/>
  <c r="A133"/>
  <c r="A130"/>
  <c r="A129"/>
  <c r="A128"/>
  <c r="A122"/>
  <c r="A121"/>
  <c r="A119"/>
  <c r="A112"/>
  <c r="A111"/>
  <c r="A103"/>
  <c r="A73"/>
  <c r="A72"/>
  <c r="A71"/>
  <c r="A70"/>
  <c r="A69"/>
  <c r="A93"/>
  <c r="A92"/>
  <c r="A91"/>
  <c r="A89"/>
  <c r="A88"/>
  <c r="A87"/>
  <c r="A86"/>
  <c r="A85"/>
  <c r="A35"/>
  <c r="A20"/>
  <c r="Y43" i="293"/>
  <c r="Y42"/>
  <c r="Y41"/>
  <c r="V41"/>
  <c r="U41"/>
  <c r="T41"/>
  <c r="Y40"/>
  <c r="V40"/>
  <c r="U40"/>
  <c r="T40"/>
  <c r="Y39"/>
  <c r="V39"/>
  <c r="U39"/>
  <c r="T39"/>
  <c r="Y38"/>
  <c r="V38"/>
  <c r="U38"/>
  <c r="T38"/>
  <c r="Y37"/>
  <c r="V37"/>
  <c r="U37"/>
  <c r="T37"/>
  <c r="Y36"/>
  <c r="V36"/>
  <c r="U36"/>
  <c r="T36"/>
  <c r="Y35"/>
  <c r="V35"/>
  <c r="U35"/>
  <c r="T35"/>
  <c r="Y34"/>
  <c r="V34"/>
  <c r="U34"/>
  <c r="T34"/>
  <c r="Y33"/>
  <c r="V33"/>
  <c r="U33"/>
  <c r="T33"/>
  <c r="Y32"/>
  <c r="V32"/>
  <c r="U32"/>
  <c r="T32"/>
  <c r="Y31"/>
  <c r="V31"/>
  <c r="U31"/>
  <c r="T31"/>
  <c r="Y30"/>
  <c r="V30"/>
  <c r="U30"/>
  <c r="T30"/>
  <c r="Y29"/>
  <c r="V29"/>
  <c r="U29"/>
  <c r="T29"/>
  <c r="Y28"/>
  <c r="V28"/>
  <c r="U28"/>
  <c r="T28"/>
  <c r="Y27"/>
  <c r="V27"/>
  <c r="U27"/>
  <c r="T27"/>
  <c r="Y26"/>
  <c r="V26"/>
  <c r="U26"/>
  <c r="T26"/>
  <c r="Y25"/>
  <c r="V25"/>
  <c r="U25"/>
  <c r="T25"/>
  <c r="Y24"/>
  <c r="V24"/>
  <c r="U24"/>
  <c r="T24"/>
  <c r="Y23"/>
  <c r="V23"/>
  <c r="U23"/>
  <c r="T23"/>
  <c r="Y22"/>
  <c r="V22"/>
  <c r="U22"/>
  <c r="T22"/>
  <c r="Y21"/>
  <c r="V21"/>
  <c r="U21"/>
  <c r="T21"/>
  <c r="Y20"/>
  <c r="V20"/>
  <c r="U20"/>
  <c r="T20"/>
  <c r="Y19"/>
  <c r="V19"/>
  <c r="U19"/>
  <c r="T19"/>
  <c r="Y18"/>
  <c r="V18"/>
  <c r="U18"/>
  <c r="T18"/>
  <c r="Y17"/>
  <c r="V17"/>
  <c r="U17"/>
  <c r="T17"/>
  <c r="Y16"/>
  <c r="V16"/>
  <c r="U16"/>
  <c r="T16"/>
  <c r="Y15"/>
  <c r="V15"/>
  <c r="U15"/>
  <c r="T15"/>
  <c r="Y14"/>
  <c r="V14"/>
  <c r="U14"/>
  <c r="T14"/>
  <c r="Y13"/>
  <c r="V13"/>
  <c r="U13"/>
  <c r="T13"/>
  <c r="Y12"/>
  <c r="V12"/>
  <c r="U12"/>
  <c r="T12"/>
  <c r="Y11"/>
  <c r="V11"/>
  <c r="U11"/>
  <c r="T11"/>
  <c r="Y10"/>
  <c r="V10"/>
  <c r="U10"/>
  <c r="T10"/>
  <c r="Y9"/>
  <c r="V9"/>
  <c r="U9"/>
  <c r="T9"/>
  <c r="Y8"/>
  <c r="V8"/>
  <c r="U8"/>
  <c r="T8"/>
  <c r="Y7"/>
  <c r="V7"/>
  <c r="U7"/>
  <c r="T7"/>
  <c r="Y6"/>
  <c r="V6"/>
  <c r="U6"/>
  <c r="T6"/>
  <c r="AB4" i="272"/>
  <c r="AB5"/>
  <c r="AB6"/>
  <c r="AB7"/>
  <c r="AB8"/>
  <c r="AB9"/>
  <c r="AB10"/>
  <c r="AB11"/>
  <c r="AB12"/>
  <c r="AB13"/>
  <c r="AB14"/>
  <c r="AB15"/>
  <c r="AB16"/>
  <c r="AB17"/>
  <c r="AB18"/>
  <c r="AB19"/>
  <c r="AB20"/>
  <c r="AB21"/>
  <c r="AB22"/>
  <c r="AB23"/>
  <c r="AB24"/>
  <c r="AB25"/>
  <c r="AB26"/>
  <c r="AB27"/>
  <c r="AB28"/>
  <c r="AB29"/>
  <c r="AB30"/>
  <c r="AB31"/>
  <c r="AB32"/>
  <c r="AB33"/>
  <c r="AB34"/>
  <c r="AB35"/>
  <c r="AB36"/>
  <c r="AB37"/>
  <c r="AB38"/>
  <c r="AB39"/>
  <c r="AB40"/>
  <c r="AB41"/>
  <c r="AB42"/>
  <c r="AB43"/>
  <c r="AB44"/>
  <c r="AB45"/>
  <c r="AB46"/>
  <c r="AB47"/>
  <c r="AB48"/>
  <c r="AB49"/>
  <c r="AB50"/>
  <c r="AB51"/>
  <c r="AB52"/>
  <c r="AB53"/>
  <c r="AB54"/>
  <c r="AB55"/>
  <c r="AB56"/>
  <c r="AB57"/>
  <c r="AB58"/>
  <c r="BA39" i="241"/>
  <c r="AQ5"/>
  <c r="AR5"/>
  <c r="AS5"/>
  <c r="AT5"/>
  <c r="AU5"/>
  <c r="AV5"/>
  <c r="AW5"/>
  <c r="AX5"/>
  <c r="AY5"/>
  <c r="AZ5"/>
  <c r="BA5"/>
  <c r="AQ6"/>
  <c r="AR6"/>
  <c r="AS6"/>
  <c r="AT6"/>
  <c r="AU6"/>
  <c r="AV6"/>
  <c r="AW6"/>
  <c r="AX6"/>
  <c r="AY6"/>
  <c r="AZ6"/>
  <c r="BA6"/>
  <c r="AQ7"/>
  <c r="AR7"/>
  <c r="AS7"/>
  <c r="AT7"/>
  <c r="AU7"/>
  <c r="AV7"/>
  <c r="AW7"/>
  <c r="AX7"/>
  <c r="AY7"/>
  <c r="AZ7"/>
  <c r="BA7"/>
  <c r="AQ8"/>
  <c r="AR8"/>
  <c r="AS8"/>
  <c r="AT8"/>
  <c r="AU8"/>
  <c r="AV8"/>
  <c r="AW8"/>
  <c r="AX8"/>
  <c r="AY8"/>
  <c r="AZ8"/>
  <c r="BA8"/>
  <c r="AQ9"/>
  <c r="AR9"/>
  <c r="AS9"/>
  <c r="AT9"/>
  <c r="AU9"/>
  <c r="AV9"/>
  <c r="AW9"/>
  <c r="AX9"/>
  <c r="AY9"/>
  <c r="AZ9"/>
  <c r="BA9"/>
  <c r="AQ10"/>
  <c r="AR10"/>
  <c r="AS10"/>
  <c r="AT10"/>
  <c r="AU10"/>
  <c r="AV10"/>
  <c r="AW10"/>
  <c r="AX10"/>
  <c r="AY10"/>
  <c r="AZ10"/>
  <c r="BA10"/>
  <c r="AQ11"/>
  <c r="AR11"/>
  <c r="AS11"/>
  <c r="AT11"/>
  <c r="AU11"/>
  <c r="AV11"/>
  <c r="AW11"/>
  <c r="AX11"/>
  <c r="AY11"/>
  <c r="AZ11"/>
  <c r="BA11"/>
  <c r="AQ12"/>
  <c r="AR12"/>
  <c r="AS12"/>
  <c r="AT12"/>
  <c r="AU12"/>
  <c r="AV12"/>
  <c r="AW12"/>
  <c r="AX12"/>
  <c r="AY12"/>
  <c r="AZ12"/>
  <c r="BA12"/>
  <c r="AQ13"/>
  <c r="AR13"/>
  <c r="AS13"/>
  <c r="AT13"/>
  <c r="AU13"/>
  <c r="AV13"/>
  <c r="AW13"/>
  <c r="AX13"/>
  <c r="AY13"/>
  <c r="AZ13"/>
  <c r="BA13"/>
  <c r="AQ14"/>
  <c r="AR14"/>
  <c r="AS14"/>
  <c r="AT14"/>
  <c r="AU14"/>
  <c r="AV14"/>
  <c r="AW14"/>
  <c r="AX14"/>
  <c r="AY14"/>
  <c r="AZ14"/>
  <c r="BA14"/>
  <c r="AQ15"/>
  <c r="AR15"/>
  <c r="AS15"/>
  <c r="AT15"/>
  <c r="AU15"/>
  <c r="AV15"/>
  <c r="AW15"/>
  <c r="AX15"/>
  <c r="AY15"/>
  <c r="AZ15"/>
  <c r="BA15"/>
  <c r="AQ16"/>
  <c r="AR16"/>
  <c r="AS16"/>
  <c r="AT16"/>
  <c r="AU16"/>
  <c r="AV16"/>
  <c r="AW16"/>
  <c r="AX16"/>
  <c r="AY16"/>
  <c r="AZ16"/>
  <c r="BA16"/>
  <c r="AQ17"/>
  <c r="AR17"/>
  <c r="AS17"/>
  <c r="AT17"/>
  <c r="AU17"/>
  <c r="AV17"/>
  <c r="AW17"/>
  <c r="AX17"/>
  <c r="AY17"/>
  <c r="AZ17"/>
  <c r="BA17"/>
  <c r="AQ18"/>
  <c r="AR18"/>
  <c r="AS18"/>
  <c r="AT18"/>
  <c r="AU18"/>
  <c r="AV18"/>
  <c r="AW18"/>
  <c r="AX18"/>
  <c r="AY18"/>
  <c r="AZ18"/>
  <c r="BA18"/>
  <c r="AQ19"/>
  <c r="AR19"/>
  <c r="AS19"/>
  <c r="AT19"/>
  <c r="AU19"/>
  <c r="AV19"/>
  <c r="AW19"/>
  <c r="AX19"/>
  <c r="AY19"/>
  <c r="AZ19"/>
  <c r="BA19"/>
  <c r="AQ20"/>
  <c r="AR20"/>
  <c r="AS20"/>
  <c r="AT20"/>
  <c r="AU20"/>
  <c r="AV20"/>
  <c r="AW20"/>
  <c r="AX20"/>
  <c r="AY20"/>
  <c r="AZ20"/>
  <c r="BA20"/>
  <c r="AQ21"/>
  <c r="AR21"/>
  <c r="AS21"/>
  <c r="AT21"/>
  <c r="AU21"/>
  <c r="AV21"/>
  <c r="AW21"/>
  <c r="AX21"/>
  <c r="AY21"/>
  <c r="AZ21"/>
  <c r="BA21"/>
  <c r="AQ22"/>
  <c r="AR22"/>
  <c r="AS22"/>
  <c r="AT22"/>
  <c r="AU22"/>
  <c r="AV22"/>
  <c r="AW22"/>
  <c r="AX22"/>
  <c r="AY22"/>
  <c r="AZ22"/>
  <c r="BA22"/>
  <c r="AQ23"/>
  <c r="AR23"/>
  <c r="AS23"/>
  <c r="AT23"/>
  <c r="AU23"/>
  <c r="AV23"/>
  <c r="AW23"/>
  <c r="AX23"/>
  <c r="AY23"/>
  <c r="AZ23"/>
  <c r="BA23"/>
  <c r="AQ24"/>
  <c r="AR24"/>
  <c r="AS24"/>
  <c r="AT24"/>
  <c r="AU24"/>
  <c r="AV24"/>
  <c r="AW24"/>
  <c r="AX24"/>
  <c r="AY24"/>
  <c r="AZ24"/>
  <c r="BA24"/>
  <c r="AQ25"/>
  <c r="AR25"/>
  <c r="AS25"/>
  <c r="AT25"/>
  <c r="AU25"/>
  <c r="AV25"/>
  <c r="AW25"/>
  <c r="AX25"/>
  <c r="AY25"/>
  <c r="AZ25"/>
  <c r="BA25"/>
  <c r="AQ26"/>
  <c r="AR26"/>
  <c r="AS26"/>
  <c r="AT26"/>
  <c r="AU26"/>
  <c r="AV26"/>
  <c r="AW26"/>
  <c r="AX26"/>
  <c r="AY26"/>
  <c r="AZ26"/>
  <c r="BA26"/>
  <c r="AQ27"/>
  <c r="AR27"/>
  <c r="AS27"/>
  <c r="AT27"/>
  <c r="AU27"/>
  <c r="AV27"/>
  <c r="AW27"/>
  <c r="AX27"/>
  <c r="AY27"/>
  <c r="AZ27"/>
  <c r="BA27"/>
  <c r="AQ28"/>
  <c r="AR28"/>
  <c r="AS28"/>
  <c r="AT28"/>
  <c r="AU28"/>
  <c r="AV28"/>
  <c r="AW28"/>
  <c r="AX28"/>
  <c r="AY28"/>
  <c r="AZ28"/>
  <c r="BA28"/>
  <c r="AQ29"/>
  <c r="AR29"/>
  <c r="AS29"/>
  <c r="AT29"/>
  <c r="AU29"/>
  <c r="AV29"/>
  <c r="AW29"/>
  <c r="AX29"/>
  <c r="AY29"/>
  <c r="AZ29"/>
  <c r="BA29"/>
  <c r="AQ30"/>
  <c r="AR30"/>
  <c r="AS30"/>
  <c r="AT30"/>
  <c r="AU30"/>
  <c r="AV30"/>
  <c r="AW30"/>
  <c r="AX30"/>
  <c r="AY30"/>
  <c r="AZ30"/>
  <c r="BA30"/>
  <c r="AQ31"/>
  <c r="AR31"/>
  <c r="AS31"/>
  <c r="AT31"/>
  <c r="AU31"/>
  <c r="AV31"/>
  <c r="AW31"/>
  <c r="AX31"/>
  <c r="AY31"/>
  <c r="AZ31"/>
  <c r="BA31"/>
  <c r="AQ32"/>
  <c r="AR32"/>
  <c r="AS32"/>
  <c r="AT32"/>
  <c r="AU32"/>
  <c r="AV32"/>
  <c r="AW32"/>
  <c r="AX32"/>
  <c r="AY32"/>
  <c r="AZ32"/>
  <c r="BA32"/>
  <c r="AQ33"/>
  <c r="AR33"/>
  <c r="AS33"/>
  <c r="AT33"/>
  <c r="AU33"/>
  <c r="AV33"/>
  <c r="AW33"/>
  <c r="AX33"/>
  <c r="AY33"/>
  <c r="AZ33"/>
  <c r="BA33"/>
  <c r="AQ34"/>
  <c r="AR34"/>
  <c r="AS34"/>
  <c r="AT34"/>
  <c r="AU34"/>
  <c r="AV34"/>
  <c r="AW34"/>
  <c r="AX34"/>
  <c r="AY34"/>
  <c r="AZ34"/>
  <c r="BA34"/>
  <c r="AQ35"/>
  <c r="AR35"/>
  <c r="AS35"/>
  <c r="AT35"/>
  <c r="AU35"/>
  <c r="AV35"/>
  <c r="AW35"/>
  <c r="AX35"/>
  <c r="AY35"/>
  <c r="AZ35"/>
  <c r="BA35"/>
  <c r="AQ36"/>
  <c r="AR36"/>
  <c r="AS36"/>
  <c r="AT36"/>
  <c r="AU36"/>
  <c r="AV36"/>
  <c r="AW36"/>
  <c r="AX36"/>
  <c r="AY36"/>
  <c r="AZ36"/>
  <c r="BA36"/>
  <c r="AQ37"/>
  <c r="AR37"/>
  <c r="AS37"/>
  <c r="AT37"/>
  <c r="AU37"/>
  <c r="AV37"/>
  <c r="AW37"/>
  <c r="AX37"/>
  <c r="AY37"/>
  <c r="AZ37"/>
  <c r="BA37"/>
  <c r="AQ38"/>
  <c r="AQ50" s="1"/>
  <c r="AR38"/>
  <c r="AR50" s="1"/>
  <c r="AS38"/>
  <c r="AS50" s="1"/>
  <c r="AT38"/>
  <c r="AT50" s="1"/>
  <c r="AU38"/>
  <c r="AU50" s="1"/>
  <c r="AV38"/>
  <c r="AV50" s="1"/>
  <c r="AW38"/>
  <c r="AW50" s="1"/>
  <c r="AX38"/>
  <c r="AX50" s="1"/>
  <c r="AY38"/>
  <c r="AY50" s="1"/>
  <c r="AZ38"/>
  <c r="AZ50" s="1"/>
  <c r="BA38"/>
  <c r="BA50" s="1"/>
  <c r="AQ39"/>
  <c r="AQ51" s="1"/>
  <c r="AR39"/>
  <c r="AR51" s="1"/>
  <c r="AS39"/>
  <c r="AS51" s="1"/>
  <c r="AT39"/>
  <c r="AT51" s="1"/>
  <c r="AU39"/>
  <c r="AU51" s="1"/>
  <c r="AV39"/>
  <c r="AV51" s="1"/>
  <c r="AW39"/>
  <c r="AW51" s="1"/>
  <c r="AX39"/>
  <c r="AX51" s="1"/>
  <c r="AY39"/>
  <c r="AY51" s="1"/>
  <c r="AZ39"/>
  <c r="AZ51" s="1"/>
  <c r="AP38"/>
  <c r="AP37"/>
  <c r="AP36"/>
  <c r="AP35"/>
  <c r="AP34"/>
  <c r="AP33"/>
  <c r="AP32"/>
  <c r="AP31"/>
  <c r="AP30"/>
  <c r="AP29"/>
  <c r="AP28"/>
  <c r="AP27"/>
  <c r="AP26"/>
  <c r="AP25"/>
  <c r="AP24"/>
  <c r="AP23"/>
  <c r="AP22"/>
  <c r="AP21"/>
  <c r="AP20"/>
  <c r="AP19"/>
  <c r="AP18"/>
  <c r="AP17"/>
  <c r="AP16"/>
  <c r="AP14"/>
  <c r="AP13"/>
  <c r="AP12"/>
  <c r="AP10"/>
  <c r="AP11"/>
  <c r="AP9"/>
  <c r="AP8"/>
  <c r="AP7"/>
  <c r="AP6"/>
  <c r="AP5"/>
  <c r="K50" i="277"/>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K9"/>
  <c r="K8"/>
  <c r="K7"/>
  <c r="K6"/>
  <c r="K5"/>
  <c r="K4"/>
  <c r="K50" i="276"/>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K9"/>
  <c r="K8"/>
  <c r="K7"/>
  <c r="K6"/>
  <c r="K5"/>
  <c r="K4"/>
  <c r="K50" i="275"/>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K9"/>
  <c r="K8"/>
  <c r="K7"/>
  <c r="K6"/>
  <c r="K5"/>
  <c r="K4"/>
  <c r="K50" i="274"/>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K9"/>
  <c r="K8"/>
  <c r="K7"/>
  <c r="K6"/>
  <c r="K5"/>
  <c r="K4"/>
  <c r="G42" i="270"/>
  <c r="H23"/>
  <c r="H41" s="1"/>
  <c r="H24"/>
  <c r="H25"/>
  <c r="H26"/>
  <c r="H28"/>
  <c r="H30"/>
  <c r="C42"/>
  <c r="D42"/>
  <c r="E42"/>
  <c r="B42"/>
  <c r="K5" i="263"/>
  <c r="K6"/>
  <c r="K7"/>
  <c r="K8"/>
  <c r="K9"/>
  <c r="K10"/>
  <c r="K11"/>
  <c r="K12"/>
  <c r="K13"/>
  <c r="K14"/>
  <c r="K15"/>
  <c r="K16"/>
  <c r="K17"/>
  <c r="K18"/>
  <c r="K19"/>
  <c r="K20"/>
  <c r="K21"/>
  <c r="K4"/>
  <c r="I5"/>
  <c r="I6"/>
  <c r="I7"/>
  <c r="I8"/>
  <c r="I9"/>
  <c r="I10"/>
  <c r="I11"/>
  <c r="I12"/>
  <c r="I13"/>
  <c r="I14"/>
  <c r="I15"/>
  <c r="I16"/>
  <c r="I17"/>
  <c r="I18"/>
  <c r="I19"/>
  <c r="I20"/>
  <c r="I21"/>
  <c r="I4"/>
  <c r="G5"/>
  <c r="G6"/>
  <c r="G7"/>
  <c r="G8"/>
  <c r="G9"/>
  <c r="G10"/>
  <c r="G11"/>
  <c r="G12"/>
  <c r="G13"/>
  <c r="G14"/>
  <c r="G15"/>
  <c r="G16"/>
  <c r="G17"/>
  <c r="G18"/>
  <c r="G19"/>
  <c r="G20"/>
  <c r="G21"/>
  <c r="G4"/>
  <c r="C20" i="92"/>
  <c r="C19"/>
  <c r="B20" i="263" s="1"/>
  <c r="C18" i="92"/>
  <c r="B19" i="263" s="1"/>
  <c r="C17" i="92"/>
  <c r="B18" i="263" s="1"/>
  <c r="C16" i="92"/>
  <c r="B17" i="263" s="1"/>
  <c r="C15" i="92"/>
  <c r="B16" i="263" s="1"/>
  <c r="C14" i="92"/>
  <c r="B15" i="263" s="1"/>
  <c r="C13" i="92"/>
  <c r="C12"/>
  <c r="B13" i="263" s="1"/>
  <c r="C11" i="92"/>
  <c r="B12" i="263" s="1"/>
  <c r="C10" i="92"/>
  <c r="B11" i="263" s="1"/>
  <c r="C9" i="92"/>
  <c r="B10" i="263" s="1"/>
  <c r="C8" i="92"/>
  <c r="B9" i="263" s="1"/>
  <c r="C7" i="92"/>
  <c r="B8" i="263" s="1"/>
  <c r="B7"/>
  <c r="C5" i="92"/>
  <c r="B6" i="263" s="1"/>
  <c r="C4" i="92"/>
  <c r="B5" i="263" s="1"/>
  <c r="C3" i="92"/>
  <c r="C20" i="93"/>
  <c r="C19"/>
  <c r="F20" i="263" s="1"/>
  <c r="C18" i="93"/>
  <c r="F19" i="263" s="1"/>
  <c r="C17" i="93"/>
  <c r="F18" i="263" s="1"/>
  <c r="C16" i="93"/>
  <c r="F17" i="263" s="1"/>
  <c r="C15" i="93"/>
  <c r="F16" i="263" s="1"/>
  <c r="C14" i="93"/>
  <c r="F15" i="263" s="1"/>
  <c r="C13" i="93"/>
  <c r="C12"/>
  <c r="F13" i="263" s="1"/>
  <c r="C11" i="93"/>
  <c r="F12" i="263" s="1"/>
  <c r="C10" i="93"/>
  <c r="F11" i="263" s="1"/>
  <c r="C9" i="93"/>
  <c r="F10" i="263" s="1"/>
  <c r="C8" i="93"/>
  <c r="F9" i="263" s="1"/>
  <c r="C7" i="93"/>
  <c r="F8" i="263" s="1"/>
  <c r="C6" i="93"/>
  <c r="F7" i="263" s="1"/>
  <c r="C5" i="93"/>
  <c r="F6" i="263" s="1"/>
  <c r="C4" i="93"/>
  <c r="F5" i="263" s="1"/>
  <c r="C3" i="93"/>
  <c r="F4" i="263" s="1"/>
  <c r="C20" i="94"/>
  <c r="C19"/>
  <c r="H20" i="263" s="1"/>
  <c r="C18" i="94"/>
  <c r="H19" i="263" s="1"/>
  <c r="C17" i="94"/>
  <c r="H18" i="263" s="1"/>
  <c r="C16" i="94"/>
  <c r="H17" i="263" s="1"/>
  <c r="C15" i="94"/>
  <c r="H16" i="263" s="1"/>
  <c r="C14" i="94"/>
  <c r="H15" i="263" s="1"/>
  <c r="C13" i="94"/>
  <c r="H14" i="263" s="1"/>
  <c r="C12" i="94"/>
  <c r="H13" i="263" s="1"/>
  <c r="C11" i="94"/>
  <c r="H12" i="263" s="1"/>
  <c r="C10" i="94"/>
  <c r="H11" i="263" s="1"/>
  <c r="C9" i="94"/>
  <c r="H10" i="263" s="1"/>
  <c r="C8" i="94"/>
  <c r="H9" i="263" s="1"/>
  <c r="C7" i="94"/>
  <c r="H8" i="263" s="1"/>
  <c r="C6" i="94"/>
  <c r="H7" i="263" s="1"/>
  <c r="C5" i="94"/>
  <c r="H6" i="263" s="1"/>
  <c r="C4" i="94"/>
  <c r="H5" i="263" s="1"/>
  <c r="C3" i="94"/>
  <c r="H4" i="263" s="1"/>
  <c r="C3" i="95"/>
  <c r="C4"/>
  <c r="J5" i="263" s="1"/>
  <c r="C5" i="95"/>
  <c r="J6" i="263" s="1"/>
  <c r="C6" i="95"/>
  <c r="J7" i="263" s="1"/>
  <c r="C7" i="95"/>
  <c r="J8" i="263" s="1"/>
  <c r="C8" i="95"/>
  <c r="J9" i="263" s="1"/>
  <c r="C9" i="95"/>
  <c r="J10" i="263" s="1"/>
  <c r="C10" i="95"/>
  <c r="J11" i="263" s="1"/>
  <c r="C11" i="95"/>
  <c r="J12" i="263" s="1"/>
  <c r="C12" i="95"/>
  <c r="J13" i="263" s="1"/>
  <c r="C13" i="95"/>
  <c r="J14" i="263" s="1"/>
  <c r="C14" i="95"/>
  <c r="J15" i="263" s="1"/>
  <c r="C15" i="95"/>
  <c r="J16" i="263" s="1"/>
  <c r="C16" i="95"/>
  <c r="J17" i="263" s="1"/>
  <c r="C17" i="95"/>
  <c r="J18" i="263" s="1"/>
  <c r="C18" i="95"/>
  <c r="J19" i="263" s="1"/>
  <c r="C19" i="95"/>
  <c r="J20" i="263" s="1"/>
  <c r="C20" i="95"/>
  <c r="J21" i="263" s="1"/>
  <c r="J23" i="95"/>
  <c r="J24"/>
  <c r="J25"/>
  <c r="K25"/>
  <c r="I25"/>
  <c r="H25"/>
  <c r="G25"/>
  <c r="F25"/>
  <c r="E25"/>
  <c r="B25"/>
  <c r="I24"/>
  <c r="H24"/>
  <c r="G24"/>
  <c r="F24"/>
  <c r="E24"/>
  <c r="D24"/>
  <c r="B24"/>
  <c r="I23"/>
  <c r="H23"/>
  <c r="G23"/>
  <c r="F23"/>
  <c r="E23"/>
  <c r="B23"/>
  <c r="J25" i="94"/>
  <c r="I25"/>
  <c r="H25"/>
  <c r="G25"/>
  <c r="F25"/>
  <c r="E25"/>
  <c r="D25"/>
  <c r="B25"/>
  <c r="J24"/>
  <c r="I24"/>
  <c r="H24"/>
  <c r="G24"/>
  <c r="F24"/>
  <c r="E24"/>
  <c r="D24"/>
  <c r="B24"/>
  <c r="J23"/>
  <c r="I23"/>
  <c r="H23"/>
  <c r="G23"/>
  <c r="F23"/>
  <c r="E23"/>
  <c r="D23"/>
  <c r="B23"/>
  <c r="J25" i="93"/>
  <c r="I25"/>
  <c r="H25"/>
  <c r="G25"/>
  <c r="F25"/>
  <c r="E25"/>
  <c r="D25"/>
  <c r="B25"/>
  <c r="I24"/>
  <c r="H24"/>
  <c r="G24"/>
  <c r="F24"/>
  <c r="E24"/>
  <c r="D24"/>
  <c r="B24"/>
  <c r="I23"/>
  <c r="H23"/>
  <c r="G23"/>
  <c r="F23"/>
  <c r="E23"/>
  <c r="D23"/>
  <c r="B23"/>
  <c r="D21" i="41" l="1"/>
  <c r="G30" i="309"/>
  <c r="G29"/>
  <c r="C10" i="266"/>
  <c r="B28" i="340"/>
  <c r="B33"/>
  <c r="B29"/>
  <c r="B34"/>
  <c r="G39" i="366"/>
  <c r="G40"/>
  <c r="C29" i="92"/>
  <c r="C30"/>
  <c r="B29" i="309"/>
  <c r="B30"/>
  <c r="B39" i="366"/>
  <c r="B40"/>
  <c r="Q31" i="304"/>
  <c r="Q30"/>
  <c r="P35"/>
  <c r="P34"/>
  <c r="E29" i="309"/>
  <c r="E30"/>
  <c r="C4" i="266"/>
  <c r="B27" i="340"/>
  <c r="B32"/>
  <c r="C28" i="308"/>
  <c r="C29"/>
  <c r="O30" i="304"/>
  <c r="O31"/>
  <c r="N34"/>
  <c r="N35"/>
  <c r="C29" i="309"/>
  <c r="C30"/>
  <c r="F39" i="366"/>
  <c r="F40"/>
  <c r="H39" i="364"/>
  <c r="H40"/>
  <c r="E39" i="366"/>
  <c r="E40"/>
  <c r="D21" i="364"/>
  <c r="D21" i="366"/>
  <c r="D39" i="302"/>
  <c r="D40"/>
  <c r="C39" i="366"/>
  <c r="C40"/>
  <c r="I39"/>
  <c r="I40"/>
  <c r="E4" i="308"/>
  <c r="B29"/>
  <c r="B28"/>
  <c r="P30" i="304"/>
  <c r="P31"/>
  <c r="O35"/>
  <c r="O34"/>
  <c r="F29" i="309"/>
  <c r="F30"/>
  <c r="B4" i="263"/>
  <c r="C28" i="92"/>
  <c r="D28" i="308"/>
  <c r="D29"/>
  <c r="Q34" i="304"/>
  <c r="Q35"/>
  <c r="D29" i="309"/>
  <c r="D30"/>
  <c r="F41" i="124"/>
  <c r="G40" i="118"/>
  <c r="G20" i="101"/>
  <c r="F39" i="364"/>
  <c r="F40"/>
  <c r="H39" i="366"/>
  <c r="H40"/>
  <c r="E39" i="364"/>
  <c r="E40"/>
  <c r="B39"/>
  <c r="B40"/>
  <c r="I39"/>
  <c r="I40"/>
  <c r="G39"/>
  <c r="G40"/>
  <c r="O31" i="305"/>
  <c r="O30"/>
  <c r="P31"/>
  <c r="P30"/>
  <c r="N31"/>
  <c r="N30"/>
  <c r="Q30"/>
  <c r="Q31"/>
  <c r="I17" i="101"/>
  <c r="H16"/>
  <c r="D29" i="120"/>
  <c r="D28" i="101"/>
  <c r="I18" i="108"/>
  <c r="H17"/>
  <c r="D28" i="88"/>
  <c r="D28" i="125" s="1"/>
  <c r="H11" i="26"/>
  <c r="F35" i="51"/>
  <c r="D26" i="341"/>
  <c r="H11" i="18"/>
  <c r="F35" i="54"/>
  <c r="D27" i="341"/>
  <c r="D27" i="328"/>
  <c r="B16"/>
  <c r="B18" i="127"/>
  <c r="B16" i="341"/>
  <c r="B17" i="88"/>
  <c r="B17" i="125" s="1"/>
  <c r="I11" i="23"/>
  <c r="C16" i="341"/>
  <c r="C16" i="328"/>
  <c r="C17" i="88"/>
  <c r="C17" i="125" s="1"/>
  <c r="D18" i="127"/>
  <c r="E16" i="328"/>
  <c r="E16" i="341"/>
  <c r="E17" i="88"/>
  <c r="E17" i="125" s="1"/>
  <c r="D10" i="322"/>
  <c r="J10" i="28"/>
  <c r="G33" i="53" s="1"/>
  <c r="M9" i="28"/>
  <c r="L10"/>
  <c r="I33" i="53" s="1"/>
  <c r="I59" s="1"/>
  <c r="J7" i="27"/>
  <c r="J10" i="26"/>
  <c r="G33" i="51" s="1"/>
  <c r="J10" i="25"/>
  <c r="G33" i="50" s="1"/>
  <c r="J10" i="23"/>
  <c r="G33" i="58" s="1"/>
  <c r="L10" i="23"/>
  <c r="I33" i="58" s="1"/>
  <c r="M9" i="23"/>
  <c r="N17" i="127"/>
  <c r="G15" i="328"/>
  <c r="G15" i="341"/>
  <c r="G16" i="88"/>
  <c r="G16" i="125" s="1"/>
  <c r="N9" i="322"/>
  <c r="F16" i="328"/>
  <c r="E18" i="127"/>
  <c r="F16" i="341"/>
  <c r="F17" i="88"/>
  <c r="F17" i="125" s="1"/>
  <c r="E10" i="322"/>
  <c r="D26" i="101"/>
  <c r="D26" i="328"/>
  <c r="U18" i="127"/>
  <c r="U10" i="322"/>
  <c r="O17" i="127"/>
  <c r="O9" i="322"/>
  <c r="F42" i="270"/>
  <c r="D38"/>
  <c r="C15" i="47"/>
  <c r="C18" i="45"/>
  <c r="C16"/>
  <c r="D20" i="313"/>
  <c r="C20"/>
  <c r="J19"/>
  <c r="I19"/>
  <c r="C33" i="215"/>
  <c r="C16" i="49"/>
  <c r="C17" i="44"/>
  <c r="C16"/>
  <c r="G20" i="313"/>
  <c r="F20"/>
  <c r="G19"/>
  <c r="F19"/>
  <c r="C40" i="122"/>
  <c r="C40" i="123"/>
  <c r="C19" i="126" s="1"/>
  <c r="C38" i="270"/>
  <c r="C17" i="45"/>
  <c r="J21" i="313"/>
  <c r="I21"/>
  <c r="J20"/>
  <c r="I20"/>
  <c r="C18" i="44"/>
  <c r="C18" i="49"/>
  <c r="C32" i="281"/>
  <c r="C24"/>
  <c r="C16"/>
  <c r="C16" i="280"/>
  <c r="E8" i="354"/>
  <c r="E102" s="1"/>
  <c r="D102"/>
  <c r="C67" i="21"/>
  <c r="C37" i="162" s="1"/>
  <c r="D40" i="270"/>
  <c r="B33" i="356"/>
  <c r="C33"/>
  <c r="E33"/>
  <c r="D104" i="354"/>
  <c r="E76"/>
  <c r="E72"/>
  <c r="E68"/>
  <c r="E64"/>
  <c r="E60"/>
  <c r="E56"/>
  <c r="E52"/>
  <c r="E48"/>
  <c r="E44"/>
  <c r="E40"/>
  <c r="E36"/>
  <c r="E32"/>
  <c r="E28"/>
  <c r="E24"/>
  <c r="E20"/>
  <c r="E16"/>
  <c r="E12"/>
  <c r="D103"/>
  <c r="C40" i="270"/>
  <c r="X14" i="332"/>
  <c r="X12"/>
  <c r="X10"/>
  <c r="X8"/>
  <c r="X6"/>
  <c r="X4"/>
  <c r="X13"/>
  <c r="X11"/>
  <c r="X9"/>
  <c r="X7"/>
  <c r="X5"/>
  <c r="D18" i="314"/>
  <c r="C49" i="215"/>
  <c r="J8" i="313"/>
  <c r="C50" i="215"/>
  <c r="C46"/>
  <c r="C44"/>
  <c r="C40"/>
  <c r="C34"/>
  <c r="C51"/>
  <c r="C45"/>
  <c r="C41"/>
  <c r="C48" i="278"/>
  <c r="C46"/>
  <c r="C44"/>
  <c r="C42"/>
  <c r="C40"/>
  <c r="C38"/>
  <c r="C36"/>
  <c r="C34"/>
  <c r="C30"/>
  <c r="C28"/>
  <c r="C26"/>
  <c r="C22"/>
  <c r="C20"/>
  <c r="C18"/>
  <c r="C16"/>
  <c r="C14"/>
  <c r="C12"/>
  <c r="C10"/>
  <c r="C8"/>
  <c r="C6"/>
  <c r="C4"/>
  <c r="C5" i="279"/>
  <c r="C47" i="280"/>
  <c r="C45"/>
  <c r="C43"/>
  <c r="C41"/>
  <c r="C39"/>
  <c r="C37"/>
  <c r="C35"/>
  <c r="C33"/>
  <c r="C31"/>
  <c r="C29"/>
  <c r="C27"/>
  <c r="C25"/>
  <c r="C23"/>
  <c r="C21"/>
  <c r="C19"/>
  <c r="C17"/>
  <c r="C15"/>
  <c r="C13"/>
  <c r="C11"/>
  <c r="C9"/>
  <c r="C7"/>
  <c r="C5"/>
  <c r="J10" i="313"/>
  <c r="J6"/>
  <c r="C58" i="343"/>
  <c r="C15" i="332"/>
  <c r="J17" i="313"/>
  <c r="J16"/>
  <c r="C59" i="207"/>
  <c r="C6" i="279"/>
  <c r="C4"/>
  <c r="C26" i="263"/>
  <c r="C49" i="281"/>
  <c r="C47"/>
  <c r="C45"/>
  <c r="C43"/>
  <c r="C41"/>
  <c r="C39"/>
  <c r="C37"/>
  <c r="C35"/>
  <c r="C33"/>
  <c r="C31"/>
  <c r="C29"/>
  <c r="C27"/>
  <c r="C25"/>
  <c r="C23"/>
  <c r="C21"/>
  <c r="C19"/>
  <c r="C17"/>
  <c r="C15"/>
  <c r="C13"/>
  <c r="C11"/>
  <c r="C9"/>
  <c r="C7"/>
  <c r="C5"/>
  <c r="C68" i="118"/>
  <c r="C69"/>
  <c r="C70" i="7"/>
  <c r="C41"/>
  <c r="J18" i="313"/>
  <c r="C50" i="279"/>
  <c r="C63" s="1"/>
  <c r="C62" i="207"/>
  <c r="C32" i="278"/>
  <c r="C24"/>
  <c r="C32" i="280"/>
  <c r="C24"/>
  <c r="J14" i="313"/>
  <c r="J13"/>
  <c r="J9"/>
  <c r="AB41" i="6"/>
  <c r="AB39"/>
  <c r="AB37"/>
  <c r="AB35"/>
  <c r="AB33"/>
  <c r="AB31"/>
  <c r="AB29"/>
  <c r="AB27"/>
  <c r="AB25"/>
  <c r="AB23"/>
  <c r="AB21"/>
  <c r="AB19"/>
  <c r="AB17"/>
  <c r="E40" i="270"/>
  <c r="H22"/>
  <c r="H21" s="1"/>
  <c r="H20" s="1"/>
  <c r="AB15" i="6"/>
  <c r="AB13"/>
  <c r="AB11"/>
  <c r="C23" i="95"/>
  <c r="G26" i="263"/>
  <c r="I26"/>
  <c r="C41" i="270"/>
  <c r="E38"/>
  <c r="C25" i="95"/>
  <c r="B40" i="270"/>
  <c r="P32" i="304"/>
  <c r="N32"/>
  <c r="AB9" i="6"/>
  <c r="AB7"/>
  <c r="J7" i="313"/>
  <c r="Q32" i="304"/>
  <c r="O32"/>
  <c r="H25" i="263"/>
  <c r="B21"/>
  <c r="B24" s="1"/>
  <c r="K26"/>
  <c r="K24"/>
  <c r="C24" i="95"/>
  <c r="C25" i="94"/>
  <c r="C25" i="93"/>
  <c r="F21" i="263"/>
  <c r="F24" s="1"/>
  <c r="J4"/>
  <c r="J25" s="1"/>
  <c r="H21"/>
  <c r="H24" s="1"/>
  <c r="H27" i="270"/>
  <c r="H42" s="1"/>
  <c r="B14" i="263"/>
  <c r="C24" i="94"/>
  <c r="C24" i="93"/>
  <c r="F14" i="263"/>
  <c r="F25" s="1"/>
  <c r="G25"/>
  <c r="I25"/>
  <c r="K25"/>
  <c r="H5" i="309"/>
  <c r="J5"/>
  <c r="AB40" i="6"/>
  <c r="AB38"/>
  <c r="AB36"/>
  <c r="AB34"/>
  <c r="AB32"/>
  <c r="AB30"/>
  <c r="AB28"/>
  <c r="AB26"/>
  <c r="AB24"/>
  <c r="AB22"/>
  <c r="AB20"/>
  <c r="AB18"/>
  <c r="AB16"/>
  <c r="AB14"/>
  <c r="AB12"/>
  <c r="AB10"/>
  <c r="AB8"/>
  <c r="B40"/>
  <c r="C18" i="313"/>
  <c r="C16"/>
  <c r="C14"/>
  <c r="C12"/>
  <c r="C10"/>
  <c r="C8"/>
  <c r="C6"/>
  <c r="D5"/>
  <c r="D17"/>
  <c r="D15"/>
  <c r="D13"/>
  <c r="D11"/>
  <c r="D9"/>
  <c r="D7"/>
  <c r="D19"/>
  <c r="F5"/>
  <c r="J5"/>
  <c r="G18"/>
  <c r="G17"/>
  <c r="F16"/>
  <c r="F15"/>
  <c r="G14"/>
  <c r="F13"/>
  <c r="F12"/>
  <c r="F11"/>
  <c r="F10"/>
  <c r="G9"/>
  <c r="F8"/>
  <c r="G7"/>
  <c r="F6"/>
  <c r="G21"/>
  <c r="C4" i="314"/>
  <c r="C12"/>
  <c r="C10"/>
  <c r="C8"/>
  <c r="C6"/>
  <c r="D13"/>
  <c r="D11"/>
  <c r="D9"/>
  <c r="D7"/>
  <c r="D5"/>
  <c r="D20"/>
  <c r="I5" i="309"/>
  <c r="J15" i="313"/>
  <c r="J12"/>
  <c r="J11"/>
  <c r="C25" i="263"/>
  <c r="I24"/>
  <c r="G24"/>
  <c r="C24"/>
  <c r="J26"/>
  <c r="E40" i="6"/>
  <c r="D40"/>
  <c r="F40"/>
  <c r="AB6"/>
  <c r="AB59" s="1"/>
  <c r="H15" i="104"/>
  <c r="F15"/>
  <c r="D15"/>
  <c r="G15"/>
  <c r="E15"/>
  <c r="AP50" i="241"/>
  <c r="BA51"/>
  <c r="AP51"/>
  <c r="B37" i="270"/>
  <c r="B38"/>
  <c r="B41"/>
  <c r="C37"/>
  <c r="C23" i="93"/>
  <c r="C23" i="94"/>
  <c r="C5" i="258"/>
  <c r="C39" s="1"/>
  <c r="E5"/>
  <c r="E39" s="1"/>
  <c r="F5"/>
  <c r="F39" s="1"/>
  <c r="G5"/>
  <c r="G39" s="1"/>
  <c r="H5"/>
  <c r="H39" s="1"/>
  <c r="K40"/>
  <c r="M40"/>
  <c r="N40"/>
  <c r="O40"/>
  <c r="P40"/>
  <c r="O39"/>
  <c r="B5"/>
  <c r="B39" s="1"/>
  <c r="B20" i="251"/>
  <c r="C20"/>
  <c r="D20"/>
  <c r="E20"/>
  <c r="F20"/>
  <c r="G20"/>
  <c r="H20"/>
  <c r="I20"/>
  <c r="J20"/>
  <c r="K20"/>
  <c r="L20"/>
  <c r="B21"/>
  <c r="C21"/>
  <c r="D21"/>
  <c r="E21"/>
  <c r="F21"/>
  <c r="G21"/>
  <c r="H21"/>
  <c r="I21"/>
  <c r="J21"/>
  <c r="K21"/>
  <c r="L21"/>
  <c r="B22"/>
  <c r="C22"/>
  <c r="D22"/>
  <c r="E22"/>
  <c r="F22"/>
  <c r="G22"/>
  <c r="H22"/>
  <c r="I22"/>
  <c r="J22"/>
  <c r="K22"/>
  <c r="L22"/>
  <c r="B23"/>
  <c r="C23"/>
  <c r="D23"/>
  <c r="E23"/>
  <c r="F23"/>
  <c r="G23"/>
  <c r="H23"/>
  <c r="I23"/>
  <c r="J23"/>
  <c r="K23"/>
  <c r="L23"/>
  <c r="B24"/>
  <c r="C24"/>
  <c r="D24"/>
  <c r="E24"/>
  <c r="F24"/>
  <c r="G24"/>
  <c r="H24"/>
  <c r="I24"/>
  <c r="J24"/>
  <c r="K24"/>
  <c r="L24"/>
  <c r="B25"/>
  <c r="C25"/>
  <c r="D25"/>
  <c r="E25"/>
  <c r="F25"/>
  <c r="G25"/>
  <c r="H25"/>
  <c r="I25"/>
  <c r="J25"/>
  <c r="K25"/>
  <c r="L25"/>
  <c r="B26"/>
  <c r="C26"/>
  <c r="D26"/>
  <c r="E26"/>
  <c r="F26"/>
  <c r="G26"/>
  <c r="H26"/>
  <c r="I26"/>
  <c r="J26"/>
  <c r="K26"/>
  <c r="L26"/>
  <c r="B27"/>
  <c r="C27"/>
  <c r="D27"/>
  <c r="E27"/>
  <c r="F27"/>
  <c r="G27"/>
  <c r="H27"/>
  <c r="I27"/>
  <c r="J27"/>
  <c r="K27"/>
  <c r="L27"/>
  <c r="B28"/>
  <c r="C28"/>
  <c r="D28"/>
  <c r="E28"/>
  <c r="F28"/>
  <c r="G28"/>
  <c r="H28"/>
  <c r="I28"/>
  <c r="J28"/>
  <c r="K28"/>
  <c r="L28"/>
  <c r="C19"/>
  <c r="D19"/>
  <c r="E19"/>
  <c r="F19"/>
  <c r="G19"/>
  <c r="H19"/>
  <c r="I19"/>
  <c r="J19"/>
  <c r="K19"/>
  <c r="L19"/>
  <c r="B19"/>
  <c r="B16"/>
  <c r="C16"/>
  <c r="F16"/>
  <c r="G16"/>
  <c r="H16"/>
  <c r="I16"/>
  <c r="J16"/>
  <c r="K16"/>
  <c r="L16"/>
  <c r="C16" i="248"/>
  <c r="D16"/>
  <c r="E16"/>
  <c r="F16"/>
  <c r="G16"/>
  <c r="H16"/>
  <c r="I16"/>
  <c r="J16"/>
  <c r="K16"/>
  <c r="L16"/>
  <c r="G60" i="50" l="1"/>
  <c r="I60" i="58"/>
  <c r="G60" i="51"/>
  <c r="C58" i="281"/>
  <c r="C59" i="280"/>
  <c r="C58"/>
  <c r="C62" i="278"/>
  <c r="C63" i="280"/>
  <c r="C63" i="278"/>
  <c r="C58"/>
  <c r="C59"/>
  <c r="D39" i="364"/>
  <c r="D40"/>
  <c r="D39" i="366"/>
  <c r="D40"/>
  <c r="J30" i="309"/>
  <c r="J29"/>
  <c r="C63" i="281"/>
  <c r="C60"/>
  <c r="C59"/>
  <c r="C62" i="280"/>
  <c r="C60" i="278"/>
  <c r="C60" i="280"/>
  <c r="C40" i="118"/>
  <c r="C20" i="101"/>
  <c r="C59" i="279"/>
  <c r="C58"/>
  <c r="G20" i="108"/>
  <c r="E29" i="308"/>
  <c r="E28"/>
  <c r="H29" i="309"/>
  <c r="H30"/>
  <c r="I29"/>
  <c r="I30"/>
  <c r="C61" i="281"/>
  <c r="C61" i="278"/>
  <c r="B25" i="263"/>
  <c r="C61" i="280"/>
  <c r="C62" i="281"/>
  <c r="B39" i="6"/>
  <c r="D27" i="88"/>
  <c r="D27" i="125" s="1"/>
  <c r="I17" i="108"/>
  <c r="H15" i="101"/>
  <c r="D26" i="120"/>
  <c r="D26" i="108"/>
  <c r="D33"/>
  <c r="D35"/>
  <c r="D32"/>
  <c r="D34"/>
  <c r="D36"/>
  <c r="D31"/>
  <c r="D30"/>
  <c r="I16" i="101"/>
  <c r="D27"/>
  <c r="D28" i="120"/>
  <c r="D28" i="108"/>
  <c r="H16"/>
  <c r="D29"/>
  <c r="H10" i="26"/>
  <c r="F34" i="51"/>
  <c r="H10" i="18"/>
  <c r="F34" i="54"/>
  <c r="C37" i="127"/>
  <c r="B17"/>
  <c r="B15" i="341"/>
  <c r="B15" i="328"/>
  <c r="B16" i="88"/>
  <c r="B16" i="125" s="1"/>
  <c r="C28" i="127"/>
  <c r="I10" i="23"/>
  <c r="C15" i="328"/>
  <c r="C15" i="341"/>
  <c r="C16" i="88"/>
  <c r="C16" i="125" s="1"/>
  <c r="D17" i="127"/>
  <c r="E15" i="341"/>
  <c r="E15" i="328"/>
  <c r="E16" i="88"/>
  <c r="E16" i="125" s="1"/>
  <c r="D9" i="322"/>
  <c r="J9" i="28"/>
  <c r="I10"/>
  <c r="L9"/>
  <c r="M8"/>
  <c r="J6" i="27"/>
  <c r="J9" i="26"/>
  <c r="G32" i="51" s="1"/>
  <c r="J9" i="25"/>
  <c r="G32" i="50" s="1"/>
  <c r="J9" i="23"/>
  <c r="L9"/>
  <c r="M8"/>
  <c r="N16" i="127"/>
  <c r="G14" i="341"/>
  <c r="G14" i="328"/>
  <c r="G15" i="88"/>
  <c r="G15" i="125" s="1"/>
  <c r="N8" i="322"/>
  <c r="C32" i="127"/>
  <c r="C27"/>
  <c r="C31"/>
  <c r="D25" i="328"/>
  <c r="D25" i="341"/>
  <c r="C36" i="127"/>
  <c r="C35"/>
  <c r="D26" i="88"/>
  <c r="D26" i="125" s="1"/>
  <c r="C33" i="127"/>
  <c r="C34"/>
  <c r="C30"/>
  <c r="C29"/>
  <c r="F15" i="341"/>
  <c r="F15" i="328"/>
  <c r="E17" i="127"/>
  <c r="F16" i="88"/>
  <c r="F16" i="125" s="1"/>
  <c r="E9" i="322"/>
  <c r="U17" i="127"/>
  <c r="U9" i="322"/>
  <c r="O16" i="127"/>
  <c r="O8" i="322"/>
  <c r="C40" i="7"/>
  <c r="M39" i="258"/>
  <c r="C39" i="123"/>
  <c r="C18" i="126" s="1"/>
  <c r="C39" i="122"/>
  <c r="E103" i="354"/>
  <c r="C46" i="101"/>
  <c r="C54"/>
  <c r="E104" i="354"/>
  <c r="H19" i="270"/>
  <c r="H18" s="1"/>
  <c r="H17" s="1"/>
  <c r="H16" s="1"/>
  <c r="H15" s="1"/>
  <c r="H14" s="1"/>
  <c r="H13" s="1"/>
  <c r="H12" s="1"/>
  <c r="H39" s="1"/>
  <c r="H26" i="263"/>
  <c r="B26"/>
  <c r="C41" i="126"/>
  <c r="P41" i="258"/>
  <c r="N41"/>
  <c r="K41"/>
  <c r="F26" i="263"/>
  <c r="B40" i="258"/>
  <c r="H40"/>
  <c r="J24" i="263"/>
  <c r="G40" i="258"/>
  <c r="E40"/>
  <c r="E39" i="6"/>
  <c r="F39"/>
  <c r="D39"/>
  <c r="J41" i="258"/>
  <c r="J40"/>
  <c r="J39"/>
  <c r="J42"/>
  <c r="P42"/>
  <c r="N42"/>
  <c r="K42"/>
  <c r="O41"/>
  <c r="M41"/>
  <c r="O42"/>
  <c r="M42"/>
  <c r="P39"/>
  <c r="N39"/>
  <c r="K39"/>
  <c r="A19" i="4"/>
  <c r="A18"/>
  <c r="A17"/>
  <c r="A16"/>
  <c r="A15"/>
  <c r="A14"/>
  <c r="A13"/>
  <c r="O38" i="241"/>
  <c r="C6" i="238"/>
  <c r="D6"/>
  <c r="E6"/>
  <c r="F6"/>
  <c r="G6"/>
  <c r="H6"/>
  <c r="I6"/>
  <c r="J6"/>
  <c r="K6"/>
  <c r="L6"/>
  <c r="M6"/>
  <c r="N6"/>
  <c r="B6"/>
  <c r="D5" i="237"/>
  <c r="D39" s="1"/>
  <c r="E5"/>
  <c r="E39" s="1"/>
  <c r="H5"/>
  <c r="H39" s="1"/>
  <c r="I5"/>
  <c r="I39" s="1"/>
  <c r="K5"/>
  <c r="K39" s="1"/>
  <c r="L5"/>
  <c r="L39" s="1"/>
  <c r="M5"/>
  <c r="N5"/>
  <c r="N39" s="1"/>
  <c r="O5"/>
  <c r="O39" s="1"/>
  <c r="H6"/>
  <c r="L6"/>
  <c r="D7"/>
  <c r="E7"/>
  <c r="D9"/>
  <c r="E9"/>
  <c r="H9"/>
  <c r="I9"/>
  <c r="J9"/>
  <c r="K9"/>
  <c r="L9"/>
  <c r="M9"/>
  <c r="N9"/>
  <c r="O9"/>
  <c r="H10"/>
  <c r="L10"/>
  <c r="D11"/>
  <c r="E11"/>
  <c r="D13"/>
  <c r="D41" s="1"/>
  <c r="E13"/>
  <c r="E41" s="1"/>
  <c r="H13"/>
  <c r="H41" s="1"/>
  <c r="I13"/>
  <c r="I41" s="1"/>
  <c r="J13"/>
  <c r="J41" s="1"/>
  <c r="K13"/>
  <c r="K41" s="1"/>
  <c r="L13"/>
  <c r="L41" s="1"/>
  <c r="M13"/>
  <c r="M41" s="1"/>
  <c r="N13"/>
  <c r="O13"/>
  <c r="H14"/>
  <c r="L14"/>
  <c r="D15"/>
  <c r="E15"/>
  <c r="D17"/>
  <c r="E17"/>
  <c r="H17"/>
  <c r="I17"/>
  <c r="J17"/>
  <c r="K17"/>
  <c r="L17"/>
  <c r="M17"/>
  <c r="N17"/>
  <c r="O17"/>
  <c r="H18"/>
  <c r="L18"/>
  <c r="D19"/>
  <c r="E19"/>
  <c r="D21"/>
  <c r="E21"/>
  <c r="H21"/>
  <c r="I21"/>
  <c r="J21"/>
  <c r="K21"/>
  <c r="L21"/>
  <c r="M21"/>
  <c r="N21"/>
  <c r="O21"/>
  <c r="H22"/>
  <c r="L22"/>
  <c r="D23"/>
  <c r="E23"/>
  <c r="H23"/>
  <c r="L23"/>
  <c r="D24"/>
  <c r="D43" s="1"/>
  <c r="E24"/>
  <c r="E43" s="1"/>
  <c r="H24"/>
  <c r="H43" s="1"/>
  <c r="L24"/>
  <c r="L43" s="1"/>
  <c r="D25"/>
  <c r="E25"/>
  <c r="H25"/>
  <c r="L25"/>
  <c r="D26"/>
  <c r="E26"/>
  <c r="H26"/>
  <c r="L26"/>
  <c r="D27"/>
  <c r="E27"/>
  <c r="H27"/>
  <c r="L27"/>
  <c r="D28"/>
  <c r="E28"/>
  <c r="H28"/>
  <c r="L28"/>
  <c r="D29"/>
  <c r="E29"/>
  <c r="H29"/>
  <c r="L29"/>
  <c r="D30"/>
  <c r="E30"/>
  <c r="H30"/>
  <c r="L30"/>
  <c r="D31"/>
  <c r="E31"/>
  <c r="U43"/>
  <c r="V43"/>
  <c r="H31"/>
  <c r="L31"/>
  <c r="C66" i="15"/>
  <c r="D66"/>
  <c r="E66"/>
  <c r="F66"/>
  <c r="G66"/>
  <c r="H66"/>
  <c r="I66"/>
  <c r="L66"/>
  <c r="M66"/>
  <c r="N66"/>
  <c r="B66"/>
  <c r="C63" i="139"/>
  <c r="D63"/>
  <c r="E63"/>
  <c r="G63"/>
  <c r="H63"/>
  <c r="I63"/>
  <c r="B63"/>
  <c r="A147" i="4"/>
  <c r="A139"/>
  <c r="A143"/>
  <c r="G41" i="238" l="1"/>
  <c r="G40"/>
  <c r="O40" i="237"/>
  <c r="O41"/>
  <c r="H38" i="18"/>
  <c r="M40" i="238"/>
  <c r="M41"/>
  <c r="I40"/>
  <c r="I41"/>
  <c r="E40"/>
  <c r="E41"/>
  <c r="C39" i="118"/>
  <c r="C19" i="101"/>
  <c r="C20" i="108"/>
  <c r="N40" i="237"/>
  <c r="N41"/>
  <c r="B41" i="238"/>
  <c r="B40"/>
  <c r="K41"/>
  <c r="K40"/>
  <c r="C40"/>
  <c r="C41"/>
  <c r="L40"/>
  <c r="L41"/>
  <c r="H40"/>
  <c r="H41"/>
  <c r="D40"/>
  <c r="D41"/>
  <c r="B5" i="237"/>
  <c r="B39" s="1"/>
  <c r="M39"/>
  <c r="N40" i="238"/>
  <c r="N41"/>
  <c r="J41"/>
  <c r="J40"/>
  <c r="F40"/>
  <c r="F41"/>
  <c r="B38" i="6"/>
  <c r="D41" i="358"/>
  <c r="D49"/>
  <c r="H14" i="101"/>
  <c r="I15"/>
  <c r="D25"/>
  <c r="D27" i="120"/>
  <c r="D27" i="108"/>
  <c r="I16"/>
  <c r="H15"/>
  <c r="H9" i="18"/>
  <c r="F33" i="54"/>
  <c r="H9" i="26"/>
  <c r="F33" i="51"/>
  <c r="B16" i="127"/>
  <c r="B14" i="341"/>
  <c r="B15" i="88"/>
  <c r="B15" i="125" s="1"/>
  <c r="B14" i="328"/>
  <c r="C14" i="341"/>
  <c r="C14" i="328"/>
  <c r="C15" i="88"/>
  <c r="C15" i="125" s="1"/>
  <c r="E14" i="341"/>
  <c r="E14" i="328"/>
  <c r="D16" i="127"/>
  <c r="E15" i="88"/>
  <c r="E15" i="125" s="1"/>
  <c r="D8" i="322"/>
  <c r="I9" i="23"/>
  <c r="I9" i="28"/>
  <c r="J8"/>
  <c r="G31" i="53" s="1"/>
  <c r="L8" i="28"/>
  <c r="I31" i="53" s="1"/>
  <c r="M7" i="28"/>
  <c r="J5" i="27"/>
  <c r="J8" i="26"/>
  <c r="G31" i="51" s="1"/>
  <c r="J8" i="25"/>
  <c r="G31" i="50" s="1"/>
  <c r="J8" i="23"/>
  <c r="M7"/>
  <c r="L8"/>
  <c r="G13" i="328"/>
  <c r="N15" i="127"/>
  <c r="G13" i="341"/>
  <c r="G14" i="88"/>
  <c r="G14" i="125" s="1"/>
  <c r="N7" i="322"/>
  <c r="D45" i="358"/>
  <c r="D25" i="88"/>
  <c r="D25" i="125" s="1"/>
  <c r="C26" i="127"/>
  <c r="D24" i="341"/>
  <c r="D24" i="328"/>
  <c r="U16" i="127"/>
  <c r="U8" i="322"/>
  <c r="F14" i="341"/>
  <c r="F15" i="88"/>
  <c r="F15" i="125" s="1"/>
  <c r="F14" i="328"/>
  <c r="E16" i="127"/>
  <c r="E8" i="322"/>
  <c r="O15" i="127"/>
  <c r="O7" i="322"/>
  <c r="I40" i="237"/>
  <c r="E40"/>
  <c r="D40"/>
  <c r="C57" i="101"/>
  <c r="C39" i="7"/>
  <c r="H42" i="237"/>
  <c r="L40"/>
  <c r="H40"/>
  <c r="L42"/>
  <c r="K40"/>
  <c r="N19"/>
  <c r="J19"/>
  <c r="N15"/>
  <c r="J15"/>
  <c r="N11"/>
  <c r="J11"/>
  <c r="N7"/>
  <c r="J7"/>
  <c r="O19"/>
  <c r="K19"/>
  <c r="O15"/>
  <c r="K15"/>
  <c r="O11"/>
  <c r="K11"/>
  <c r="O7"/>
  <c r="K7"/>
  <c r="L20"/>
  <c r="H20"/>
  <c r="L19"/>
  <c r="H19"/>
  <c r="L16"/>
  <c r="H16"/>
  <c r="L15"/>
  <c r="H15"/>
  <c r="L12"/>
  <c r="H12"/>
  <c r="L11"/>
  <c r="H11"/>
  <c r="L8"/>
  <c r="H8"/>
  <c r="L7"/>
  <c r="H7"/>
  <c r="M19"/>
  <c r="I19"/>
  <c r="M15"/>
  <c r="I15"/>
  <c r="M11"/>
  <c r="I11"/>
  <c r="M7"/>
  <c r="D42"/>
  <c r="E42"/>
  <c r="N31"/>
  <c r="J31"/>
  <c r="N30"/>
  <c r="J30"/>
  <c r="N29"/>
  <c r="J29"/>
  <c r="N28"/>
  <c r="J28"/>
  <c r="N27"/>
  <c r="J27"/>
  <c r="N26"/>
  <c r="J26"/>
  <c r="N25"/>
  <c r="J25"/>
  <c r="N24"/>
  <c r="J24"/>
  <c r="N23"/>
  <c r="J23"/>
  <c r="N22"/>
  <c r="J22"/>
  <c r="D22"/>
  <c r="N20"/>
  <c r="J20"/>
  <c r="D20"/>
  <c r="N18"/>
  <c r="J18"/>
  <c r="D18"/>
  <c r="N16"/>
  <c r="J16"/>
  <c r="D16"/>
  <c r="N14"/>
  <c r="J14"/>
  <c r="D14"/>
  <c r="N12"/>
  <c r="J12"/>
  <c r="D12"/>
  <c r="N10"/>
  <c r="J10"/>
  <c r="D10"/>
  <c r="N8"/>
  <c r="J8"/>
  <c r="D8"/>
  <c r="O31"/>
  <c r="K31"/>
  <c r="O30"/>
  <c r="K30"/>
  <c r="O29"/>
  <c r="K29"/>
  <c r="O28"/>
  <c r="K28"/>
  <c r="O27"/>
  <c r="K27"/>
  <c r="O26"/>
  <c r="K26"/>
  <c r="O25"/>
  <c r="K25"/>
  <c r="O24"/>
  <c r="K24"/>
  <c r="O23"/>
  <c r="K23"/>
  <c r="O22"/>
  <c r="K22"/>
  <c r="E22"/>
  <c r="O20"/>
  <c r="K20"/>
  <c r="E20"/>
  <c r="O18"/>
  <c r="K18"/>
  <c r="E18"/>
  <c r="O16"/>
  <c r="K16"/>
  <c r="E16"/>
  <c r="O14"/>
  <c r="K14"/>
  <c r="E14"/>
  <c r="O12"/>
  <c r="K12"/>
  <c r="E12"/>
  <c r="O10"/>
  <c r="K10"/>
  <c r="E10"/>
  <c r="O8"/>
  <c r="K8"/>
  <c r="E8"/>
  <c r="O6"/>
  <c r="K6"/>
  <c r="E6"/>
  <c r="H41" i="258"/>
  <c r="C38" i="122"/>
  <c r="C38" i="123"/>
  <c r="C17" i="126" s="1"/>
  <c r="M31" i="237"/>
  <c r="I31"/>
  <c r="M30"/>
  <c r="I30"/>
  <c r="M29"/>
  <c r="I29"/>
  <c r="M28"/>
  <c r="I28"/>
  <c r="M27"/>
  <c r="I27"/>
  <c r="M26"/>
  <c r="I26"/>
  <c r="M25"/>
  <c r="I25"/>
  <c r="M24"/>
  <c r="M43" s="1"/>
  <c r="I24"/>
  <c r="M23"/>
  <c r="I23"/>
  <c r="M22"/>
  <c r="I22"/>
  <c r="M20"/>
  <c r="I20"/>
  <c r="M18"/>
  <c r="I18"/>
  <c r="M16"/>
  <c r="I16"/>
  <c r="M14"/>
  <c r="I14"/>
  <c r="M12"/>
  <c r="I12"/>
  <c r="M10"/>
  <c r="I10"/>
  <c r="M8"/>
  <c r="M6"/>
  <c r="N6"/>
  <c r="J6"/>
  <c r="D6"/>
  <c r="I8"/>
  <c r="I7"/>
  <c r="I6"/>
  <c r="H40" i="270"/>
  <c r="H11"/>
  <c r="H10" s="1"/>
  <c r="H9" s="1"/>
  <c r="H8" s="1"/>
  <c r="H7" s="1"/>
  <c r="H6" s="1"/>
  <c r="H37" s="1"/>
  <c r="B41" i="258"/>
  <c r="R39" i="237"/>
  <c r="M40"/>
  <c r="P40" i="238"/>
  <c r="Z49" i="241"/>
  <c r="X49"/>
  <c r="V49"/>
  <c r="T49"/>
  <c r="R49"/>
  <c r="P49"/>
  <c r="Z51"/>
  <c r="X51"/>
  <c r="V51"/>
  <c r="T51"/>
  <c r="R51"/>
  <c r="P51"/>
  <c r="Y50"/>
  <c r="W50"/>
  <c r="U50"/>
  <c r="S50"/>
  <c r="Q50"/>
  <c r="Z30"/>
  <c r="X30"/>
  <c r="V30"/>
  <c r="T30"/>
  <c r="R30"/>
  <c r="P30"/>
  <c r="C41" i="258"/>
  <c r="C40"/>
  <c r="C6" i="237"/>
  <c r="C8"/>
  <c r="C10"/>
  <c r="C12"/>
  <c r="C14"/>
  <c r="C16"/>
  <c r="C18"/>
  <c r="C20"/>
  <c r="C22"/>
  <c r="C24"/>
  <c r="C43" s="1"/>
  <c r="C26"/>
  <c r="C28"/>
  <c r="C30"/>
  <c r="R42"/>
  <c r="AD43"/>
  <c r="AB43"/>
  <c r="Z43"/>
  <c r="X43"/>
  <c r="T43"/>
  <c r="AD42"/>
  <c r="AB42"/>
  <c r="Z42"/>
  <c r="X42"/>
  <c r="T42"/>
  <c r="AD40"/>
  <c r="AB40"/>
  <c r="Z40"/>
  <c r="X40"/>
  <c r="T40"/>
  <c r="AD39"/>
  <c r="AB39"/>
  <c r="Z39"/>
  <c r="X39"/>
  <c r="T39"/>
  <c r="G41" i="258"/>
  <c r="J40" i="237"/>
  <c r="B29" i="239"/>
  <c r="O30" i="241"/>
  <c r="Y49"/>
  <c r="W49"/>
  <c r="U49"/>
  <c r="S49"/>
  <c r="Q49"/>
  <c r="Y51"/>
  <c r="W51"/>
  <c r="U51"/>
  <c r="S51"/>
  <c r="Q51"/>
  <c r="Z50"/>
  <c r="X50"/>
  <c r="V50"/>
  <c r="T50"/>
  <c r="R50"/>
  <c r="P50"/>
  <c r="Y30"/>
  <c r="W30"/>
  <c r="U30"/>
  <c r="S30"/>
  <c r="Q30"/>
  <c r="F41" i="258"/>
  <c r="F40"/>
  <c r="C7" i="237"/>
  <c r="C9"/>
  <c r="B9" s="1"/>
  <c r="C13"/>
  <c r="C15"/>
  <c r="C17"/>
  <c r="C19"/>
  <c r="C21"/>
  <c r="C23"/>
  <c r="C25"/>
  <c r="C27"/>
  <c r="C29"/>
  <c r="C31"/>
  <c r="R40"/>
  <c r="R43"/>
  <c r="AC43"/>
  <c r="AA43"/>
  <c r="Y43"/>
  <c r="W43"/>
  <c r="S43"/>
  <c r="AC42"/>
  <c r="AA42"/>
  <c r="Y42"/>
  <c r="W42"/>
  <c r="S42"/>
  <c r="AC40"/>
  <c r="AA40"/>
  <c r="Y40"/>
  <c r="W40"/>
  <c r="S40"/>
  <c r="AC39"/>
  <c r="AA39"/>
  <c r="Y39"/>
  <c r="W39"/>
  <c r="S39"/>
  <c r="E41" i="258"/>
  <c r="D38" i="6"/>
  <c r="F38"/>
  <c r="E38"/>
  <c r="O51" i="241"/>
  <c r="O49"/>
  <c r="O50"/>
  <c r="P43" i="238"/>
  <c r="AB44"/>
  <c r="Z44"/>
  <c r="X44"/>
  <c r="V44"/>
  <c r="T44"/>
  <c r="R44"/>
  <c r="AB43"/>
  <c r="Z43"/>
  <c r="X43"/>
  <c r="V43"/>
  <c r="T43"/>
  <c r="R43"/>
  <c r="AB41"/>
  <c r="Z41"/>
  <c r="X41"/>
  <c r="V41"/>
  <c r="T41"/>
  <c r="R41"/>
  <c r="AB40"/>
  <c r="Z40"/>
  <c r="X40"/>
  <c r="V40"/>
  <c r="T40"/>
  <c r="R40"/>
  <c r="P41"/>
  <c r="P44"/>
  <c r="AA44"/>
  <c r="Y44"/>
  <c r="W44"/>
  <c r="U44"/>
  <c r="S44"/>
  <c r="Q44"/>
  <c r="AA43"/>
  <c r="Y43"/>
  <c r="W43"/>
  <c r="U43"/>
  <c r="S43"/>
  <c r="Q43"/>
  <c r="AA41"/>
  <c r="Y41"/>
  <c r="W41"/>
  <c r="U41"/>
  <c r="S41"/>
  <c r="Q41"/>
  <c r="AA40"/>
  <c r="Y40"/>
  <c r="W40"/>
  <c r="U40"/>
  <c r="S40"/>
  <c r="Q40"/>
  <c r="N5" i="105"/>
  <c r="N6"/>
  <c r="N7"/>
  <c r="N8"/>
  <c r="N9"/>
  <c r="N10"/>
  <c r="N11"/>
  <c r="N12"/>
  <c r="N13"/>
  <c r="N14"/>
  <c r="N15"/>
  <c r="N16"/>
  <c r="N17"/>
  <c r="N18"/>
  <c r="N19"/>
  <c r="N20"/>
  <c r="N21"/>
  <c r="N22"/>
  <c r="N23"/>
  <c r="N24"/>
  <c r="N25"/>
  <c r="N33" i="8"/>
  <c r="N34"/>
  <c r="N35"/>
  <c r="N36"/>
  <c r="N5" i="9"/>
  <c r="N6"/>
  <c r="N7"/>
  <c r="N8"/>
  <c r="N9"/>
  <c r="N10"/>
  <c r="N11"/>
  <c r="N12"/>
  <c r="N13"/>
  <c r="N14"/>
  <c r="N15"/>
  <c r="N16"/>
  <c r="N17"/>
  <c r="N18"/>
  <c r="N19"/>
  <c r="N20"/>
  <c r="N21"/>
  <c r="N22"/>
  <c r="N37" s="1"/>
  <c r="N23"/>
  <c r="N24"/>
  <c r="N25"/>
  <c r="N33" s="1"/>
  <c r="A107" i="4"/>
  <c r="G6" i="218"/>
  <c r="H6"/>
  <c r="I6"/>
  <c r="J6"/>
  <c r="A145" i="4"/>
  <c r="D35" i="215"/>
  <c r="E35"/>
  <c r="F35"/>
  <c r="D44"/>
  <c r="F44"/>
  <c r="A83" i="4"/>
  <c r="A82"/>
  <c r="A81"/>
  <c r="A80"/>
  <c r="A78"/>
  <c r="A77"/>
  <c r="A76"/>
  <c r="A75"/>
  <c r="K50" i="214"/>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K9"/>
  <c r="K8"/>
  <c r="K7"/>
  <c r="K6"/>
  <c r="K5"/>
  <c r="K4"/>
  <c r="K50" i="213"/>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K9"/>
  <c r="K8"/>
  <c r="K7"/>
  <c r="K6"/>
  <c r="K5"/>
  <c r="K4"/>
  <c r="K50" i="212"/>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K9"/>
  <c r="K8"/>
  <c r="K7"/>
  <c r="K6"/>
  <c r="K5"/>
  <c r="K4"/>
  <c r="K50" i="211"/>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K9"/>
  <c r="K8"/>
  <c r="K7"/>
  <c r="K6"/>
  <c r="K5"/>
  <c r="K4"/>
  <c r="K50" i="210"/>
  <c r="K49"/>
  <c r="G49" i="281"/>
  <c r="F49"/>
  <c r="E49"/>
  <c r="D49"/>
  <c r="B49"/>
  <c r="K48" i="210"/>
  <c r="G48" i="281"/>
  <c r="F48"/>
  <c r="E48"/>
  <c r="D48"/>
  <c r="B48"/>
  <c r="K47" i="210"/>
  <c r="G47" i="281"/>
  <c r="F47"/>
  <c r="E47"/>
  <c r="D47"/>
  <c r="B47"/>
  <c r="K46" i="210"/>
  <c r="G46" i="281"/>
  <c r="F46"/>
  <c r="E46"/>
  <c r="D46"/>
  <c r="B46"/>
  <c r="K45" i="210"/>
  <c r="G45" i="281"/>
  <c r="F45"/>
  <c r="E45"/>
  <c r="D45"/>
  <c r="B45"/>
  <c r="K44" i="210"/>
  <c r="G44" i="281"/>
  <c r="F44"/>
  <c r="E44"/>
  <c r="D44"/>
  <c r="B44"/>
  <c r="K43" i="210"/>
  <c r="G43" i="281"/>
  <c r="F43"/>
  <c r="E43"/>
  <c r="D43"/>
  <c r="B43"/>
  <c r="K42" i="210"/>
  <c r="G42" i="281"/>
  <c r="F42"/>
  <c r="E42"/>
  <c r="D42"/>
  <c r="B42"/>
  <c r="K41" i="210"/>
  <c r="G41" i="281"/>
  <c r="F41"/>
  <c r="E41"/>
  <c r="D41"/>
  <c r="B41"/>
  <c r="K40" i="210"/>
  <c r="G40" i="281"/>
  <c r="F40"/>
  <c r="E40"/>
  <c r="D40"/>
  <c r="B40"/>
  <c r="K39" i="210"/>
  <c r="G39" i="281"/>
  <c r="F39"/>
  <c r="E39"/>
  <c r="D39"/>
  <c r="B39"/>
  <c r="K38" i="210"/>
  <c r="G38" i="281"/>
  <c r="F38"/>
  <c r="E38"/>
  <c r="D38"/>
  <c r="B38"/>
  <c r="K37" i="210"/>
  <c r="G37" i="281"/>
  <c r="F37"/>
  <c r="E37"/>
  <c r="D37"/>
  <c r="B37"/>
  <c r="K36" i="210"/>
  <c r="G36" i="281"/>
  <c r="F36"/>
  <c r="E36"/>
  <c r="D36"/>
  <c r="B36"/>
  <c r="K35" i="210"/>
  <c r="G35" i="281"/>
  <c r="F35"/>
  <c r="E35"/>
  <c r="D35"/>
  <c r="B35"/>
  <c r="K34" i="210"/>
  <c r="G34" i="281"/>
  <c r="F34"/>
  <c r="E34"/>
  <c r="D34"/>
  <c r="B34"/>
  <c r="K33" i="210"/>
  <c r="G33" i="281"/>
  <c r="F33"/>
  <c r="E33"/>
  <c r="D33"/>
  <c r="B33"/>
  <c r="K32" i="210"/>
  <c r="G32" i="281"/>
  <c r="F32"/>
  <c r="E32"/>
  <c r="D32"/>
  <c r="B32"/>
  <c r="K31" i="210"/>
  <c r="G31" i="281"/>
  <c r="F31"/>
  <c r="E31"/>
  <c r="D31"/>
  <c r="B31"/>
  <c r="K30" i="210"/>
  <c r="G30" i="281"/>
  <c r="F30"/>
  <c r="E30"/>
  <c r="D30"/>
  <c r="B30"/>
  <c r="K29" i="210"/>
  <c r="G29" i="281"/>
  <c r="F29"/>
  <c r="E29"/>
  <c r="D29"/>
  <c r="B29"/>
  <c r="K28" i="210"/>
  <c r="G28" i="281"/>
  <c r="F28"/>
  <c r="E28"/>
  <c r="D28"/>
  <c r="B28"/>
  <c r="K27" i="210"/>
  <c r="G27" i="281"/>
  <c r="F27"/>
  <c r="E27"/>
  <c r="D27"/>
  <c r="B27"/>
  <c r="K26" i="210"/>
  <c r="G26" i="281"/>
  <c r="F26"/>
  <c r="E26"/>
  <c r="D26"/>
  <c r="B26"/>
  <c r="K25" i="210"/>
  <c r="G25" i="281"/>
  <c r="F25"/>
  <c r="E25"/>
  <c r="D25"/>
  <c r="B25"/>
  <c r="K24" i="210"/>
  <c r="G24" i="281"/>
  <c r="F24"/>
  <c r="E24"/>
  <c r="D24"/>
  <c r="B24"/>
  <c r="K23" i="210"/>
  <c r="D23" i="281" s="1"/>
  <c r="G23"/>
  <c r="F23"/>
  <c r="E23"/>
  <c r="B23"/>
  <c r="K22" i="210"/>
  <c r="G22" i="281"/>
  <c r="F22"/>
  <c r="E22"/>
  <c r="D22"/>
  <c r="B22"/>
  <c r="K21" i="210"/>
  <c r="D21" i="281" s="1"/>
  <c r="G21"/>
  <c r="F21"/>
  <c r="E21"/>
  <c r="B21"/>
  <c r="K20" i="210"/>
  <c r="G20" i="281"/>
  <c r="F20"/>
  <c r="E20"/>
  <c r="D20"/>
  <c r="B20"/>
  <c r="K19" i="210"/>
  <c r="D19" i="281" s="1"/>
  <c r="G19"/>
  <c r="F19"/>
  <c r="E19"/>
  <c r="B19"/>
  <c r="K18" i="210"/>
  <c r="G18" i="281"/>
  <c r="F18"/>
  <c r="E18"/>
  <c r="D18"/>
  <c r="B18"/>
  <c r="K17" i="210"/>
  <c r="G17" i="281"/>
  <c r="F17"/>
  <c r="E17"/>
  <c r="D17"/>
  <c r="B17"/>
  <c r="K16" i="210"/>
  <c r="G16" i="281"/>
  <c r="F16"/>
  <c r="E16"/>
  <c r="D16"/>
  <c r="B16"/>
  <c r="K15" i="210"/>
  <c r="D15" i="281" s="1"/>
  <c r="G15"/>
  <c r="F15"/>
  <c r="E15"/>
  <c r="B15"/>
  <c r="K14" i="210"/>
  <c r="G14" i="281"/>
  <c r="F14"/>
  <c r="E14"/>
  <c r="D14"/>
  <c r="B14"/>
  <c r="K13" i="210"/>
  <c r="G13" i="281"/>
  <c r="F13"/>
  <c r="E13"/>
  <c r="D13"/>
  <c r="K12" i="210"/>
  <c r="G12" i="281"/>
  <c r="F12"/>
  <c r="E12"/>
  <c r="D12"/>
  <c r="K11" i="210"/>
  <c r="D11" i="281" s="1"/>
  <c r="G11"/>
  <c r="F11"/>
  <c r="E11"/>
  <c r="K10" i="210"/>
  <c r="G10" i="281"/>
  <c r="F10"/>
  <c r="E10"/>
  <c r="D10"/>
  <c r="K9" i="210"/>
  <c r="G9" i="281"/>
  <c r="F9"/>
  <c r="E9"/>
  <c r="D9"/>
  <c r="K8" i="210"/>
  <c r="D8" i="281" s="1"/>
  <c r="G8"/>
  <c r="F8"/>
  <c r="E8"/>
  <c r="K7" i="210"/>
  <c r="G7" i="281"/>
  <c r="F7"/>
  <c r="E7"/>
  <c r="D7"/>
  <c r="K6" i="210"/>
  <c r="D6" i="281" s="1"/>
  <c r="G6"/>
  <c r="F6"/>
  <c r="E6"/>
  <c r="K5" i="210"/>
  <c r="G5" i="281"/>
  <c r="F5"/>
  <c r="E5"/>
  <c r="D5"/>
  <c r="K4" i="210"/>
  <c r="D4" i="281" s="1"/>
  <c r="G4"/>
  <c r="F4"/>
  <c r="E4"/>
  <c r="K50" i="209"/>
  <c r="K49"/>
  <c r="K48"/>
  <c r="K47"/>
  <c r="G47" i="280"/>
  <c r="F47"/>
  <c r="E47"/>
  <c r="D47"/>
  <c r="B47"/>
  <c r="K46" i="209"/>
  <c r="G46" i="280"/>
  <c r="F46"/>
  <c r="E46"/>
  <c r="D46"/>
  <c r="B46"/>
  <c r="K45" i="209"/>
  <c r="G45" i="280"/>
  <c r="F45"/>
  <c r="E45"/>
  <c r="D45"/>
  <c r="B45"/>
  <c r="K44" i="209"/>
  <c r="G44" i="280"/>
  <c r="F44"/>
  <c r="E44"/>
  <c r="D44"/>
  <c r="B44"/>
  <c r="K43" i="209"/>
  <c r="G43" i="280"/>
  <c r="F43"/>
  <c r="E43"/>
  <c r="D43"/>
  <c r="B43"/>
  <c r="K42" i="209"/>
  <c r="G42" i="280"/>
  <c r="F42"/>
  <c r="E42"/>
  <c r="D42"/>
  <c r="B42"/>
  <c r="K41" i="209"/>
  <c r="G41" i="280"/>
  <c r="F41"/>
  <c r="E41"/>
  <c r="D41"/>
  <c r="B41"/>
  <c r="K40" i="209"/>
  <c r="G40" i="280"/>
  <c r="F40"/>
  <c r="E40"/>
  <c r="D40"/>
  <c r="B40"/>
  <c r="K39" i="209"/>
  <c r="G39" i="280"/>
  <c r="F39"/>
  <c r="E39"/>
  <c r="D39"/>
  <c r="B39"/>
  <c r="K38" i="209"/>
  <c r="G38" i="280"/>
  <c r="F38"/>
  <c r="E38"/>
  <c r="D38"/>
  <c r="B38"/>
  <c r="K37" i="209"/>
  <c r="G37" i="280"/>
  <c r="F37"/>
  <c r="E37"/>
  <c r="D37"/>
  <c r="B37"/>
  <c r="K36" i="209"/>
  <c r="G36" i="280"/>
  <c r="F36"/>
  <c r="E36"/>
  <c r="D36"/>
  <c r="B36"/>
  <c r="K35" i="209"/>
  <c r="G35" i="280"/>
  <c r="F35"/>
  <c r="E35"/>
  <c r="D35"/>
  <c r="B35"/>
  <c r="K34" i="209"/>
  <c r="G34" i="280"/>
  <c r="F34"/>
  <c r="E34"/>
  <c r="D34"/>
  <c r="B34"/>
  <c r="K33" i="209"/>
  <c r="G33" i="280"/>
  <c r="F33"/>
  <c r="E33"/>
  <c r="D33"/>
  <c r="B33"/>
  <c r="K32" i="209"/>
  <c r="G32" i="280"/>
  <c r="F32"/>
  <c r="E32"/>
  <c r="D32"/>
  <c r="B32"/>
  <c r="K31" i="209"/>
  <c r="G31" i="280"/>
  <c r="F31"/>
  <c r="E31"/>
  <c r="D31"/>
  <c r="B31"/>
  <c r="K30" i="209"/>
  <c r="G30" i="280"/>
  <c r="F30"/>
  <c r="E30"/>
  <c r="D30"/>
  <c r="B30"/>
  <c r="K29" i="209"/>
  <c r="G29" i="280"/>
  <c r="F29"/>
  <c r="E29"/>
  <c r="D29"/>
  <c r="B29"/>
  <c r="K28" i="209"/>
  <c r="G28" i="280"/>
  <c r="F28"/>
  <c r="E28"/>
  <c r="D28"/>
  <c r="B28"/>
  <c r="K27" i="209"/>
  <c r="G27" i="280"/>
  <c r="F27"/>
  <c r="E27"/>
  <c r="D27"/>
  <c r="B27"/>
  <c r="K26" i="209"/>
  <c r="G26" i="280"/>
  <c r="F26"/>
  <c r="E26"/>
  <c r="D26"/>
  <c r="B26"/>
  <c r="K25" i="209"/>
  <c r="G25" i="280"/>
  <c r="F25"/>
  <c r="E25"/>
  <c r="D25"/>
  <c r="B25"/>
  <c r="K24" i="209"/>
  <c r="G24" i="280"/>
  <c r="F24"/>
  <c r="E24"/>
  <c r="D24"/>
  <c r="B24"/>
  <c r="K23" i="209"/>
  <c r="D23" i="280" s="1"/>
  <c r="G23"/>
  <c r="F23"/>
  <c r="E23"/>
  <c r="B23"/>
  <c r="K22" i="209"/>
  <c r="G22" i="280"/>
  <c r="F22"/>
  <c r="E22"/>
  <c r="D22"/>
  <c r="B22"/>
  <c r="K21" i="209"/>
  <c r="D21" i="280" s="1"/>
  <c r="G21"/>
  <c r="F21"/>
  <c r="E21"/>
  <c r="B21"/>
  <c r="K20" i="209"/>
  <c r="G20" i="280"/>
  <c r="F20"/>
  <c r="E20"/>
  <c r="D20"/>
  <c r="B20"/>
  <c r="K19" i="209"/>
  <c r="G19" i="280"/>
  <c r="F19"/>
  <c r="E19"/>
  <c r="D19"/>
  <c r="B19"/>
  <c r="K18" i="209"/>
  <c r="G18" i="280"/>
  <c r="F18"/>
  <c r="E18"/>
  <c r="D18"/>
  <c r="B18"/>
  <c r="K17" i="209"/>
  <c r="D17" i="280" s="1"/>
  <c r="G17"/>
  <c r="F17"/>
  <c r="E17"/>
  <c r="B17"/>
  <c r="K16" i="209"/>
  <c r="G16" i="280"/>
  <c r="F16"/>
  <c r="E16"/>
  <c r="D16"/>
  <c r="B16"/>
  <c r="K15" i="209"/>
  <c r="G15" i="280"/>
  <c r="F15"/>
  <c r="E15"/>
  <c r="D15"/>
  <c r="B15"/>
  <c r="K14" i="209"/>
  <c r="G14" i="280"/>
  <c r="F14"/>
  <c r="E14"/>
  <c r="D14"/>
  <c r="B14"/>
  <c r="K13" i="209"/>
  <c r="G13" i="280"/>
  <c r="F13"/>
  <c r="E13"/>
  <c r="D13"/>
  <c r="B13"/>
  <c r="K12" i="209"/>
  <c r="D12" i="280" s="1"/>
  <c r="G12"/>
  <c r="F12"/>
  <c r="E12"/>
  <c r="B12"/>
  <c r="K11" i="209"/>
  <c r="D11" i="280" s="1"/>
  <c r="G11"/>
  <c r="F11"/>
  <c r="E11"/>
  <c r="B11"/>
  <c r="K10" i="209"/>
  <c r="G10" i="280"/>
  <c r="F10"/>
  <c r="E10"/>
  <c r="D10"/>
  <c r="B10"/>
  <c r="K9" i="209"/>
  <c r="D9" i="280" s="1"/>
  <c r="G9"/>
  <c r="F9"/>
  <c r="E9"/>
  <c r="B9"/>
  <c r="K8" i="209"/>
  <c r="G8" i="280"/>
  <c r="F8"/>
  <c r="E8"/>
  <c r="D8"/>
  <c r="B8"/>
  <c r="K7" i="209"/>
  <c r="G7" i="280"/>
  <c r="F7"/>
  <c r="E7"/>
  <c r="D7"/>
  <c r="B7"/>
  <c r="K6" i="209"/>
  <c r="G6" i="280"/>
  <c r="F6"/>
  <c r="E6"/>
  <c r="D6"/>
  <c r="B6"/>
  <c r="K5" i="209"/>
  <c r="D5" i="280" s="1"/>
  <c r="G5"/>
  <c r="F5"/>
  <c r="E5"/>
  <c r="B5"/>
  <c r="K4" i="209"/>
  <c r="D4" i="280" s="1"/>
  <c r="G4"/>
  <c r="F4"/>
  <c r="E4"/>
  <c r="B4"/>
  <c r="K4" i="208"/>
  <c r="D4" i="279" s="1"/>
  <c r="K5" i="208"/>
  <c r="K6"/>
  <c r="D6" i="279" s="1"/>
  <c r="K7" i="208"/>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G6" i="279"/>
  <c r="F6"/>
  <c r="E6"/>
  <c r="B6"/>
  <c r="G5"/>
  <c r="F5"/>
  <c r="E5"/>
  <c r="D5"/>
  <c r="B5"/>
  <c r="G4"/>
  <c r="F4"/>
  <c r="E4"/>
  <c r="B4"/>
  <c r="B4" i="278"/>
  <c r="K5" i="207"/>
  <c r="K6"/>
  <c r="K7"/>
  <c r="K8"/>
  <c r="K9"/>
  <c r="K10"/>
  <c r="K11"/>
  <c r="K12"/>
  <c r="K13"/>
  <c r="K14"/>
  <c r="K16"/>
  <c r="K17"/>
  <c r="K18"/>
  <c r="K19"/>
  <c r="K20"/>
  <c r="K21"/>
  <c r="K22"/>
  <c r="K23"/>
  <c r="K24"/>
  <c r="K25"/>
  <c r="K26"/>
  <c r="K27"/>
  <c r="K28"/>
  <c r="K29"/>
  <c r="K30"/>
  <c r="K31"/>
  <c r="K32"/>
  <c r="K33"/>
  <c r="K34"/>
  <c r="K35"/>
  <c r="K36"/>
  <c r="K37"/>
  <c r="K38"/>
  <c r="K39"/>
  <c r="K40"/>
  <c r="K41"/>
  <c r="K42"/>
  <c r="K43"/>
  <c r="K44"/>
  <c r="K45"/>
  <c r="K46"/>
  <c r="K47"/>
  <c r="K48"/>
  <c r="K49"/>
  <c r="K50"/>
  <c r="K4"/>
  <c r="E4" i="278"/>
  <c r="F4"/>
  <c r="G4"/>
  <c r="E5"/>
  <c r="F5"/>
  <c r="G5"/>
  <c r="E6"/>
  <c r="F6"/>
  <c r="G6"/>
  <c r="E7"/>
  <c r="F7"/>
  <c r="G7"/>
  <c r="E8"/>
  <c r="F8"/>
  <c r="G8"/>
  <c r="E9"/>
  <c r="F9"/>
  <c r="G9"/>
  <c r="E10"/>
  <c r="F10"/>
  <c r="G10"/>
  <c r="E11"/>
  <c r="F11"/>
  <c r="G11"/>
  <c r="E12"/>
  <c r="F12"/>
  <c r="G12"/>
  <c r="E13"/>
  <c r="F13"/>
  <c r="G13"/>
  <c r="E14"/>
  <c r="F14"/>
  <c r="G14"/>
  <c r="E15"/>
  <c r="F15"/>
  <c r="G15"/>
  <c r="E17"/>
  <c r="F17"/>
  <c r="G17"/>
  <c r="E18"/>
  <c r="F18"/>
  <c r="G18"/>
  <c r="E19"/>
  <c r="F19"/>
  <c r="G19"/>
  <c r="E20"/>
  <c r="F20"/>
  <c r="G20"/>
  <c r="E21"/>
  <c r="F21"/>
  <c r="G21"/>
  <c r="E22"/>
  <c r="F22"/>
  <c r="G22"/>
  <c r="E23"/>
  <c r="F23"/>
  <c r="G23"/>
  <c r="F25"/>
  <c r="G25"/>
  <c r="F26"/>
  <c r="G26"/>
  <c r="F27"/>
  <c r="G27"/>
  <c r="F28"/>
  <c r="G28"/>
  <c r="F29"/>
  <c r="G29"/>
  <c r="F30"/>
  <c r="G30"/>
  <c r="F31"/>
  <c r="G31"/>
  <c r="F33"/>
  <c r="G33"/>
  <c r="F34"/>
  <c r="G34"/>
  <c r="F35"/>
  <c r="G35"/>
  <c r="F36"/>
  <c r="G36"/>
  <c r="F37"/>
  <c r="G37"/>
  <c r="F38"/>
  <c r="G38"/>
  <c r="F39"/>
  <c r="G39"/>
  <c r="F40"/>
  <c r="G40"/>
  <c r="F41"/>
  <c r="G41"/>
  <c r="F42"/>
  <c r="G42"/>
  <c r="F44"/>
  <c r="G44"/>
  <c r="F45"/>
  <c r="G45"/>
  <c r="F46"/>
  <c r="G46"/>
  <c r="F47"/>
  <c r="G47"/>
  <c r="F48"/>
  <c r="G48"/>
  <c r="F49"/>
  <c r="G49"/>
  <c r="B5"/>
  <c r="B6"/>
  <c r="B7"/>
  <c r="B8"/>
  <c r="B9"/>
  <c r="B10"/>
  <c r="B11"/>
  <c r="B12"/>
  <c r="B13"/>
  <c r="B14"/>
  <c r="B15"/>
  <c r="B17"/>
  <c r="B18"/>
  <c r="B19"/>
  <c r="B20"/>
  <c r="B21"/>
  <c r="B22"/>
  <c r="B23"/>
  <c r="B24"/>
  <c r="B25"/>
  <c r="B26"/>
  <c r="B27"/>
  <c r="B28"/>
  <c r="B29"/>
  <c r="B30"/>
  <c r="B31"/>
  <c r="B33"/>
  <c r="B34"/>
  <c r="B35"/>
  <c r="B36"/>
  <c r="B37"/>
  <c r="B38"/>
  <c r="B39"/>
  <c r="B40"/>
  <c r="B41"/>
  <c r="B42"/>
  <c r="B43"/>
  <c r="B44"/>
  <c r="B45"/>
  <c r="B46"/>
  <c r="B47"/>
  <c r="B48"/>
  <c r="B49"/>
  <c r="F60" i="51" l="1"/>
  <c r="F60" i="54"/>
  <c r="D60" i="280"/>
  <c r="B61"/>
  <c r="G61"/>
  <c r="B62"/>
  <c r="G62"/>
  <c r="E63"/>
  <c r="B60" i="281"/>
  <c r="G60"/>
  <c r="F61"/>
  <c r="F62"/>
  <c r="D63"/>
  <c r="F61" i="280"/>
  <c r="F62"/>
  <c r="D63"/>
  <c r="E61" i="281"/>
  <c r="E62"/>
  <c r="B63"/>
  <c r="G63"/>
  <c r="B59" i="279"/>
  <c r="B59" i="280"/>
  <c r="B58"/>
  <c r="F58" i="281"/>
  <c r="F59"/>
  <c r="O42" i="237"/>
  <c r="O43"/>
  <c r="G59" i="279"/>
  <c r="D59"/>
  <c r="E58" i="281"/>
  <c r="E59"/>
  <c r="G33" i="218"/>
  <c r="G28"/>
  <c r="K42" i="237"/>
  <c r="K43"/>
  <c r="C38" i="118"/>
  <c r="C18" i="101"/>
  <c r="C19" i="108"/>
  <c r="F59" i="279"/>
  <c r="F59" i="280"/>
  <c r="F58"/>
  <c r="D59" i="281"/>
  <c r="D58"/>
  <c r="H33" i="218"/>
  <c r="H28"/>
  <c r="N42" i="237"/>
  <c r="N43"/>
  <c r="B60" i="280"/>
  <c r="F60" i="281"/>
  <c r="F60" i="280"/>
  <c r="E61"/>
  <c r="E62"/>
  <c r="B63"/>
  <c r="G63"/>
  <c r="E60" i="281"/>
  <c r="D61"/>
  <c r="D62"/>
  <c r="F63"/>
  <c r="D58" i="280"/>
  <c r="D59"/>
  <c r="J28" i="218"/>
  <c r="J33"/>
  <c r="B13" i="237"/>
  <c r="B41" s="1"/>
  <c r="C41"/>
  <c r="G59" i="280"/>
  <c r="G58"/>
  <c r="I42" i="237"/>
  <c r="I43"/>
  <c r="E59" i="279"/>
  <c r="E58" i="280"/>
  <c r="E59"/>
  <c r="G59" i="281"/>
  <c r="G58"/>
  <c r="B59"/>
  <c r="B58"/>
  <c r="I28" i="218"/>
  <c r="I33"/>
  <c r="J42" i="237"/>
  <c r="J43"/>
  <c r="G60" i="280"/>
  <c r="B63" i="278"/>
  <c r="E60" i="280"/>
  <c r="D61"/>
  <c r="D62"/>
  <c r="F63"/>
  <c r="D60" i="281"/>
  <c r="B61"/>
  <c r="G61"/>
  <c r="B62"/>
  <c r="G62"/>
  <c r="E63"/>
  <c r="B37" i="6"/>
  <c r="D39" i="119"/>
  <c r="D24" i="101"/>
  <c r="D47" s="1"/>
  <c r="H13"/>
  <c r="I15" i="108"/>
  <c r="I14" i="101"/>
  <c r="D25" i="120"/>
  <c r="D25" i="108"/>
  <c r="H14"/>
  <c r="H8" i="26"/>
  <c r="F32" i="51"/>
  <c r="H8" i="18"/>
  <c r="F32" i="54"/>
  <c r="B14" i="88"/>
  <c r="B14" i="125" s="1"/>
  <c r="B15" i="127"/>
  <c r="B13" i="341"/>
  <c r="B13" i="328"/>
  <c r="C14" i="88"/>
  <c r="C14" i="125" s="1"/>
  <c r="C13" i="328"/>
  <c r="C13" i="341"/>
  <c r="I8" i="23"/>
  <c r="D15" i="127"/>
  <c r="E13" i="341"/>
  <c r="E14" i="88"/>
  <c r="E14" i="125" s="1"/>
  <c r="E13" i="328"/>
  <c r="D7" i="322"/>
  <c r="J7" i="28"/>
  <c r="G30" i="53" s="1"/>
  <c r="I8" i="28"/>
  <c r="M6"/>
  <c r="L7"/>
  <c r="I30" i="53" s="1"/>
  <c r="J7" i="26"/>
  <c r="G30" i="51" s="1"/>
  <c r="J7" i="25"/>
  <c r="G30" i="50" s="1"/>
  <c r="J7" i="23"/>
  <c r="M6"/>
  <c r="L7"/>
  <c r="G12" i="341"/>
  <c r="G12" i="328"/>
  <c r="G40" s="1"/>
  <c r="N14" i="127"/>
  <c r="G13" i="88"/>
  <c r="O43" i="358"/>
  <c r="O14" i="127"/>
  <c r="P43" i="358"/>
  <c r="F14" i="88"/>
  <c r="F14" i="125" s="1"/>
  <c r="E15" i="127"/>
  <c r="F13" i="328"/>
  <c r="F13" i="341"/>
  <c r="E7" i="322"/>
  <c r="D23" i="341"/>
  <c r="D42" s="1"/>
  <c r="D44" i="358"/>
  <c r="C25" i="127"/>
  <c r="C44" s="1"/>
  <c r="D23" i="328"/>
  <c r="D42" s="1"/>
  <c r="D24" i="88"/>
  <c r="U7" i="322"/>
  <c r="U15" i="127"/>
  <c r="C38" i="7"/>
  <c r="B15" i="237"/>
  <c r="B19"/>
  <c r="B31"/>
  <c r="B23"/>
  <c r="B11"/>
  <c r="B20"/>
  <c r="B12"/>
  <c r="B7"/>
  <c r="B30"/>
  <c r="B22"/>
  <c r="B14"/>
  <c r="B6"/>
  <c r="B24"/>
  <c r="B16"/>
  <c r="B27"/>
  <c r="B26"/>
  <c r="B18"/>
  <c r="B10"/>
  <c r="B8"/>
  <c r="M42"/>
  <c r="B28"/>
  <c r="C37" i="122"/>
  <c r="C37" i="123"/>
  <c r="C16" i="126" s="1"/>
  <c r="N36" i="9"/>
  <c r="E39" i="215"/>
  <c r="H38" i="270"/>
  <c r="B17" i="237"/>
  <c r="B21"/>
  <c r="B25"/>
  <c r="B29"/>
  <c r="N34" i="9"/>
  <c r="E49" i="278"/>
  <c r="E47"/>
  <c r="E45"/>
  <c r="G62" i="207"/>
  <c r="G43" i="278"/>
  <c r="G63" s="1"/>
  <c r="E62" i="207"/>
  <c r="E43" i="278"/>
  <c r="E41"/>
  <c r="E39"/>
  <c r="E37"/>
  <c r="E35"/>
  <c r="E33"/>
  <c r="F61" i="207"/>
  <c r="F32" i="278"/>
  <c r="E31"/>
  <c r="E29"/>
  <c r="E27"/>
  <c r="E25"/>
  <c r="F60" i="207"/>
  <c r="F24" i="278"/>
  <c r="F59" i="207"/>
  <c r="F16" i="278"/>
  <c r="F60" s="1"/>
  <c r="B50" i="279"/>
  <c r="B63" s="1"/>
  <c r="E50"/>
  <c r="E63" s="1"/>
  <c r="G50"/>
  <c r="G63" s="1"/>
  <c r="C40" i="237"/>
  <c r="Q29" i="241"/>
  <c r="S29"/>
  <c r="U29"/>
  <c r="W29"/>
  <c r="Y29"/>
  <c r="O29"/>
  <c r="B46" i="215"/>
  <c r="B61" i="207"/>
  <c r="B32" i="278"/>
  <c r="B62" s="1"/>
  <c r="B59" i="207"/>
  <c r="B16" i="278"/>
  <c r="B60" s="1"/>
  <c r="E48"/>
  <c r="E46"/>
  <c r="E44"/>
  <c r="F62" i="207"/>
  <c r="F43" i="278"/>
  <c r="F63" s="1"/>
  <c r="E42"/>
  <c r="E40"/>
  <c r="E38"/>
  <c r="E36"/>
  <c r="E34"/>
  <c r="G61" i="207"/>
  <c r="G32" i="278"/>
  <c r="G62" s="1"/>
  <c r="E61" i="207"/>
  <c r="E32" i="278"/>
  <c r="E30"/>
  <c r="E28"/>
  <c r="E26"/>
  <c r="G60" i="207"/>
  <c r="G24" i="278"/>
  <c r="E60" i="207"/>
  <c r="E24" i="278"/>
  <c r="G59" i="207"/>
  <c r="G16" i="278"/>
  <c r="G60" s="1"/>
  <c r="E59" i="207"/>
  <c r="E16" i="278"/>
  <c r="E60" s="1"/>
  <c r="D61" i="207"/>
  <c r="D60"/>
  <c r="D50" i="279"/>
  <c r="D63" s="1"/>
  <c r="F50"/>
  <c r="F63" s="1"/>
  <c r="C42" i="237"/>
  <c r="P29" i="241"/>
  <c r="R29"/>
  <c r="T29"/>
  <c r="V29"/>
  <c r="X29"/>
  <c r="Z29"/>
  <c r="N35" i="9"/>
  <c r="F33" i="215"/>
  <c r="F51"/>
  <c r="D33"/>
  <c r="D51"/>
  <c r="E49"/>
  <c r="E50"/>
  <c r="B49"/>
  <c r="B50"/>
  <c r="F34"/>
  <c r="D34"/>
  <c r="B39"/>
  <c r="B41"/>
  <c r="E41"/>
  <c r="F40"/>
  <c r="D40"/>
  <c r="D39"/>
  <c r="B44"/>
  <c r="E46"/>
  <c r="F45"/>
  <c r="D45"/>
  <c r="E44"/>
  <c r="B51"/>
  <c r="B33"/>
  <c r="E51"/>
  <c r="E33"/>
  <c r="F50"/>
  <c r="F49"/>
  <c r="D50"/>
  <c r="D49"/>
  <c r="B35"/>
  <c r="B34"/>
  <c r="E34"/>
  <c r="B40"/>
  <c r="F41"/>
  <c r="D41"/>
  <c r="E40"/>
  <c r="F39"/>
  <c r="B45"/>
  <c r="F46"/>
  <c r="D46"/>
  <c r="E45"/>
  <c r="E37" i="6"/>
  <c r="F37"/>
  <c r="D37"/>
  <c r="B62" i="207"/>
  <c r="B60"/>
  <c r="D62"/>
  <c r="D59"/>
  <c r="E61" i="278" l="1"/>
  <c r="B40" i="237"/>
  <c r="B58" i="278"/>
  <c r="G61"/>
  <c r="E58" i="279"/>
  <c r="G58" i="278"/>
  <c r="G58" i="279"/>
  <c r="D58"/>
  <c r="B42" i="237"/>
  <c r="B43"/>
  <c r="D24" i="125"/>
  <c r="D43" i="88"/>
  <c r="G40" i="341"/>
  <c r="G41"/>
  <c r="F62" i="278"/>
  <c r="E63"/>
  <c r="B61"/>
  <c r="F59"/>
  <c r="B59"/>
  <c r="E58"/>
  <c r="C37" i="118"/>
  <c r="C17" i="101"/>
  <c r="G13" i="125"/>
  <c r="G41" i="88"/>
  <c r="G42"/>
  <c r="C18" i="108"/>
  <c r="F58" i="279"/>
  <c r="E59" i="278"/>
  <c r="E62"/>
  <c r="F61"/>
  <c r="G59"/>
  <c r="F58"/>
  <c r="B58" i="279"/>
  <c r="B36" i="6"/>
  <c r="I13" i="101"/>
  <c r="H12"/>
  <c r="D23"/>
  <c r="H13" i="108"/>
  <c r="I14"/>
  <c r="D24" i="120"/>
  <c r="D42" s="1"/>
  <c r="D24" i="108"/>
  <c r="D42" s="1"/>
  <c r="H7" i="18"/>
  <c r="F31" i="54"/>
  <c r="H7" i="26"/>
  <c r="F31" i="51"/>
  <c r="B12" i="328"/>
  <c r="B40" s="1"/>
  <c r="B13" i="88"/>
  <c r="B12" i="341"/>
  <c r="B14" i="127"/>
  <c r="B43" i="358"/>
  <c r="C12" i="341"/>
  <c r="C12" i="328"/>
  <c r="C40" s="1"/>
  <c r="C43" i="358"/>
  <c r="C13" i="88"/>
  <c r="E13"/>
  <c r="D14" i="127"/>
  <c r="E12" i="341"/>
  <c r="E12" i="328"/>
  <c r="E40" s="1"/>
  <c r="E43" i="358"/>
  <c r="E42"/>
  <c r="I7" i="23"/>
  <c r="M5" i="28"/>
  <c r="J6"/>
  <c r="G29" i="53" s="1"/>
  <c r="I7" i="28"/>
  <c r="J6" i="26"/>
  <c r="J6" i="25"/>
  <c r="G29" i="50" s="1"/>
  <c r="J6" i="23"/>
  <c r="L6"/>
  <c r="M5"/>
  <c r="L5" s="1"/>
  <c r="I28" i="58" s="1"/>
  <c r="G12" i="88"/>
  <c r="G12" i="125" s="1"/>
  <c r="G11" i="341"/>
  <c r="N13" i="127"/>
  <c r="G11" i="328"/>
  <c r="O13" i="127"/>
  <c r="V43" i="358"/>
  <c r="U14" i="127"/>
  <c r="D22" i="328"/>
  <c r="C24" i="127"/>
  <c r="D23" i="88"/>
  <c r="D23" i="125" s="1"/>
  <c r="D22" i="341"/>
  <c r="E14" i="127"/>
  <c r="F13" i="88"/>
  <c r="F12" i="341"/>
  <c r="F12" i="328"/>
  <c r="F40" s="1"/>
  <c r="F43" i="358"/>
  <c r="C37" i="7"/>
  <c r="AK42" i="237"/>
  <c r="AK41"/>
  <c r="C36" i="122"/>
  <c r="C36" i="123"/>
  <c r="C15" i="126" s="1"/>
  <c r="O28" i="241"/>
  <c r="Z28"/>
  <c r="X28"/>
  <c r="V28"/>
  <c r="T28"/>
  <c r="R28"/>
  <c r="P28"/>
  <c r="Y28"/>
  <c r="W28"/>
  <c r="U28"/>
  <c r="S28"/>
  <c r="Q28"/>
  <c r="D36" i="6"/>
  <c r="F36"/>
  <c r="E36"/>
  <c r="D65"/>
  <c r="E65"/>
  <c r="F65"/>
  <c r="G65"/>
  <c r="H65"/>
  <c r="D66"/>
  <c r="E66"/>
  <c r="F66"/>
  <c r="G66"/>
  <c r="H66"/>
  <c r="B65"/>
  <c r="K51"/>
  <c r="K50"/>
  <c r="K49"/>
  <c r="K48"/>
  <c r="K47"/>
  <c r="K46"/>
  <c r="K45"/>
  <c r="K44"/>
  <c r="K43"/>
  <c r="K42"/>
  <c r="C70" i="139"/>
  <c r="D70"/>
  <c r="E70"/>
  <c r="G70"/>
  <c r="H70"/>
  <c r="I70"/>
  <c r="B70"/>
  <c r="C10" i="221"/>
  <c r="B10"/>
  <c r="D8"/>
  <c r="D21" i="225" s="1"/>
  <c r="C8" i="221"/>
  <c r="C21" i="225" s="1"/>
  <c r="C9" i="221"/>
  <c r="C14" s="1"/>
  <c r="C23" i="225" s="1"/>
  <c r="B21"/>
  <c r="B9" i="221"/>
  <c r="B14" s="1"/>
  <c r="B23" i="225" s="1"/>
  <c r="C10" i="220"/>
  <c r="B10"/>
  <c r="D8"/>
  <c r="D13" i="225" s="1"/>
  <c r="C8" i="220"/>
  <c r="C13" i="225" s="1"/>
  <c r="C9" i="220"/>
  <c r="C14" s="1"/>
  <c r="C15" i="225" s="1"/>
  <c r="B13"/>
  <c r="B9" i="220"/>
  <c r="B14" s="1"/>
  <c r="B15" i="225" s="1"/>
  <c r="C10" i="219"/>
  <c r="B9"/>
  <c r="B14" s="1"/>
  <c r="B7" i="225" s="1"/>
  <c r="B8" i="219"/>
  <c r="B5" i="225" s="1"/>
  <c r="C9" i="219"/>
  <c r="C14" s="1"/>
  <c r="C7" i="225" s="1"/>
  <c r="C8" i="219"/>
  <c r="C5" i="225" s="1"/>
  <c r="D8" i="219"/>
  <c r="D5" i="225" s="1"/>
  <c r="F59" i="197"/>
  <c r="F60"/>
  <c r="F61"/>
  <c r="F62"/>
  <c r="F63"/>
  <c r="F64"/>
  <c r="F65"/>
  <c r="D60" i="196"/>
  <c r="E60"/>
  <c r="F60"/>
  <c r="G60"/>
  <c r="D61"/>
  <c r="E61"/>
  <c r="F61"/>
  <c r="G61"/>
  <c r="D62"/>
  <c r="E62"/>
  <c r="F62"/>
  <c r="G62"/>
  <c r="D63"/>
  <c r="E63"/>
  <c r="F63"/>
  <c r="G63"/>
  <c r="D64"/>
  <c r="E64"/>
  <c r="F64"/>
  <c r="G64"/>
  <c r="D66"/>
  <c r="E66"/>
  <c r="F66"/>
  <c r="G66"/>
  <c r="D67"/>
  <c r="E67"/>
  <c r="F67"/>
  <c r="G67"/>
  <c r="E65" i="197"/>
  <c r="D65"/>
  <c r="C65"/>
  <c r="K64"/>
  <c r="E64"/>
  <c r="D64"/>
  <c r="C64"/>
  <c r="E63"/>
  <c r="D63"/>
  <c r="C63"/>
  <c r="E62"/>
  <c r="D62"/>
  <c r="C62"/>
  <c r="E61"/>
  <c r="D61"/>
  <c r="C61"/>
  <c r="E60"/>
  <c r="D60"/>
  <c r="C60"/>
  <c r="E59"/>
  <c r="D59"/>
  <c r="C59"/>
  <c r="B67" i="196"/>
  <c r="B66"/>
  <c r="B64"/>
  <c r="B63"/>
  <c r="B62"/>
  <c r="B61"/>
  <c r="B60"/>
  <c r="G59" i="139"/>
  <c r="H59"/>
  <c r="I59"/>
  <c r="C60"/>
  <c r="D60"/>
  <c r="E60"/>
  <c r="G60"/>
  <c r="H60"/>
  <c r="I60"/>
  <c r="C61"/>
  <c r="D61"/>
  <c r="E61"/>
  <c r="G61"/>
  <c r="H61"/>
  <c r="I61"/>
  <c r="C64"/>
  <c r="D64"/>
  <c r="E64"/>
  <c r="G64"/>
  <c r="H64"/>
  <c r="I64"/>
  <c r="B64"/>
  <c r="B61"/>
  <c r="B60"/>
  <c r="B59"/>
  <c r="H33" i="96"/>
  <c r="I33"/>
  <c r="J33"/>
  <c r="G33"/>
  <c r="G28"/>
  <c r="H28"/>
  <c r="I28"/>
  <c r="J28"/>
  <c r="B29" i="92"/>
  <c r="B4" i="205"/>
  <c r="D4"/>
  <c r="E4"/>
  <c r="F4"/>
  <c r="G4"/>
  <c r="H4"/>
  <c r="I4"/>
  <c r="J4"/>
  <c r="K4"/>
  <c r="B5"/>
  <c r="D5"/>
  <c r="E5"/>
  <c r="F5"/>
  <c r="G5"/>
  <c r="H5"/>
  <c r="I5"/>
  <c r="J5"/>
  <c r="K5"/>
  <c r="B6"/>
  <c r="D6"/>
  <c r="E6"/>
  <c r="F6"/>
  <c r="G6"/>
  <c r="H6"/>
  <c r="I6"/>
  <c r="J6"/>
  <c r="K6"/>
  <c r="B7"/>
  <c r="D7"/>
  <c r="E7"/>
  <c r="F7"/>
  <c r="G7"/>
  <c r="H7"/>
  <c r="I7"/>
  <c r="J7"/>
  <c r="K7"/>
  <c r="B8"/>
  <c r="D8"/>
  <c r="E8"/>
  <c r="F8"/>
  <c r="G8"/>
  <c r="H8"/>
  <c r="I8"/>
  <c r="J8"/>
  <c r="K8"/>
  <c r="B9"/>
  <c r="D9"/>
  <c r="E9"/>
  <c r="F9"/>
  <c r="G9"/>
  <c r="H9"/>
  <c r="I9"/>
  <c r="J9"/>
  <c r="K9"/>
  <c r="B10"/>
  <c r="D10"/>
  <c r="E10"/>
  <c r="F10"/>
  <c r="G10"/>
  <c r="H10"/>
  <c r="I10"/>
  <c r="J10"/>
  <c r="K10"/>
  <c r="B11"/>
  <c r="D11"/>
  <c r="E11"/>
  <c r="F11"/>
  <c r="G11"/>
  <c r="H11"/>
  <c r="I11"/>
  <c r="J11"/>
  <c r="K11"/>
  <c r="B12"/>
  <c r="D12"/>
  <c r="E12"/>
  <c r="F12"/>
  <c r="G12"/>
  <c r="H12"/>
  <c r="I12"/>
  <c r="J12"/>
  <c r="K12"/>
  <c r="B13"/>
  <c r="D13"/>
  <c r="E13"/>
  <c r="F13"/>
  <c r="G13"/>
  <c r="H13"/>
  <c r="I13"/>
  <c r="J13"/>
  <c r="K13"/>
  <c r="B14"/>
  <c r="D14"/>
  <c r="E14"/>
  <c r="F14"/>
  <c r="G14"/>
  <c r="H14"/>
  <c r="I14"/>
  <c r="J14"/>
  <c r="K14"/>
  <c r="B15"/>
  <c r="D15"/>
  <c r="E15"/>
  <c r="F15"/>
  <c r="G15"/>
  <c r="H15"/>
  <c r="I15"/>
  <c r="J15"/>
  <c r="K15"/>
  <c r="B16"/>
  <c r="D16"/>
  <c r="E16"/>
  <c r="F16"/>
  <c r="G16"/>
  <c r="H16"/>
  <c r="I16"/>
  <c r="J16"/>
  <c r="K16"/>
  <c r="B17"/>
  <c r="D17"/>
  <c r="E17"/>
  <c r="F17"/>
  <c r="G17"/>
  <c r="H17"/>
  <c r="I17"/>
  <c r="J17"/>
  <c r="K17"/>
  <c r="B18"/>
  <c r="D18"/>
  <c r="E18"/>
  <c r="F18"/>
  <c r="G18"/>
  <c r="H18"/>
  <c r="I18"/>
  <c r="J18"/>
  <c r="K18"/>
  <c r="B19"/>
  <c r="D19"/>
  <c r="E19"/>
  <c r="F19"/>
  <c r="G19"/>
  <c r="H19"/>
  <c r="I19"/>
  <c r="J19"/>
  <c r="K19"/>
  <c r="B20"/>
  <c r="D20"/>
  <c r="E20"/>
  <c r="F20"/>
  <c r="G20"/>
  <c r="H20"/>
  <c r="I20"/>
  <c r="J20"/>
  <c r="K20"/>
  <c r="D3"/>
  <c r="E3"/>
  <c r="F3"/>
  <c r="G3"/>
  <c r="H3"/>
  <c r="I3"/>
  <c r="J3"/>
  <c r="K3"/>
  <c r="B3"/>
  <c r="I58" i="58" l="1"/>
  <c r="I59"/>
  <c r="F40" i="341"/>
  <c r="F41"/>
  <c r="E13" i="125"/>
  <c r="E40" i="88"/>
  <c r="E41"/>
  <c r="E42"/>
  <c r="C40" i="341"/>
  <c r="C41"/>
  <c r="B40"/>
  <c r="B41"/>
  <c r="G41" i="125"/>
  <c r="G42"/>
  <c r="E41" i="341"/>
  <c r="E40"/>
  <c r="D43" i="125"/>
  <c r="C36" i="118"/>
  <c r="C16" i="101"/>
  <c r="F13" i="125"/>
  <c r="F41" i="88"/>
  <c r="F42"/>
  <c r="C41"/>
  <c r="C42"/>
  <c r="C17" i="108"/>
  <c r="B13" i="125"/>
  <c r="B41" i="88"/>
  <c r="B42"/>
  <c r="B35" i="6"/>
  <c r="I13" i="108"/>
  <c r="D22" i="101"/>
  <c r="H11"/>
  <c r="I12"/>
  <c r="D23" i="120"/>
  <c r="D23" i="108"/>
  <c r="H12"/>
  <c r="H6" i="18"/>
  <c r="F30" i="54"/>
  <c r="H6" i="26"/>
  <c r="H5" s="1"/>
  <c r="F30" i="51"/>
  <c r="B11" i="328"/>
  <c r="B11" i="341"/>
  <c r="B12" i="88"/>
  <c r="B12" i="125" s="1"/>
  <c r="B13" i="127"/>
  <c r="C13" i="125"/>
  <c r="C41" i="328"/>
  <c r="C11"/>
  <c r="C11" i="341"/>
  <c r="C12" i="88"/>
  <c r="C12" i="125" s="1"/>
  <c r="I6" i="23"/>
  <c r="E12" i="88"/>
  <c r="E12" i="125" s="1"/>
  <c r="E11" i="341"/>
  <c r="D13" i="127"/>
  <c r="E11" i="328"/>
  <c r="J5" i="28"/>
  <c r="G28" i="53" s="1"/>
  <c r="J5" i="26"/>
  <c r="J5" i="25"/>
  <c r="G28" i="50" s="1"/>
  <c r="J5" i="23"/>
  <c r="N12" i="127"/>
  <c r="G10" i="341"/>
  <c r="G11" i="88"/>
  <c r="G11" i="125" s="1"/>
  <c r="G10" i="328"/>
  <c r="D46" i="358"/>
  <c r="D22" i="88"/>
  <c r="D22" i="125" s="1"/>
  <c r="C23" i="127"/>
  <c r="D21" i="341"/>
  <c r="D21" i="328"/>
  <c r="U13" i="127"/>
  <c r="O12"/>
  <c r="F12" i="88"/>
  <c r="F12" i="125" s="1"/>
  <c r="F11" i="328"/>
  <c r="F11" i="341"/>
  <c r="E13" i="127"/>
  <c r="C36" i="7"/>
  <c r="AK43" i="237"/>
  <c r="C35" i="122"/>
  <c r="C35" i="123"/>
  <c r="C14" i="126" s="1"/>
  <c r="F10" i="219"/>
  <c r="E10" i="220"/>
  <c r="F10"/>
  <c r="E10" i="219"/>
  <c r="E10" i="221"/>
  <c r="F10"/>
  <c r="K30" i="205"/>
  <c r="E21" i="263"/>
  <c r="E19"/>
  <c r="E17"/>
  <c r="E15"/>
  <c r="E13"/>
  <c r="E11"/>
  <c r="F5" i="225"/>
  <c r="E5"/>
  <c r="F8" i="220"/>
  <c r="F13" i="225" s="1"/>
  <c r="F8" i="221"/>
  <c r="F21" i="225" s="1"/>
  <c r="E20" i="263"/>
  <c r="E18"/>
  <c r="E16"/>
  <c r="E14"/>
  <c r="E12"/>
  <c r="E10"/>
  <c r="E8"/>
  <c r="E6"/>
  <c r="E8" i="220"/>
  <c r="E13" i="225" s="1"/>
  <c r="E8" i="221"/>
  <c r="E21" i="225" s="1"/>
  <c r="Q27" i="241"/>
  <c r="S27"/>
  <c r="U27"/>
  <c r="W27"/>
  <c r="Y27"/>
  <c r="P27"/>
  <c r="R27"/>
  <c r="T27"/>
  <c r="V27"/>
  <c r="X27"/>
  <c r="Z27"/>
  <c r="O27"/>
  <c r="E4" i="263"/>
  <c r="E9"/>
  <c r="E7"/>
  <c r="E5"/>
  <c r="E35" i="6"/>
  <c r="F35"/>
  <c r="D35"/>
  <c r="C3" i="205"/>
  <c r="D4" i="263" s="1"/>
  <c r="C20" i="205"/>
  <c r="D21" i="263" s="1"/>
  <c r="C18" i="205"/>
  <c r="D19" i="263" s="1"/>
  <c r="C16" i="205"/>
  <c r="D17" i="263" s="1"/>
  <c r="C14" i="205"/>
  <c r="D15" i="263" s="1"/>
  <c r="C12" i="205"/>
  <c r="D13" i="263" s="1"/>
  <c r="C10" i="205"/>
  <c r="D11" i="263" s="1"/>
  <c r="C8" i="205"/>
  <c r="D9" i="263" s="1"/>
  <c r="C6" i="205"/>
  <c r="D7" i="263" s="1"/>
  <c r="C4" i="205"/>
  <c r="D5" i="263" s="1"/>
  <c r="C19" i="205"/>
  <c r="D20" i="263" s="1"/>
  <c r="C17" i="205"/>
  <c r="D18" i="263" s="1"/>
  <c r="C15" i="205"/>
  <c r="D16" i="263" s="1"/>
  <c r="C13" i="205"/>
  <c r="C11"/>
  <c r="D12" i="263" s="1"/>
  <c r="C9" i="205"/>
  <c r="D10" i="263" s="1"/>
  <c r="C7" i="205"/>
  <c r="D8" i="263" s="1"/>
  <c r="C5" i="205"/>
  <c r="D6" i="263" s="1"/>
  <c r="I30" i="205"/>
  <c r="I28"/>
  <c r="G30"/>
  <c r="G28"/>
  <c r="E30"/>
  <c r="E28"/>
  <c r="B30"/>
  <c r="B28"/>
  <c r="J29"/>
  <c r="H29"/>
  <c r="F29"/>
  <c r="D29"/>
  <c r="J30"/>
  <c r="J28"/>
  <c r="H30"/>
  <c r="H28"/>
  <c r="F30"/>
  <c r="F28"/>
  <c r="D30"/>
  <c r="D28"/>
  <c r="I29"/>
  <c r="G29"/>
  <c r="E29"/>
  <c r="B29"/>
  <c r="F9" i="221"/>
  <c r="F14" s="1"/>
  <c r="F23" i="225" s="1"/>
  <c r="D9" i="221"/>
  <c r="D14" s="1"/>
  <c r="D23" i="225" s="1"/>
  <c r="E9" i="221"/>
  <c r="E14" s="1"/>
  <c r="E23" i="225" s="1"/>
  <c r="D9" i="220"/>
  <c r="D14" s="1"/>
  <c r="D15" i="225" s="1"/>
  <c r="E9" i="220"/>
  <c r="E14" s="1"/>
  <c r="E15" i="225" s="1"/>
  <c r="F9" i="220"/>
  <c r="F14" s="1"/>
  <c r="F15" i="225" s="1"/>
  <c r="E14" i="219"/>
  <c r="E7" i="225" s="1"/>
  <c r="D9" i="219"/>
  <c r="D14" s="1"/>
  <c r="D7" i="225" s="1"/>
  <c r="A142" i="4"/>
  <c r="A141"/>
  <c r="A140"/>
  <c r="A138"/>
  <c r="A137"/>
  <c r="A136"/>
  <c r="A132"/>
  <c r="A126"/>
  <c r="A125"/>
  <c r="J7" i="224"/>
  <c r="K7"/>
  <c r="H9"/>
  <c r="L9"/>
  <c r="H10"/>
  <c r="K10"/>
  <c r="L10"/>
  <c r="I12"/>
  <c r="H13"/>
  <c r="I13"/>
  <c r="L13"/>
  <c r="H14"/>
  <c r="J15"/>
  <c r="I16"/>
  <c r="J16"/>
  <c r="H17"/>
  <c r="I17"/>
  <c r="K18"/>
  <c r="J19"/>
  <c r="K19"/>
  <c r="I20"/>
  <c r="J20"/>
  <c r="L21"/>
  <c r="K22"/>
  <c r="L22"/>
  <c r="J23"/>
  <c r="K23"/>
  <c r="H25"/>
  <c r="L25"/>
  <c r="I28"/>
  <c r="J28"/>
  <c r="L29"/>
  <c r="H30"/>
  <c r="J31"/>
  <c r="J61" s="1"/>
  <c r="K31"/>
  <c r="K61" s="1"/>
  <c r="H33"/>
  <c r="I33"/>
  <c r="J35"/>
  <c r="K35"/>
  <c r="H37"/>
  <c r="I37"/>
  <c r="K38"/>
  <c r="L38"/>
  <c r="I40"/>
  <c r="J40"/>
  <c r="L41"/>
  <c r="H42"/>
  <c r="J43"/>
  <c r="K43"/>
  <c r="H46"/>
  <c r="K46"/>
  <c r="L46"/>
  <c r="J47"/>
  <c r="K47"/>
  <c r="I48"/>
  <c r="J48"/>
  <c r="H49"/>
  <c r="I49"/>
  <c r="L49"/>
  <c r="I6"/>
  <c r="I56" s="1"/>
  <c r="L6"/>
  <c r="L56" s="1"/>
  <c r="H6"/>
  <c r="H56" s="1"/>
  <c r="E46" i="202"/>
  <c r="O47" i="15" s="1"/>
  <c r="J8" i="222"/>
  <c r="F8" s="1"/>
  <c r="J10"/>
  <c r="F10" s="1"/>
  <c r="J12"/>
  <c r="F12" s="1"/>
  <c r="J14"/>
  <c r="F14" s="1"/>
  <c r="J16"/>
  <c r="F16" s="1"/>
  <c r="J18"/>
  <c r="J20"/>
  <c r="F20" s="1"/>
  <c r="J22"/>
  <c r="F22" s="1"/>
  <c r="J24"/>
  <c r="F24" s="1"/>
  <c r="J28"/>
  <c r="F28" s="1"/>
  <c r="J32"/>
  <c r="F32" s="1"/>
  <c r="J36"/>
  <c r="F36" s="1"/>
  <c r="J38"/>
  <c r="F38" s="1"/>
  <c r="J40"/>
  <c r="F40" s="1"/>
  <c r="J42"/>
  <c r="F42" s="1"/>
  <c r="J44"/>
  <c r="F44" s="1"/>
  <c r="J46"/>
  <c r="F46" s="1"/>
  <c r="J66" i="15"/>
  <c r="K66"/>
  <c r="J6" i="222"/>
  <c r="I8" i="224"/>
  <c r="J11"/>
  <c r="K14"/>
  <c r="L17"/>
  <c r="H21"/>
  <c r="I24"/>
  <c r="J27"/>
  <c r="K27"/>
  <c r="H29"/>
  <c r="I29"/>
  <c r="K30"/>
  <c r="L30"/>
  <c r="I32"/>
  <c r="J32"/>
  <c r="L33"/>
  <c r="I36"/>
  <c r="J36"/>
  <c r="L37"/>
  <c r="H38"/>
  <c r="J39"/>
  <c r="K39"/>
  <c r="H41"/>
  <c r="I41"/>
  <c r="K42"/>
  <c r="L42"/>
  <c r="I44"/>
  <c r="J44"/>
  <c r="E46" i="200"/>
  <c r="O47" i="14" s="1"/>
  <c r="J7" i="222"/>
  <c r="F7" s="1"/>
  <c r="J11"/>
  <c r="F11" s="1"/>
  <c r="J15"/>
  <c r="F15" s="1"/>
  <c r="J19"/>
  <c r="F19" s="1"/>
  <c r="J23"/>
  <c r="F23" s="1"/>
  <c r="J29"/>
  <c r="F29" s="1"/>
  <c r="J33"/>
  <c r="F33" s="1"/>
  <c r="J37"/>
  <c r="F37" s="1"/>
  <c r="J41"/>
  <c r="F41" s="1"/>
  <c r="J47"/>
  <c r="F47" s="1"/>
  <c r="H7" i="224"/>
  <c r="I7"/>
  <c r="L7"/>
  <c r="H8"/>
  <c r="J8"/>
  <c r="K8"/>
  <c r="L8"/>
  <c r="I9"/>
  <c r="J9"/>
  <c r="K9"/>
  <c r="I10"/>
  <c r="J10"/>
  <c r="H11"/>
  <c r="I11"/>
  <c r="K11"/>
  <c r="L11"/>
  <c r="H12"/>
  <c r="J12"/>
  <c r="K12"/>
  <c r="L12"/>
  <c r="J13"/>
  <c r="K13"/>
  <c r="I14"/>
  <c r="J14"/>
  <c r="L14"/>
  <c r="H15"/>
  <c r="I15"/>
  <c r="K15"/>
  <c r="L15"/>
  <c r="H16"/>
  <c r="K16"/>
  <c r="L16"/>
  <c r="J17"/>
  <c r="K17"/>
  <c r="H18"/>
  <c r="I18"/>
  <c r="J18"/>
  <c r="L18"/>
  <c r="H19"/>
  <c r="I19"/>
  <c r="L19"/>
  <c r="H20"/>
  <c r="K20"/>
  <c r="L20"/>
  <c r="I21"/>
  <c r="J21"/>
  <c r="K21"/>
  <c r="H22"/>
  <c r="I22"/>
  <c r="J22"/>
  <c r="H23"/>
  <c r="I23"/>
  <c r="L23"/>
  <c r="H24"/>
  <c r="J24"/>
  <c r="K24"/>
  <c r="L24"/>
  <c r="I25"/>
  <c r="J25"/>
  <c r="K25"/>
  <c r="H27"/>
  <c r="I27"/>
  <c r="L27"/>
  <c r="H28"/>
  <c r="K28"/>
  <c r="L28"/>
  <c r="J29"/>
  <c r="K29"/>
  <c r="I30"/>
  <c r="J30"/>
  <c r="H31"/>
  <c r="H61" s="1"/>
  <c r="I31"/>
  <c r="I61" s="1"/>
  <c r="L31"/>
  <c r="L61" s="1"/>
  <c r="H32"/>
  <c r="K32"/>
  <c r="L32"/>
  <c r="J33"/>
  <c r="K33"/>
  <c r="H35"/>
  <c r="I35"/>
  <c r="L35"/>
  <c r="H36"/>
  <c r="K36"/>
  <c r="L36"/>
  <c r="J37"/>
  <c r="K37"/>
  <c r="I38"/>
  <c r="J38"/>
  <c r="H39"/>
  <c r="I39"/>
  <c r="L39"/>
  <c r="H40"/>
  <c r="K40"/>
  <c r="L40"/>
  <c r="J41"/>
  <c r="K41"/>
  <c r="I42"/>
  <c r="J42"/>
  <c r="H43"/>
  <c r="I43"/>
  <c r="L43"/>
  <c r="H44"/>
  <c r="K44"/>
  <c r="L44"/>
  <c r="I46"/>
  <c r="J46"/>
  <c r="H47"/>
  <c r="I47"/>
  <c r="L47"/>
  <c r="H48"/>
  <c r="K48"/>
  <c r="L48"/>
  <c r="J49"/>
  <c r="K49"/>
  <c r="J6"/>
  <c r="J56" s="1"/>
  <c r="K6"/>
  <c r="K56" s="1"/>
  <c r="J9" i="222"/>
  <c r="F9" s="1"/>
  <c r="J13"/>
  <c r="F13" s="1"/>
  <c r="J17"/>
  <c r="F17" s="1"/>
  <c r="J21"/>
  <c r="F21" s="1"/>
  <c r="J25"/>
  <c r="F25" s="1"/>
  <c r="J27"/>
  <c r="F27" s="1"/>
  <c r="J30"/>
  <c r="F30" s="1"/>
  <c r="J31"/>
  <c r="J35"/>
  <c r="F35" s="1"/>
  <c r="J39"/>
  <c r="F39" s="1"/>
  <c r="J43"/>
  <c r="F43" s="1"/>
  <c r="G6" i="197"/>
  <c r="H6"/>
  <c r="I6"/>
  <c r="G7"/>
  <c r="H7"/>
  <c r="I7"/>
  <c r="G8"/>
  <c r="H8"/>
  <c r="I8"/>
  <c r="G9"/>
  <c r="H9"/>
  <c r="I9"/>
  <c r="G10"/>
  <c r="H10"/>
  <c r="I10"/>
  <c r="G11"/>
  <c r="H11"/>
  <c r="I11"/>
  <c r="G12"/>
  <c r="H12"/>
  <c r="I12"/>
  <c r="G13"/>
  <c r="H13"/>
  <c r="I13"/>
  <c r="G14"/>
  <c r="H14"/>
  <c r="I14"/>
  <c r="G15"/>
  <c r="H15"/>
  <c r="I15"/>
  <c r="G16"/>
  <c r="H16"/>
  <c r="I16"/>
  <c r="G17"/>
  <c r="H17"/>
  <c r="I17"/>
  <c r="G18"/>
  <c r="H18"/>
  <c r="I18"/>
  <c r="G19"/>
  <c r="H19"/>
  <c r="I19"/>
  <c r="G20"/>
  <c r="H20"/>
  <c r="I20"/>
  <c r="G21"/>
  <c r="H21"/>
  <c r="I21"/>
  <c r="G22"/>
  <c r="H22"/>
  <c r="I22"/>
  <c r="G23"/>
  <c r="H23"/>
  <c r="I23"/>
  <c r="G24"/>
  <c r="H24"/>
  <c r="I24"/>
  <c r="G25"/>
  <c r="G61" s="1"/>
  <c r="H25"/>
  <c r="H61" s="1"/>
  <c r="I25"/>
  <c r="I61" s="1"/>
  <c r="G26"/>
  <c r="H26"/>
  <c r="I26"/>
  <c r="G27"/>
  <c r="H27"/>
  <c r="I27"/>
  <c r="G28"/>
  <c r="H28"/>
  <c r="I28"/>
  <c r="G29"/>
  <c r="H29"/>
  <c r="I29"/>
  <c r="G30"/>
  <c r="H30"/>
  <c r="I30"/>
  <c r="G31"/>
  <c r="H31"/>
  <c r="I31"/>
  <c r="G32"/>
  <c r="H32"/>
  <c r="I32"/>
  <c r="G33"/>
  <c r="G62" s="1"/>
  <c r="H33"/>
  <c r="H62" s="1"/>
  <c r="I33"/>
  <c r="I62" s="1"/>
  <c r="G34"/>
  <c r="H34"/>
  <c r="I34"/>
  <c r="G35"/>
  <c r="H35"/>
  <c r="I35"/>
  <c r="G36"/>
  <c r="H36"/>
  <c r="I36"/>
  <c r="G37"/>
  <c r="H37"/>
  <c r="I37"/>
  <c r="G38"/>
  <c r="H38"/>
  <c r="I38"/>
  <c r="G39"/>
  <c r="H39"/>
  <c r="I39"/>
  <c r="G40"/>
  <c r="H40"/>
  <c r="I40"/>
  <c r="G41"/>
  <c r="H41"/>
  <c r="I41"/>
  <c r="G42"/>
  <c r="H42"/>
  <c r="I42"/>
  <c r="H5"/>
  <c r="I5"/>
  <c r="G5"/>
  <c r="C62" i="196"/>
  <c r="C63"/>
  <c r="H62"/>
  <c r="I62"/>
  <c r="J62"/>
  <c r="K62"/>
  <c r="H63"/>
  <c r="I63"/>
  <c r="J63"/>
  <c r="K63"/>
  <c r="H66"/>
  <c r="I66"/>
  <c r="J66"/>
  <c r="K66"/>
  <c r="G69" i="139"/>
  <c r="G68"/>
  <c r="G65"/>
  <c r="I69"/>
  <c r="H69"/>
  <c r="I68"/>
  <c r="H68"/>
  <c r="I65"/>
  <c r="H65"/>
  <c r="F6"/>
  <c r="F7"/>
  <c r="F8"/>
  <c r="F9"/>
  <c r="F10"/>
  <c r="F11"/>
  <c r="F12"/>
  <c r="F13"/>
  <c r="F14"/>
  <c r="F15"/>
  <c r="F16"/>
  <c r="F17"/>
  <c r="F18"/>
  <c r="F19"/>
  <c r="F20"/>
  <c r="F21"/>
  <c r="F22"/>
  <c r="F23"/>
  <c r="F24"/>
  <c r="F25"/>
  <c r="F61" s="1"/>
  <c r="F26"/>
  <c r="F27"/>
  <c r="F28"/>
  <c r="F29"/>
  <c r="F30"/>
  <c r="F65" s="1"/>
  <c r="F31"/>
  <c r="F32"/>
  <c r="F33"/>
  <c r="F64" s="1"/>
  <c r="F34"/>
  <c r="F35"/>
  <c r="F36"/>
  <c r="F37"/>
  <c r="F38"/>
  <c r="F39"/>
  <c r="F40"/>
  <c r="F41"/>
  <c r="F42"/>
  <c r="F43"/>
  <c r="F44"/>
  <c r="F45"/>
  <c r="F46"/>
  <c r="F47"/>
  <c r="F48"/>
  <c r="F5"/>
  <c r="F59" s="1"/>
  <c r="K68"/>
  <c r="A252" i="4"/>
  <c r="A254"/>
  <c r="A253"/>
  <c r="A249"/>
  <c r="A248"/>
  <c r="A245"/>
  <c r="A244"/>
  <c r="A240"/>
  <c r="A239"/>
  <c r="A238"/>
  <c r="A237"/>
  <c r="A236"/>
  <c r="A235"/>
  <c r="A234"/>
  <c r="A233"/>
  <c r="A232"/>
  <c r="A231"/>
  <c r="A229"/>
  <c r="A228"/>
  <c r="A227"/>
  <c r="A226"/>
  <c r="A225"/>
  <c r="A224"/>
  <c r="A223"/>
  <c r="A222"/>
  <c r="A221"/>
  <c r="A220"/>
  <c r="A219"/>
  <c r="A217"/>
  <c r="A216"/>
  <c r="A215"/>
  <c r="A214"/>
  <c r="A213"/>
  <c r="A212"/>
  <c r="A211"/>
  <c r="A210"/>
  <c r="A209"/>
  <c r="A208"/>
  <c r="A206"/>
  <c r="A205"/>
  <c r="A204"/>
  <c r="A203"/>
  <c r="A202"/>
  <c r="A201"/>
  <c r="A200"/>
  <c r="A199"/>
  <c r="A198"/>
  <c r="A197"/>
  <c r="A193"/>
  <c r="A191"/>
  <c r="A190"/>
  <c r="A188"/>
  <c r="A187"/>
  <c r="A185"/>
  <c r="A184"/>
  <c r="A182"/>
  <c r="A181"/>
  <c r="A179"/>
  <c r="A178"/>
  <c r="A176"/>
  <c r="A175"/>
  <c r="A173"/>
  <c r="A172"/>
  <c r="A170"/>
  <c r="A169"/>
  <c r="A120"/>
  <c r="A117"/>
  <c r="A116"/>
  <c r="A115"/>
  <c r="A114"/>
  <c r="A110"/>
  <c r="A109"/>
  <c r="A108"/>
  <c r="A105"/>
  <c r="A102"/>
  <c r="A101"/>
  <c r="A100"/>
  <c r="A98"/>
  <c r="A124"/>
  <c r="A67"/>
  <c r="A66"/>
  <c r="A65"/>
  <c r="A64"/>
  <c r="A63"/>
  <c r="A62"/>
  <c r="A60"/>
  <c r="A59"/>
  <c r="A58"/>
  <c r="A57"/>
  <c r="A56"/>
  <c r="A55"/>
  <c r="A54"/>
  <c r="A53"/>
  <c r="A52"/>
  <c r="A50"/>
  <c r="A49"/>
  <c r="A43"/>
  <c r="A42"/>
  <c r="A41"/>
  <c r="A40"/>
  <c r="A34"/>
  <c r="A33"/>
  <c r="A32"/>
  <c r="A31"/>
  <c r="A25"/>
  <c r="A24"/>
  <c r="A23"/>
  <c r="A22"/>
  <c r="A11"/>
  <c r="A10"/>
  <c r="A9"/>
  <c r="H8" i="181"/>
  <c r="H12"/>
  <c r="H21" s="1"/>
  <c r="H10"/>
  <c r="G58" i="50" l="1"/>
  <c r="G59"/>
  <c r="H18" i="181"/>
  <c r="H19"/>
  <c r="G58" i="53"/>
  <c r="G59"/>
  <c r="J57" i="224"/>
  <c r="C41" i="125"/>
  <c r="C42"/>
  <c r="C16" i="108"/>
  <c r="E40" i="125"/>
  <c r="E41"/>
  <c r="E42"/>
  <c r="F71" i="139"/>
  <c r="F69"/>
  <c r="C35" i="118"/>
  <c r="C15" i="101"/>
  <c r="F41" i="125"/>
  <c r="F42"/>
  <c r="K57" i="224"/>
  <c r="L57"/>
  <c r="H57"/>
  <c r="I57"/>
  <c r="F6" i="222"/>
  <c r="F56" s="1"/>
  <c r="J56"/>
  <c r="F31"/>
  <c r="F61" s="1"/>
  <c r="J61"/>
  <c r="B41" i="125"/>
  <c r="B42"/>
  <c r="B34" i="6"/>
  <c r="I12" i="108"/>
  <c r="I11" i="101"/>
  <c r="H10"/>
  <c r="D21"/>
  <c r="D22" i="120"/>
  <c r="D22" i="108"/>
  <c r="H11"/>
  <c r="I5" i="23"/>
  <c r="G28" i="58"/>
  <c r="H5" i="18"/>
  <c r="F29" i="54"/>
  <c r="B12" i="127"/>
  <c r="B11" i="88"/>
  <c r="B11" i="125" s="1"/>
  <c r="B10" i="328"/>
  <c r="B10" i="341"/>
  <c r="D47" i="224"/>
  <c r="D50"/>
  <c r="D53"/>
  <c r="D52"/>
  <c r="D51"/>
  <c r="C47"/>
  <c r="C51"/>
  <c r="C52"/>
  <c r="C53"/>
  <c r="C50"/>
  <c r="E47"/>
  <c r="E52"/>
  <c r="E50"/>
  <c r="E51"/>
  <c r="E53"/>
  <c r="F47"/>
  <c r="F53"/>
  <c r="F51"/>
  <c r="F52"/>
  <c r="F50"/>
  <c r="C10" i="341"/>
  <c r="C10" i="328"/>
  <c r="C11" i="88"/>
  <c r="C11" i="125" s="1"/>
  <c r="E10" i="341"/>
  <c r="E11" i="88"/>
  <c r="E11" i="125" s="1"/>
  <c r="E10" i="328"/>
  <c r="D12" i="127"/>
  <c r="G9" i="328"/>
  <c r="G10" i="88"/>
  <c r="G10" i="125" s="1"/>
  <c r="N11" i="127"/>
  <c r="G9" i="341"/>
  <c r="D20" i="328"/>
  <c r="D50" i="358"/>
  <c r="D21" i="88"/>
  <c r="D21" i="125" s="1"/>
  <c r="D20" i="341"/>
  <c r="C22" i="127"/>
  <c r="E12"/>
  <c r="F11" i="88"/>
  <c r="F11" i="125" s="1"/>
  <c r="F10" i="341"/>
  <c r="F10" i="328"/>
  <c r="U12" i="127"/>
  <c r="O11"/>
  <c r="C35" i="7"/>
  <c r="E6" i="224"/>
  <c r="C34" i="122"/>
  <c r="C34" i="123"/>
  <c r="C13" i="126" s="1"/>
  <c r="E47" i="202"/>
  <c r="O48" i="15" s="1"/>
  <c r="D6" i="224"/>
  <c r="F6"/>
  <c r="C6"/>
  <c r="G15" i="225"/>
  <c r="F67" i="139"/>
  <c r="E26" i="263"/>
  <c r="F5" i="223"/>
  <c r="F55" s="1"/>
  <c r="F47"/>
  <c r="F45"/>
  <c r="F43"/>
  <c r="F41"/>
  <c r="F39"/>
  <c r="F37"/>
  <c r="F35"/>
  <c r="F31"/>
  <c r="F29"/>
  <c r="F27"/>
  <c r="F23"/>
  <c r="F21"/>
  <c r="F19"/>
  <c r="F17"/>
  <c r="F15"/>
  <c r="F13"/>
  <c r="F11"/>
  <c r="F9"/>
  <c r="F7"/>
  <c r="E24" i="263"/>
  <c r="I64" i="197"/>
  <c r="G64"/>
  <c r="H60"/>
  <c r="F48" i="223"/>
  <c r="F46"/>
  <c r="F42"/>
  <c r="F40"/>
  <c r="F38"/>
  <c r="F36"/>
  <c r="F34"/>
  <c r="F32"/>
  <c r="F30"/>
  <c r="F60" s="1"/>
  <c r="F28"/>
  <c r="F26"/>
  <c r="F24"/>
  <c r="F22"/>
  <c r="F20"/>
  <c r="F18"/>
  <c r="F16"/>
  <c r="F14"/>
  <c r="F12"/>
  <c r="F10"/>
  <c r="F8"/>
  <c r="F6"/>
  <c r="E48" i="224"/>
  <c r="C48"/>
  <c r="E46"/>
  <c r="C46"/>
  <c r="E44"/>
  <c r="C44"/>
  <c r="G23" i="225"/>
  <c r="H59" i="197"/>
  <c r="H63"/>
  <c r="H65"/>
  <c r="D5" i="223"/>
  <c r="D55" s="1"/>
  <c r="O6" i="13"/>
  <c r="O56" s="1"/>
  <c r="E47" i="198"/>
  <c r="O48" i="13" s="1"/>
  <c r="D47" i="223"/>
  <c r="C47" s="1"/>
  <c r="E45" i="198"/>
  <c r="O46" i="13" s="1"/>
  <c r="D45" i="223"/>
  <c r="C45" s="1"/>
  <c r="E43" i="198"/>
  <c r="O44" i="13" s="1"/>
  <c r="D43" i="223"/>
  <c r="C43" s="1"/>
  <c r="E41" i="198"/>
  <c r="O42" i="13" s="1"/>
  <c r="D41" i="223"/>
  <c r="C41" s="1"/>
  <c r="E39" i="198"/>
  <c r="O40" i="13" s="1"/>
  <c r="D39" i="223"/>
  <c r="C39" s="1"/>
  <c r="E37" i="198"/>
  <c r="O38" i="13" s="1"/>
  <c r="D37" i="223"/>
  <c r="C37" s="1"/>
  <c r="E35" i="198"/>
  <c r="O36" i="13" s="1"/>
  <c r="D35" i="223"/>
  <c r="C35" s="1"/>
  <c r="E33" i="198"/>
  <c r="D33" i="223"/>
  <c r="E31" i="198"/>
  <c r="O32" i="13" s="1"/>
  <c r="D31" i="223"/>
  <c r="C31" s="1"/>
  <c r="E29" i="198"/>
  <c r="O30" i="13" s="1"/>
  <c r="D29" i="223"/>
  <c r="C29" s="1"/>
  <c r="E27" i="198"/>
  <c r="O28" i="13" s="1"/>
  <c r="D27" i="223"/>
  <c r="C27" s="1"/>
  <c r="E25" i="198"/>
  <c r="D25" i="223"/>
  <c r="E23" i="198"/>
  <c r="O24" i="13" s="1"/>
  <c r="D23" i="223"/>
  <c r="C23" s="1"/>
  <c r="E21" i="198"/>
  <c r="O22" i="13" s="1"/>
  <c r="D21" i="223"/>
  <c r="C21" s="1"/>
  <c r="E19" i="198"/>
  <c r="O20" i="13" s="1"/>
  <c r="D19" i="223"/>
  <c r="C19" s="1"/>
  <c r="E17" i="198"/>
  <c r="E56" s="1"/>
  <c r="D17" i="223"/>
  <c r="E15" i="198"/>
  <c r="O16" i="13" s="1"/>
  <c r="D15" i="223"/>
  <c r="C15" s="1"/>
  <c r="E13" i="198"/>
  <c r="O14" i="13" s="1"/>
  <c r="D13" i="223"/>
  <c r="C13" s="1"/>
  <c r="E11" i="198"/>
  <c r="O12" i="13" s="1"/>
  <c r="D11" i="223"/>
  <c r="C11" s="1"/>
  <c r="E9" i="198"/>
  <c r="O10" i="13" s="1"/>
  <c r="D9" i="223"/>
  <c r="C9" s="1"/>
  <c r="E7" i="198"/>
  <c r="O8" i="13" s="1"/>
  <c r="D7" i="223"/>
  <c r="C7" s="1"/>
  <c r="F33"/>
  <c r="F25"/>
  <c r="E49" i="224"/>
  <c r="C49"/>
  <c r="K45"/>
  <c r="I45"/>
  <c r="L34"/>
  <c r="J34"/>
  <c r="H34"/>
  <c r="L26"/>
  <c r="J26"/>
  <c r="H26"/>
  <c r="F18"/>
  <c r="F57" s="1"/>
  <c r="D18"/>
  <c r="E33" i="200"/>
  <c r="E25"/>
  <c r="F14" i="219"/>
  <c r="F7" i="225" s="1"/>
  <c r="G7" s="1"/>
  <c r="O26" i="241"/>
  <c r="Z26"/>
  <c r="X26"/>
  <c r="V26"/>
  <c r="T26"/>
  <c r="R26"/>
  <c r="P26"/>
  <c r="Y26"/>
  <c r="W26"/>
  <c r="U26"/>
  <c r="S26"/>
  <c r="Q26"/>
  <c r="H64" i="197"/>
  <c r="I60"/>
  <c r="G60"/>
  <c r="F48" i="224"/>
  <c r="D48"/>
  <c r="F46"/>
  <c r="D46"/>
  <c r="F44"/>
  <c r="D44"/>
  <c r="E43"/>
  <c r="C43"/>
  <c r="F42"/>
  <c r="D42"/>
  <c r="E41"/>
  <c r="C41"/>
  <c r="F40"/>
  <c r="D40"/>
  <c r="E39"/>
  <c r="C39"/>
  <c r="F38"/>
  <c r="D38"/>
  <c r="E37"/>
  <c r="C37"/>
  <c r="F36"/>
  <c r="D36"/>
  <c r="E35"/>
  <c r="C35"/>
  <c r="E33"/>
  <c r="C33"/>
  <c r="F32"/>
  <c r="D32"/>
  <c r="E31"/>
  <c r="C31"/>
  <c r="F30"/>
  <c r="D30"/>
  <c r="E29"/>
  <c r="C29"/>
  <c r="F28"/>
  <c r="D28"/>
  <c r="E27"/>
  <c r="C27"/>
  <c r="E25"/>
  <c r="C25"/>
  <c r="F24"/>
  <c r="D24"/>
  <c r="E23"/>
  <c r="C23"/>
  <c r="F22"/>
  <c r="D22"/>
  <c r="E21"/>
  <c r="C21"/>
  <c r="F20"/>
  <c r="D20"/>
  <c r="E19"/>
  <c r="C19"/>
  <c r="E17"/>
  <c r="C17"/>
  <c r="F16"/>
  <c r="D16"/>
  <c r="E15"/>
  <c r="C15"/>
  <c r="F14"/>
  <c r="D14"/>
  <c r="E13"/>
  <c r="C13"/>
  <c r="F12"/>
  <c r="D12"/>
  <c r="E11"/>
  <c r="C11"/>
  <c r="F10"/>
  <c r="D10"/>
  <c r="E9"/>
  <c r="C9"/>
  <c r="F8"/>
  <c r="D8"/>
  <c r="E7"/>
  <c r="C7"/>
  <c r="E5" i="200"/>
  <c r="E47"/>
  <c r="O48" i="14" s="1"/>
  <c r="E45" i="200"/>
  <c r="O46" i="14" s="1"/>
  <c r="E43" i="200"/>
  <c r="O44" i="14" s="1"/>
  <c r="E41" i="200"/>
  <c r="O42" i="14" s="1"/>
  <c r="E39" i="200"/>
  <c r="O40" i="14" s="1"/>
  <c r="E37" i="200"/>
  <c r="O38" i="14" s="1"/>
  <c r="E35" i="200"/>
  <c r="O36" i="14" s="1"/>
  <c r="E31" i="200"/>
  <c r="O32" i="14" s="1"/>
  <c r="E29" i="200"/>
  <c r="O30" i="14" s="1"/>
  <c r="E27" i="200"/>
  <c r="O28" i="14" s="1"/>
  <c r="E23" i="200"/>
  <c r="O24" i="14" s="1"/>
  <c r="E21" i="200"/>
  <c r="O22" i="14" s="1"/>
  <c r="E19" i="200"/>
  <c r="O20" i="14" s="1"/>
  <c r="E17" i="200"/>
  <c r="E15"/>
  <c r="O16" i="14" s="1"/>
  <c r="E13" i="200"/>
  <c r="O14" i="14" s="1"/>
  <c r="E11" i="200"/>
  <c r="O12" i="14" s="1"/>
  <c r="E9" i="200"/>
  <c r="O10" i="14" s="1"/>
  <c r="E7" i="200"/>
  <c r="O8" i="14" s="1"/>
  <c r="E5" i="202"/>
  <c r="G21" i="225"/>
  <c r="G13"/>
  <c r="G5"/>
  <c r="I59" i="197"/>
  <c r="I63"/>
  <c r="I65"/>
  <c r="G59"/>
  <c r="G65"/>
  <c r="G63"/>
  <c r="J48" i="222"/>
  <c r="F48" s="1"/>
  <c r="D48" i="223"/>
  <c r="C48" s="1"/>
  <c r="E48" i="198"/>
  <c r="O49" i="13" s="1"/>
  <c r="D46" i="223"/>
  <c r="E46" i="198"/>
  <c r="O47" i="13" s="1"/>
  <c r="D44" i="223"/>
  <c r="E44" i="198"/>
  <c r="D42" i="223"/>
  <c r="E42" i="198"/>
  <c r="O43" i="13" s="1"/>
  <c r="D40" i="223"/>
  <c r="C40" s="1"/>
  <c r="E40" i="198"/>
  <c r="O41" i="13" s="1"/>
  <c r="D38" i="223"/>
  <c r="E38" i="198"/>
  <c r="O39" i="13" s="1"/>
  <c r="D36" i="223"/>
  <c r="E36" i="198"/>
  <c r="O37" i="13" s="1"/>
  <c r="D34" i="223"/>
  <c r="E34" i="198"/>
  <c r="O35" i="13" s="1"/>
  <c r="D32" i="223"/>
  <c r="E32" i="198"/>
  <c r="O33" i="13" s="1"/>
  <c r="D30" i="223"/>
  <c r="D60" s="1"/>
  <c r="E30" i="198"/>
  <c r="D28" i="223"/>
  <c r="C28" s="1"/>
  <c r="E28" i="198"/>
  <c r="O29" i="13" s="1"/>
  <c r="D26" i="223"/>
  <c r="E26" i="198"/>
  <c r="O27" i="13" s="1"/>
  <c r="D24" i="223"/>
  <c r="E24" i="198"/>
  <c r="O25" i="13" s="1"/>
  <c r="D22" i="223"/>
  <c r="E22" i="198"/>
  <c r="O23" i="13" s="1"/>
  <c r="D20" i="223"/>
  <c r="E20" i="198"/>
  <c r="O21" i="13" s="1"/>
  <c r="D18" i="223"/>
  <c r="E18" i="198"/>
  <c r="O19" i="13" s="1"/>
  <c r="D16" i="223"/>
  <c r="E16" i="198"/>
  <c r="O17" i="13" s="1"/>
  <c r="D14" i="223"/>
  <c r="E14" i="198"/>
  <c r="O15" i="13" s="1"/>
  <c r="D12" i="223"/>
  <c r="C12" s="1"/>
  <c r="E12" i="198"/>
  <c r="O13" i="13" s="1"/>
  <c r="D10" i="223"/>
  <c r="E10" i="198"/>
  <c r="O11" i="13" s="1"/>
  <c r="D8" i="223"/>
  <c r="E8" i="198"/>
  <c r="O9" i="13" s="1"/>
  <c r="D6" i="223"/>
  <c r="E6" i="198"/>
  <c r="O7" i="13" s="1"/>
  <c r="F44" i="223"/>
  <c r="F49" i="224"/>
  <c r="D49"/>
  <c r="L45"/>
  <c r="J45"/>
  <c r="H45"/>
  <c r="K34"/>
  <c r="I34"/>
  <c r="K26"/>
  <c r="I26"/>
  <c r="E18"/>
  <c r="E57" s="1"/>
  <c r="C18"/>
  <c r="E48" i="200"/>
  <c r="O49" i="14" s="1"/>
  <c r="E44" i="200"/>
  <c r="E48" i="202"/>
  <c r="O49" i="15" s="1"/>
  <c r="E44" i="202"/>
  <c r="E33"/>
  <c r="E59" s="1"/>
  <c r="E25"/>
  <c r="C29" i="205"/>
  <c r="D14" i="263"/>
  <c r="D25" s="1"/>
  <c r="D24"/>
  <c r="F43" i="224"/>
  <c r="D43"/>
  <c r="E42"/>
  <c r="C42"/>
  <c r="F41"/>
  <c r="D41"/>
  <c r="E40"/>
  <c r="C40"/>
  <c r="F39"/>
  <c r="D39"/>
  <c r="E38"/>
  <c r="C38"/>
  <c r="F37"/>
  <c r="D37"/>
  <c r="E36"/>
  <c r="C36"/>
  <c r="F35"/>
  <c r="D35"/>
  <c r="F33"/>
  <c r="D33"/>
  <c r="E32"/>
  <c r="C32"/>
  <c r="F31"/>
  <c r="D31"/>
  <c r="E30"/>
  <c r="C30"/>
  <c r="F29"/>
  <c r="D29"/>
  <c r="E28"/>
  <c r="C28"/>
  <c r="F27"/>
  <c r="D27"/>
  <c r="F25"/>
  <c r="D25"/>
  <c r="E24"/>
  <c r="C24"/>
  <c r="F23"/>
  <c r="D23"/>
  <c r="E22"/>
  <c r="C22"/>
  <c r="F21"/>
  <c r="D21"/>
  <c r="E20"/>
  <c r="C20"/>
  <c r="F19"/>
  <c r="D19"/>
  <c r="F17"/>
  <c r="D17"/>
  <c r="E16"/>
  <c r="C16"/>
  <c r="F15"/>
  <c r="D15"/>
  <c r="E14"/>
  <c r="C14"/>
  <c r="F13"/>
  <c r="D13"/>
  <c r="E12"/>
  <c r="C12"/>
  <c r="F11"/>
  <c r="D11"/>
  <c r="E10"/>
  <c r="C10"/>
  <c r="F9"/>
  <c r="D9"/>
  <c r="E8"/>
  <c r="C8"/>
  <c r="F7"/>
  <c r="D7"/>
  <c r="E42" i="200"/>
  <c r="O43" i="14" s="1"/>
  <c r="E40" i="200"/>
  <c r="O41" i="14" s="1"/>
  <c r="E38" i="200"/>
  <c r="O39" i="14" s="1"/>
  <c r="E36" i="200"/>
  <c r="O37" i="14" s="1"/>
  <c r="E34" i="200"/>
  <c r="O35" i="14" s="1"/>
  <c r="E32" i="200"/>
  <c r="O33" i="14" s="1"/>
  <c r="E30" i="200"/>
  <c r="E28"/>
  <c r="O29" i="14" s="1"/>
  <c r="E26" i="200"/>
  <c r="O27" i="14" s="1"/>
  <c r="E24" i="200"/>
  <c r="O25" i="14" s="1"/>
  <c r="E22" i="200"/>
  <c r="O23" i="14" s="1"/>
  <c r="E20" i="200"/>
  <c r="O21" i="14" s="1"/>
  <c r="E18" i="200"/>
  <c r="O19" i="14" s="1"/>
  <c r="E16" i="200"/>
  <c r="O17" i="14" s="1"/>
  <c r="E14" i="200"/>
  <c r="O15" i="14" s="1"/>
  <c r="E12" i="200"/>
  <c r="O13" i="14" s="1"/>
  <c r="E10" i="200"/>
  <c r="O11" i="14" s="1"/>
  <c r="E8" i="200"/>
  <c r="O9" i="14" s="1"/>
  <c r="E6" i="200"/>
  <c r="O7" i="14" s="1"/>
  <c r="E45" i="202"/>
  <c r="O46" i="15" s="1"/>
  <c r="E43" i="202"/>
  <c r="O44" i="15" s="1"/>
  <c r="E42" i="202"/>
  <c r="O43" i="15" s="1"/>
  <c r="E41" i="202"/>
  <c r="O42" i="15" s="1"/>
  <c r="E40" i="202"/>
  <c r="O41" i="15" s="1"/>
  <c r="E39" i="202"/>
  <c r="O40" i="15" s="1"/>
  <c r="E38" i="202"/>
  <c r="O39" i="15" s="1"/>
  <c r="E37" i="202"/>
  <c r="O38" i="15" s="1"/>
  <c r="E36" i="202"/>
  <c r="O37" i="15" s="1"/>
  <c r="E35" i="202"/>
  <c r="O36" i="15" s="1"/>
  <c r="E34" i="202"/>
  <c r="O35" i="15" s="1"/>
  <c r="E32" i="202"/>
  <c r="O33" i="15" s="1"/>
  <c r="E31" i="202"/>
  <c r="O32" i="15" s="1"/>
  <c r="E30" i="202"/>
  <c r="E29"/>
  <c r="O30" i="15" s="1"/>
  <c r="E28" i="202"/>
  <c r="O29" i="15" s="1"/>
  <c r="E27" i="202"/>
  <c r="O28" i="15" s="1"/>
  <c r="E26" i="202"/>
  <c r="O27" i="15" s="1"/>
  <c r="E24" i="202"/>
  <c r="O25" i="15" s="1"/>
  <c r="E23" i="202"/>
  <c r="O24" i="15" s="1"/>
  <c r="E22" i="202"/>
  <c r="O23" i="15" s="1"/>
  <c r="E21" i="202"/>
  <c r="O22" i="15" s="1"/>
  <c r="E20" i="202"/>
  <c r="O21" i="15" s="1"/>
  <c r="E19" i="202"/>
  <c r="O20" i="15" s="1"/>
  <c r="E18" i="202"/>
  <c r="O19" i="15" s="1"/>
  <c r="E17" i="202"/>
  <c r="E56" s="1"/>
  <c r="E16"/>
  <c r="O17" i="15" s="1"/>
  <c r="E15" i="202"/>
  <c r="O16" i="15" s="1"/>
  <c r="E14" i="202"/>
  <c r="O15" i="15" s="1"/>
  <c r="E13" i="202"/>
  <c r="O14" i="15" s="1"/>
  <c r="E12" i="202"/>
  <c r="O13" i="15" s="1"/>
  <c r="E11" i="202"/>
  <c r="O12" i="15" s="1"/>
  <c r="E10" i="202"/>
  <c r="O11" i="15" s="1"/>
  <c r="E9" i="202"/>
  <c r="O10" i="15" s="1"/>
  <c r="E8" i="202"/>
  <c r="O9" i="15" s="1"/>
  <c r="E7" i="202"/>
  <c r="O8" i="15" s="1"/>
  <c r="E6" i="202"/>
  <c r="O7" i="15" s="1"/>
  <c r="E25" i="263"/>
  <c r="D34" i="6"/>
  <c r="F34"/>
  <c r="E34"/>
  <c r="F60" i="139"/>
  <c r="F63"/>
  <c r="C30" i="205"/>
  <c r="C28"/>
  <c r="G49" i="203"/>
  <c r="G48" i="202"/>
  <c r="G48" i="203"/>
  <c r="G47" i="202"/>
  <c r="G47" i="203"/>
  <c r="G46" i="202"/>
  <c r="G46" i="203"/>
  <c r="G45" i="202"/>
  <c r="G45" i="203"/>
  <c r="G44" i="202"/>
  <c r="G44" i="203"/>
  <c r="G43" i="202"/>
  <c r="G43" i="203"/>
  <c r="G42" i="202"/>
  <c r="G42" i="203"/>
  <c r="G41" i="202"/>
  <c r="G41" i="203"/>
  <c r="G40" i="202"/>
  <c r="G40" i="203"/>
  <c r="G39" i="202"/>
  <c r="G39" i="203"/>
  <c r="G38" i="202"/>
  <c r="G38" i="203"/>
  <c r="G37" i="202"/>
  <c r="G37" i="203"/>
  <c r="G36" i="202"/>
  <c r="G36" i="203"/>
  <c r="G35" i="202"/>
  <c r="G35" i="203"/>
  <c r="G34" i="202"/>
  <c r="G34" i="203"/>
  <c r="G33" i="202"/>
  <c r="G33" i="203"/>
  <c r="G32" i="202"/>
  <c r="G32" i="203"/>
  <c r="G31" i="202"/>
  <c r="G31" i="203"/>
  <c r="G60" s="1"/>
  <c r="G30" i="202"/>
  <c r="G60" s="1"/>
  <c r="G30" i="203"/>
  <c r="G29" i="202"/>
  <c r="G29" i="203"/>
  <c r="G28" i="202"/>
  <c r="G28" i="203"/>
  <c r="G27" i="202"/>
  <c r="G27" i="203"/>
  <c r="G26" i="202"/>
  <c r="G26" i="203"/>
  <c r="G25" i="202"/>
  <c r="G25" i="203"/>
  <c r="G24" i="202"/>
  <c r="G24" i="203"/>
  <c r="G23" i="202"/>
  <c r="G23" i="203"/>
  <c r="G22" i="202"/>
  <c r="G22" i="203"/>
  <c r="G21" i="202"/>
  <c r="G21" i="203"/>
  <c r="G20" i="202"/>
  <c r="G20" i="203"/>
  <c r="G19" i="202"/>
  <c r="G19" i="203"/>
  <c r="G18" i="202"/>
  <c r="G18" i="203"/>
  <c r="G17" i="202"/>
  <c r="G17" i="203"/>
  <c r="G16" i="202"/>
  <c r="G16" i="203"/>
  <c r="G15" i="202"/>
  <c r="G15" i="203"/>
  <c r="G14" i="202"/>
  <c r="G14" i="203"/>
  <c r="G13" i="202"/>
  <c r="G13" i="203"/>
  <c r="G12" i="202"/>
  <c r="G12" i="203"/>
  <c r="G11" i="202"/>
  <c r="G11" i="203"/>
  <c r="G10" i="202"/>
  <c r="G10" i="203"/>
  <c r="G9" i="202"/>
  <c r="G9" i="203"/>
  <c r="G8" i="202"/>
  <c r="G8" i="203"/>
  <c r="G7" i="202"/>
  <c r="G7" i="203"/>
  <c r="G6" i="202"/>
  <c r="G6" i="203"/>
  <c r="G56" s="1"/>
  <c r="G5" i="202"/>
  <c r="G55" s="1"/>
  <c r="G48" i="200"/>
  <c r="G47"/>
  <c r="G46"/>
  <c r="G45"/>
  <c r="G44"/>
  <c r="G43"/>
  <c r="G42"/>
  <c r="G41"/>
  <c r="G40"/>
  <c r="G39"/>
  <c r="G38"/>
  <c r="G37"/>
  <c r="G36"/>
  <c r="G35"/>
  <c r="G34"/>
  <c r="G33"/>
  <c r="G32"/>
  <c r="G31"/>
  <c r="G30"/>
  <c r="G60" s="1"/>
  <c r="G29"/>
  <c r="G28"/>
  <c r="G27"/>
  <c r="G26"/>
  <c r="G25"/>
  <c r="G24"/>
  <c r="G23"/>
  <c r="G22"/>
  <c r="G21"/>
  <c r="G20"/>
  <c r="G19"/>
  <c r="G18"/>
  <c r="G17"/>
  <c r="G16"/>
  <c r="G15"/>
  <c r="G14"/>
  <c r="G13"/>
  <c r="G12"/>
  <c r="G11"/>
  <c r="G10"/>
  <c r="G9"/>
  <c r="G8"/>
  <c r="G7"/>
  <c r="G6"/>
  <c r="G5"/>
  <c r="G55" s="1"/>
  <c r="K6" i="222"/>
  <c r="J49"/>
  <c r="F49" s="1"/>
  <c r="K49"/>
  <c r="K48"/>
  <c r="K47"/>
  <c r="K46"/>
  <c r="C46" s="1"/>
  <c r="K45"/>
  <c r="K44"/>
  <c r="C44" s="1"/>
  <c r="K43"/>
  <c r="G43" s="1"/>
  <c r="K42"/>
  <c r="C42" s="1"/>
  <c r="K41"/>
  <c r="G41" s="1"/>
  <c r="K40"/>
  <c r="C40" s="1"/>
  <c r="K39"/>
  <c r="G39" s="1"/>
  <c r="K38"/>
  <c r="C38" s="1"/>
  <c r="K37"/>
  <c r="G37" s="1"/>
  <c r="K36"/>
  <c r="C36" s="1"/>
  <c r="K35"/>
  <c r="G35" s="1"/>
  <c r="K34"/>
  <c r="C34" s="1"/>
  <c r="K33"/>
  <c r="G33" s="1"/>
  <c r="K32"/>
  <c r="C32" s="1"/>
  <c r="K31"/>
  <c r="K30"/>
  <c r="C30" s="1"/>
  <c r="K29"/>
  <c r="G29" s="1"/>
  <c r="K28"/>
  <c r="C28" s="1"/>
  <c r="K27"/>
  <c r="K26"/>
  <c r="K25"/>
  <c r="G25" s="1"/>
  <c r="K24"/>
  <c r="C24" s="1"/>
  <c r="K23"/>
  <c r="G23" s="1"/>
  <c r="K22"/>
  <c r="C22" s="1"/>
  <c r="K21"/>
  <c r="G21" s="1"/>
  <c r="K20"/>
  <c r="C20" s="1"/>
  <c r="K19"/>
  <c r="G19" s="1"/>
  <c r="K18"/>
  <c r="C18" s="1"/>
  <c r="K17"/>
  <c r="G17" s="1"/>
  <c r="K16"/>
  <c r="C16" s="1"/>
  <c r="K15"/>
  <c r="G15" s="1"/>
  <c r="K14"/>
  <c r="C14" s="1"/>
  <c r="K13"/>
  <c r="G13" s="1"/>
  <c r="K12"/>
  <c r="C12" s="1"/>
  <c r="K11"/>
  <c r="G11" s="1"/>
  <c r="K10"/>
  <c r="C10" s="1"/>
  <c r="K9"/>
  <c r="G9" s="1"/>
  <c r="K8"/>
  <c r="C8" s="1"/>
  <c r="K7"/>
  <c r="G7" s="1"/>
  <c r="J45"/>
  <c r="J63" s="1"/>
  <c r="J34"/>
  <c r="J26"/>
  <c r="J59" s="1"/>
  <c r="F18"/>
  <c r="J57"/>
  <c r="G5" i="198"/>
  <c r="G49" i="199"/>
  <c r="G48" i="198"/>
  <c r="G47"/>
  <c r="G48" i="199"/>
  <c r="G47"/>
  <c r="G46" i="198"/>
  <c r="G45"/>
  <c r="G44"/>
  <c r="G43"/>
  <c r="G42"/>
  <c r="G41"/>
  <c r="G40"/>
  <c r="G39"/>
  <c r="G38"/>
  <c r="G37"/>
  <c r="G36"/>
  <c r="G35"/>
  <c r="G34"/>
  <c r="G33"/>
  <c r="G32"/>
  <c r="G31"/>
  <c r="G30"/>
  <c r="G60" s="1"/>
  <c r="G29"/>
  <c r="G28"/>
  <c r="G27"/>
  <c r="G26"/>
  <c r="G25"/>
  <c r="G24"/>
  <c r="G23"/>
  <c r="G22"/>
  <c r="G21"/>
  <c r="G20"/>
  <c r="G19"/>
  <c r="G18"/>
  <c r="G17"/>
  <c r="G56" s="1"/>
  <c r="G16"/>
  <c r="G15"/>
  <c r="G14"/>
  <c r="G13"/>
  <c r="G12"/>
  <c r="G11"/>
  <c r="G10"/>
  <c r="G9"/>
  <c r="G8"/>
  <c r="G7"/>
  <c r="G6"/>
  <c r="J67" i="196"/>
  <c r="J60"/>
  <c r="J64"/>
  <c r="H67"/>
  <c r="H60"/>
  <c r="J61"/>
  <c r="H61"/>
  <c r="C61"/>
  <c r="K64"/>
  <c r="K67"/>
  <c r="K60"/>
  <c r="I67"/>
  <c r="I64"/>
  <c r="I60"/>
  <c r="C67"/>
  <c r="C60"/>
  <c r="C64"/>
  <c r="K61"/>
  <c r="I61"/>
  <c r="C66"/>
  <c r="H17" i="181"/>
  <c r="H20"/>
  <c r="G58" i="58" l="1"/>
  <c r="G59"/>
  <c r="F5" i="219"/>
  <c r="D57" i="224"/>
  <c r="E59" i="200"/>
  <c r="G57"/>
  <c r="G58"/>
  <c r="F61" i="223"/>
  <c r="F62"/>
  <c r="C44"/>
  <c r="D61"/>
  <c r="D62"/>
  <c r="F57"/>
  <c r="F58"/>
  <c r="C17"/>
  <c r="D56"/>
  <c r="C33"/>
  <c r="D59"/>
  <c r="G61" i="203"/>
  <c r="F5" i="221"/>
  <c r="G62" i="203"/>
  <c r="O31" i="15"/>
  <c r="O61" s="1"/>
  <c r="E60" i="202"/>
  <c r="E61" i="200"/>
  <c r="E62"/>
  <c r="E61" i="198"/>
  <c r="E62"/>
  <c r="O6" i="14"/>
  <c r="O56" s="1"/>
  <c r="E55" i="200"/>
  <c r="E57"/>
  <c r="E58"/>
  <c r="G56"/>
  <c r="G59" i="202"/>
  <c r="L60" i="224"/>
  <c r="F56" i="223"/>
  <c r="G57" i="202"/>
  <c r="G58"/>
  <c r="C25" i="223"/>
  <c r="D57"/>
  <c r="D58"/>
  <c r="C15" i="108"/>
  <c r="G61" i="200"/>
  <c r="F4" i="220"/>
  <c r="F15" s="1"/>
  <c r="F16" i="225" s="1"/>
  <c r="G62" i="200"/>
  <c r="E57" i="202"/>
  <c r="E58"/>
  <c r="O6" i="15"/>
  <c r="O56" s="1"/>
  <c r="E55" i="202"/>
  <c r="C34" i="118"/>
  <c r="C14" i="101"/>
  <c r="H35" i="18"/>
  <c r="H36"/>
  <c r="H37"/>
  <c r="G57" i="198"/>
  <c r="G58"/>
  <c r="G61" i="202"/>
  <c r="F4" i="221"/>
  <c r="F15" s="1"/>
  <c r="F24" i="225" s="1"/>
  <c r="G62" i="202"/>
  <c r="F4" i="219"/>
  <c r="G61" i="198"/>
  <c r="G62"/>
  <c r="B4" i="219"/>
  <c r="G55" i="198"/>
  <c r="O31" i="14"/>
  <c r="O61" s="1"/>
  <c r="E60" i="200"/>
  <c r="O45" i="15"/>
  <c r="E61" i="202"/>
  <c r="E62"/>
  <c r="O31" i="13"/>
  <c r="O61" s="1"/>
  <c r="E60" i="198"/>
  <c r="E57"/>
  <c r="E58"/>
  <c r="G59" i="200"/>
  <c r="G56" i="202"/>
  <c r="G59" i="198"/>
  <c r="G57" i="203"/>
  <c r="G58"/>
  <c r="G59"/>
  <c r="E56" i="200"/>
  <c r="H60" i="224"/>
  <c r="F59" i="223"/>
  <c r="E59" i="198"/>
  <c r="L62" i="224"/>
  <c r="L63"/>
  <c r="J58"/>
  <c r="J59"/>
  <c r="K62"/>
  <c r="K63"/>
  <c r="E61"/>
  <c r="E56"/>
  <c r="E59"/>
  <c r="D61"/>
  <c r="D56"/>
  <c r="I60"/>
  <c r="I58"/>
  <c r="I59"/>
  <c r="H62"/>
  <c r="H63"/>
  <c r="K58"/>
  <c r="K59"/>
  <c r="J62"/>
  <c r="J63"/>
  <c r="H58"/>
  <c r="H59"/>
  <c r="L58"/>
  <c r="L59"/>
  <c r="I62"/>
  <c r="I63"/>
  <c r="F56"/>
  <c r="F61"/>
  <c r="C56"/>
  <c r="C61"/>
  <c r="C57"/>
  <c r="K60"/>
  <c r="J60"/>
  <c r="G45" i="222"/>
  <c r="G63" s="1"/>
  <c r="K63"/>
  <c r="C6"/>
  <c r="C56" s="1"/>
  <c r="K56"/>
  <c r="G31"/>
  <c r="G61" s="1"/>
  <c r="K61"/>
  <c r="C26"/>
  <c r="C59" s="1"/>
  <c r="K59"/>
  <c r="B33" i="6"/>
  <c r="I10" i="101"/>
  <c r="H10" i="108"/>
  <c r="I11"/>
  <c r="H9" i="101"/>
  <c r="D21" i="120"/>
  <c r="D21" i="108"/>
  <c r="B10" i="88"/>
  <c r="B10" i="125" s="1"/>
  <c r="B9" i="328"/>
  <c r="B9" i="341"/>
  <c r="B11" i="127"/>
  <c r="G48" i="222"/>
  <c r="C48"/>
  <c r="C49"/>
  <c r="G49"/>
  <c r="E9" i="341"/>
  <c r="G47" i="222"/>
  <c r="C47"/>
  <c r="E46" i="223"/>
  <c r="E49"/>
  <c r="B49" s="1"/>
  <c r="E50"/>
  <c r="B50" s="1"/>
  <c r="E52"/>
  <c r="E51"/>
  <c r="B51" s="1"/>
  <c r="C9" i="341"/>
  <c r="C10" i="88"/>
  <c r="C9" i="328"/>
  <c r="E9"/>
  <c r="E10" i="88"/>
  <c r="E10" i="125" s="1"/>
  <c r="D11" i="127"/>
  <c r="G8" i="328"/>
  <c r="G8" i="341"/>
  <c r="N10" i="127"/>
  <c r="G9" i="88"/>
  <c r="G9" i="125" s="1"/>
  <c r="C21" i="127"/>
  <c r="D20" i="88"/>
  <c r="D20" i="125" s="1"/>
  <c r="D19" i="328"/>
  <c r="D19" i="341"/>
  <c r="U11" i="127"/>
  <c r="O10"/>
  <c r="E11"/>
  <c r="F10" i="88"/>
  <c r="F10" i="125" s="1"/>
  <c r="F9" i="328"/>
  <c r="F9" i="341"/>
  <c r="B15" i="219"/>
  <c r="B8" i="225" s="1"/>
  <c r="G27" i="222"/>
  <c r="C27"/>
  <c r="C34" i="7"/>
  <c r="C33" i="122"/>
  <c r="C33" i="123"/>
  <c r="C12" i="126" s="1"/>
  <c r="C40" s="1"/>
  <c r="B4" i="221"/>
  <c r="B15" s="1"/>
  <c r="B24" i="225" s="1"/>
  <c r="B5" i="221"/>
  <c r="E14" i="223"/>
  <c r="E16"/>
  <c r="E18"/>
  <c r="E20"/>
  <c r="E30"/>
  <c r="E32"/>
  <c r="E34"/>
  <c r="E36"/>
  <c r="D26" i="263"/>
  <c r="B4" i="220"/>
  <c r="B15" s="1"/>
  <c r="B16" i="225" s="1"/>
  <c r="E6" i="223"/>
  <c r="E8"/>
  <c r="E10"/>
  <c r="E12"/>
  <c r="B12" s="1"/>
  <c r="C20"/>
  <c r="E22"/>
  <c r="E24"/>
  <c r="E26"/>
  <c r="E28"/>
  <c r="B28" s="1"/>
  <c r="C36"/>
  <c r="E38"/>
  <c r="C8"/>
  <c r="C16"/>
  <c r="C24"/>
  <c r="C32"/>
  <c r="E42"/>
  <c r="O18" i="15"/>
  <c r="O26"/>
  <c r="O34"/>
  <c r="O60" s="1"/>
  <c r="O45" i="14"/>
  <c r="C26" i="224"/>
  <c r="C58" s="1"/>
  <c r="E26"/>
  <c r="E58" s="1"/>
  <c r="C34"/>
  <c r="E34"/>
  <c r="E60" s="1"/>
  <c r="D45"/>
  <c r="D63" s="1"/>
  <c r="F45"/>
  <c r="E44" i="223"/>
  <c r="E48"/>
  <c r="B48" s="1"/>
  <c r="O18" i="14"/>
  <c r="O57" s="1"/>
  <c r="O26"/>
  <c r="O34"/>
  <c r="O60" s="1"/>
  <c r="E17" i="223"/>
  <c r="O18" i="13"/>
  <c r="O57" s="1"/>
  <c r="E25" i="223"/>
  <c r="O26" i="13"/>
  <c r="B5" i="220"/>
  <c r="O66" i="15"/>
  <c r="C6" i="223"/>
  <c r="C10"/>
  <c r="C14"/>
  <c r="C18"/>
  <c r="C22"/>
  <c r="C26"/>
  <c r="C30"/>
  <c r="C60" s="1"/>
  <c r="C34"/>
  <c r="C38"/>
  <c r="E40"/>
  <c r="B40" s="1"/>
  <c r="D41" i="222" s="1"/>
  <c r="C42" i="223"/>
  <c r="C46"/>
  <c r="E9"/>
  <c r="B9" s="1"/>
  <c r="D10" i="222" s="1"/>
  <c r="E13" i="223"/>
  <c r="B13" s="1"/>
  <c r="D14" i="222" s="1"/>
  <c r="E21" i="223"/>
  <c r="B21" s="1"/>
  <c r="D22" i="222" s="1"/>
  <c r="E27" i="223"/>
  <c r="B27" s="1"/>
  <c r="D28" i="222" s="1"/>
  <c r="E31" i="223"/>
  <c r="B31" s="1"/>
  <c r="D32" i="222" s="1"/>
  <c r="E35" i="223"/>
  <c r="B35" s="1"/>
  <c r="D36" i="222" s="1"/>
  <c r="E39" i="223"/>
  <c r="B39" s="1"/>
  <c r="D40" i="222" s="1"/>
  <c r="E43" i="223"/>
  <c r="B43" s="1"/>
  <c r="D44" i="222" s="1"/>
  <c r="E47" i="223"/>
  <c r="B47" s="1"/>
  <c r="E5"/>
  <c r="O45" i="13"/>
  <c r="Q25" i="241"/>
  <c r="S25"/>
  <c r="U25"/>
  <c r="W25"/>
  <c r="Y25"/>
  <c r="P25"/>
  <c r="R25"/>
  <c r="T25"/>
  <c r="V25"/>
  <c r="X25"/>
  <c r="Z25"/>
  <c r="O25"/>
  <c r="D26" i="224"/>
  <c r="D58" s="1"/>
  <c r="F26"/>
  <c r="F58" s="1"/>
  <c r="D34"/>
  <c r="F34"/>
  <c r="C45"/>
  <c r="C63" s="1"/>
  <c r="E45"/>
  <c r="E33" i="223"/>
  <c r="E59" s="1"/>
  <c r="O34" i="13"/>
  <c r="E7" i="223"/>
  <c r="B7" s="1"/>
  <c r="D8" i="222" s="1"/>
  <c r="E11" i="223"/>
  <c r="B11" s="1"/>
  <c r="D12" i="222" s="1"/>
  <c r="E15" i="223"/>
  <c r="B15" s="1"/>
  <c r="D16" i="222" s="1"/>
  <c r="E19" i="223"/>
  <c r="B19" s="1"/>
  <c r="D20" i="222" s="1"/>
  <c r="E23" i="223"/>
  <c r="B23" s="1"/>
  <c r="D24" i="222" s="1"/>
  <c r="E29" i="223"/>
  <c r="B29" s="1"/>
  <c r="D30" i="222" s="1"/>
  <c r="E37" i="223"/>
  <c r="B37" s="1"/>
  <c r="D38" i="222" s="1"/>
  <c r="E41" i="223"/>
  <c r="B41" s="1"/>
  <c r="D42" i="222" s="1"/>
  <c r="E45" i="223"/>
  <c r="B45" s="1"/>
  <c r="D46" i="222" s="1"/>
  <c r="C5" i="223"/>
  <c r="C55" s="1"/>
  <c r="E33" i="6"/>
  <c r="F33"/>
  <c r="D33"/>
  <c r="C5" i="221"/>
  <c r="D5"/>
  <c r="E4"/>
  <c r="E15" s="1"/>
  <c r="E24" i="225" s="1"/>
  <c r="C4" i="221"/>
  <c r="C15" s="1"/>
  <c r="C24" i="225" s="1"/>
  <c r="D4" i="221"/>
  <c r="D15" s="1"/>
  <c r="D24" i="225" s="1"/>
  <c r="E5" i="221"/>
  <c r="C5" i="220"/>
  <c r="D5"/>
  <c r="E4"/>
  <c r="E15" s="1"/>
  <c r="E16" i="225" s="1"/>
  <c r="C4" i="220"/>
  <c r="C15" s="1"/>
  <c r="C16" i="225" s="1"/>
  <c r="D4" i="220"/>
  <c r="D15" s="1"/>
  <c r="D16" i="225" s="1"/>
  <c r="E5" i="220"/>
  <c r="F26" i="222"/>
  <c r="F59" s="1"/>
  <c r="J58"/>
  <c r="F34"/>
  <c r="J60"/>
  <c r="F45"/>
  <c r="F63" s="1"/>
  <c r="J62"/>
  <c r="G6"/>
  <c r="G56" s="1"/>
  <c r="G5" i="223"/>
  <c r="G6" i="224"/>
  <c r="G56" s="1"/>
  <c r="F57" i="222"/>
  <c r="C7"/>
  <c r="G6" i="223"/>
  <c r="G7" i="224"/>
  <c r="G8" i="222"/>
  <c r="G7" i="223"/>
  <c r="G8" i="224"/>
  <c r="C9" i="222"/>
  <c r="G8" i="223"/>
  <c r="G9" i="224"/>
  <c r="G10" i="222"/>
  <c r="G9" i="223"/>
  <c r="G10" i="224"/>
  <c r="C11" i="222"/>
  <c r="G10" i="223"/>
  <c r="G11" i="224"/>
  <c r="G12" i="222"/>
  <c r="G11" i="223"/>
  <c r="G12" i="224"/>
  <c r="C13" i="222"/>
  <c r="G12" i="223"/>
  <c r="G13" i="224"/>
  <c r="G14" i="222"/>
  <c r="G13" i="223"/>
  <c r="G14" i="224"/>
  <c r="C15" i="222"/>
  <c r="G14" i="223"/>
  <c r="G15" i="224"/>
  <c r="G16" i="222"/>
  <c r="G15" i="223"/>
  <c r="G16" i="224"/>
  <c r="C17" i="222"/>
  <c r="G16" i="223"/>
  <c r="G17" i="224"/>
  <c r="G18" i="222"/>
  <c r="G17" i="223"/>
  <c r="G18" i="224"/>
  <c r="K57" i="222"/>
  <c r="C19"/>
  <c r="G18" i="223"/>
  <c r="G19" i="224"/>
  <c r="G20" i="222"/>
  <c r="G19" i="223"/>
  <c r="G20" i="224"/>
  <c r="C21" i="222"/>
  <c r="G20" i="223"/>
  <c r="G21" i="224"/>
  <c r="G22" i="222"/>
  <c r="G21" i="223"/>
  <c r="G22" i="224"/>
  <c r="C23" i="222"/>
  <c r="G22" i="223"/>
  <c r="G23" i="224"/>
  <c r="G24" i="222"/>
  <c r="G23" i="223"/>
  <c r="G24" i="224"/>
  <c r="C25" i="222"/>
  <c r="G24" i="223"/>
  <c r="G25" i="224"/>
  <c r="G26" i="222"/>
  <c r="G59" s="1"/>
  <c r="G25" i="223"/>
  <c r="G26" i="224"/>
  <c r="K58" i="222"/>
  <c r="G26" i="223"/>
  <c r="G27" i="224"/>
  <c r="G28" i="222"/>
  <c r="G27" i="223"/>
  <c r="G28" i="224"/>
  <c r="C29" i="222"/>
  <c r="G28" i="223"/>
  <c r="G29" i="224"/>
  <c r="G30" i="222"/>
  <c r="G29" i="223"/>
  <c r="G30" i="224"/>
  <c r="C31" i="222"/>
  <c r="C61" s="1"/>
  <c r="G30" i="223"/>
  <c r="G60" s="1"/>
  <c r="G31" i="224"/>
  <c r="G61" s="1"/>
  <c r="G32" i="222"/>
  <c r="G31" i="223"/>
  <c r="G32" i="224"/>
  <c r="C33" i="222"/>
  <c r="G32" i="223"/>
  <c r="G33" i="224"/>
  <c r="G34" i="222"/>
  <c r="G33" i="223"/>
  <c r="G59" s="1"/>
  <c r="G34" i="224"/>
  <c r="G60" s="1"/>
  <c r="K60" i="222"/>
  <c r="C35"/>
  <c r="G34" i="223"/>
  <c r="G35" i="224"/>
  <c r="G36" i="222"/>
  <c r="G35" i="223"/>
  <c r="G36" i="224"/>
  <c r="C37" i="222"/>
  <c r="G36" i="223"/>
  <c r="G37" i="224"/>
  <c r="G38" i="222"/>
  <c r="G37" i="223"/>
  <c r="G38" i="224"/>
  <c r="C39" i="222"/>
  <c r="G38" i="223"/>
  <c r="G39" i="224"/>
  <c r="G40" i="222"/>
  <c r="G39" i="223"/>
  <c r="G40" i="224"/>
  <c r="C41" i="222"/>
  <c r="G40" i="223"/>
  <c r="G41" i="224"/>
  <c r="G42" i="222"/>
  <c r="G41" i="223"/>
  <c r="G42" i="224"/>
  <c r="C43" i="222"/>
  <c r="G42" i="223"/>
  <c r="G43" i="224"/>
  <c r="G44" i="222"/>
  <c r="G43" i="223"/>
  <c r="G44" i="224"/>
  <c r="C45" i="222"/>
  <c r="C63" s="1"/>
  <c r="G44" i="223"/>
  <c r="G45" i="224"/>
  <c r="K62" i="222"/>
  <c r="G46"/>
  <c r="G45" i="223"/>
  <c r="G46" i="224"/>
  <c r="G46" i="223"/>
  <c r="G47" i="224"/>
  <c r="G47" i="223"/>
  <c r="G48" i="224"/>
  <c r="G48" i="223"/>
  <c r="G49" i="224"/>
  <c r="C5" i="219"/>
  <c r="D5"/>
  <c r="E4"/>
  <c r="E15" s="1"/>
  <c r="E8" i="225" s="1"/>
  <c r="C4" i="219"/>
  <c r="C15" s="1"/>
  <c r="C8" i="225" s="1"/>
  <c r="D4" i="219"/>
  <c r="D15" s="1"/>
  <c r="D8" i="225" s="1"/>
  <c r="E5" i="219"/>
  <c r="B5"/>
  <c r="O57" i="15" l="1"/>
  <c r="B11" i="221" s="1"/>
  <c r="B16" s="1"/>
  <c r="B25" i="225" s="1"/>
  <c r="D60" i="224"/>
  <c r="C60"/>
  <c r="C61" i="223"/>
  <c r="E10" i="234" s="1"/>
  <c r="C62" i="223"/>
  <c r="F10" i="234" s="1"/>
  <c r="B11"/>
  <c r="B11" i="219"/>
  <c r="C56" i="223"/>
  <c r="B10" i="234" s="1"/>
  <c r="O60" i="13"/>
  <c r="D11" i="234" s="1"/>
  <c r="B44" i="223"/>
  <c r="E61"/>
  <c r="C57"/>
  <c r="C10" i="234" s="1"/>
  <c r="C58" i="223"/>
  <c r="B17"/>
  <c r="E56"/>
  <c r="O62" i="14"/>
  <c r="O63"/>
  <c r="F11" i="220" s="1"/>
  <c r="F16" s="1"/>
  <c r="F17" i="225" s="1"/>
  <c r="B52" i="223"/>
  <c r="E55"/>
  <c r="E58"/>
  <c r="E60"/>
  <c r="E62"/>
  <c r="O62" i="15"/>
  <c r="E11" i="221" s="1"/>
  <c r="E16" s="1"/>
  <c r="E25" i="225" s="1"/>
  <c r="O63" i="15"/>
  <c r="C14" i="108"/>
  <c r="O58" i="14"/>
  <c r="C11" i="220" s="1"/>
  <c r="C16" s="1"/>
  <c r="C17" i="225" s="1"/>
  <c r="O59" i="14"/>
  <c r="O58" i="15"/>
  <c r="O59"/>
  <c r="C33" i="118"/>
  <c r="C63" s="1"/>
  <c r="C13" i="101"/>
  <c r="E62" i="224"/>
  <c r="E57" i="223"/>
  <c r="C59" i="224"/>
  <c r="C59" i="223"/>
  <c r="D10" i="234" s="1"/>
  <c r="O62" i="13"/>
  <c r="O63"/>
  <c r="O58"/>
  <c r="C11" i="234" s="1"/>
  <c r="O59" i="13"/>
  <c r="C62" i="224"/>
  <c r="F62"/>
  <c r="F59"/>
  <c r="E63"/>
  <c r="F60"/>
  <c r="D62"/>
  <c r="F63"/>
  <c r="D59"/>
  <c r="C58" i="222"/>
  <c r="C9" i="234" s="1"/>
  <c r="C14" s="1"/>
  <c r="F4"/>
  <c r="G61" i="223"/>
  <c r="G62"/>
  <c r="B4" i="234"/>
  <c r="B15" s="1"/>
  <c r="G55" i="223"/>
  <c r="G58" i="224"/>
  <c r="G59"/>
  <c r="G56" i="223"/>
  <c r="C57" i="222"/>
  <c r="B9" i="234" s="1"/>
  <c r="B14" s="1"/>
  <c r="F5"/>
  <c r="G62" i="224"/>
  <c r="G63"/>
  <c r="G57" i="223"/>
  <c r="G58"/>
  <c r="G57" i="224"/>
  <c r="C60" i="222"/>
  <c r="D9" i="234" s="1"/>
  <c r="D14" s="1"/>
  <c r="B32" i="6"/>
  <c r="I9" i="101"/>
  <c r="I10" i="108"/>
  <c r="H8" i="101"/>
  <c r="H9" i="108"/>
  <c r="B8" i="341"/>
  <c r="B9" i="88"/>
  <c r="B9" i="125" s="1"/>
  <c r="B8" i="328"/>
  <c r="B10" i="127"/>
  <c r="D51" i="222"/>
  <c r="E51"/>
  <c r="D52"/>
  <c r="E52"/>
  <c r="D50"/>
  <c r="E50"/>
  <c r="D48"/>
  <c r="E48"/>
  <c r="B16" i="223"/>
  <c r="D17" i="222" s="1"/>
  <c r="C9" i="88"/>
  <c r="C9" i="125" s="1"/>
  <c r="C8" i="341"/>
  <c r="C8" i="328"/>
  <c r="C10" i="125"/>
  <c r="G8" i="88"/>
  <c r="G8" i="125" s="1"/>
  <c r="G7" i="341"/>
  <c r="G7" i="328"/>
  <c r="N9" i="127"/>
  <c r="F8" i="341"/>
  <c r="F8" i="328"/>
  <c r="E10" i="127"/>
  <c r="F9" i="88"/>
  <c r="F9" i="125" s="1"/>
  <c r="O9" i="127"/>
  <c r="U10"/>
  <c r="C20"/>
  <c r="D18" i="341"/>
  <c r="D18" i="328"/>
  <c r="D19" i="88"/>
  <c r="D19" i="125" s="1"/>
  <c r="B30" i="223"/>
  <c r="D31" i="222" s="1"/>
  <c r="B14" i="223"/>
  <c r="D15" i="222" s="1"/>
  <c r="C33" i="7"/>
  <c r="C69"/>
  <c r="C68"/>
  <c r="B32" i="223"/>
  <c r="D33" i="222" s="1"/>
  <c r="C32" i="122"/>
  <c r="C32" i="123"/>
  <c r="C11" i="126" s="1"/>
  <c r="B18" i="223"/>
  <c r="D19" i="222" s="1"/>
  <c r="B8" i="223"/>
  <c r="D9" i="222" s="1"/>
  <c r="B10" i="223"/>
  <c r="D11" i="222" s="1"/>
  <c r="B20" i="223"/>
  <c r="D21" i="222" s="1"/>
  <c r="B36" i="223"/>
  <c r="D37" i="222" s="1"/>
  <c r="B25" i="223"/>
  <c r="B5"/>
  <c r="D6" i="222" s="1"/>
  <c r="B6" i="223"/>
  <c r="D7" i="222" s="1"/>
  <c r="E32"/>
  <c r="C61" i="122"/>
  <c r="E10" i="222"/>
  <c r="B26" i="223"/>
  <c r="D27" i="222" s="1"/>
  <c r="B22" i="223"/>
  <c r="D23" i="222" s="1"/>
  <c r="B24" i="223"/>
  <c r="D25" i="222" s="1"/>
  <c r="E28"/>
  <c r="E14"/>
  <c r="E44"/>
  <c r="E40"/>
  <c r="E36"/>
  <c r="E22"/>
  <c r="G24" i="225"/>
  <c r="D29" i="222"/>
  <c r="E29"/>
  <c r="D13"/>
  <c r="E13"/>
  <c r="E4" i="234"/>
  <c r="D5"/>
  <c r="C4"/>
  <c r="O24" i="241"/>
  <c r="Z24"/>
  <c r="X24"/>
  <c r="V24"/>
  <c r="T24"/>
  <c r="R24"/>
  <c r="P24"/>
  <c r="P23" s="1"/>
  <c r="Y24"/>
  <c r="W24"/>
  <c r="U24"/>
  <c r="S24"/>
  <c r="Q24"/>
  <c r="B38" i="223"/>
  <c r="B34"/>
  <c r="E42" i="222"/>
  <c r="E38"/>
  <c r="E24"/>
  <c r="E20"/>
  <c r="E41"/>
  <c r="B33" i="223"/>
  <c r="B59" s="1"/>
  <c r="F15" i="219"/>
  <c r="F8" i="225" s="1"/>
  <c r="G8" s="1"/>
  <c r="C62" i="222"/>
  <c r="E5" i="234"/>
  <c r="D4"/>
  <c r="D15" s="1"/>
  <c r="C5"/>
  <c r="B46" i="223"/>
  <c r="B42"/>
  <c r="D11" i="220"/>
  <c r="D16" s="1"/>
  <c r="D17" i="225" s="1"/>
  <c r="B11" i="220"/>
  <c r="B16" s="1"/>
  <c r="B17" i="225" s="1"/>
  <c r="E11" i="220"/>
  <c r="E16" s="1"/>
  <c r="E17" i="225" s="1"/>
  <c r="F11" i="221"/>
  <c r="F16" s="1"/>
  <c r="F25" i="225" s="1"/>
  <c r="D11" i="221"/>
  <c r="D16" s="1"/>
  <c r="D25" i="225" s="1"/>
  <c r="C11" i="221"/>
  <c r="C16" s="1"/>
  <c r="C25" i="225" s="1"/>
  <c r="E46" i="222"/>
  <c r="E30"/>
  <c r="E16"/>
  <c r="E12"/>
  <c r="E8"/>
  <c r="B5" i="234"/>
  <c r="G16" i="225"/>
  <c r="D32" i="6"/>
  <c r="F32"/>
  <c r="E32"/>
  <c r="G60" i="222"/>
  <c r="G57"/>
  <c r="F62"/>
  <c r="F60"/>
  <c r="F58"/>
  <c r="G58"/>
  <c r="G62"/>
  <c r="B16" i="234" l="1"/>
  <c r="C32" i="118"/>
  <c r="C12" i="101"/>
  <c r="B60" i="223"/>
  <c r="B55"/>
  <c r="B62"/>
  <c r="B58"/>
  <c r="D18" i="222"/>
  <c r="B56" i="223"/>
  <c r="E45" i="222"/>
  <c r="B61" i="223"/>
  <c r="E11" i="234"/>
  <c r="E11" i="219"/>
  <c r="E16" s="1"/>
  <c r="E9" i="225" s="1"/>
  <c r="F11" i="234"/>
  <c r="F16" s="1"/>
  <c r="F11" i="219"/>
  <c r="C42" i="101"/>
  <c r="C13" i="108"/>
  <c r="C41" s="1"/>
  <c r="E18" i="222"/>
  <c r="D57"/>
  <c r="D53"/>
  <c r="D45"/>
  <c r="D63" s="1"/>
  <c r="C15" i="234"/>
  <c r="B57" i="223"/>
  <c r="E53" i="222"/>
  <c r="D56"/>
  <c r="D61"/>
  <c r="B31" i="6"/>
  <c r="I9" i="108"/>
  <c r="H7" i="101"/>
  <c r="I8"/>
  <c r="H8" i="108"/>
  <c r="B7" i="328"/>
  <c r="B9" i="127"/>
  <c r="B8" i="88"/>
  <c r="B8" i="125" s="1"/>
  <c r="B7" i="341"/>
  <c r="D47" i="222"/>
  <c r="E47"/>
  <c r="E49"/>
  <c r="D49"/>
  <c r="E17"/>
  <c r="C8" i="88"/>
  <c r="C8" i="125" s="1"/>
  <c r="C7" i="328"/>
  <c r="C7" i="341"/>
  <c r="G6"/>
  <c r="G7" i="88"/>
  <c r="G7" i="125" s="1"/>
  <c r="G6" i="328"/>
  <c r="N8" i="127"/>
  <c r="D17" i="341"/>
  <c r="D18" i="88"/>
  <c r="D18" i="125" s="1"/>
  <c r="C19" i="127"/>
  <c r="D17" i="328"/>
  <c r="O8" i="127"/>
  <c r="F7" i="341"/>
  <c r="F7" i="328"/>
  <c r="E9" i="127"/>
  <c r="F8" i="88"/>
  <c r="F8" i="125" s="1"/>
  <c r="U9" i="127"/>
  <c r="E26" i="222"/>
  <c r="E19"/>
  <c r="E31"/>
  <c r="E61" s="1"/>
  <c r="E11"/>
  <c r="E15"/>
  <c r="C65" i="118"/>
  <c r="C64"/>
  <c r="C66"/>
  <c r="C43" i="101"/>
  <c r="C44"/>
  <c r="C45"/>
  <c r="C32" i="7"/>
  <c r="E9" i="222"/>
  <c r="C45" i="241"/>
  <c r="C42"/>
  <c r="C43"/>
  <c r="C44"/>
  <c r="C46"/>
  <c r="E37" i="222"/>
  <c r="E21"/>
  <c r="E15" i="234"/>
  <c r="E33" i="222"/>
  <c r="F15" i="234"/>
  <c r="C31" i="122"/>
  <c r="C31" i="123"/>
  <c r="C10" i="126" s="1"/>
  <c r="E7" i="222"/>
  <c r="E23"/>
  <c r="D26"/>
  <c r="D58" s="1"/>
  <c r="E6"/>
  <c r="E57" s="1"/>
  <c r="B8" i="234" s="1"/>
  <c r="E27" i="222"/>
  <c r="E25"/>
  <c r="C60" i="123"/>
  <c r="D34" i="222"/>
  <c r="E34"/>
  <c r="F16" i="219"/>
  <c r="F9" i="225" s="1"/>
  <c r="B16" i="219"/>
  <c r="B9" i="225" s="1"/>
  <c r="E16" i="234"/>
  <c r="G25" i="225"/>
  <c r="G17"/>
  <c r="F9" i="234"/>
  <c r="F14" s="1"/>
  <c r="C11" i="219"/>
  <c r="C16" s="1"/>
  <c r="C9" i="225" s="1"/>
  <c r="C16" i="234"/>
  <c r="D43" i="222"/>
  <c r="E43"/>
  <c r="E9" i="234"/>
  <c r="E14" s="1"/>
  <c r="D35" i="222"/>
  <c r="E35"/>
  <c r="D39"/>
  <c r="E39"/>
  <c r="Q23" i="241"/>
  <c r="S23"/>
  <c r="U23"/>
  <c r="W23"/>
  <c r="Y23"/>
  <c r="R23"/>
  <c r="T23"/>
  <c r="V23"/>
  <c r="X23"/>
  <c r="Z23"/>
  <c r="O23"/>
  <c r="D11" i="219"/>
  <c r="D16" s="1"/>
  <c r="D9" i="225" s="1"/>
  <c r="D16" i="234"/>
  <c r="E31" i="6"/>
  <c r="F31"/>
  <c r="D31"/>
  <c r="U23" i="158"/>
  <c r="T23"/>
  <c r="S23"/>
  <c r="R23"/>
  <c r="U22"/>
  <c r="T22"/>
  <c r="S22"/>
  <c r="R22"/>
  <c r="U21"/>
  <c r="T21"/>
  <c r="S21"/>
  <c r="R21"/>
  <c r="U20"/>
  <c r="T20"/>
  <c r="S20"/>
  <c r="R20"/>
  <c r="U19"/>
  <c r="T19"/>
  <c r="S19"/>
  <c r="R19"/>
  <c r="U18"/>
  <c r="T18"/>
  <c r="S18"/>
  <c r="R18"/>
  <c r="U17"/>
  <c r="T17"/>
  <c r="S17"/>
  <c r="R17"/>
  <c r="U16"/>
  <c r="T16"/>
  <c r="S16"/>
  <c r="R16"/>
  <c r="U15"/>
  <c r="T15"/>
  <c r="S15"/>
  <c r="R15"/>
  <c r="U14"/>
  <c r="T14"/>
  <c r="S14"/>
  <c r="R14"/>
  <c r="U13"/>
  <c r="T13"/>
  <c r="S13"/>
  <c r="R13"/>
  <c r="U12"/>
  <c r="T12"/>
  <c r="S12"/>
  <c r="R12"/>
  <c r="U11"/>
  <c r="T11"/>
  <c r="S11"/>
  <c r="R11"/>
  <c r="U10"/>
  <c r="T10"/>
  <c r="S10"/>
  <c r="R10"/>
  <c r="U9"/>
  <c r="T9"/>
  <c r="S9"/>
  <c r="R9"/>
  <c r="U8"/>
  <c r="T8"/>
  <c r="S8"/>
  <c r="R8"/>
  <c r="U7"/>
  <c r="T7"/>
  <c r="S7"/>
  <c r="R7"/>
  <c r="U6"/>
  <c r="T6"/>
  <c r="S6"/>
  <c r="R6"/>
  <c r="U5"/>
  <c r="T5"/>
  <c r="S5"/>
  <c r="R5"/>
  <c r="U4"/>
  <c r="T4"/>
  <c r="S4"/>
  <c r="R4"/>
  <c r="T5" i="157"/>
  <c r="T6"/>
  <c r="T4"/>
  <c r="S5"/>
  <c r="S6"/>
  <c r="S4"/>
  <c r="C4" i="174"/>
  <c r="D4"/>
  <c r="E4"/>
  <c r="F4"/>
  <c r="G4"/>
  <c r="H4"/>
  <c r="I4"/>
  <c r="J4"/>
  <c r="K4"/>
  <c r="L4"/>
  <c r="M4"/>
  <c r="C5"/>
  <c r="D5"/>
  <c r="E5"/>
  <c r="F5"/>
  <c r="G5"/>
  <c r="H5"/>
  <c r="I5"/>
  <c r="J5"/>
  <c r="K5"/>
  <c r="L5"/>
  <c r="M5"/>
  <c r="C6"/>
  <c r="D6"/>
  <c r="E6"/>
  <c r="F6"/>
  <c r="G6"/>
  <c r="H6"/>
  <c r="I6"/>
  <c r="J6"/>
  <c r="K6"/>
  <c r="L6"/>
  <c r="M6"/>
  <c r="C7"/>
  <c r="D7"/>
  <c r="E7"/>
  <c r="F7"/>
  <c r="G7"/>
  <c r="H7"/>
  <c r="I7"/>
  <c r="J7"/>
  <c r="K7"/>
  <c r="L7"/>
  <c r="M7"/>
  <c r="C8"/>
  <c r="D8"/>
  <c r="E8"/>
  <c r="F8"/>
  <c r="G8"/>
  <c r="H8"/>
  <c r="I8"/>
  <c r="J8"/>
  <c r="K8"/>
  <c r="L8"/>
  <c r="M8"/>
  <c r="C9"/>
  <c r="D9"/>
  <c r="E9"/>
  <c r="F9"/>
  <c r="G9"/>
  <c r="H9"/>
  <c r="I9"/>
  <c r="J9"/>
  <c r="K9"/>
  <c r="L9"/>
  <c r="M9"/>
  <c r="C10"/>
  <c r="D10"/>
  <c r="E10"/>
  <c r="F10"/>
  <c r="G10"/>
  <c r="H10"/>
  <c r="I10"/>
  <c r="J10"/>
  <c r="K10"/>
  <c r="L10"/>
  <c r="M10"/>
  <c r="C11"/>
  <c r="D11"/>
  <c r="E11"/>
  <c r="F11"/>
  <c r="G11"/>
  <c r="H11"/>
  <c r="I11"/>
  <c r="J11"/>
  <c r="K11"/>
  <c r="L11"/>
  <c r="M11"/>
  <c r="C12"/>
  <c r="D12"/>
  <c r="E12"/>
  <c r="F12"/>
  <c r="G12"/>
  <c r="H12"/>
  <c r="I12"/>
  <c r="J12"/>
  <c r="K12"/>
  <c r="L12"/>
  <c r="M12"/>
  <c r="C13"/>
  <c r="D13"/>
  <c r="E13"/>
  <c r="F13"/>
  <c r="G13"/>
  <c r="H13"/>
  <c r="I13"/>
  <c r="J13"/>
  <c r="K13"/>
  <c r="L13"/>
  <c r="M13"/>
  <c r="C14"/>
  <c r="D14"/>
  <c r="E14"/>
  <c r="F14"/>
  <c r="G14"/>
  <c r="H14"/>
  <c r="I14"/>
  <c r="J14"/>
  <c r="K14"/>
  <c r="L14"/>
  <c r="M14"/>
  <c r="C15"/>
  <c r="D15"/>
  <c r="E15"/>
  <c r="F15"/>
  <c r="G15"/>
  <c r="H15"/>
  <c r="I15"/>
  <c r="J15"/>
  <c r="K15"/>
  <c r="L15"/>
  <c r="M15"/>
  <c r="C16"/>
  <c r="D16"/>
  <c r="E16"/>
  <c r="F16"/>
  <c r="G16"/>
  <c r="H16"/>
  <c r="I16"/>
  <c r="J16"/>
  <c r="K16"/>
  <c r="L16"/>
  <c r="M16"/>
  <c r="C17"/>
  <c r="D17"/>
  <c r="E17"/>
  <c r="F17"/>
  <c r="G17"/>
  <c r="H17"/>
  <c r="I17"/>
  <c r="J17"/>
  <c r="K17"/>
  <c r="L17"/>
  <c r="M17"/>
  <c r="C18"/>
  <c r="D18"/>
  <c r="E18"/>
  <c r="F18"/>
  <c r="G18"/>
  <c r="H18"/>
  <c r="I18"/>
  <c r="J18"/>
  <c r="K18"/>
  <c r="L18"/>
  <c r="M18"/>
  <c r="C19"/>
  <c r="D19"/>
  <c r="E19"/>
  <c r="F19"/>
  <c r="G19"/>
  <c r="H19"/>
  <c r="I19"/>
  <c r="J19"/>
  <c r="K19"/>
  <c r="L19"/>
  <c r="M19"/>
  <c r="C20"/>
  <c r="D20"/>
  <c r="E20"/>
  <c r="F20"/>
  <c r="G20"/>
  <c r="H20"/>
  <c r="I20"/>
  <c r="J20"/>
  <c r="K20"/>
  <c r="L20"/>
  <c r="M20"/>
  <c r="B5"/>
  <c r="B6"/>
  <c r="B7"/>
  <c r="B8"/>
  <c r="B9"/>
  <c r="B10"/>
  <c r="B11"/>
  <c r="B12"/>
  <c r="B13"/>
  <c r="B14"/>
  <c r="B15"/>
  <c r="B16"/>
  <c r="B17"/>
  <c r="B18"/>
  <c r="B19"/>
  <c r="B20"/>
  <c r="B4"/>
  <c r="Z33"/>
  <c r="Y33"/>
  <c r="X33"/>
  <c r="W33"/>
  <c r="V33"/>
  <c r="U33"/>
  <c r="T33"/>
  <c r="S33"/>
  <c r="R33"/>
  <c r="Q33"/>
  <c r="P33"/>
  <c r="O33"/>
  <c r="Z32"/>
  <c r="Y32"/>
  <c r="X32"/>
  <c r="W32"/>
  <c r="V32"/>
  <c r="U32"/>
  <c r="T32"/>
  <c r="S32"/>
  <c r="R32"/>
  <c r="Q32"/>
  <c r="P32"/>
  <c r="O32"/>
  <c r="Z31"/>
  <c r="Y31"/>
  <c r="X31"/>
  <c r="W31"/>
  <c r="V31"/>
  <c r="U31"/>
  <c r="T31"/>
  <c r="S31"/>
  <c r="R31"/>
  <c r="Q31"/>
  <c r="P31"/>
  <c r="O31"/>
  <c r="S70" i="173"/>
  <c r="T70"/>
  <c r="U70"/>
  <c r="V70"/>
  <c r="W70"/>
  <c r="X70"/>
  <c r="Y70"/>
  <c r="Z70"/>
  <c r="AA70"/>
  <c r="AB70"/>
  <c r="AC70"/>
  <c r="AD70"/>
  <c r="AE70"/>
  <c r="AF70"/>
  <c r="S71"/>
  <c r="T71"/>
  <c r="U71"/>
  <c r="V71"/>
  <c r="W71"/>
  <c r="X71"/>
  <c r="Y71"/>
  <c r="Z71"/>
  <c r="AA71"/>
  <c r="AB71"/>
  <c r="AC71"/>
  <c r="AD71"/>
  <c r="AE71"/>
  <c r="AF71"/>
  <c r="S72"/>
  <c r="T72"/>
  <c r="U72"/>
  <c r="V72"/>
  <c r="W72"/>
  <c r="X72"/>
  <c r="Y72"/>
  <c r="Z72"/>
  <c r="AA72"/>
  <c r="AB72"/>
  <c r="AC72"/>
  <c r="AD72"/>
  <c r="AE72"/>
  <c r="AF72"/>
  <c r="B44"/>
  <c r="C44"/>
  <c r="D44"/>
  <c r="E44"/>
  <c r="F44"/>
  <c r="G44"/>
  <c r="H44"/>
  <c r="I44"/>
  <c r="J44"/>
  <c r="K44"/>
  <c r="L44"/>
  <c r="M44"/>
  <c r="N44"/>
  <c r="O44"/>
  <c r="P44"/>
  <c r="B45"/>
  <c r="C45"/>
  <c r="D45"/>
  <c r="E45"/>
  <c r="F45"/>
  <c r="G45"/>
  <c r="H45"/>
  <c r="I45"/>
  <c r="J45"/>
  <c r="K45"/>
  <c r="L45"/>
  <c r="M45"/>
  <c r="N45"/>
  <c r="O45"/>
  <c r="P45"/>
  <c r="B46"/>
  <c r="C46"/>
  <c r="D46"/>
  <c r="E46"/>
  <c r="F46"/>
  <c r="G46"/>
  <c r="H46"/>
  <c r="I46"/>
  <c r="J46"/>
  <c r="K46"/>
  <c r="L46"/>
  <c r="M46"/>
  <c r="N46"/>
  <c r="O46"/>
  <c r="P46"/>
  <c r="B47"/>
  <c r="C47"/>
  <c r="D47"/>
  <c r="E47"/>
  <c r="F47"/>
  <c r="G47"/>
  <c r="H47"/>
  <c r="I47"/>
  <c r="J47"/>
  <c r="K47"/>
  <c r="L47"/>
  <c r="M47"/>
  <c r="N47"/>
  <c r="O47"/>
  <c r="P47"/>
  <c r="B48"/>
  <c r="C48"/>
  <c r="D48"/>
  <c r="E48"/>
  <c r="F48"/>
  <c r="G48"/>
  <c r="H48"/>
  <c r="I48"/>
  <c r="J48"/>
  <c r="K48"/>
  <c r="L48"/>
  <c r="M48"/>
  <c r="N48"/>
  <c r="O48"/>
  <c r="P48"/>
  <c r="B49"/>
  <c r="C49"/>
  <c r="D49"/>
  <c r="E49"/>
  <c r="F49"/>
  <c r="G49"/>
  <c r="H49"/>
  <c r="I49"/>
  <c r="J49"/>
  <c r="K49"/>
  <c r="L49"/>
  <c r="M49"/>
  <c r="N49"/>
  <c r="O49"/>
  <c r="P49"/>
  <c r="B50"/>
  <c r="C50"/>
  <c r="D50"/>
  <c r="E50"/>
  <c r="F50"/>
  <c r="G50"/>
  <c r="H50"/>
  <c r="I50"/>
  <c r="J50"/>
  <c r="K50"/>
  <c r="L50"/>
  <c r="M50"/>
  <c r="N50"/>
  <c r="O50"/>
  <c r="P50"/>
  <c r="B51"/>
  <c r="C51"/>
  <c r="D51"/>
  <c r="E51"/>
  <c r="F51"/>
  <c r="G51"/>
  <c r="H51"/>
  <c r="I51"/>
  <c r="J51"/>
  <c r="K51"/>
  <c r="L51"/>
  <c r="M51"/>
  <c r="N51"/>
  <c r="O51"/>
  <c r="P51"/>
  <c r="B52"/>
  <c r="C52"/>
  <c r="D52"/>
  <c r="E52"/>
  <c r="F52"/>
  <c r="G52"/>
  <c r="H52"/>
  <c r="I52"/>
  <c r="J52"/>
  <c r="K52"/>
  <c r="L52"/>
  <c r="M52"/>
  <c r="N52"/>
  <c r="O52"/>
  <c r="P52"/>
  <c r="B53"/>
  <c r="C53"/>
  <c r="D53"/>
  <c r="E53"/>
  <c r="F53"/>
  <c r="G53"/>
  <c r="H53"/>
  <c r="I53"/>
  <c r="J53"/>
  <c r="K53"/>
  <c r="L53"/>
  <c r="M53"/>
  <c r="N53"/>
  <c r="O53"/>
  <c r="P53"/>
  <c r="B54"/>
  <c r="C54"/>
  <c r="D54"/>
  <c r="E54"/>
  <c r="F54"/>
  <c r="G54"/>
  <c r="H54"/>
  <c r="I54"/>
  <c r="J54"/>
  <c r="K54"/>
  <c r="L54"/>
  <c r="M54"/>
  <c r="N54"/>
  <c r="O54"/>
  <c r="P54"/>
  <c r="B55"/>
  <c r="C55"/>
  <c r="D55"/>
  <c r="E55"/>
  <c r="F55"/>
  <c r="G55"/>
  <c r="H55"/>
  <c r="I55"/>
  <c r="J55"/>
  <c r="K55"/>
  <c r="L55"/>
  <c r="M55"/>
  <c r="N55"/>
  <c r="O55"/>
  <c r="P55"/>
  <c r="B56"/>
  <c r="C56"/>
  <c r="D56"/>
  <c r="E56"/>
  <c r="F56"/>
  <c r="G56"/>
  <c r="H56"/>
  <c r="I56"/>
  <c r="J56"/>
  <c r="K56"/>
  <c r="L56"/>
  <c r="M56"/>
  <c r="N56"/>
  <c r="O56"/>
  <c r="P56"/>
  <c r="B57"/>
  <c r="C57"/>
  <c r="D57"/>
  <c r="E57"/>
  <c r="F57"/>
  <c r="G57"/>
  <c r="H57"/>
  <c r="I57"/>
  <c r="J57"/>
  <c r="K57"/>
  <c r="L57"/>
  <c r="M57"/>
  <c r="N57"/>
  <c r="O57"/>
  <c r="P57"/>
  <c r="B58"/>
  <c r="C58"/>
  <c r="D58"/>
  <c r="E58"/>
  <c r="F58"/>
  <c r="G58"/>
  <c r="H58"/>
  <c r="I58"/>
  <c r="J58"/>
  <c r="K58"/>
  <c r="L58"/>
  <c r="M58"/>
  <c r="N58"/>
  <c r="O58"/>
  <c r="P58"/>
  <c r="B59"/>
  <c r="C59"/>
  <c r="D59"/>
  <c r="E59"/>
  <c r="F59"/>
  <c r="G59"/>
  <c r="H59"/>
  <c r="I59"/>
  <c r="J59"/>
  <c r="K59"/>
  <c r="L59"/>
  <c r="M59"/>
  <c r="N59"/>
  <c r="O59"/>
  <c r="P59"/>
  <c r="B60"/>
  <c r="C60"/>
  <c r="D60"/>
  <c r="E60"/>
  <c r="F60"/>
  <c r="G60"/>
  <c r="H60"/>
  <c r="I60"/>
  <c r="J60"/>
  <c r="K60"/>
  <c r="L60"/>
  <c r="M60"/>
  <c r="N60"/>
  <c r="O60"/>
  <c r="P60"/>
  <c r="B61"/>
  <c r="C61"/>
  <c r="D61"/>
  <c r="E61"/>
  <c r="F61"/>
  <c r="G61"/>
  <c r="H61"/>
  <c r="I61"/>
  <c r="J61"/>
  <c r="K61"/>
  <c r="L61"/>
  <c r="M61"/>
  <c r="N61"/>
  <c r="O61"/>
  <c r="P61"/>
  <c r="B62"/>
  <c r="C62"/>
  <c r="D62"/>
  <c r="E62"/>
  <c r="F62"/>
  <c r="G62"/>
  <c r="H62"/>
  <c r="I62"/>
  <c r="J62"/>
  <c r="K62"/>
  <c r="L62"/>
  <c r="M62"/>
  <c r="N62"/>
  <c r="O62"/>
  <c r="P62"/>
  <c r="B63"/>
  <c r="C63"/>
  <c r="D63"/>
  <c r="E63"/>
  <c r="F63"/>
  <c r="G63"/>
  <c r="H63"/>
  <c r="I63"/>
  <c r="J63"/>
  <c r="K63"/>
  <c r="L63"/>
  <c r="M63"/>
  <c r="N63"/>
  <c r="O63"/>
  <c r="P63"/>
  <c r="C43"/>
  <c r="D43"/>
  <c r="E43"/>
  <c r="F43"/>
  <c r="G43"/>
  <c r="H43"/>
  <c r="I43"/>
  <c r="J43"/>
  <c r="K43"/>
  <c r="L43"/>
  <c r="M43"/>
  <c r="N43"/>
  <c r="O43"/>
  <c r="P43"/>
  <c r="B43"/>
  <c r="R5" i="157"/>
  <c r="R6"/>
  <c r="R4"/>
  <c r="Q5"/>
  <c r="Q6"/>
  <c r="Q4"/>
  <c r="X35" i="161"/>
  <c r="W35"/>
  <c r="V35"/>
  <c r="U35"/>
  <c r="T35"/>
  <c r="S35"/>
  <c r="R35"/>
  <c r="Q35"/>
  <c r="P35"/>
  <c r="O35"/>
  <c r="X33"/>
  <c r="W33"/>
  <c r="V33"/>
  <c r="U33"/>
  <c r="T33"/>
  <c r="S33"/>
  <c r="R33"/>
  <c r="Q33"/>
  <c r="P33"/>
  <c r="O33"/>
  <c r="X32"/>
  <c r="W32"/>
  <c r="V32"/>
  <c r="U32"/>
  <c r="T32"/>
  <c r="S32"/>
  <c r="R32"/>
  <c r="Q32"/>
  <c r="P32"/>
  <c r="O32"/>
  <c r="Y35" i="156"/>
  <c r="X35"/>
  <c r="W35"/>
  <c r="V35"/>
  <c r="U35"/>
  <c r="T35"/>
  <c r="S35"/>
  <c r="R35"/>
  <c r="Q35"/>
  <c r="P35"/>
  <c r="O35"/>
  <c r="Y33"/>
  <c r="X33"/>
  <c r="W33"/>
  <c r="V33"/>
  <c r="U33"/>
  <c r="T33"/>
  <c r="S33"/>
  <c r="R33"/>
  <c r="Q33"/>
  <c r="P33"/>
  <c r="O33"/>
  <c r="Y32"/>
  <c r="X32"/>
  <c r="W32"/>
  <c r="V32"/>
  <c r="U32"/>
  <c r="T32"/>
  <c r="S32"/>
  <c r="R32"/>
  <c r="Q32"/>
  <c r="P32"/>
  <c r="O32"/>
  <c r="D32" i="160"/>
  <c r="E32"/>
  <c r="F32"/>
  <c r="B32"/>
  <c r="B5" i="162"/>
  <c r="D5"/>
  <c r="E5"/>
  <c r="F5"/>
  <c r="B6"/>
  <c r="D6"/>
  <c r="E6"/>
  <c r="F6"/>
  <c r="B7"/>
  <c r="D7"/>
  <c r="E7"/>
  <c r="F7"/>
  <c r="B8"/>
  <c r="D8"/>
  <c r="E8"/>
  <c r="F8"/>
  <c r="B9"/>
  <c r="D9"/>
  <c r="E9"/>
  <c r="F9"/>
  <c r="B10"/>
  <c r="D10"/>
  <c r="E10"/>
  <c r="F10"/>
  <c r="B11"/>
  <c r="D11"/>
  <c r="E11"/>
  <c r="F11"/>
  <c r="B12"/>
  <c r="D12"/>
  <c r="E12"/>
  <c r="F12"/>
  <c r="B13"/>
  <c r="D13"/>
  <c r="E13"/>
  <c r="F13"/>
  <c r="B14"/>
  <c r="D14"/>
  <c r="E14"/>
  <c r="F14"/>
  <c r="B15"/>
  <c r="D15"/>
  <c r="E15"/>
  <c r="F15"/>
  <c r="B16"/>
  <c r="D16"/>
  <c r="E16"/>
  <c r="F16"/>
  <c r="B17"/>
  <c r="D17"/>
  <c r="E17"/>
  <c r="F17"/>
  <c r="B18"/>
  <c r="D18"/>
  <c r="E18"/>
  <c r="F18"/>
  <c r="B19"/>
  <c r="D19"/>
  <c r="E19"/>
  <c r="F19"/>
  <c r="B20"/>
  <c r="D20"/>
  <c r="E20"/>
  <c r="F20"/>
  <c r="D4"/>
  <c r="E4"/>
  <c r="F4"/>
  <c r="B4"/>
  <c r="E63" i="222" l="1"/>
  <c r="F8" i="234" s="1"/>
  <c r="E58" i="222"/>
  <c r="C8" i="234" s="1"/>
  <c r="C31" i="118"/>
  <c r="C11" i="101"/>
  <c r="C12" i="108"/>
  <c r="D62" i="222"/>
  <c r="E62"/>
  <c r="E8" i="234" s="1"/>
  <c r="E59" i="222"/>
  <c r="E56"/>
  <c r="D59"/>
  <c r="B30" i="6"/>
  <c r="I8" i="108"/>
  <c r="I7" i="101"/>
  <c r="H6"/>
  <c r="H7" i="108"/>
  <c r="B6" i="341"/>
  <c r="B7" i="88"/>
  <c r="B7" i="125" s="1"/>
  <c r="B8" i="127"/>
  <c r="B6" i="328"/>
  <c r="C7" i="88"/>
  <c r="C7" i="125" s="1"/>
  <c r="C6" i="328"/>
  <c r="C6" i="341"/>
  <c r="N7" i="127"/>
  <c r="G6" i="88"/>
  <c r="G6" i="125" s="1"/>
  <c r="G5" i="341"/>
  <c r="G5" i="328"/>
  <c r="U8" i="127"/>
  <c r="F6" i="341"/>
  <c r="F6" i="328"/>
  <c r="F7" i="88"/>
  <c r="F7" i="125" s="1"/>
  <c r="E8" i="127"/>
  <c r="D17" i="88"/>
  <c r="D17" i="125" s="1"/>
  <c r="D16" i="328"/>
  <c r="C18" i="127"/>
  <c r="D16" i="341"/>
  <c r="O7" i="127"/>
  <c r="C31" i="7"/>
  <c r="E44" i="241"/>
  <c r="E46"/>
  <c r="E42"/>
  <c r="E45"/>
  <c r="E43"/>
  <c r="G46"/>
  <c r="G42"/>
  <c r="G43"/>
  <c r="G45"/>
  <c r="G41"/>
  <c r="G44"/>
  <c r="H44"/>
  <c r="H45"/>
  <c r="H42"/>
  <c r="H43"/>
  <c r="H46"/>
  <c r="I42"/>
  <c r="I45"/>
  <c r="I44"/>
  <c r="I46"/>
  <c r="I43"/>
  <c r="J46"/>
  <c r="J42"/>
  <c r="J45"/>
  <c r="J44"/>
  <c r="J43"/>
  <c r="K34" i="156"/>
  <c r="G34"/>
  <c r="M44" i="241"/>
  <c r="M46"/>
  <c r="M42"/>
  <c r="M45"/>
  <c r="M43"/>
  <c r="F42"/>
  <c r="F45"/>
  <c r="F46"/>
  <c r="F44"/>
  <c r="F43"/>
  <c r="B43"/>
  <c r="B46"/>
  <c r="B41"/>
  <c r="B42"/>
  <c r="B45"/>
  <c r="B44"/>
  <c r="K43"/>
  <c r="K45"/>
  <c r="K44"/>
  <c r="K46"/>
  <c r="K42"/>
  <c r="L42"/>
  <c r="L43"/>
  <c r="L44"/>
  <c r="L46"/>
  <c r="L45"/>
  <c r="D43"/>
  <c r="D44"/>
  <c r="D46"/>
  <c r="D45"/>
  <c r="D42"/>
  <c r="L34" i="156"/>
  <c r="H34"/>
  <c r="D34"/>
  <c r="C30" i="122"/>
  <c r="C30" i="123"/>
  <c r="C9" i="126" s="1"/>
  <c r="M34" i="156"/>
  <c r="I34"/>
  <c r="E34"/>
  <c r="J34"/>
  <c r="F34"/>
  <c r="D60" i="222"/>
  <c r="K33" i="156"/>
  <c r="G33"/>
  <c r="C33"/>
  <c r="M33"/>
  <c r="I33"/>
  <c r="E33"/>
  <c r="E60" i="222"/>
  <c r="D8" i="234" s="1"/>
  <c r="L33" i="156"/>
  <c r="J33"/>
  <c r="H33"/>
  <c r="F33"/>
  <c r="D33"/>
  <c r="B23" i="161"/>
  <c r="B21"/>
  <c r="B21" i="156" s="1"/>
  <c r="B19" i="161"/>
  <c r="B17"/>
  <c r="B15"/>
  <c r="B13"/>
  <c r="B11"/>
  <c r="B11" i="156" s="1"/>
  <c r="B9" i="161"/>
  <c r="B9" i="156" s="1"/>
  <c r="B7" i="161"/>
  <c r="B7" i="156" s="1"/>
  <c r="B24" i="161"/>
  <c r="B22"/>
  <c r="B20"/>
  <c r="B18"/>
  <c r="B14"/>
  <c r="B12"/>
  <c r="B12" i="156" s="1"/>
  <c r="B10" i="161"/>
  <c r="B10" i="156" s="1"/>
  <c r="B8" i="161"/>
  <c r="B8" i="156" s="1"/>
  <c r="B6" i="161"/>
  <c r="B6" i="156" s="1"/>
  <c r="O22" i="241"/>
  <c r="B23"/>
  <c r="B34"/>
  <c r="B38"/>
  <c r="B31"/>
  <c r="B35"/>
  <c r="B39"/>
  <c r="B32"/>
  <c r="B36"/>
  <c r="B40"/>
  <c r="B33"/>
  <c r="B37"/>
  <c r="B30"/>
  <c r="B29"/>
  <c r="B28"/>
  <c r="B27"/>
  <c r="B26"/>
  <c r="B25"/>
  <c r="Z22"/>
  <c r="M23"/>
  <c r="M41"/>
  <c r="M39"/>
  <c r="M35"/>
  <c r="M40"/>
  <c r="M34"/>
  <c r="M31"/>
  <c r="M37"/>
  <c r="M33"/>
  <c r="M38"/>
  <c r="M53" s="1"/>
  <c r="M36"/>
  <c r="M32"/>
  <c r="M30"/>
  <c r="M29"/>
  <c r="M28"/>
  <c r="M27"/>
  <c r="M26"/>
  <c r="M25"/>
  <c r="X22"/>
  <c r="K23"/>
  <c r="K41"/>
  <c r="K39"/>
  <c r="K37"/>
  <c r="K33"/>
  <c r="K36"/>
  <c r="K32"/>
  <c r="K31"/>
  <c r="K35"/>
  <c r="K38"/>
  <c r="K40"/>
  <c r="K34"/>
  <c r="K30"/>
  <c r="K29"/>
  <c r="K28"/>
  <c r="K27"/>
  <c r="K26"/>
  <c r="K25"/>
  <c r="V22"/>
  <c r="I23"/>
  <c r="I41"/>
  <c r="I39"/>
  <c r="I35"/>
  <c r="I40"/>
  <c r="I34"/>
  <c r="I31"/>
  <c r="I37"/>
  <c r="I33"/>
  <c r="I38"/>
  <c r="I36"/>
  <c r="I32"/>
  <c r="I30"/>
  <c r="I29"/>
  <c r="I28"/>
  <c r="I27"/>
  <c r="I26"/>
  <c r="I25"/>
  <c r="T22"/>
  <c r="G23"/>
  <c r="G39"/>
  <c r="G37"/>
  <c r="G33"/>
  <c r="G36"/>
  <c r="G32"/>
  <c r="G31"/>
  <c r="G35"/>
  <c r="G38"/>
  <c r="G40"/>
  <c r="G34"/>
  <c r="G30"/>
  <c r="G29"/>
  <c r="G28"/>
  <c r="G27"/>
  <c r="G26"/>
  <c r="G25"/>
  <c r="R22"/>
  <c r="E23"/>
  <c r="E41"/>
  <c r="E39"/>
  <c r="E35"/>
  <c r="E40"/>
  <c r="E34"/>
  <c r="E31"/>
  <c r="E37"/>
  <c r="E33"/>
  <c r="E38"/>
  <c r="E53" s="1"/>
  <c r="E36"/>
  <c r="E32"/>
  <c r="E30"/>
  <c r="E29"/>
  <c r="E28"/>
  <c r="E27"/>
  <c r="E26"/>
  <c r="E25"/>
  <c r="P22"/>
  <c r="C23"/>
  <c r="C41"/>
  <c r="C39"/>
  <c r="C37"/>
  <c r="C33"/>
  <c r="C36"/>
  <c r="C32"/>
  <c r="C31"/>
  <c r="C35"/>
  <c r="C38"/>
  <c r="C40"/>
  <c r="C34"/>
  <c r="C30"/>
  <c r="C29"/>
  <c r="C28"/>
  <c r="C27"/>
  <c r="C26"/>
  <c r="C25"/>
  <c r="Y22"/>
  <c r="L23"/>
  <c r="L38"/>
  <c r="L40"/>
  <c r="L34"/>
  <c r="L31"/>
  <c r="L37"/>
  <c r="L33"/>
  <c r="L36"/>
  <c r="L32"/>
  <c r="L41"/>
  <c r="L39"/>
  <c r="L35"/>
  <c r="L30"/>
  <c r="L29"/>
  <c r="L28"/>
  <c r="L27"/>
  <c r="L26"/>
  <c r="L25"/>
  <c r="W22"/>
  <c r="J23"/>
  <c r="J38"/>
  <c r="J36"/>
  <c r="J32"/>
  <c r="J31"/>
  <c r="J35"/>
  <c r="J40"/>
  <c r="J34"/>
  <c r="J41"/>
  <c r="J39"/>
  <c r="J37"/>
  <c r="J33"/>
  <c r="J30"/>
  <c r="J29"/>
  <c r="J28"/>
  <c r="J27"/>
  <c r="J26"/>
  <c r="J25"/>
  <c r="U22"/>
  <c r="H23"/>
  <c r="H38"/>
  <c r="H40"/>
  <c r="H34"/>
  <c r="H31"/>
  <c r="H37"/>
  <c r="H33"/>
  <c r="H36"/>
  <c r="H32"/>
  <c r="H41"/>
  <c r="H39"/>
  <c r="H35"/>
  <c r="H30"/>
  <c r="H29"/>
  <c r="H28"/>
  <c r="H27"/>
  <c r="H26"/>
  <c r="H25"/>
  <c r="S22"/>
  <c r="F23"/>
  <c r="F38"/>
  <c r="F36"/>
  <c r="F32"/>
  <c r="F31"/>
  <c r="F35"/>
  <c r="F40"/>
  <c r="F34"/>
  <c r="F41"/>
  <c r="F39"/>
  <c r="F37"/>
  <c r="F33"/>
  <c r="F30"/>
  <c r="F29"/>
  <c r="F28"/>
  <c r="F27"/>
  <c r="F26"/>
  <c r="F25"/>
  <c r="Q22"/>
  <c r="D23"/>
  <c r="D38"/>
  <c r="D40"/>
  <c r="D34"/>
  <c r="D31"/>
  <c r="D37"/>
  <c r="D33"/>
  <c r="D36"/>
  <c r="D32"/>
  <c r="D41"/>
  <c r="D39"/>
  <c r="D35"/>
  <c r="D30"/>
  <c r="D29"/>
  <c r="D28"/>
  <c r="D27"/>
  <c r="D26"/>
  <c r="D25"/>
  <c r="N35" i="161"/>
  <c r="N32"/>
  <c r="L39" i="156"/>
  <c r="J39"/>
  <c r="H39"/>
  <c r="F39"/>
  <c r="D39"/>
  <c r="G9" i="225"/>
  <c r="C34" i="156"/>
  <c r="N33" i="161"/>
  <c r="M39" i="156"/>
  <c r="K39"/>
  <c r="I39"/>
  <c r="G39"/>
  <c r="E39"/>
  <c r="C39"/>
  <c r="B24" i="241"/>
  <c r="M24"/>
  <c r="K24"/>
  <c r="I24"/>
  <c r="G24"/>
  <c r="E24"/>
  <c r="C24"/>
  <c r="L24"/>
  <c r="J24"/>
  <c r="H24"/>
  <c r="F24"/>
  <c r="D24"/>
  <c r="D30" i="6"/>
  <c r="F30"/>
  <c r="E30"/>
  <c r="C11" i="108" l="1"/>
  <c r="C30" i="118"/>
  <c r="C10" i="101"/>
  <c r="B29" i="6"/>
  <c r="H36" i="119"/>
  <c r="H5" i="101"/>
  <c r="P41" i="358"/>
  <c r="G36" i="119"/>
  <c r="O41" i="358"/>
  <c r="I7" i="108"/>
  <c r="I6" i="101"/>
  <c r="H6" i="108"/>
  <c r="B6" i="88"/>
  <c r="B6" i="125" s="1"/>
  <c r="B7" i="127"/>
  <c r="B5" i="341"/>
  <c r="B5" i="328"/>
  <c r="C5" i="341"/>
  <c r="C6" i="88"/>
  <c r="C6" i="125" s="1"/>
  <c r="C5" i="328"/>
  <c r="G4"/>
  <c r="G38" s="1"/>
  <c r="O49" i="358"/>
  <c r="G4" i="341"/>
  <c r="N6" i="127"/>
  <c r="N40" s="1"/>
  <c r="G5" i="88"/>
  <c r="O42" i="358"/>
  <c r="P49"/>
  <c r="O6" i="127"/>
  <c r="O40" s="1"/>
  <c r="P42" i="358"/>
  <c r="D15" i="328"/>
  <c r="D16" i="88"/>
  <c r="D16" i="125" s="1"/>
  <c r="C17" i="127"/>
  <c r="D15" i="341"/>
  <c r="U7" i="127"/>
  <c r="F5" i="341"/>
  <c r="F5" i="328"/>
  <c r="E7" i="127"/>
  <c r="F6" i="88"/>
  <c r="F6" i="125" s="1"/>
  <c r="C30" i="7"/>
  <c r="C73"/>
  <c r="C56" i="101"/>
  <c r="I53" i="241"/>
  <c r="H54"/>
  <c r="B54"/>
  <c r="C29" i="122"/>
  <c r="C29" i="123"/>
  <c r="C8" i="126" s="1"/>
  <c r="D54" i="241"/>
  <c r="L54"/>
  <c r="G51"/>
  <c r="K51"/>
  <c r="B51"/>
  <c r="D51"/>
  <c r="H51"/>
  <c r="L51"/>
  <c r="C54"/>
  <c r="E51"/>
  <c r="G54"/>
  <c r="I51"/>
  <c r="K54"/>
  <c r="M51"/>
  <c r="B53"/>
  <c r="D55"/>
  <c r="D52"/>
  <c r="Q21"/>
  <c r="D22"/>
  <c r="F55"/>
  <c r="F52"/>
  <c r="H55"/>
  <c r="H52"/>
  <c r="U21"/>
  <c r="H22"/>
  <c r="J55"/>
  <c r="J52"/>
  <c r="L55"/>
  <c r="L52"/>
  <c r="Y21"/>
  <c r="L22"/>
  <c r="E55"/>
  <c r="E52"/>
  <c r="R21"/>
  <c r="E22"/>
  <c r="I55"/>
  <c r="I52"/>
  <c r="V21"/>
  <c r="I22"/>
  <c r="M55"/>
  <c r="M52"/>
  <c r="Z21"/>
  <c r="M22"/>
  <c r="D53"/>
  <c r="H53"/>
  <c r="L53"/>
  <c r="S21"/>
  <c r="F22"/>
  <c r="W21"/>
  <c r="J22"/>
  <c r="C55"/>
  <c r="C52"/>
  <c r="P21"/>
  <c r="C22"/>
  <c r="G55"/>
  <c r="G52"/>
  <c r="T21"/>
  <c r="G22"/>
  <c r="K55"/>
  <c r="K52"/>
  <c r="X21"/>
  <c r="K22"/>
  <c r="B55"/>
  <c r="B52"/>
  <c r="O21"/>
  <c r="B22"/>
  <c r="F54"/>
  <c r="F51"/>
  <c r="F53"/>
  <c r="J54"/>
  <c r="J51"/>
  <c r="J53"/>
  <c r="C51"/>
  <c r="C53"/>
  <c r="E54"/>
  <c r="G53"/>
  <c r="I54"/>
  <c r="K53"/>
  <c r="M54"/>
  <c r="E29" i="6"/>
  <c r="F29"/>
  <c r="D29"/>
  <c r="N43" i="101"/>
  <c r="O43"/>
  <c r="N45"/>
  <c r="O45"/>
  <c r="N46"/>
  <c r="O46"/>
  <c r="N54"/>
  <c r="O54"/>
  <c r="N56"/>
  <c r="O56"/>
  <c r="K43"/>
  <c r="L43"/>
  <c r="M43"/>
  <c r="K45"/>
  <c r="L45"/>
  <c r="M45"/>
  <c r="K46"/>
  <c r="L46"/>
  <c r="M46"/>
  <c r="K54"/>
  <c r="L54"/>
  <c r="M54"/>
  <c r="K56"/>
  <c r="L56"/>
  <c r="M56"/>
  <c r="G5" i="125" l="1"/>
  <c r="G39" i="88"/>
  <c r="G40"/>
  <c r="C29" i="118"/>
  <c r="C9" i="101"/>
  <c r="G39" i="341"/>
  <c r="G38"/>
  <c r="C10" i="108"/>
  <c r="B28" i="6"/>
  <c r="F36" i="119"/>
  <c r="F41" i="358"/>
  <c r="I36" i="119"/>
  <c r="I5" i="101"/>
  <c r="V41" i="358"/>
  <c r="B41"/>
  <c r="C41"/>
  <c r="I6" i="108"/>
  <c r="H5"/>
  <c r="B6" i="127"/>
  <c r="B40" s="1"/>
  <c r="B49" i="358"/>
  <c r="B4" i="341"/>
  <c r="B4" i="328"/>
  <c r="B38" s="1"/>
  <c r="B36" i="119"/>
  <c r="B5" i="88"/>
  <c r="B42" i="358"/>
  <c r="C5" i="88"/>
  <c r="C42" i="358"/>
  <c r="C4" i="328"/>
  <c r="C38" s="1"/>
  <c r="C4" i="341"/>
  <c r="C49" i="358"/>
  <c r="F4" i="328"/>
  <c r="F38" s="1"/>
  <c r="F4" i="341"/>
  <c r="E6" i="127"/>
  <c r="E40" s="1"/>
  <c r="F5" i="88"/>
  <c r="F49" i="358"/>
  <c r="F42"/>
  <c r="D14" i="328"/>
  <c r="C16" i="127"/>
  <c r="D15" i="88"/>
  <c r="D15" i="125" s="1"/>
  <c r="D14" i="341"/>
  <c r="V49" i="358"/>
  <c r="V42"/>
  <c r="U6" i="127"/>
  <c r="U40" s="1"/>
  <c r="C51" i="101"/>
  <c r="C53"/>
  <c r="C50"/>
  <c r="C52"/>
  <c r="C29" i="7"/>
  <c r="C28" i="122"/>
  <c r="C28" i="123"/>
  <c r="C7" i="126" s="1"/>
  <c r="B34" i="156"/>
  <c r="X20" i="241"/>
  <c r="K21"/>
  <c r="P20"/>
  <c r="C21"/>
  <c r="Z20"/>
  <c r="M21"/>
  <c r="R20"/>
  <c r="E21"/>
  <c r="O20"/>
  <c r="B21"/>
  <c r="T20"/>
  <c r="G21"/>
  <c r="W20"/>
  <c r="J21"/>
  <c r="S20"/>
  <c r="F21"/>
  <c r="V20"/>
  <c r="I21"/>
  <c r="Y20"/>
  <c r="L21"/>
  <c r="U20"/>
  <c r="H21"/>
  <c r="Q20"/>
  <c r="D21"/>
  <c r="D28" i="6"/>
  <c r="F28"/>
  <c r="E28"/>
  <c r="F63"/>
  <c r="D63"/>
  <c r="B63"/>
  <c r="E63"/>
  <c r="D5" i="9"/>
  <c r="D5" i="148" s="1"/>
  <c r="E5" i="9"/>
  <c r="E5" i="148" s="1"/>
  <c r="G5" i="9"/>
  <c r="H5"/>
  <c r="I5"/>
  <c r="J5"/>
  <c r="K5"/>
  <c r="I5" i="148" s="1"/>
  <c r="L5" i="9"/>
  <c r="J5" i="148" s="1"/>
  <c r="M5" i="9"/>
  <c r="K5" i="148" s="1"/>
  <c r="D6" i="9"/>
  <c r="D6" i="148" s="1"/>
  <c r="E6" i="9"/>
  <c r="E6" i="148" s="1"/>
  <c r="G6" i="9"/>
  <c r="H6"/>
  <c r="I6"/>
  <c r="J6"/>
  <c r="K6"/>
  <c r="I6" i="148" s="1"/>
  <c r="L6" i="9"/>
  <c r="J6" i="148" s="1"/>
  <c r="M6" i="9"/>
  <c r="K6" i="148" s="1"/>
  <c r="D7" i="9"/>
  <c r="D7" i="148" s="1"/>
  <c r="E7" i="9"/>
  <c r="E7" i="148" s="1"/>
  <c r="G7" i="9"/>
  <c r="H7"/>
  <c r="I7"/>
  <c r="J7"/>
  <c r="K7"/>
  <c r="I7" i="148" s="1"/>
  <c r="L7" i="9"/>
  <c r="J7" i="148" s="1"/>
  <c r="M7" i="9"/>
  <c r="K7" i="148" s="1"/>
  <c r="D8" i="9"/>
  <c r="D8" i="148" s="1"/>
  <c r="E8" i="9"/>
  <c r="E8" i="148" s="1"/>
  <c r="G8" i="9"/>
  <c r="H8"/>
  <c r="I8"/>
  <c r="J8"/>
  <c r="K8"/>
  <c r="I8" i="148" s="1"/>
  <c r="L8" i="9"/>
  <c r="J8" i="148" s="1"/>
  <c r="M8" i="9"/>
  <c r="K8" i="148" s="1"/>
  <c r="D9" i="9"/>
  <c r="D9" i="148" s="1"/>
  <c r="E9" i="9"/>
  <c r="E9" i="148" s="1"/>
  <c r="G9" i="9"/>
  <c r="H9"/>
  <c r="I9"/>
  <c r="J9"/>
  <c r="K9"/>
  <c r="I9" i="148" s="1"/>
  <c r="L9" i="9"/>
  <c r="J9" i="148" s="1"/>
  <c r="M9" i="9"/>
  <c r="K9" i="148" s="1"/>
  <c r="D10" i="9"/>
  <c r="D10" i="148" s="1"/>
  <c r="E10" i="9"/>
  <c r="E10" i="148" s="1"/>
  <c r="G10" i="9"/>
  <c r="H10"/>
  <c r="I10"/>
  <c r="J10"/>
  <c r="K10"/>
  <c r="I10" i="148" s="1"/>
  <c r="L10" i="9"/>
  <c r="J10" i="148" s="1"/>
  <c r="M10" i="9"/>
  <c r="K10" i="148" s="1"/>
  <c r="D11" i="9"/>
  <c r="D11" i="148" s="1"/>
  <c r="E11" i="9"/>
  <c r="E11" i="148" s="1"/>
  <c r="G11" i="9"/>
  <c r="H11"/>
  <c r="I11"/>
  <c r="J11"/>
  <c r="K11"/>
  <c r="I11" i="148" s="1"/>
  <c r="L11" i="9"/>
  <c r="J11" i="148" s="1"/>
  <c r="M11" i="9"/>
  <c r="K11" i="148" s="1"/>
  <c r="D12" i="9"/>
  <c r="D12" i="148" s="1"/>
  <c r="E12" i="9"/>
  <c r="E12" i="148" s="1"/>
  <c r="G12" i="9"/>
  <c r="H12"/>
  <c r="I12"/>
  <c r="J12"/>
  <c r="K12"/>
  <c r="I12" i="148" s="1"/>
  <c r="L12" i="9"/>
  <c r="J12" i="148" s="1"/>
  <c r="M12" i="9"/>
  <c r="K12" i="148" s="1"/>
  <c r="D13" i="9"/>
  <c r="D13" i="148" s="1"/>
  <c r="E13" i="9"/>
  <c r="E13" i="148" s="1"/>
  <c r="G13" i="9"/>
  <c r="H13"/>
  <c r="I13"/>
  <c r="J13"/>
  <c r="K13"/>
  <c r="I13" i="148" s="1"/>
  <c r="L13" i="9"/>
  <c r="J13" i="148" s="1"/>
  <c r="M13" i="9"/>
  <c r="K13" i="148" s="1"/>
  <c r="D14" i="9"/>
  <c r="D14" i="148" s="1"/>
  <c r="E14" i="9"/>
  <c r="E14" i="148" s="1"/>
  <c r="G14" i="9"/>
  <c r="H14"/>
  <c r="I14"/>
  <c r="J14"/>
  <c r="K14"/>
  <c r="I14" i="148" s="1"/>
  <c r="L14" i="9"/>
  <c r="J14" i="148" s="1"/>
  <c r="M14" i="9"/>
  <c r="K14" i="148" s="1"/>
  <c r="D15" i="9"/>
  <c r="E15"/>
  <c r="G15"/>
  <c r="H15"/>
  <c r="I15"/>
  <c r="G5" i="367" s="1"/>
  <c r="J15" i="9"/>
  <c r="H5" i="367" s="1"/>
  <c r="K15" i="9"/>
  <c r="L15"/>
  <c r="M15"/>
  <c r="D16"/>
  <c r="E16"/>
  <c r="G16"/>
  <c r="H16"/>
  <c r="I16"/>
  <c r="G6" i="367" s="1"/>
  <c r="J16" i="9"/>
  <c r="H6" i="367" s="1"/>
  <c r="K16" i="9"/>
  <c r="I6" i="367" s="1"/>
  <c r="L16" i="9"/>
  <c r="M16"/>
  <c r="D17"/>
  <c r="E17"/>
  <c r="G17"/>
  <c r="H17"/>
  <c r="I17"/>
  <c r="G7" i="367" s="1"/>
  <c r="J17" i="9"/>
  <c r="H7" i="367" s="1"/>
  <c r="K17" i="9"/>
  <c r="I7" i="367" s="1"/>
  <c r="L17" i="9"/>
  <c r="M17"/>
  <c r="D18"/>
  <c r="E18"/>
  <c r="G18"/>
  <c r="H18"/>
  <c r="I18"/>
  <c r="G8" i="367" s="1"/>
  <c r="J18" i="9"/>
  <c r="H8" i="367" s="1"/>
  <c r="K18" i="9"/>
  <c r="I8" i="367" s="1"/>
  <c r="L18" i="9"/>
  <c r="J8" i="367" s="1"/>
  <c r="M18" i="9"/>
  <c r="K8" i="367" s="1"/>
  <c r="D19" i="9"/>
  <c r="D9" i="367" s="1"/>
  <c r="E19" i="9"/>
  <c r="E9" i="367" s="1"/>
  <c r="G19" i="9"/>
  <c r="H19"/>
  <c r="I19"/>
  <c r="G9" i="367" s="1"/>
  <c r="J19" i="9"/>
  <c r="H9" i="367" s="1"/>
  <c r="K19" i="9"/>
  <c r="I9" i="367" s="1"/>
  <c r="L19" i="9"/>
  <c r="M19"/>
  <c r="D20"/>
  <c r="E20"/>
  <c r="G20"/>
  <c r="H20"/>
  <c r="I20"/>
  <c r="G10" i="367" s="1"/>
  <c r="J20" i="9"/>
  <c r="H10" i="367" s="1"/>
  <c r="K20" i="9"/>
  <c r="I10" i="367" s="1"/>
  <c r="L20" i="9"/>
  <c r="M20"/>
  <c r="D21"/>
  <c r="E21"/>
  <c r="G21"/>
  <c r="H21"/>
  <c r="I21"/>
  <c r="G11" i="367" s="1"/>
  <c r="J21" i="9"/>
  <c r="H11" i="367" s="1"/>
  <c r="K21" i="9"/>
  <c r="I11" i="367" s="1"/>
  <c r="L21" i="9"/>
  <c r="M21"/>
  <c r="D22"/>
  <c r="E22"/>
  <c r="G22"/>
  <c r="H22"/>
  <c r="I22"/>
  <c r="G12" i="367" s="1"/>
  <c r="J22" i="9"/>
  <c r="K22"/>
  <c r="I12" i="367" s="1"/>
  <c r="L22" i="9"/>
  <c r="M22"/>
  <c r="D23"/>
  <c r="E23"/>
  <c r="G23"/>
  <c r="H23"/>
  <c r="I23"/>
  <c r="G13" i="367" s="1"/>
  <c r="J23" i="9"/>
  <c r="H13" i="367" s="1"/>
  <c r="K23" i="9"/>
  <c r="I13" i="367" s="1"/>
  <c r="L23" i="9"/>
  <c r="M23"/>
  <c r="D24"/>
  <c r="E24"/>
  <c r="G24"/>
  <c r="H24"/>
  <c r="I24"/>
  <c r="G14" i="367" s="1"/>
  <c r="J24" i="9"/>
  <c r="H14" i="367" s="1"/>
  <c r="K24" i="9"/>
  <c r="I14" i="367" s="1"/>
  <c r="L24" i="9"/>
  <c r="M24"/>
  <c r="D25"/>
  <c r="E25"/>
  <c r="G25"/>
  <c r="H25"/>
  <c r="I25"/>
  <c r="G15" i="367" s="1"/>
  <c r="J25" i="9"/>
  <c r="K25"/>
  <c r="I15" i="367" s="1"/>
  <c r="L25" i="9"/>
  <c r="M25"/>
  <c r="B6"/>
  <c r="B6" i="148" s="1"/>
  <c r="B7" i="9"/>
  <c r="B7" i="148" s="1"/>
  <c r="B8" i="9"/>
  <c r="B8" i="148" s="1"/>
  <c r="B9" i="9"/>
  <c r="B9" i="148" s="1"/>
  <c r="B10" i="9"/>
  <c r="B10" i="148" s="1"/>
  <c r="B11" i="9"/>
  <c r="B11" i="148" s="1"/>
  <c r="B12" i="9"/>
  <c r="B12" i="148" s="1"/>
  <c r="B13" i="9"/>
  <c r="B13" i="148" s="1"/>
  <c r="B14" i="9"/>
  <c r="B14" i="148" s="1"/>
  <c r="B15" i="9"/>
  <c r="B16"/>
  <c r="B17"/>
  <c r="B18"/>
  <c r="B19"/>
  <c r="B20"/>
  <c r="B10" i="367" s="1"/>
  <c r="B21" i="9"/>
  <c r="B22"/>
  <c r="B23"/>
  <c r="B24"/>
  <c r="B25"/>
  <c r="B5"/>
  <c r="T25"/>
  <c r="F25" s="1"/>
  <c r="Q25"/>
  <c r="C25" s="1"/>
  <c r="T24"/>
  <c r="F24" s="1"/>
  <c r="Q24"/>
  <c r="C24" s="1"/>
  <c r="T23"/>
  <c r="F23" s="1"/>
  <c r="Q23"/>
  <c r="C23" s="1"/>
  <c r="T22"/>
  <c r="F22" s="1"/>
  <c r="Q22"/>
  <c r="C22" s="1"/>
  <c r="T21"/>
  <c r="F21" s="1"/>
  <c r="Q21"/>
  <c r="C21" s="1"/>
  <c r="T20"/>
  <c r="F20" s="1"/>
  <c r="Q20"/>
  <c r="C20" s="1"/>
  <c r="C10" i="367" s="1"/>
  <c r="T19" i="9"/>
  <c r="F19" s="1"/>
  <c r="Q19"/>
  <c r="C19" s="1"/>
  <c r="T18"/>
  <c r="F18" s="1"/>
  <c r="Q18"/>
  <c r="C18" s="1"/>
  <c r="T17"/>
  <c r="F17" s="1"/>
  <c r="Q17"/>
  <c r="C17" s="1"/>
  <c r="T16"/>
  <c r="F16" s="1"/>
  <c r="Q16"/>
  <c r="C16" s="1"/>
  <c r="T15"/>
  <c r="F15" s="1"/>
  <c r="Q15"/>
  <c r="C15" s="1"/>
  <c r="T14"/>
  <c r="F14" s="1"/>
  <c r="Q14"/>
  <c r="C14" s="1"/>
  <c r="C14" i="148" s="1"/>
  <c r="T13" i="9"/>
  <c r="F13" s="1"/>
  <c r="Q13"/>
  <c r="C13" s="1"/>
  <c r="C13" i="148" s="1"/>
  <c r="T12" i="9"/>
  <c r="F12" s="1"/>
  <c r="Q12"/>
  <c r="C12" s="1"/>
  <c r="C12" i="148" s="1"/>
  <c r="T11" i="9"/>
  <c r="F11" s="1"/>
  <c r="Q11"/>
  <c r="C11" s="1"/>
  <c r="C11" i="148" s="1"/>
  <c r="T10" i="9"/>
  <c r="F10" s="1"/>
  <c r="Q10"/>
  <c r="C10" s="1"/>
  <c r="C10" i="148" s="1"/>
  <c r="T9" i="9"/>
  <c r="F9" s="1"/>
  <c r="Q9"/>
  <c r="C9" s="1"/>
  <c r="C9" i="148" s="1"/>
  <c r="T8" i="9"/>
  <c r="F8" s="1"/>
  <c r="Q8"/>
  <c r="C8" s="1"/>
  <c r="T7"/>
  <c r="F7" s="1"/>
  <c r="Q7"/>
  <c r="C7" s="1"/>
  <c r="T6"/>
  <c r="F6" s="1"/>
  <c r="Q6"/>
  <c r="C6" s="1"/>
  <c r="T5"/>
  <c r="F5" s="1"/>
  <c r="Q5"/>
  <c r="C5" s="1"/>
  <c r="G18" i="367" l="1"/>
  <c r="F22" i="148"/>
  <c r="F12" i="367"/>
  <c r="F18" i="148"/>
  <c r="F8" i="367"/>
  <c r="K17" i="148"/>
  <c r="K7" i="367"/>
  <c r="C39" i="341"/>
  <c r="C38"/>
  <c r="B39"/>
  <c r="B38"/>
  <c r="J33" i="9"/>
  <c r="H15" i="367"/>
  <c r="H18" s="1"/>
  <c r="J23" i="148"/>
  <c r="J13" i="367"/>
  <c r="J19" i="148"/>
  <c r="J9" i="367"/>
  <c r="F19" i="148"/>
  <c r="F9" i="367"/>
  <c r="J15" i="148"/>
  <c r="J5" i="367"/>
  <c r="F15" i="148"/>
  <c r="F5" i="367"/>
  <c r="F5" i="125"/>
  <c r="F39" i="88"/>
  <c r="F40"/>
  <c r="C39"/>
  <c r="C40"/>
  <c r="G39" i="125"/>
  <c r="G40"/>
  <c r="J25" i="148"/>
  <c r="J15" i="367"/>
  <c r="F25" i="148"/>
  <c r="F15" i="367"/>
  <c r="K24" i="148"/>
  <c r="K14" i="367"/>
  <c r="J21" i="148"/>
  <c r="J11" i="367"/>
  <c r="F21" i="148"/>
  <c r="F11" i="367"/>
  <c r="K20" i="148"/>
  <c r="K10" i="367"/>
  <c r="J17" i="148"/>
  <c r="J7" i="367"/>
  <c r="F17" i="148"/>
  <c r="F7" i="367"/>
  <c r="K16" i="148"/>
  <c r="K6" i="367"/>
  <c r="C28" i="118"/>
  <c r="C8" i="101"/>
  <c r="F39" i="341"/>
  <c r="F38"/>
  <c r="B39" i="88"/>
  <c r="B40"/>
  <c r="K25" i="148"/>
  <c r="K15" i="367"/>
  <c r="J22" i="148"/>
  <c r="J12" i="367"/>
  <c r="K21" i="148"/>
  <c r="K11" i="367"/>
  <c r="F23" i="148"/>
  <c r="F13" i="367"/>
  <c r="K22" i="148"/>
  <c r="K12" i="367"/>
  <c r="C9" i="108"/>
  <c r="J24" i="148"/>
  <c r="J14" i="367"/>
  <c r="F24" i="148"/>
  <c r="F14" i="367"/>
  <c r="K23" i="148"/>
  <c r="K13" i="367"/>
  <c r="J37" i="9"/>
  <c r="H12" i="367"/>
  <c r="J20" i="148"/>
  <c r="J10" i="367"/>
  <c r="F20" i="148"/>
  <c r="F10" i="367"/>
  <c r="K19" i="148"/>
  <c r="K9" i="367"/>
  <c r="J16" i="148"/>
  <c r="J6" i="367"/>
  <c r="F16" i="148"/>
  <c r="F6" i="367"/>
  <c r="K15" i="148"/>
  <c r="K5" i="367"/>
  <c r="B27" i="6"/>
  <c r="I5" i="108"/>
  <c r="B5" i="125"/>
  <c r="C5"/>
  <c r="C39" i="328"/>
  <c r="B19" i="148"/>
  <c r="B9" i="367"/>
  <c r="H23" i="148"/>
  <c r="G23"/>
  <c r="E37" i="9"/>
  <c r="E22" i="148"/>
  <c r="E12" i="367"/>
  <c r="H19" i="148"/>
  <c r="G19"/>
  <c r="E18"/>
  <c r="E8" i="367"/>
  <c r="H15" i="148"/>
  <c r="G15"/>
  <c r="C5" i="367"/>
  <c r="C15" i="148"/>
  <c r="C7" i="367"/>
  <c r="C17" i="148"/>
  <c r="C9" i="367"/>
  <c r="C19" i="148"/>
  <c r="C11" i="367"/>
  <c r="C21" i="148"/>
  <c r="C13" i="367"/>
  <c r="C23" i="148"/>
  <c r="C15" i="367"/>
  <c r="C25" i="148"/>
  <c r="B24"/>
  <c r="B14" i="367"/>
  <c r="B20" i="148"/>
  <c r="B16"/>
  <c r="B6" i="367"/>
  <c r="H24" i="148"/>
  <c r="G24"/>
  <c r="D24"/>
  <c r="D14" i="367"/>
  <c r="E23" i="148"/>
  <c r="E13" i="367"/>
  <c r="I22" i="148"/>
  <c r="H20"/>
  <c r="G20"/>
  <c r="D20"/>
  <c r="D10" i="367"/>
  <c r="E19" i="148"/>
  <c r="I18"/>
  <c r="H16"/>
  <c r="G16"/>
  <c r="D16"/>
  <c r="D6" i="367"/>
  <c r="E15" i="148"/>
  <c r="E5" i="367"/>
  <c r="C8" i="148"/>
  <c r="C15" i="127"/>
  <c r="D13" i="328"/>
  <c r="D14" i="88"/>
  <c r="D14" i="125" s="1"/>
  <c r="D13" i="341"/>
  <c r="D19" i="148"/>
  <c r="I17"/>
  <c r="B25"/>
  <c r="B15" i="367"/>
  <c r="B21" i="148"/>
  <c r="B11" i="367"/>
  <c r="B17" i="148"/>
  <c r="B7" i="367"/>
  <c r="H25" i="148"/>
  <c r="G25"/>
  <c r="D25"/>
  <c r="D15" i="367"/>
  <c r="E24" i="148"/>
  <c r="E14" i="367"/>
  <c r="I23" i="148"/>
  <c r="H21"/>
  <c r="G21"/>
  <c r="D21"/>
  <c r="D11" i="367"/>
  <c r="E20" i="148"/>
  <c r="E10" i="367"/>
  <c r="I19" i="148"/>
  <c r="J18"/>
  <c r="H17"/>
  <c r="G17"/>
  <c r="D17"/>
  <c r="D7" i="367"/>
  <c r="E16" i="148"/>
  <c r="E6" i="367"/>
  <c r="I15" i="148"/>
  <c r="I5" i="367"/>
  <c r="I18" s="1"/>
  <c r="B23" i="148"/>
  <c r="B13" i="367"/>
  <c r="B15" i="148"/>
  <c r="B5" i="367"/>
  <c r="I25" i="148"/>
  <c r="D23"/>
  <c r="D13" i="367"/>
  <c r="I21" i="148"/>
  <c r="D15"/>
  <c r="D5" i="367"/>
  <c r="C6"/>
  <c r="C16" i="148"/>
  <c r="C8" i="367"/>
  <c r="C18" i="148"/>
  <c r="C20"/>
  <c r="C12" i="367"/>
  <c r="C22" i="148"/>
  <c r="C14" i="367"/>
  <c r="C24" i="148"/>
  <c r="B22"/>
  <c r="B12" i="367"/>
  <c r="B18" i="148"/>
  <c r="B8" i="367"/>
  <c r="E33" i="9"/>
  <c r="E25" i="148"/>
  <c r="E15" i="367"/>
  <c r="I24" i="148"/>
  <c r="H22"/>
  <c r="G22"/>
  <c r="D22"/>
  <c r="D12" i="367"/>
  <c r="E21" i="148"/>
  <c r="E11" i="367"/>
  <c r="I20" i="148"/>
  <c r="K18"/>
  <c r="H18"/>
  <c r="G18"/>
  <c r="D18"/>
  <c r="D8" i="367"/>
  <c r="E17" i="148"/>
  <c r="E7" i="367"/>
  <c r="I16" i="148"/>
  <c r="M33" i="9"/>
  <c r="I33"/>
  <c r="L37"/>
  <c r="H37"/>
  <c r="B5" i="148"/>
  <c r="L33" i="9"/>
  <c r="H33"/>
  <c r="J36"/>
  <c r="E36"/>
  <c r="B37"/>
  <c r="C28" i="7"/>
  <c r="C7" i="101" s="1"/>
  <c r="C27" i="122"/>
  <c r="C27" i="123"/>
  <c r="C6" i="126" s="1"/>
  <c r="B36" i="9"/>
  <c r="L36"/>
  <c r="H36"/>
  <c r="E35"/>
  <c r="D36"/>
  <c r="G34"/>
  <c r="J35"/>
  <c r="K34"/>
  <c r="B35"/>
  <c r="K33"/>
  <c r="G33"/>
  <c r="B33"/>
  <c r="B34"/>
  <c r="M37"/>
  <c r="I37"/>
  <c r="M35"/>
  <c r="I35"/>
  <c r="M36"/>
  <c r="K36"/>
  <c r="I36"/>
  <c r="G36"/>
  <c r="L35"/>
  <c r="H35"/>
  <c r="M34"/>
  <c r="I34"/>
  <c r="D34"/>
  <c r="E34"/>
  <c r="L34"/>
  <c r="J34"/>
  <c r="H34"/>
  <c r="F37"/>
  <c r="C37"/>
  <c r="K37"/>
  <c r="G37"/>
  <c r="Q19" i="241"/>
  <c r="D20"/>
  <c r="U19"/>
  <c r="H20"/>
  <c r="Y19"/>
  <c r="L20"/>
  <c r="V19"/>
  <c r="I20"/>
  <c r="S19"/>
  <c r="F20"/>
  <c r="W19"/>
  <c r="J20"/>
  <c r="T19"/>
  <c r="G20"/>
  <c r="O19"/>
  <c r="B20"/>
  <c r="R19"/>
  <c r="E20"/>
  <c r="Z19"/>
  <c r="M20"/>
  <c r="P19"/>
  <c r="C20"/>
  <c r="X19"/>
  <c r="K20"/>
  <c r="D37" i="9"/>
  <c r="K35"/>
  <c r="G35"/>
  <c r="D35"/>
  <c r="D33"/>
  <c r="E27" i="6"/>
  <c r="F27"/>
  <c r="D27"/>
  <c r="D18" i="367" l="1"/>
  <c r="J18"/>
  <c r="C7" i="108"/>
  <c r="C8"/>
  <c r="B18" i="367"/>
  <c r="C18"/>
  <c r="K18"/>
  <c r="F18"/>
  <c r="B39" i="125"/>
  <c r="B40"/>
  <c r="F39"/>
  <c r="F40"/>
  <c r="C39"/>
  <c r="C40"/>
  <c r="E18" i="367"/>
  <c r="B26" i="6"/>
  <c r="C7" i="148"/>
  <c r="D42" i="358"/>
  <c r="D12" i="328"/>
  <c r="D40" s="1"/>
  <c r="D12" i="341"/>
  <c r="C14" i="127"/>
  <c r="D13" i="88"/>
  <c r="D43" i="358"/>
  <c r="C27" i="7"/>
  <c r="C6" i="101" s="1"/>
  <c r="C27" i="118"/>
  <c r="C26" i="122"/>
  <c r="C59" s="1"/>
  <c r="C26" i="123"/>
  <c r="C5" i="126" s="1"/>
  <c r="X18" i="241"/>
  <c r="K19"/>
  <c r="P18"/>
  <c r="C19"/>
  <c r="Z18"/>
  <c r="M19"/>
  <c r="R18"/>
  <c r="E19"/>
  <c r="O18"/>
  <c r="O17" s="1"/>
  <c r="O16" s="1"/>
  <c r="O15" s="1"/>
  <c r="B15" s="1"/>
  <c r="B19"/>
  <c r="T18"/>
  <c r="G19"/>
  <c r="W18"/>
  <c r="J19"/>
  <c r="S18"/>
  <c r="F19"/>
  <c r="V18"/>
  <c r="I19"/>
  <c r="Y18"/>
  <c r="L19"/>
  <c r="U18"/>
  <c r="H19"/>
  <c r="Q18"/>
  <c r="D19"/>
  <c r="D26" i="6"/>
  <c r="F26"/>
  <c r="E26"/>
  <c r="C65" i="139"/>
  <c r="D65"/>
  <c r="C68"/>
  <c r="D68"/>
  <c r="E68"/>
  <c r="F68"/>
  <c r="E69"/>
  <c r="B69"/>
  <c r="B68"/>
  <c r="B65"/>
  <c r="B36" i="8"/>
  <c r="D36"/>
  <c r="E36"/>
  <c r="G36"/>
  <c r="H36"/>
  <c r="I36"/>
  <c r="J36"/>
  <c r="K36"/>
  <c r="L36"/>
  <c r="M36"/>
  <c r="AC6" i="122"/>
  <c r="AC7"/>
  <c r="AC8"/>
  <c r="AC9"/>
  <c r="AC10"/>
  <c r="AC11"/>
  <c r="AC12"/>
  <c r="AC13"/>
  <c r="AC14"/>
  <c r="AC15"/>
  <c r="AC16"/>
  <c r="AC17"/>
  <c r="AC18"/>
  <c r="AC19"/>
  <c r="AC20"/>
  <c r="AC21"/>
  <c r="AC22"/>
  <c r="AC23"/>
  <c r="AC24"/>
  <c r="AC25"/>
  <c r="AC26"/>
  <c r="AC27"/>
  <c r="AC28"/>
  <c r="AC29"/>
  <c r="AC30"/>
  <c r="AC31"/>
  <c r="AC32"/>
  <c r="AC33"/>
  <c r="AC34"/>
  <c r="AC35"/>
  <c r="AC36"/>
  <c r="AC37"/>
  <c r="AC38"/>
  <c r="AC39"/>
  <c r="AC40"/>
  <c r="AC41"/>
  <c r="B41" s="1"/>
  <c r="Z41"/>
  <c r="P41" s="1"/>
  <c r="G41" s="1"/>
  <c r="G40" i="123" s="1"/>
  <c r="G19" i="126" s="1"/>
  <c r="Z40" i="122"/>
  <c r="Z39"/>
  <c r="Z38"/>
  <c r="Z37"/>
  <c r="Z36"/>
  <c r="Z35"/>
  <c r="Z34"/>
  <c r="Z33"/>
  <c r="Z32"/>
  <c r="Z31"/>
  <c r="Z30"/>
  <c r="Z29"/>
  <c r="Z28"/>
  <c r="Z27"/>
  <c r="Z26"/>
  <c r="Z25"/>
  <c r="Z24"/>
  <c r="Z23"/>
  <c r="Z22"/>
  <c r="Z21"/>
  <c r="Z20"/>
  <c r="Z19"/>
  <c r="Z18"/>
  <c r="Z17"/>
  <c r="Z16"/>
  <c r="Z15"/>
  <c r="Z14"/>
  <c r="Z13"/>
  <c r="Z12"/>
  <c r="Z11"/>
  <c r="Z10"/>
  <c r="Z9"/>
  <c r="Z8"/>
  <c r="Z7"/>
  <c r="Z6"/>
  <c r="X41"/>
  <c r="O41" s="1"/>
  <c r="F41" s="1"/>
  <c r="F40" i="123" s="1"/>
  <c r="F19" i="126" s="1"/>
  <c r="X40" i="122"/>
  <c r="X39"/>
  <c r="X38"/>
  <c r="X37"/>
  <c r="X36"/>
  <c r="X35"/>
  <c r="X34"/>
  <c r="X33"/>
  <c r="X32"/>
  <c r="X31"/>
  <c r="X30"/>
  <c r="X29"/>
  <c r="X28"/>
  <c r="X27"/>
  <c r="X26"/>
  <c r="X25"/>
  <c r="X24"/>
  <c r="X23"/>
  <c r="X22"/>
  <c r="X21"/>
  <c r="X20"/>
  <c r="X19"/>
  <c r="X18"/>
  <c r="X17"/>
  <c r="X16"/>
  <c r="X15"/>
  <c r="X14"/>
  <c r="X13"/>
  <c r="X12"/>
  <c r="X11"/>
  <c r="X10"/>
  <c r="X9"/>
  <c r="X8"/>
  <c r="X7"/>
  <c r="X6"/>
  <c r="V6"/>
  <c r="V7"/>
  <c r="V8"/>
  <c r="V9"/>
  <c r="V10"/>
  <c r="V11"/>
  <c r="V12"/>
  <c r="V13"/>
  <c r="V14"/>
  <c r="V15"/>
  <c r="V16"/>
  <c r="V17"/>
  <c r="V18"/>
  <c r="V19"/>
  <c r="V20"/>
  <c r="V21"/>
  <c r="V22"/>
  <c r="V23"/>
  <c r="V24"/>
  <c r="V25"/>
  <c r="V26"/>
  <c r="V27"/>
  <c r="V28"/>
  <c r="V29"/>
  <c r="V30"/>
  <c r="V31"/>
  <c r="V32"/>
  <c r="V33"/>
  <c r="V34"/>
  <c r="V35"/>
  <c r="V36"/>
  <c r="V37"/>
  <c r="V38"/>
  <c r="V39"/>
  <c r="V40"/>
  <c r="V41"/>
  <c r="N41" s="1"/>
  <c r="E41" s="1"/>
  <c r="E40" i="123" s="1"/>
  <c r="E19" i="126" s="1"/>
  <c r="L59" i="122"/>
  <c r="N59"/>
  <c r="O59"/>
  <c r="P59"/>
  <c r="Q59"/>
  <c r="R59"/>
  <c r="S59"/>
  <c r="T59"/>
  <c r="U59"/>
  <c r="W59"/>
  <c r="K59"/>
  <c r="D13" i="125" l="1"/>
  <c r="D40" i="88"/>
  <c r="D41"/>
  <c r="D42"/>
  <c r="C6" i="108"/>
  <c r="D41" i="341"/>
  <c r="D40"/>
  <c r="B25" i="6"/>
  <c r="C6" i="148"/>
  <c r="C13" i="127"/>
  <c r="D11" i="341"/>
  <c r="D11" i="328"/>
  <c r="D12" i="88"/>
  <c r="D12" i="125" s="1"/>
  <c r="C26" i="118"/>
  <c r="C26" i="7"/>
  <c r="C5" i="101" s="1"/>
  <c r="B40" i="122"/>
  <c r="B40" i="123"/>
  <c r="B19" i="126" s="1"/>
  <c r="C25" i="122"/>
  <c r="C24" s="1"/>
  <c r="C23" s="1"/>
  <c r="C22" s="1"/>
  <c r="C21" s="1"/>
  <c r="C20" s="1"/>
  <c r="C19" s="1"/>
  <c r="C18" s="1"/>
  <c r="C17" s="1"/>
  <c r="C16" s="1"/>
  <c r="C15" s="1"/>
  <c r="C14" s="1"/>
  <c r="C13" s="1"/>
  <c r="C12" s="1"/>
  <c r="C11" s="1"/>
  <c r="C10" s="1"/>
  <c r="C9" s="1"/>
  <c r="C8" s="1"/>
  <c r="C7" s="1"/>
  <c r="C6" s="1"/>
  <c r="C25" i="123"/>
  <c r="Q17" i="241"/>
  <c r="D18"/>
  <c r="U17"/>
  <c r="H18"/>
  <c r="Y17"/>
  <c r="L18"/>
  <c r="V17"/>
  <c r="I18"/>
  <c r="S17"/>
  <c r="F18"/>
  <c r="W17"/>
  <c r="J18"/>
  <c r="T17"/>
  <c r="G18"/>
  <c r="B18"/>
  <c r="R17"/>
  <c r="E18"/>
  <c r="Z17"/>
  <c r="M18"/>
  <c r="P17"/>
  <c r="C18"/>
  <c r="X17"/>
  <c r="K18"/>
  <c r="E25" i="6"/>
  <c r="F25"/>
  <c r="D25"/>
  <c r="O40" i="122"/>
  <c r="F40" s="1"/>
  <c r="F39" i="123" s="1"/>
  <c r="F18" i="126" s="1"/>
  <c r="P40" i="122"/>
  <c r="G40" s="1"/>
  <c r="G39" i="123" s="1"/>
  <c r="G18" i="126" s="1"/>
  <c r="N40" i="122"/>
  <c r="E40" s="1"/>
  <c r="E39" i="123" s="1"/>
  <c r="E18" i="126" s="1"/>
  <c r="D40" i="125" l="1"/>
  <c r="D41"/>
  <c r="D42"/>
  <c r="C4" i="126"/>
  <c r="C38" s="1"/>
  <c r="C58" i="123"/>
  <c r="C39" i="101"/>
  <c r="C5" i="108"/>
  <c r="C39" s="1"/>
  <c r="B24" i="6"/>
  <c r="C5" i="148"/>
  <c r="C12" i="127"/>
  <c r="D10" i="341"/>
  <c r="D10" i="328"/>
  <c r="D11" i="88"/>
  <c r="D11" i="125" s="1"/>
  <c r="C66" i="7"/>
  <c r="C65"/>
  <c r="C25" i="118"/>
  <c r="C25" i="7"/>
  <c r="C67"/>
  <c r="B39" i="122"/>
  <c r="B39" i="123"/>
  <c r="B18" i="126" s="1"/>
  <c r="C24" i="123"/>
  <c r="C60" i="122"/>
  <c r="X16" i="241"/>
  <c r="K17"/>
  <c r="P16"/>
  <c r="C17"/>
  <c r="Z16"/>
  <c r="M17"/>
  <c r="R16"/>
  <c r="E17"/>
  <c r="B17"/>
  <c r="T16"/>
  <c r="G17"/>
  <c r="W16"/>
  <c r="J17"/>
  <c r="S16"/>
  <c r="F17"/>
  <c r="V16"/>
  <c r="I17"/>
  <c r="Y16"/>
  <c r="L17"/>
  <c r="U16"/>
  <c r="H17"/>
  <c r="Q16"/>
  <c r="D17"/>
  <c r="D24" i="6"/>
  <c r="F24"/>
  <c r="E24"/>
  <c r="C14" i="121"/>
  <c r="C13"/>
  <c r="C16"/>
  <c r="D41" i="122"/>
  <c r="D40" i="123" s="1"/>
  <c r="D19" i="126" s="1"/>
  <c r="N39" i="122"/>
  <c r="E39" s="1"/>
  <c r="E38" i="123" s="1"/>
  <c r="E17" i="126" s="1"/>
  <c r="P39" i="122"/>
  <c r="G39" s="1"/>
  <c r="G38" i="123" s="1"/>
  <c r="G17" i="126" s="1"/>
  <c r="O39" i="122"/>
  <c r="F39" s="1"/>
  <c r="F38" i="123" s="1"/>
  <c r="F17" i="126" s="1"/>
  <c r="B23" i="6" l="1"/>
  <c r="D9" i="341"/>
  <c r="D9" i="328"/>
  <c r="C11" i="127"/>
  <c r="D10" i="88"/>
  <c r="D10" i="125" s="1"/>
  <c r="C61" i="118"/>
  <c r="C62"/>
  <c r="C60"/>
  <c r="C59"/>
  <c r="C49" i="101"/>
  <c r="C41"/>
  <c r="C40"/>
  <c r="C24" i="7"/>
  <c r="C24" i="118"/>
  <c r="B38" i="123"/>
  <c r="B17" i="126" s="1"/>
  <c r="B38" i="122"/>
  <c r="C23" i="123"/>
  <c r="C59"/>
  <c r="Q15" i="241"/>
  <c r="D16"/>
  <c r="U15"/>
  <c r="H16"/>
  <c r="Y15"/>
  <c r="L16"/>
  <c r="V15"/>
  <c r="I16"/>
  <c r="S15"/>
  <c r="F16"/>
  <c r="W15"/>
  <c r="J16"/>
  <c r="T15"/>
  <c r="G16"/>
  <c r="B16"/>
  <c r="R15"/>
  <c r="E16"/>
  <c r="Z15"/>
  <c r="M16"/>
  <c r="P15"/>
  <c r="C16"/>
  <c r="X15"/>
  <c r="K16"/>
  <c r="E23" i="6"/>
  <c r="F23"/>
  <c r="D23"/>
  <c r="O38" i="122"/>
  <c r="F38" s="1"/>
  <c r="F37" i="123" s="1"/>
  <c r="F16" i="126" s="1"/>
  <c r="P38" i="122"/>
  <c r="G38" s="1"/>
  <c r="G37" i="123" s="1"/>
  <c r="G16" i="126" s="1"/>
  <c r="N38" i="122"/>
  <c r="E38" s="1"/>
  <c r="E37" i="123" s="1"/>
  <c r="E16" i="126" s="1"/>
  <c r="D40" i="122"/>
  <c r="D39" i="123" s="1"/>
  <c r="D18" i="126" s="1"/>
  <c r="B22" i="6" l="1"/>
  <c r="C40" i="108"/>
  <c r="C23" i="118"/>
  <c r="C23" i="7"/>
  <c r="B37" i="122"/>
  <c r="B37" i="123"/>
  <c r="B16" i="126" s="1"/>
  <c r="C39"/>
  <c r="C22" i="123"/>
  <c r="X14" i="241"/>
  <c r="K15"/>
  <c r="P14"/>
  <c r="C15"/>
  <c r="Z14"/>
  <c r="M15"/>
  <c r="R14"/>
  <c r="E15"/>
  <c r="O14"/>
  <c r="T14"/>
  <c r="G15"/>
  <c r="W14"/>
  <c r="J15"/>
  <c r="S14"/>
  <c r="F15"/>
  <c r="V14"/>
  <c r="I15"/>
  <c r="Y14"/>
  <c r="L15"/>
  <c r="U14"/>
  <c r="H15"/>
  <c r="Q14"/>
  <c r="D15"/>
  <c r="D22" i="6"/>
  <c r="F22"/>
  <c r="E22"/>
  <c r="D39" i="122"/>
  <c r="D38" i="123" s="1"/>
  <c r="D17" i="126" s="1"/>
  <c r="N37" i="122"/>
  <c r="E37" s="1"/>
  <c r="E36" i="123" s="1"/>
  <c r="E15" i="126" s="1"/>
  <c r="P37" i="122"/>
  <c r="G37" s="1"/>
  <c r="G36" i="123" s="1"/>
  <c r="G15" i="126" s="1"/>
  <c r="O37" i="122"/>
  <c r="F37" s="1"/>
  <c r="F36" i="123" s="1"/>
  <c r="F15" i="126" s="1"/>
  <c r="B21" i="6" l="1"/>
  <c r="C22" i="7"/>
  <c r="C22" i="118"/>
  <c r="B36" i="122"/>
  <c r="B36" i="123"/>
  <c r="B15" i="126" s="1"/>
  <c r="C21" i="123"/>
  <c r="Q13" i="241"/>
  <c r="D14"/>
  <c r="U13"/>
  <c r="H14"/>
  <c r="Y13"/>
  <c r="L14"/>
  <c r="V13"/>
  <c r="I14"/>
  <c r="S13"/>
  <c r="F14"/>
  <c r="W13"/>
  <c r="J14"/>
  <c r="T13"/>
  <c r="G14"/>
  <c r="O13"/>
  <c r="B14"/>
  <c r="R13"/>
  <c r="E14"/>
  <c r="Z13"/>
  <c r="M14"/>
  <c r="P13"/>
  <c r="C14"/>
  <c r="X13"/>
  <c r="K14"/>
  <c r="D50"/>
  <c r="D49"/>
  <c r="H50"/>
  <c r="H49"/>
  <c r="L50"/>
  <c r="L49"/>
  <c r="I49"/>
  <c r="I50"/>
  <c r="F49"/>
  <c r="F50"/>
  <c r="J49"/>
  <c r="J50"/>
  <c r="G50"/>
  <c r="G49"/>
  <c r="B49"/>
  <c r="B50"/>
  <c r="E49"/>
  <c r="E50"/>
  <c r="M49"/>
  <c r="M50"/>
  <c r="C50"/>
  <c r="C49"/>
  <c r="K50"/>
  <c r="K49"/>
  <c r="E21" i="6"/>
  <c r="F21"/>
  <c r="D21"/>
  <c r="O36" i="122"/>
  <c r="F36" s="1"/>
  <c r="F35" i="123" s="1"/>
  <c r="F14" i="126" s="1"/>
  <c r="P36" i="122"/>
  <c r="G36" s="1"/>
  <c r="G35" i="123" s="1"/>
  <c r="G14" i="126" s="1"/>
  <c r="N36" i="122"/>
  <c r="E36" s="1"/>
  <c r="E35" i="123" s="1"/>
  <c r="E14" i="126" s="1"/>
  <c r="D38" i="122"/>
  <c r="D37" i="123" s="1"/>
  <c r="D16" i="126" s="1"/>
  <c r="B20" i="6" l="1"/>
  <c r="C21" i="118"/>
  <c r="C21" i="7"/>
  <c r="B35" i="123"/>
  <c r="B14" i="126" s="1"/>
  <c r="B35" i="122"/>
  <c r="C20" i="123"/>
  <c r="X12" i="241"/>
  <c r="K13"/>
  <c r="P12"/>
  <c r="C13"/>
  <c r="Z12"/>
  <c r="M13"/>
  <c r="R12"/>
  <c r="E13"/>
  <c r="O12"/>
  <c r="B13"/>
  <c r="T12"/>
  <c r="G13"/>
  <c r="W12"/>
  <c r="J13"/>
  <c r="S12"/>
  <c r="F13"/>
  <c r="V12"/>
  <c r="I13"/>
  <c r="Y12"/>
  <c r="L13"/>
  <c r="U12"/>
  <c r="H13"/>
  <c r="Q12"/>
  <c r="D13"/>
  <c r="D20" i="6"/>
  <c r="F20"/>
  <c r="E20"/>
  <c r="F62"/>
  <c r="B62"/>
  <c r="E62"/>
  <c r="D62"/>
  <c r="D37" i="122"/>
  <c r="D36" i="123" s="1"/>
  <c r="D15" i="126" s="1"/>
  <c r="N35" i="122"/>
  <c r="E35" s="1"/>
  <c r="E34" i="123" s="1"/>
  <c r="E13" i="126" s="1"/>
  <c r="P35" i="122"/>
  <c r="G35" s="1"/>
  <c r="G34" i="123" s="1"/>
  <c r="G13" i="126" s="1"/>
  <c r="O35" i="122"/>
  <c r="F35" s="1"/>
  <c r="F34" i="123" s="1"/>
  <c r="F13" i="126" s="1"/>
  <c r="B19" i="6" l="1"/>
  <c r="C20" i="7"/>
  <c r="C20" i="118"/>
  <c r="B34" i="123"/>
  <c r="B13" i="126" s="1"/>
  <c r="B34" i="122"/>
  <c r="B61" s="1"/>
  <c r="C19" i="123"/>
  <c r="Q11" i="241"/>
  <c r="D12"/>
  <c r="U11"/>
  <c r="H12"/>
  <c r="Y11"/>
  <c r="L12"/>
  <c r="V11"/>
  <c r="I12"/>
  <c r="S11"/>
  <c r="F12"/>
  <c r="W11"/>
  <c r="J12"/>
  <c r="T11"/>
  <c r="G12"/>
  <c r="O11"/>
  <c r="B12"/>
  <c r="R11"/>
  <c r="E12"/>
  <c r="Z11"/>
  <c r="M12"/>
  <c r="P11"/>
  <c r="C12"/>
  <c r="X11"/>
  <c r="K12"/>
  <c r="E19" i="6"/>
  <c r="F19"/>
  <c r="D19"/>
  <c r="O34" i="122"/>
  <c r="F34" s="1"/>
  <c r="F33" i="123" s="1"/>
  <c r="F12" i="126" s="1"/>
  <c r="F40" s="1"/>
  <c r="P34" i="122"/>
  <c r="G34" s="1"/>
  <c r="G33" i="123" s="1"/>
  <c r="G12" i="126" s="1"/>
  <c r="G40" s="1"/>
  <c r="N34" i="122"/>
  <c r="E34" s="1"/>
  <c r="E33" i="123" s="1"/>
  <c r="E12" i="126" s="1"/>
  <c r="E40" s="1"/>
  <c r="D36" i="122"/>
  <c r="D35" i="123" s="1"/>
  <c r="D14" i="126" s="1"/>
  <c r="B18" i="6" l="1"/>
  <c r="B17" s="1"/>
  <c r="B16" s="1"/>
  <c r="B15" s="1"/>
  <c r="B14" s="1"/>
  <c r="B13" s="1"/>
  <c r="B12" s="1"/>
  <c r="B11" s="1"/>
  <c r="B10" s="1"/>
  <c r="B9" s="1"/>
  <c r="B8" s="1"/>
  <c r="B7" s="1"/>
  <c r="B6" s="1"/>
  <c r="B59" s="1"/>
  <c r="E18"/>
  <c r="E17" s="1"/>
  <c r="C19" i="7"/>
  <c r="C19" i="118"/>
  <c r="B33" i="123"/>
  <c r="B33" i="122"/>
  <c r="C18" i="123"/>
  <c r="X10" i="241"/>
  <c r="K11"/>
  <c r="P10"/>
  <c r="C11"/>
  <c r="Z10"/>
  <c r="M11"/>
  <c r="R10"/>
  <c r="E11"/>
  <c r="O10"/>
  <c r="B11"/>
  <c r="T10"/>
  <c r="G11"/>
  <c r="W10"/>
  <c r="J11"/>
  <c r="S10"/>
  <c r="F11"/>
  <c r="V10"/>
  <c r="I11"/>
  <c r="Y10"/>
  <c r="L11"/>
  <c r="U10"/>
  <c r="H11"/>
  <c r="Q10"/>
  <c r="D11"/>
  <c r="D18" i="6"/>
  <c r="F18"/>
  <c r="D35" i="122"/>
  <c r="D34" i="123" s="1"/>
  <c r="D13" i="126" s="1"/>
  <c r="N33" i="122"/>
  <c r="E33" s="1"/>
  <c r="E32" i="123" s="1"/>
  <c r="E11" i="126" s="1"/>
  <c r="P33" i="122"/>
  <c r="G33" s="1"/>
  <c r="G32" i="123" s="1"/>
  <c r="G11" i="126" s="1"/>
  <c r="O33" i="122"/>
  <c r="F33" s="1"/>
  <c r="F32" i="123" s="1"/>
  <c r="F11" i="126" s="1"/>
  <c r="B12" l="1"/>
  <c r="B40" s="1"/>
  <c r="B60" i="123"/>
  <c r="C18" i="118"/>
  <c r="C18" i="7"/>
  <c r="B32" i="123"/>
  <c r="B11" i="126" s="1"/>
  <c r="B32" i="122"/>
  <c r="C17" i="123"/>
  <c r="Q9" i="241"/>
  <c r="D10"/>
  <c r="U9"/>
  <c r="H10"/>
  <c r="Y9"/>
  <c r="L10"/>
  <c r="V9"/>
  <c r="I10"/>
  <c r="S9"/>
  <c r="F10"/>
  <c r="W9"/>
  <c r="J10"/>
  <c r="T9"/>
  <c r="G10"/>
  <c r="O9"/>
  <c r="B10"/>
  <c r="R9"/>
  <c r="E10"/>
  <c r="Z9"/>
  <c r="M10"/>
  <c r="P9"/>
  <c r="C10"/>
  <c r="X9"/>
  <c r="K10"/>
  <c r="E16" i="6"/>
  <c r="F17"/>
  <c r="D17"/>
  <c r="O32" i="122"/>
  <c r="F32" s="1"/>
  <c r="F31" i="123" s="1"/>
  <c r="F10" i="126" s="1"/>
  <c r="P32" i="122"/>
  <c r="G32" s="1"/>
  <c r="G31" i="123" s="1"/>
  <c r="G10" i="126" s="1"/>
  <c r="N32" i="122"/>
  <c r="E32" s="1"/>
  <c r="E31" i="123" s="1"/>
  <c r="E10" i="126" s="1"/>
  <c r="F61" i="122"/>
  <c r="G61"/>
  <c r="D34"/>
  <c r="D33" i="123" s="1"/>
  <c r="D12" i="126" s="1"/>
  <c r="D40" s="1"/>
  <c r="E61" i="122"/>
  <c r="V52" i="11"/>
  <c r="V51"/>
  <c r="V50"/>
  <c r="V49"/>
  <c r="V48"/>
  <c r="V47"/>
  <c r="V46"/>
  <c r="V45"/>
  <c r="V44"/>
  <c r="V43"/>
  <c r="V42"/>
  <c r="V41"/>
  <c r="V40"/>
  <c r="V39"/>
  <c r="V38"/>
  <c r="V37"/>
  <c r="V36"/>
  <c r="V35"/>
  <c r="V34"/>
  <c r="V33"/>
  <c r="V32"/>
  <c r="V31"/>
  <c r="V30"/>
  <c r="V29"/>
  <c r="V28"/>
  <c r="V27"/>
  <c r="V26"/>
  <c r="V25"/>
  <c r="V24"/>
  <c r="V23"/>
  <c r="V22"/>
  <c r="V21"/>
  <c r="V20"/>
  <c r="V19"/>
  <c r="V18"/>
  <c r="V17"/>
  <c r="V16"/>
  <c r="V15"/>
  <c r="V14"/>
  <c r="V13"/>
  <c r="V12"/>
  <c r="V11"/>
  <c r="V10"/>
  <c r="V9"/>
  <c r="V8"/>
  <c r="V7"/>
  <c r="V6"/>
  <c r="B41" i="126" l="1"/>
  <c r="C17" i="118"/>
  <c r="C17" i="7"/>
  <c r="C64"/>
  <c r="C10" i="121"/>
  <c r="C11"/>
  <c r="C12"/>
  <c r="C9"/>
  <c r="B31" i="123"/>
  <c r="B10" i="126" s="1"/>
  <c r="B31" i="122"/>
  <c r="D16" i="121"/>
  <c r="E16" s="1"/>
  <c r="C16" i="123"/>
  <c r="X8" i="241"/>
  <c r="K9"/>
  <c r="P8"/>
  <c r="C9"/>
  <c r="Z8"/>
  <c r="M9"/>
  <c r="R8"/>
  <c r="E9"/>
  <c r="O8"/>
  <c r="B9"/>
  <c r="T8"/>
  <c r="G9"/>
  <c r="W8"/>
  <c r="J9"/>
  <c r="S8"/>
  <c r="F9"/>
  <c r="V8"/>
  <c r="I9"/>
  <c r="Y8"/>
  <c r="L9"/>
  <c r="U8"/>
  <c r="H9"/>
  <c r="Q8"/>
  <c r="D9"/>
  <c r="D16" i="6"/>
  <c r="F16"/>
  <c r="E15"/>
  <c r="D61" i="122"/>
  <c r="D33"/>
  <c r="D32" i="123" s="1"/>
  <c r="D11" i="126" s="1"/>
  <c r="N31" i="122"/>
  <c r="E31" s="1"/>
  <c r="E30" i="123" s="1"/>
  <c r="E9" i="126" s="1"/>
  <c r="P31" i="122"/>
  <c r="G31" s="1"/>
  <c r="G30" i="123" s="1"/>
  <c r="G9" i="126" s="1"/>
  <c r="O31" i="122"/>
  <c r="F31" s="1"/>
  <c r="F30" i="123" s="1"/>
  <c r="F9" i="126" s="1"/>
  <c r="B5" i="112"/>
  <c r="C5"/>
  <c r="D5"/>
  <c r="E5"/>
  <c r="F5"/>
  <c r="G5"/>
  <c r="H5"/>
  <c r="I5"/>
  <c r="B6"/>
  <c r="C6"/>
  <c r="D6"/>
  <c r="E6"/>
  <c r="F6"/>
  <c r="G6"/>
  <c r="H6"/>
  <c r="I6"/>
  <c r="B7"/>
  <c r="C7"/>
  <c r="D7"/>
  <c r="E7"/>
  <c r="F7"/>
  <c r="G7"/>
  <c r="H7"/>
  <c r="I7"/>
  <c r="B8"/>
  <c r="C8"/>
  <c r="D8"/>
  <c r="E8"/>
  <c r="F8"/>
  <c r="G8"/>
  <c r="H8"/>
  <c r="I8"/>
  <c r="B9"/>
  <c r="C9"/>
  <c r="D9"/>
  <c r="E9"/>
  <c r="F9"/>
  <c r="G9"/>
  <c r="H9"/>
  <c r="I9"/>
  <c r="B10"/>
  <c r="C10"/>
  <c r="D10"/>
  <c r="E10"/>
  <c r="F10"/>
  <c r="G10"/>
  <c r="H10"/>
  <c r="I10"/>
  <c r="B11"/>
  <c r="C11"/>
  <c r="D11"/>
  <c r="E11"/>
  <c r="F11"/>
  <c r="G11"/>
  <c r="H11"/>
  <c r="I11"/>
  <c r="B12"/>
  <c r="C12"/>
  <c r="D12"/>
  <c r="E12"/>
  <c r="F12"/>
  <c r="G12"/>
  <c r="H12"/>
  <c r="I12"/>
  <c r="B13"/>
  <c r="C13"/>
  <c r="D13"/>
  <c r="E13"/>
  <c r="F13"/>
  <c r="G13"/>
  <c r="H13"/>
  <c r="I13"/>
  <c r="B14"/>
  <c r="C14"/>
  <c r="D14"/>
  <c r="E14"/>
  <c r="F14"/>
  <c r="G14"/>
  <c r="H14"/>
  <c r="I14"/>
  <c r="B15"/>
  <c r="C15"/>
  <c r="D15"/>
  <c r="E15"/>
  <c r="F15"/>
  <c r="G15"/>
  <c r="H15"/>
  <c r="I15"/>
  <c r="B16"/>
  <c r="C16"/>
  <c r="D16"/>
  <c r="E16"/>
  <c r="F16"/>
  <c r="G16"/>
  <c r="H16"/>
  <c r="I16"/>
  <c r="B17"/>
  <c r="C17"/>
  <c r="D17"/>
  <c r="E17"/>
  <c r="F17"/>
  <c r="G17"/>
  <c r="H17"/>
  <c r="I17"/>
  <c r="B18"/>
  <c r="C18"/>
  <c r="D18"/>
  <c r="E18"/>
  <c r="F18"/>
  <c r="G18"/>
  <c r="H18"/>
  <c r="I18"/>
  <c r="B19"/>
  <c r="C19"/>
  <c r="D19"/>
  <c r="E19"/>
  <c r="F19"/>
  <c r="G19"/>
  <c r="H19"/>
  <c r="I19"/>
  <c r="B20"/>
  <c r="C20"/>
  <c r="D20"/>
  <c r="E20"/>
  <c r="F20"/>
  <c r="G20"/>
  <c r="H20"/>
  <c r="I20"/>
  <c r="B21"/>
  <c r="C21"/>
  <c r="D21"/>
  <c r="E21"/>
  <c r="F21"/>
  <c r="G21"/>
  <c r="H21"/>
  <c r="I21"/>
  <c r="B22"/>
  <c r="C22"/>
  <c r="D22"/>
  <c r="E22"/>
  <c r="F22"/>
  <c r="G22"/>
  <c r="H22"/>
  <c r="I22"/>
  <c r="B23"/>
  <c r="C23"/>
  <c r="D23"/>
  <c r="E23"/>
  <c r="F23"/>
  <c r="G23"/>
  <c r="H23"/>
  <c r="I23"/>
  <c r="B24"/>
  <c r="C24"/>
  <c r="D24"/>
  <c r="E24"/>
  <c r="F24"/>
  <c r="G24"/>
  <c r="H24"/>
  <c r="I24"/>
  <c r="B25"/>
  <c r="C25"/>
  <c r="D25"/>
  <c r="E25"/>
  <c r="F25"/>
  <c r="G25"/>
  <c r="H25"/>
  <c r="I25"/>
  <c r="B26"/>
  <c r="C26"/>
  <c r="D26"/>
  <c r="E26"/>
  <c r="F26"/>
  <c r="G26"/>
  <c r="H26"/>
  <c r="I26"/>
  <c r="B27"/>
  <c r="C27"/>
  <c r="D27"/>
  <c r="E27"/>
  <c r="F27"/>
  <c r="G27"/>
  <c r="H27"/>
  <c r="I27"/>
  <c r="B28"/>
  <c r="C28"/>
  <c r="D28"/>
  <c r="E28"/>
  <c r="F28"/>
  <c r="G28"/>
  <c r="H28"/>
  <c r="I28"/>
  <c r="B29"/>
  <c r="C29"/>
  <c r="D29"/>
  <c r="E29"/>
  <c r="F29"/>
  <c r="G29"/>
  <c r="H29"/>
  <c r="I29"/>
  <c r="B30"/>
  <c r="C30"/>
  <c r="D30"/>
  <c r="E30"/>
  <c r="F30"/>
  <c r="G30"/>
  <c r="H30"/>
  <c r="I30"/>
  <c r="B31"/>
  <c r="C31"/>
  <c r="D31"/>
  <c r="E31"/>
  <c r="F31"/>
  <c r="G31"/>
  <c r="H31"/>
  <c r="I31"/>
  <c r="B32"/>
  <c r="C32"/>
  <c r="D32"/>
  <c r="E32"/>
  <c r="F32"/>
  <c r="G32"/>
  <c r="H32"/>
  <c r="I32"/>
  <c r="B33"/>
  <c r="C33"/>
  <c r="D33"/>
  <c r="E33"/>
  <c r="F33"/>
  <c r="G33"/>
  <c r="H33"/>
  <c r="I33"/>
  <c r="B34"/>
  <c r="C34"/>
  <c r="D34"/>
  <c r="E34"/>
  <c r="F34"/>
  <c r="G34"/>
  <c r="H34"/>
  <c r="I34"/>
  <c r="B35"/>
  <c r="C35"/>
  <c r="D35"/>
  <c r="E35"/>
  <c r="F35"/>
  <c r="G35"/>
  <c r="H35"/>
  <c r="I35"/>
  <c r="B36"/>
  <c r="C36"/>
  <c r="D36"/>
  <c r="E36"/>
  <c r="F36"/>
  <c r="G36"/>
  <c r="H36"/>
  <c r="I36"/>
  <c r="B37"/>
  <c r="C37"/>
  <c r="D37"/>
  <c r="E37"/>
  <c r="F37"/>
  <c r="G37"/>
  <c r="H37"/>
  <c r="I37"/>
  <c r="B38"/>
  <c r="C38"/>
  <c r="D38"/>
  <c r="E38"/>
  <c r="F38"/>
  <c r="G38"/>
  <c r="H38"/>
  <c r="I38"/>
  <c r="B39"/>
  <c r="C39"/>
  <c r="D39"/>
  <c r="E39"/>
  <c r="F39"/>
  <c r="G39"/>
  <c r="H39"/>
  <c r="I39"/>
  <c r="B40"/>
  <c r="C40"/>
  <c r="D40"/>
  <c r="E40"/>
  <c r="F40"/>
  <c r="G40"/>
  <c r="H40"/>
  <c r="I40"/>
  <c r="B41"/>
  <c r="C41"/>
  <c r="D41"/>
  <c r="E41"/>
  <c r="F41"/>
  <c r="G41"/>
  <c r="H41"/>
  <c r="I41"/>
  <c r="B42"/>
  <c r="C42"/>
  <c r="D42"/>
  <c r="E42"/>
  <c r="F42"/>
  <c r="G42"/>
  <c r="H42"/>
  <c r="I42"/>
  <c r="B43"/>
  <c r="C43"/>
  <c r="D43"/>
  <c r="E43"/>
  <c r="F43"/>
  <c r="G43"/>
  <c r="H43"/>
  <c r="I43"/>
  <c r="B44"/>
  <c r="C44"/>
  <c r="D44"/>
  <c r="E44"/>
  <c r="F44"/>
  <c r="G44"/>
  <c r="H44"/>
  <c r="I44"/>
  <c r="B45"/>
  <c r="C45"/>
  <c r="D45"/>
  <c r="E45"/>
  <c r="F45"/>
  <c r="G45"/>
  <c r="H45"/>
  <c r="I45"/>
  <c r="B46"/>
  <c r="C46"/>
  <c r="D46"/>
  <c r="E46"/>
  <c r="F46"/>
  <c r="G46"/>
  <c r="H46"/>
  <c r="I46"/>
  <c r="C4"/>
  <c r="D4"/>
  <c r="E4"/>
  <c r="F4"/>
  <c r="G4"/>
  <c r="H4"/>
  <c r="I4"/>
  <c r="B4"/>
  <c r="C16" i="7" l="1"/>
  <c r="C16" i="118"/>
  <c r="B30" i="123"/>
  <c r="B9" i="126" s="1"/>
  <c r="B30" i="122"/>
  <c r="C15" i="123"/>
  <c r="Q7" i="241"/>
  <c r="D8"/>
  <c r="U7"/>
  <c r="H8"/>
  <c r="Y7"/>
  <c r="L8"/>
  <c r="V7"/>
  <c r="I8"/>
  <c r="S7"/>
  <c r="F8"/>
  <c r="W7"/>
  <c r="J8"/>
  <c r="T7"/>
  <c r="G8"/>
  <c r="O7"/>
  <c r="B8"/>
  <c r="R7"/>
  <c r="E8"/>
  <c r="Z7"/>
  <c r="M8"/>
  <c r="P7"/>
  <c r="C8"/>
  <c r="X7"/>
  <c r="K8"/>
  <c r="E14" i="6"/>
  <c r="F15"/>
  <c r="D15"/>
  <c r="O30" i="122"/>
  <c r="F30" s="1"/>
  <c r="F29" i="123" s="1"/>
  <c r="F8" i="126" s="1"/>
  <c r="P30" i="122"/>
  <c r="G30" s="1"/>
  <c r="G29" i="123" s="1"/>
  <c r="G8" i="126" s="1"/>
  <c r="N30" i="122"/>
  <c r="E30" s="1"/>
  <c r="E29" i="123" s="1"/>
  <c r="E8" i="126" s="1"/>
  <c r="D32" i="122"/>
  <c r="D31" i="123" s="1"/>
  <c r="D10" i="126" s="1"/>
  <c r="D33" i="8"/>
  <c r="E33"/>
  <c r="G33"/>
  <c r="H33"/>
  <c r="I33"/>
  <c r="J33"/>
  <c r="K33"/>
  <c r="L33"/>
  <c r="M33"/>
  <c r="D34"/>
  <c r="E34"/>
  <c r="G34"/>
  <c r="H34"/>
  <c r="I34"/>
  <c r="J34"/>
  <c r="K34"/>
  <c r="L34"/>
  <c r="M34"/>
  <c r="D35"/>
  <c r="E35"/>
  <c r="G35"/>
  <c r="H35"/>
  <c r="I35"/>
  <c r="J35"/>
  <c r="K35"/>
  <c r="L35"/>
  <c r="M35"/>
  <c r="B35"/>
  <c r="B34"/>
  <c r="B33"/>
  <c r="B6" i="105"/>
  <c r="D6"/>
  <c r="E6"/>
  <c r="G6"/>
  <c r="H6"/>
  <c r="I6"/>
  <c r="J6"/>
  <c r="K6"/>
  <c r="L6"/>
  <c r="M6"/>
  <c r="B7"/>
  <c r="D7"/>
  <c r="E7"/>
  <c r="G7"/>
  <c r="H7"/>
  <c r="I7"/>
  <c r="J7"/>
  <c r="K7"/>
  <c r="L7"/>
  <c r="M7"/>
  <c r="B8"/>
  <c r="D8"/>
  <c r="E8"/>
  <c r="G8"/>
  <c r="H8"/>
  <c r="I8"/>
  <c r="J8"/>
  <c r="K8"/>
  <c r="L8"/>
  <c r="M8"/>
  <c r="B9"/>
  <c r="D9"/>
  <c r="E9"/>
  <c r="G9"/>
  <c r="H9"/>
  <c r="I9"/>
  <c r="J9"/>
  <c r="K9"/>
  <c r="L9"/>
  <c r="M9"/>
  <c r="B10"/>
  <c r="D10"/>
  <c r="E10"/>
  <c r="G10"/>
  <c r="H10"/>
  <c r="I10"/>
  <c r="J10"/>
  <c r="K10"/>
  <c r="L10"/>
  <c r="M10"/>
  <c r="B11"/>
  <c r="D11"/>
  <c r="E11"/>
  <c r="G11"/>
  <c r="H11"/>
  <c r="I11"/>
  <c r="J11"/>
  <c r="K11"/>
  <c r="L11"/>
  <c r="M11"/>
  <c r="B12"/>
  <c r="D12"/>
  <c r="E12"/>
  <c r="G12"/>
  <c r="H12"/>
  <c r="I12"/>
  <c r="J12"/>
  <c r="K12"/>
  <c r="L12"/>
  <c r="M12"/>
  <c r="B13"/>
  <c r="D13"/>
  <c r="E13"/>
  <c r="G13"/>
  <c r="H13"/>
  <c r="I13"/>
  <c r="J13"/>
  <c r="K13"/>
  <c r="L13"/>
  <c r="M13"/>
  <c r="B14"/>
  <c r="D14"/>
  <c r="E14"/>
  <c r="G14"/>
  <c r="H14"/>
  <c r="I14"/>
  <c r="J14"/>
  <c r="K14"/>
  <c r="L14"/>
  <c r="M14"/>
  <c r="B15"/>
  <c r="D15"/>
  <c r="E15"/>
  <c r="G15"/>
  <c r="H15"/>
  <c r="I15"/>
  <c r="J15"/>
  <c r="K15"/>
  <c r="L15"/>
  <c r="M15"/>
  <c r="B16"/>
  <c r="D16"/>
  <c r="E16"/>
  <c r="G16"/>
  <c r="H16"/>
  <c r="I16"/>
  <c r="J16"/>
  <c r="K16"/>
  <c r="L16"/>
  <c r="M16"/>
  <c r="B17"/>
  <c r="D17"/>
  <c r="E17"/>
  <c r="G17"/>
  <c r="H17"/>
  <c r="I17"/>
  <c r="J17"/>
  <c r="K17"/>
  <c r="L17"/>
  <c r="M17"/>
  <c r="B18"/>
  <c r="D18"/>
  <c r="E18"/>
  <c r="G18"/>
  <c r="H18"/>
  <c r="I18"/>
  <c r="J18"/>
  <c r="K18"/>
  <c r="L18"/>
  <c r="M18"/>
  <c r="B19"/>
  <c r="D19"/>
  <c r="E19"/>
  <c r="G19"/>
  <c r="H19"/>
  <c r="I19"/>
  <c r="J19"/>
  <c r="K19"/>
  <c r="L19"/>
  <c r="M19"/>
  <c r="B20"/>
  <c r="D20"/>
  <c r="E20"/>
  <c r="G20"/>
  <c r="H20"/>
  <c r="I20"/>
  <c r="J20"/>
  <c r="K20"/>
  <c r="L20"/>
  <c r="M20"/>
  <c r="B21"/>
  <c r="D21"/>
  <c r="E21"/>
  <c r="G21"/>
  <c r="H21"/>
  <c r="I21"/>
  <c r="J21"/>
  <c r="K21"/>
  <c r="L21"/>
  <c r="M21"/>
  <c r="B22"/>
  <c r="D22"/>
  <c r="E22"/>
  <c r="G22"/>
  <c r="H22"/>
  <c r="I22"/>
  <c r="J22"/>
  <c r="K22"/>
  <c r="L22"/>
  <c r="M22"/>
  <c r="B23"/>
  <c r="D23"/>
  <c r="E23"/>
  <c r="G23"/>
  <c r="H23"/>
  <c r="I23"/>
  <c r="J23"/>
  <c r="K23"/>
  <c r="L23"/>
  <c r="M23"/>
  <c r="B24"/>
  <c r="D24"/>
  <c r="E24"/>
  <c r="G24"/>
  <c r="H24"/>
  <c r="I24"/>
  <c r="J24"/>
  <c r="K24"/>
  <c r="L24"/>
  <c r="M24"/>
  <c r="B25"/>
  <c r="D25"/>
  <c r="E25"/>
  <c r="G25"/>
  <c r="H25"/>
  <c r="I25"/>
  <c r="J25"/>
  <c r="K25"/>
  <c r="L25"/>
  <c r="M25"/>
  <c r="D5"/>
  <c r="E5"/>
  <c r="G5"/>
  <c r="H5"/>
  <c r="I5"/>
  <c r="J5"/>
  <c r="K5"/>
  <c r="L5"/>
  <c r="M5"/>
  <c r="B5"/>
  <c r="B6" i="104"/>
  <c r="D6"/>
  <c r="E6"/>
  <c r="F6"/>
  <c r="G6"/>
  <c r="H6"/>
  <c r="B7"/>
  <c r="D7"/>
  <c r="E7"/>
  <c r="F7"/>
  <c r="G7"/>
  <c r="H7"/>
  <c r="B8"/>
  <c r="D8"/>
  <c r="E8"/>
  <c r="F8"/>
  <c r="G8"/>
  <c r="H8"/>
  <c r="B9"/>
  <c r="D9"/>
  <c r="E9"/>
  <c r="F9"/>
  <c r="G9"/>
  <c r="H9"/>
  <c r="B10"/>
  <c r="D10"/>
  <c r="E10"/>
  <c r="F10"/>
  <c r="G10"/>
  <c r="H10"/>
  <c r="B11"/>
  <c r="D11"/>
  <c r="E11"/>
  <c r="F11"/>
  <c r="G11"/>
  <c r="H11"/>
  <c r="D12"/>
  <c r="E12"/>
  <c r="F12"/>
  <c r="G12"/>
  <c r="H12"/>
  <c r="B13"/>
  <c r="D13"/>
  <c r="E13"/>
  <c r="F13"/>
  <c r="G13"/>
  <c r="H13"/>
  <c r="B14"/>
  <c r="D14"/>
  <c r="E14"/>
  <c r="F14"/>
  <c r="G14"/>
  <c r="H14"/>
  <c r="D5"/>
  <c r="E5"/>
  <c r="F5"/>
  <c r="G5"/>
  <c r="H5"/>
  <c r="B5"/>
  <c r="K48" i="68"/>
  <c r="J48"/>
  <c r="I48"/>
  <c r="F48"/>
  <c r="E48"/>
  <c r="D48"/>
  <c r="B48"/>
  <c r="C6" i="99"/>
  <c r="D6"/>
  <c r="E6"/>
  <c r="F6"/>
  <c r="B7" i="98"/>
  <c r="F5" i="266" s="1"/>
  <c r="C7" i="98"/>
  <c r="D7"/>
  <c r="E7"/>
  <c r="F7"/>
  <c r="B8"/>
  <c r="F6" i="266" s="1"/>
  <c r="C8" i="98"/>
  <c r="D8"/>
  <c r="E8"/>
  <c r="F8"/>
  <c r="C9"/>
  <c r="D9"/>
  <c r="E9"/>
  <c r="B10"/>
  <c r="F8" i="266" s="1"/>
  <c r="C10" i="98"/>
  <c r="D10"/>
  <c r="E10"/>
  <c r="F10"/>
  <c r="B11"/>
  <c r="F9" i="266" s="1"/>
  <c r="C11" i="98"/>
  <c r="D11"/>
  <c r="E11"/>
  <c r="F11"/>
  <c r="B12"/>
  <c r="C12"/>
  <c r="D12"/>
  <c r="E12"/>
  <c r="F12"/>
  <c r="C13"/>
  <c r="D13"/>
  <c r="E13"/>
  <c r="B14"/>
  <c r="F12" i="266" s="1"/>
  <c r="C14" i="98"/>
  <c r="D14"/>
  <c r="E14"/>
  <c r="F14"/>
  <c r="B15"/>
  <c r="F13" i="266" s="1"/>
  <c r="C15" i="98"/>
  <c r="D15"/>
  <c r="E15"/>
  <c r="F15"/>
  <c r="B16"/>
  <c r="F14" i="266" s="1"/>
  <c r="C16" i="98"/>
  <c r="D16"/>
  <c r="E16"/>
  <c r="F16"/>
  <c r="B17"/>
  <c r="F15" i="266" s="1"/>
  <c r="C17" i="98"/>
  <c r="D17"/>
  <c r="E17"/>
  <c r="F17"/>
  <c r="B18"/>
  <c r="F16" i="266" s="1"/>
  <c r="C18" i="98"/>
  <c r="D18"/>
  <c r="E18"/>
  <c r="F18"/>
  <c r="B19"/>
  <c r="F17" i="266" s="1"/>
  <c r="C19" i="98"/>
  <c r="D19"/>
  <c r="E19"/>
  <c r="F19"/>
  <c r="C6"/>
  <c r="D6"/>
  <c r="E6"/>
  <c r="F6"/>
  <c r="B6" i="99"/>
  <c r="B6" i="98"/>
  <c r="E19" i="97"/>
  <c r="D19"/>
  <c r="C19"/>
  <c r="B19"/>
  <c r="E17" i="266" s="1"/>
  <c r="E18" i="97"/>
  <c r="D18"/>
  <c r="C18"/>
  <c r="B18"/>
  <c r="E16" i="266" s="1"/>
  <c r="E17" i="97"/>
  <c r="D17"/>
  <c r="C17"/>
  <c r="B17"/>
  <c r="E15" i="266" s="1"/>
  <c r="D16" i="97"/>
  <c r="B16"/>
  <c r="E14" i="266" s="1"/>
  <c r="E15" i="97"/>
  <c r="D15"/>
  <c r="C15"/>
  <c r="B15"/>
  <c r="E13" i="266" s="1"/>
  <c r="F14" i="97"/>
  <c r="E14"/>
  <c r="D14"/>
  <c r="C14"/>
  <c r="B14"/>
  <c r="E12" i="266" s="1"/>
  <c r="F13" i="97"/>
  <c r="E13"/>
  <c r="D13"/>
  <c r="C13"/>
  <c r="B13"/>
  <c r="E11" i="266" s="1"/>
  <c r="E12" i="97"/>
  <c r="D12"/>
  <c r="C12"/>
  <c r="F11"/>
  <c r="E11"/>
  <c r="D11"/>
  <c r="C11"/>
  <c r="B11"/>
  <c r="E9" i="266" s="1"/>
  <c r="F10" i="97"/>
  <c r="E10"/>
  <c r="D10"/>
  <c r="C10"/>
  <c r="B10"/>
  <c r="E8" i="266" s="1"/>
  <c r="F9" i="97"/>
  <c r="E9"/>
  <c r="D9"/>
  <c r="C9"/>
  <c r="B9"/>
  <c r="E7" i="266" s="1"/>
  <c r="F8" i="97"/>
  <c r="E8"/>
  <c r="D8"/>
  <c r="C8"/>
  <c r="B8"/>
  <c r="E6" i="266" s="1"/>
  <c r="F7" i="97"/>
  <c r="E7"/>
  <c r="D7"/>
  <c r="C7"/>
  <c r="B7"/>
  <c r="E5" i="266" s="1"/>
  <c r="F6" i="97"/>
  <c r="E6"/>
  <c r="D6"/>
  <c r="C6"/>
  <c r="B6"/>
  <c r="B7" i="96"/>
  <c r="B5" i="266" s="1"/>
  <c r="C7" i="96"/>
  <c r="D7"/>
  <c r="E7"/>
  <c r="F7"/>
  <c r="B8"/>
  <c r="B6" i="266" s="1"/>
  <c r="C8" i="96"/>
  <c r="D8"/>
  <c r="E8"/>
  <c r="F8"/>
  <c r="B9"/>
  <c r="B7" i="266" s="1"/>
  <c r="C9" i="96"/>
  <c r="D9"/>
  <c r="E9"/>
  <c r="F9"/>
  <c r="B10"/>
  <c r="B8" i="266" s="1"/>
  <c r="C10" i="96"/>
  <c r="D10"/>
  <c r="E10"/>
  <c r="F10"/>
  <c r="B11"/>
  <c r="B9" i="266" s="1"/>
  <c r="C11" i="96"/>
  <c r="D11"/>
  <c r="E11"/>
  <c r="F11"/>
  <c r="B12"/>
  <c r="C12"/>
  <c r="D12"/>
  <c r="E12"/>
  <c r="F12"/>
  <c r="B13"/>
  <c r="B11" i="266" s="1"/>
  <c r="C13" i="96"/>
  <c r="D13"/>
  <c r="E13"/>
  <c r="F13"/>
  <c r="B14"/>
  <c r="B12" i="266" s="1"/>
  <c r="C14" i="96"/>
  <c r="D14"/>
  <c r="E14"/>
  <c r="F14"/>
  <c r="B15"/>
  <c r="B13" i="266" s="1"/>
  <c r="C15" i="96"/>
  <c r="D15"/>
  <c r="E15"/>
  <c r="F15"/>
  <c r="B16"/>
  <c r="B14" i="266" s="1"/>
  <c r="C16" i="96"/>
  <c r="D16"/>
  <c r="E16"/>
  <c r="F16"/>
  <c r="B17"/>
  <c r="B15" i="266" s="1"/>
  <c r="C17" i="96"/>
  <c r="D17"/>
  <c r="E17"/>
  <c r="F17"/>
  <c r="C6"/>
  <c r="D6"/>
  <c r="E6"/>
  <c r="F6"/>
  <c r="B6"/>
  <c r="B4" i="266" l="1"/>
  <c r="B32" i="96"/>
  <c r="B27"/>
  <c r="C27"/>
  <c r="C32"/>
  <c r="D34"/>
  <c r="D29"/>
  <c r="E4" i="266"/>
  <c r="B32" i="97"/>
  <c r="B27"/>
  <c r="E33"/>
  <c r="E28"/>
  <c r="E32" i="98"/>
  <c r="E27"/>
  <c r="F28"/>
  <c r="F33"/>
  <c r="F10" i="266"/>
  <c r="B28" i="98"/>
  <c r="B33"/>
  <c r="B29"/>
  <c r="B34"/>
  <c r="F28" i="99"/>
  <c r="F33"/>
  <c r="D32" i="96"/>
  <c r="D27"/>
  <c r="E34"/>
  <c r="E29"/>
  <c r="D33" i="97"/>
  <c r="D28"/>
  <c r="D34"/>
  <c r="D29"/>
  <c r="C28" i="98"/>
  <c r="C33"/>
  <c r="C29"/>
  <c r="C34"/>
  <c r="C32" i="99"/>
  <c r="C28"/>
  <c r="C27"/>
  <c r="C33"/>
  <c r="E32" i="96"/>
  <c r="E27"/>
  <c r="F34"/>
  <c r="F29"/>
  <c r="B10" i="266"/>
  <c r="B29" i="96"/>
  <c r="B34"/>
  <c r="D32" i="97"/>
  <c r="D27"/>
  <c r="C28"/>
  <c r="C33"/>
  <c r="C29"/>
  <c r="C34"/>
  <c r="G4" i="266"/>
  <c r="B27" i="99"/>
  <c r="B28"/>
  <c r="B32"/>
  <c r="B33"/>
  <c r="C27" i="98"/>
  <c r="C32"/>
  <c r="D33"/>
  <c r="D28"/>
  <c r="D29"/>
  <c r="D34"/>
  <c r="D32" i="99"/>
  <c r="D33"/>
  <c r="D28"/>
  <c r="D27"/>
  <c r="F32" i="96"/>
  <c r="F27"/>
  <c r="C29"/>
  <c r="C34"/>
  <c r="C27" i="97"/>
  <c r="C32"/>
  <c r="F4" i="266"/>
  <c r="B32" i="98"/>
  <c r="B27"/>
  <c r="D27"/>
  <c r="D32"/>
  <c r="E33"/>
  <c r="E28"/>
  <c r="E34"/>
  <c r="E29"/>
  <c r="E33" i="99"/>
  <c r="E32"/>
  <c r="E27"/>
  <c r="E28"/>
  <c r="C15" i="7"/>
  <c r="C15" i="118"/>
  <c r="F14" i="218"/>
  <c r="B29" i="123"/>
  <c r="B8" i="126" s="1"/>
  <c r="B29" i="122"/>
  <c r="C14" i="123"/>
  <c r="D6" i="218"/>
  <c r="F6"/>
  <c r="C7"/>
  <c r="E7"/>
  <c r="D8"/>
  <c r="F8"/>
  <c r="C9"/>
  <c r="E9"/>
  <c r="D10"/>
  <c r="F10"/>
  <c r="C11"/>
  <c r="E11"/>
  <c r="E12"/>
  <c r="C13"/>
  <c r="D14"/>
  <c r="C15"/>
  <c r="E15"/>
  <c r="C6"/>
  <c r="E6"/>
  <c r="D7"/>
  <c r="F7"/>
  <c r="C8"/>
  <c r="E8"/>
  <c r="D9"/>
  <c r="C10"/>
  <c r="E10"/>
  <c r="D11"/>
  <c r="D12"/>
  <c r="D13"/>
  <c r="C14"/>
  <c r="E14"/>
  <c r="D15"/>
  <c r="D16"/>
  <c r="C17"/>
  <c r="E17"/>
  <c r="B18"/>
  <c r="D16" i="266" s="1"/>
  <c r="D18" i="218"/>
  <c r="E13"/>
  <c r="C19"/>
  <c r="E19"/>
  <c r="B17"/>
  <c r="D15" i="266" s="1"/>
  <c r="D17" i="218"/>
  <c r="C18"/>
  <c r="E18"/>
  <c r="D19"/>
  <c r="E33" i="96"/>
  <c r="E28"/>
  <c r="C33"/>
  <c r="C28"/>
  <c r="B7" i="218"/>
  <c r="D5" i="266" s="1"/>
  <c r="B11" i="218"/>
  <c r="D9" i="266" s="1"/>
  <c r="F11" i="218"/>
  <c r="B15"/>
  <c r="D13" i="266" s="1"/>
  <c r="X6" i="241"/>
  <c r="K7"/>
  <c r="P6"/>
  <c r="C7"/>
  <c r="Z6"/>
  <c r="M7"/>
  <c r="R6"/>
  <c r="E7"/>
  <c r="O6"/>
  <c r="B7"/>
  <c r="T6"/>
  <c r="G7"/>
  <c r="W6"/>
  <c r="J7"/>
  <c r="S6"/>
  <c r="F7"/>
  <c r="V6"/>
  <c r="I7"/>
  <c r="Y6"/>
  <c r="L7"/>
  <c r="U6"/>
  <c r="H7"/>
  <c r="Q6"/>
  <c r="D7"/>
  <c r="F33" i="96"/>
  <c r="F28"/>
  <c r="D33"/>
  <c r="D28"/>
  <c r="B33"/>
  <c r="B28"/>
  <c r="B6" i="218"/>
  <c r="B8"/>
  <c r="D6" i="266" s="1"/>
  <c r="B10" i="218"/>
  <c r="D8" i="266" s="1"/>
  <c r="B12" i="97"/>
  <c r="C12" i="218"/>
  <c r="B14"/>
  <c r="D12" i="266" s="1"/>
  <c r="B16" i="218"/>
  <c r="D14" i="266" s="1"/>
  <c r="B19" i="218"/>
  <c r="D17" i="266" s="1"/>
  <c r="D14" i="6"/>
  <c r="F14"/>
  <c r="E13"/>
  <c r="D31" i="122"/>
  <c r="D30" i="123" s="1"/>
  <c r="D9" i="126" s="1"/>
  <c r="N29" i="122"/>
  <c r="E29" s="1"/>
  <c r="E28" i="123" s="1"/>
  <c r="E7" i="126" s="1"/>
  <c r="P29" i="122"/>
  <c r="G29" s="1"/>
  <c r="G28" i="123" s="1"/>
  <c r="G7" i="126" s="1"/>
  <c r="O29" i="122"/>
  <c r="F29" s="1"/>
  <c r="F28" i="123" s="1"/>
  <c r="F7" i="126" s="1"/>
  <c r="C28" i="218" l="1"/>
  <c r="C33"/>
  <c r="C29"/>
  <c r="C34"/>
  <c r="D4" i="266"/>
  <c r="B32" i="218"/>
  <c r="B27"/>
  <c r="D33"/>
  <c r="D28"/>
  <c r="D34"/>
  <c r="D29"/>
  <c r="E33"/>
  <c r="E28"/>
  <c r="D27"/>
  <c r="D32"/>
  <c r="C27"/>
  <c r="C32"/>
  <c r="E10" i="266"/>
  <c r="B28" i="97"/>
  <c r="B33"/>
  <c r="B29"/>
  <c r="B34"/>
  <c r="C14" i="118"/>
  <c r="C14" i="7"/>
  <c r="B28" i="123"/>
  <c r="B7" i="126" s="1"/>
  <c r="B28" i="122"/>
  <c r="C13" i="123"/>
  <c r="B12" i="218"/>
  <c r="Q5" i="241"/>
  <c r="D5" s="1"/>
  <c r="D6"/>
  <c r="U5"/>
  <c r="H5" s="1"/>
  <c r="H6"/>
  <c r="Y5"/>
  <c r="L5" s="1"/>
  <c r="L6"/>
  <c r="V5"/>
  <c r="I5" s="1"/>
  <c r="I6"/>
  <c r="S5"/>
  <c r="F5" s="1"/>
  <c r="F6"/>
  <c r="W5"/>
  <c r="J5" s="1"/>
  <c r="J6"/>
  <c r="T5"/>
  <c r="G5" s="1"/>
  <c r="G6"/>
  <c r="O5"/>
  <c r="B5" s="1"/>
  <c r="B6"/>
  <c r="R5"/>
  <c r="E5" s="1"/>
  <c r="E6"/>
  <c r="Z5"/>
  <c r="M5" s="1"/>
  <c r="M6"/>
  <c r="P5"/>
  <c r="C5" s="1"/>
  <c r="C6"/>
  <c r="X5"/>
  <c r="K5" s="1"/>
  <c r="K6"/>
  <c r="E12" i="6"/>
  <c r="F13"/>
  <c r="D13"/>
  <c r="O28" i="122"/>
  <c r="F28" s="1"/>
  <c r="F27" i="123" s="1"/>
  <c r="F6" i="126" s="1"/>
  <c r="P28" i="122"/>
  <c r="G28" s="1"/>
  <c r="G27" i="123" s="1"/>
  <c r="G6" i="126" s="1"/>
  <c r="N28" i="122"/>
  <c r="E28" s="1"/>
  <c r="E27" i="123" s="1"/>
  <c r="E6" i="126" s="1"/>
  <c r="D30" i="122"/>
  <c r="D29" i="123" s="1"/>
  <c r="D8" i="126" s="1"/>
  <c r="H23" i="80"/>
  <c r="M23" s="1"/>
  <c r="H23" i="79" s="1"/>
  <c r="N38"/>
  <c r="N37"/>
  <c r="N36"/>
  <c r="N35"/>
  <c r="N34"/>
  <c r="N33"/>
  <c r="N32"/>
  <c r="N31"/>
  <c r="N30"/>
  <c r="N29"/>
  <c r="N28"/>
  <c r="N27"/>
  <c r="N26"/>
  <c r="N25"/>
  <c r="N24"/>
  <c r="N23"/>
  <c r="N22"/>
  <c r="N21"/>
  <c r="N20"/>
  <c r="N19"/>
  <c r="N18"/>
  <c r="N17"/>
  <c r="N16"/>
  <c r="N15"/>
  <c r="N14"/>
  <c r="N14" i="75"/>
  <c r="P38" i="76"/>
  <c r="K38" i="75" s="1"/>
  <c r="O38" i="76"/>
  <c r="J38" i="75" s="1"/>
  <c r="N38" i="76"/>
  <c r="I38" i="75" s="1"/>
  <c r="L38" i="76"/>
  <c r="G38" i="75" s="1"/>
  <c r="P37" i="76"/>
  <c r="O37"/>
  <c r="J37" i="75" s="1"/>
  <c r="N37" i="76"/>
  <c r="L37"/>
  <c r="P36"/>
  <c r="K36" i="75" s="1"/>
  <c r="O36" i="76"/>
  <c r="J36" i="75" s="1"/>
  <c r="N36" i="76"/>
  <c r="I36" i="75" s="1"/>
  <c r="L36" i="76"/>
  <c r="G36" i="75" s="1"/>
  <c r="P35" i="76"/>
  <c r="O35"/>
  <c r="N35"/>
  <c r="L35"/>
  <c r="P34"/>
  <c r="K34" i="75" s="1"/>
  <c r="O34" i="76"/>
  <c r="J34" i="75" s="1"/>
  <c r="N34" i="76"/>
  <c r="I34" i="75" s="1"/>
  <c r="L34" i="76"/>
  <c r="G34" i="75" s="1"/>
  <c r="P33" i="76"/>
  <c r="K33" i="75" s="1"/>
  <c r="O33" i="76"/>
  <c r="J33" i="75" s="1"/>
  <c r="N33" i="76"/>
  <c r="I33" i="75" s="1"/>
  <c r="L33" i="76"/>
  <c r="G33" i="75" s="1"/>
  <c r="P32" i="76"/>
  <c r="K32" i="75" s="1"/>
  <c r="O32" i="76"/>
  <c r="J32" i="75" s="1"/>
  <c r="N32" i="76"/>
  <c r="I32" i="75" s="1"/>
  <c r="L32" i="76"/>
  <c r="G32" i="75" s="1"/>
  <c r="P31" i="76"/>
  <c r="K31" i="75" s="1"/>
  <c r="O31" i="76"/>
  <c r="J31" i="75" s="1"/>
  <c r="N31" i="76"/>
  <c r="I31" i="75" s="1"/>
  <c r="L31" i="76"/>
  <c r="G31" i="75" s="1"/>
  <c r="P30" i="76"/>
  <c r="K30" i="75" s="1"/>
  <c r="O30" i="76"/>
  <c r="J30" i="75" s="1"/>
  <c r="N30" i="76"/>
  <c r="I30" i="75" s="1"/>
  <c r="L30" i="76"/>
  <c r="G30" i="75" s="1"/>
  <c r="P29" i="76"/>
  <c r="K29" i="75" s="1"/>
  <c r="O29" i="76"/>
  <c r="J29" i="75" s="1"/>
  <c r="N29" i="76"/>
  <c r="I29" i="75" s="1"/>
  <c r="L29" i="76"/>
  <c r="G29" i="75" s="1"/>
  <c r="P28" i="76"/>
  <c r="K28" i="75" s="1"/>
  <c r="O28" i="76"/>
  <c r="J28" i="75" s="1"/>
  <c r="N28" i="76"/>
  <c r="I28" i="75" s="1"/>
  <c r="L28" i="76"/>
  <c r="G28" i="75" s="1"/>
  <c r="P27" i="76"/>
  <c r="K27" i="75" s="1"/>
  <c r="O27" i="76"/>
  <c r="J27" i="75" s="1"/>
  <c r="N27" i="76"/>
  <c r="I27" i="75" s="1"/>
  <c r="L27" i="76"/>
  <c r="G27" i="75" s="1"/>
  <c r="H27" i="76"/>
  <c r="P26"/>
  <c r="K26" i="75" s="1"/>
  <c r="O26" i="76"/>
  <c r="J26" i="75" s="1"/>
  <c r="N26" i="76"/>
  <c r="I26" i="75" s="1"/>
  <c r="L26" i="76"/>
  <c r="G26" i="75" s="1"/>
  <c r="H26" i="76"/>
  <c r="P25"/>
  <c r="O25"/>
  <c r="N25"/>
  <c r="L25"/>
  <c r="H25"/>
  <c r="P24"/>
  <c r="K24" i="75" s="1"/>
  <c r="O24" i="76"/>
  <c r="J24" i="75" s="1"/>
  <c r="N24" i="76"/>
  <c r="I24" i="75" s="1"/>
  <c r="L24" i="76"/>
  <c r="G24" i="75" s="1"/>
  <c r="H24" i="76"/>
  <c r="P23"/>
  <c r="K23" i="75" s="1"/>
  <c r="O23" i="76"/>
  <c r="J23" i="75" s="1"/>
  <c r="N23" i="76"/>
  <c r="I23" i="75" s="1"/>
  <c r="L23" i="76"/>
  <c r="G23" i="75" s="1"/>
  <c r="P22" i="76"/>
  <c r="K22" i="75" s="1"/>
  <c r="O22" i="76"/>
  <c r="J22" i="75" s="1"/>
  <c r="N22" i="76"/>
  <c r="I22" i="75" s="1"/>
  <c r="L22" i="76"/>
  <c r="G22" i="75" s="1"/>
  <c r="H22" i="76"/>
  <c r="P21"/>
  <c r="K21" i="75" s="1"/>
  <c r="O21" i="76"/>
  <c r="J21" i="75" s="1"/>
  <c r="N21" i="76"/>
  <c r="I21" i="75" s="1"/>
  <c r="L21" i="76"/>
  <c r="G21" i="75" s="1"/>
  <c r="H21" i="76"/>
  <c r="P20"/>
  <c r="K20" i="75" s="1"/>
  <c r="O20" i="76"/>
  <c r="J20" i="75" s="1"/>
  <c r="N20" i="76"/>
  <c r="I20" i="75" s="1"/>
  <c r="L20" i="76"/>
  <c r="G20" i="75" s="1"/>
  <c r="H20" i="76"/>
  <c r="P19"/>
  <c r="K19" i="75" s="1"/>
  <c r="O19" i="76"/>
  <c r="J19" i="75" s="1"/>
  <c r="N19" i="76"/>
  <c r="I19" i="75" s="1"/>
  <c r="L19" i="76"/>
  <c r="G19" i="75" s="1"/>
  <c r="H19" i="76"/>
  <c r="P18"/>
  <c r="K18" i="75" s="1"/>
  <c r="O18" i="76"/>
  <c r="J18" i="75" s="1"/>
  <c r="N18" i="76"/>
  <c r="I18" i="75" s="1"/>
  <c r="L18" i="76"/>
  <c r="G18" i="75" s="1"/>
  <c r="H18" i="76"/>
  <c r="P17"/>
  <c r="K17" i="75" s="1"/>
  <c r="O17" i="76"/>
  <c r="J17" i="75" s="1"/>
  <c r="N17" i="76"/>
  <c r="I17" i="75" s="1"/>
  <c r="L17" i="76"/>
  <c r="G17" i="75" s="1"/>
  <c r="H17" i="76"/>
  <c r="P16"/>
  <c r="K16" i="75" s="1"/>
  <c r="O16" i="76"/>
  <c r="J16" i="75" s="1"/>
  <c r="N16" i="76"/>
  <c r="I16" i="75" s="1"/>
  <c r="L16" i="76"/>
  <c r="G16" i="75" s="1"/>
  <c r="H16" i="76"/>
  <c r="P15"/>
  <c r="K15" i="75" s="1"/>
  <c r="O15" i="76"/>
  <c r="J15" i="75" s="1"/>
  <c r="N15" i="76"/>
  <c r="I15" i="75" s="1"/>
  <c r="L15" i="76"/>
  <c r="G15" i="75" s="1"/>
  <c r="N38"/>
  <c r="N37"/>
  <c r="N36"/>
  <c r="N35"/>
  <c r="N34"/>
  <c r="N33"/>
  <c r="N32"/>
  <c r="N31"/>
  <c r="N30"/>
  <c r="N29"/>
  <c r="N28"/>
  <c r="N27"/>
  <c r="N26"/>
  <c r="N25"/>
  <c r="N24"/>
  <c r="N23"/>
  <c r="N22"/>
  <c r="N21"/>
  <c r="N20"/>
  <c r="N19"/>
  <c r="N18"/>
  <c r="N17"/>
  <c r="N16"/>
  <c r="N15"/>
  <c r="C38" i="74"/>
  <c r="P37"/>
  <c r="K37" i="73" s="1"/>
  <c r="O37" i="74"/>
  <c r="J37" i="73" s="1"/>
  <c r="N37" i="74"/>
  <c r="I37" i="73" s="1"/>
  <c r="L37" i="74"/>
  <c r="G37" i="73" s="1"/>
  <c r="C37" i="74"/>
  <c r="H37" s="1"/>
  <c r="P36"/>
  <c r="K36" i="73" s="1"/>
  <c r="O36" i="74"/>
  <c r="J36" i="73" s="1"/>
  <c r="N36" i="74"/>
  <c r="I36" i="73" s="1"/>
  <c r="L36" i="74"/>
  <c r="G36" i="73" s="1"/>
  <c r="C36" i="74"/>
  <c r="H36" s="1"/>
  <c r="P35"/>
  <c r="O35"/>
  <c r="N35"/>
  <c r="L35"/>
  <c r="C35"/>
  <c r="P34"/>
  <c r="K34" i="73" s="1"/>
  <c r="O34" i="74"/>
  <c r="J34" i="73" s="1"/>
  <c r="N34" i="74"/>
  <c r="I34" i="73" s="1"/>
  <c r="L34" i="74"/>
  <c r="G34" i="73" s="1"/>
  <c r="C34" i="74"/>
  <c r="P33"/>
  <c r="K33" i="73" s="1"/>
  <c r="O33" i="74"/>
  <c r="J33" i="73" s="1"/>
  <c r="N33" i="74"/>
  <c r="I33" i="73" s="1"/>
  <c r="L33" i="74"/>
  <c r="G33" i="73" s="1"/>
  <c r="C33" i="74"/>
  <c r="P32"/>
  <c r="O32"/>
  <c r="N32"/>
  <c r="L32"/>
  <c r="C32"/>
  <c r="P31"/>
  <c r="O31"/>
  <c r="N31"/>
  <c r="L31"/>
  <c r="C31"/>
  <c r="P30"/>
  <c r="O30"/>
  <c r="N30"/>
  <c r="L30"/>
  <c r="C30"/>
  <c r="P29"/>
  <c r="O29"/>
  <c r="N29"/>
  <c r="L29"/>
  <c r="C29"/>
  <c r="P28"/>
  <c r="O28"/>
  <c r="N28"/>
  <c r="L28"/>
  <c r="C28"/>
  <c r="P27"/>
  <c r="O27"/>
  <c r="N27"/>
  <c r="L27"/>
  <c r="C27"/>
  <c r="P26"/>
  <c r="O26"/>
  <c r="N26"/>
  <c r="L26"/>
  <c r="C26"/>
  <c r="P25"/>
  <c r="P47" s="1"/>
  <c r="O25"/>
  <c r="O47" s="1"/>
  <c r="N25"/>
  <c r="N47" s="1"/>
  <c r="L25"/>
  <c r="L47" s="1"/>
  <c r="C25"/>
  <c r="C47" s="1"/>
  <c r="C24"/>
  <c r="C23"/>
  <c r="C22"/>
  <c r="C21"/>
  <c r="C20"/>
  <c r="C19"/>
  <c r="C18"/>
  <c r="C17"/>
  <c r="C16"/>
  <c r="C15"/>
  <c r="G14" i="73"/>
  <c r="N38"/>
  <c r="N37"/>
  <c r="N36"/>
  <c r="N35"/>
  <c r="N34"/>
  <c r="N33"/>
  <c r="N32"/>
  <c r="N31"/>
  <c r="N30"/>
  <c r="N29"/>
  <c r="N28"/>
  <c r="N27"/>
  <c r="N26"/>
  <c r="N25"/>
  <c r="N24"/>
  <c r="N23"/>
  <c r="N22"/>
  <c r="N21"/>
  <c r="N20"/>
  <c r="N19"/>
  <c r="N18"/>
  <c r="N17"/>
  <c r="N15"/>
  <c r="N14"/>
  <c r="N15" i="71"/>
  <c r="N16"/>
  <c r="N17"/>
  <c r="N18"/>
  <c r="N19"/>
  <c r="N20"/>
  <c r="N21"/>
  <c r="N22"/>
  <c r="N23"/>
  <c r="N24"/>
  <c r="N25"/>
  <c r="N26"/>
  <c r="N27"/>
  <c r="N28"/>
  <c r="N29"/>
  <c r="N30"/>
  <c r="N31"/>
  <c r="N32"/>
  <c r="N33"/>
  <c r="N34"/>
  <c r="N35"/>
  <c r="N36"/>
  <c r="N37"/>
  <c r="N38"/>
  <c r="N14"/>
  <c r="P26" i="70"/>
  <c r="K26" i="69" s="1"/>
  <c r="O26" i="70"/>
  <c r="J26" i="69" s="1"/>
  <c r="N26" i="70"/>
  <c r="I26" i="69" s="1"/>
  <c r="L26" i="70"/>
  <c r="G26" i="69" s="1"/>
  <c r="P25" i="70"/>
  <c r="O25"/>
  <c r="N25"/>
  <c r="L25"/>
  <c r="P24"/>
  <c r="K24" i="69" s="1"/>
  <c r="O24" i="70"/>
  <c r="J24" i="69" s="1"/>
  <c r="N24" i="70"/>
  <c r="I24" i="69" s="1"/>
  <c r="L24" i="70"/>
  <c r="G24" i="69" s="1"/>
  <c r="P23" i="70"/>
  <c r="K23" i="69" s="1"/>
  <c r="O23" i="70"/>
  <c r="J23" i="69" s="1"/>
  <c r="N23" i="70"/>
  <c r="I23" i="69" s="1"/>
  <c r="L23" i="70"/>
  <c r="G23" i="69" s="1"/>
  <c r="H23" i="70"/>
  <c r="M23" s="1"/>
  <c r="H23" i="69" s="1"/>
  <c r="P22" i="70"/>
  <c r="K22" i="69" s="1"/>
  <c r="O22" i="70"/>
  <c r="J22" i="69" s="1"/>
  <c r="N22" i="70"/>
  <c r="I22" i="69" s="1"/>
  <c r="L22" i="70"/>
  <c r="G22" i="69" s="1"/>
  <c r="P21" i="70"/>
  <c r="K21" i="69" s="1"/>
  <c r="O21" i="70"/>
  <c r="J21" i="69" s="1"/>
  <c r="N21" i="70"/>
  <c r="I21" i="69" s="1"/>
  <c r="L21" i="70"/>
  <c r="G21" i="69" s="1"/>
  <c r="P20" i="70"/>
  <c r="K20" i="69" s="1"/>
  <c r="O20" i="70"/>
  <c r="J20" i="69" s="1"/>
  <c r="N20" i="70"/>
  <c r="I20" i="69" s="1"/>
  <c r="L20" i="70"/>
  <c r="G20" i="69" s="1"/>
  <c r="P19" i="70"/>
  <c r="K19" i="69" s="1"/>
  <c r="O19" i="70"/>
  <c r="J19" i="69" s="1"/>
  <c r="N19" i="70"/>
  <c r="I19" i="69" s="1"/>
  <c r="L19" i="70"/>
  <c r="G19" i="69" s="1"/>
  <c r="P18" i="70"/>
  <c r="K18" i="69" s="1"/>
  <c r="O18" i="70"/>
  <c r="J18" i="69" s="1"/>
  <c r="N18" i="70"/>
  <c r="I18" i="69" s="1"/>
  <c r="L18" i="70"/>
  <c r="G18" i="69" s="1"/>
  <c r="P17" i="70"/>
  <c r="K17" i="69" s="1"/>
  <c r="O17" i="70"/>
  <c r="J17" i="69" s="1"/>
  <c r="N17" i="70"/>
  <c r="I17" i="69" s="1"/>
  <c r="L17" i="70"/>
  <c r="G17" i="69" s="1"/>
  <c r="P16" i="70"/>
  <c r="K16" i="69" s="1"/>
  <c r="O16" i="70"/>
  <c r="J16" i="69" s="1"/>
  <c r="N16" i="70"/>
  <c r="I16" i="69" s="1"/>
  <c r="L16" i="70"/>
  <c r="G16" i="69" s="1"/>
  <c r="P15" i="70"/>
  <c r="K15" i="69" s="1"/>
  <c r="O15" i="70"/>
  <c r="J15" i="69" s="1"/>
  <c r="N15" i="70"/>
  <c r="I15" i="69" s="1"/>
  <c r="L15" i="70"/>
  <c r="G15" i="69" s="1"/>
  <c r="M15" i="70"/>
  <c r="H15" i="69" s="1"/>
  <c r="N38"/>
  <c r="N37"/>
  <c r="N36"/>
  <c r="N35"/>
  <c r="N34"/>
  <c r="N33"/>
  <c r="N32"/>
  <c r="N31"/>
  <c r="N30"/>
  <c r="N29"/>
  <c r="N28"/>
  <c r="N27"/>
  <c r="N26"/>
  <c r="N25"/>
  <c r="N24"/>
  <c r="N23"/>
  <c r="N22"/>
  <c r="N21"/>
  <c r="N20"/>
  <c r="N19"/>
  <c r="N18"/>
  <c r="N17"/>
  <c r="N16"/>
  <c r="N15"/>
  <c r="N14"/>
  <c r="P38" i="68"/>
  <c r="O38"/>
  <c r="N38"/>
  <c r="P37"/>
  <c r="O37"/>
  <c r="N37"/>
  <c r="P36"/>
  <c r="O36"/>
  <c r="N36"/>
  <c r="P35"/>
  <c r="P49" s="1"/>
  <c r="O35"/>
  <c r="O49" s="1"/>
  <c r="N35"/>
  <c r="N49" s="1"/>
  <c r="P34"/>
  <c r="O34"/>
  <c r="N34"/>
  <c r="P33"/>
  <c r="O33"/>
  <c r="N33"/>
  <c r="P32"/>
  <c r="O32"/>
  <c r="N32"/>
  <c r="P31"/>
  <c r="O31"/>
  <c r="N31"/>
  <c r="P30"/>
  <c r="O30"/>
  <c r="N30"/>
  <c r="P29"/>
  <c r="O29"/>
  <c r="N29"/>
  <c r="P28"/>
  <c r="O28"/>
  <c r="N28"/>
  <c r="M28"/>
  <c r="P27"/>
  <c r="O27"/>
  <c r="N27"/>
  <c r="P26"/>
  <c r="O26"/>
  <c r="N26"/>
  <c r="P25"/>
  <c r="P47" s="1"/>
  <c r="O25"/>
  <c r="O47" s="1"/>
  <c r="N25"/>
  <c r="N47" s="1"/>
  <c r="P24"/>
  <c r="O24"/>
  <c r="N24"/>
  <c r="G24" i="67"/>
  <c r="P23" i="68"/>
  <c r="O23"/>
  <c r="N23"/>
  <c r="G23" i="67"/>
  <c r="P22" i="68"/>
  <c r="O22"/>
  <c r="N22"/>
  <c r="G22" i="67"/>
  <c r="P21" i="68"/>
  <c r="O21"/>
  <c r="N21"/>
  <c r="G21" i="67"/>
  <c r="P20" i="68"/>
  <c r="O20"/>
  <c r="N20"/>
  <c r="G20" i="67"/>
  <c r="P19" i="68"/>
  <c r="O19"/>
  <c r="N19"/>
  <c r="G19" i="67"/>
  <c r="P18" i="68"/>
  <c r="O18"/>
  <c r="N18"/>
  <c r="G18" i="67"/>
  <c r="P17" i="68"/>
  <c r="O17"/>
  <c r="N17"/>
  <c r="G17" i="67"/>
  <c r="P16" i="68"/>
  <c r="O16"/>
  <c r="N16"/>
  <c r="G16" i="67"/>
  <c r="P15" i="68"/>
  <c r="O15"/>
  <c r="N15"/>
  <c r="G15" i="67"/>
  <c r="P14" i="68"/>
  <c r="O14"/>
  <c r="N14"/>
  <c r="G14" i="67"/>
  <c r="P38" i="65"/>
  <c r="O38"/>
  <c r="N38"/>
  <c r="L38"/>
  <c r="P37"/>
  <c r="O37"/>
  <c r="N37"/>
  <c r="L37"/>
  <c r="P36"/>
  <c r="O36"/>
  <c r="N36"/>
  <c r="L36"/>
  <c r="P35"/>
  <c r="O35"/>
  <c r="N35"/>
  <c r="L35"/>
  <c r="P34"/>
  <c r="O34"/>
  <c r="N34"/>
  <c r="L34"/>
  <c r="P33"/>
  <c r="O33"/>
  <c r="N33"/>
  <c r="L33"/>
  <c r="P32"/>
  <c r="O32"/>
  <c r="N32"/>
  <c r="L32"/>
  <c r="P31"/>
  <c r="O31"/>
  <c r="N31"/>
  <c r="L31"/>
  <c r="P30"/>
  <c r="O30"/>
  <c r="N30"/>
  <c r="L30"/>
  <c r="P29"/>
  <c r="O29"/>
  <c r="N29"/>
  <c r="L29"/>
  <c r="P28"/>
  <c r="O28"/>
  <c r="N28"/>
  <c r="L28"/>
  <c r="P27"/>
  <c r="O27"/>
  <c r="N27"/>
  <c r="L27"/>
  <c r="P26"/>
  <c r="O26"/>
  <c r="N26"/>
  <c r="L26"/>
  <c r="P25"/>
  <c r="P47" s="1"/>
  <c r="O25"/>
  <c r="O47" s="1"/>
  <c r="N25"/>
  <c r="N47" s="1"/>
  <c r="L25"/>
  <c r="L47" s="1"/>
  <c r="P24"/>
  <c r="O24"/>
  <c r="N24"/>
  <c r="L24"/>
  <c r="P23"/>
  <c r="O23"/>
  <c r="N23"/>
  <c r="L23"/>
  <c r="P22"/>
  <c r="O22"/>
  <c r="N22"/>
  <c r="L22"/>
  <c r="P21"/>
  <c r="O21"/>
  <c r="N21"/>
  <c r="P20"/>
  <c r="O20"/>
  <c r="N20"/>
  <c r="L20"/>
  <c r="P19"/>
  <c r="O19"/>
  <c r="N19"/>
  <c r="L19"/>
  <c r="P18"/>
  <c r="O18"/>
  <c r="N18"/>
  <c r="L18"/>
  <c r="P17"/>
  <c r="O17"/>
  <c r="N17"/>
  <c r="L17"/>
  <c r="P16"/>
  <c r="O16"/>
  <c r="N16"/>
  <c r="L16"/>
  <c r="P15"/>
  <c r="O15"/>
  <c r="N15"/>
  <c r="L15"/>
  <c r="P14"/>
  <c r="O14"/>
  <c r="N14"/>
  <c r="L14"/>
  <c r="B48" i="66"/>
  <c r="D48"/>
  <c r="E48"/>
  <c r="F48"/>
  <c r="N15"/>
  <c r="N16"/>
  <c r="N17"/>
  <c r="N18"/>
  <c r="N19"/>
  <c r="N20"/>
  <c r="N21"/>
  <c r="N22"/>
  <c r="N23"/>
  <c r="N24"/>
  <c r="N25"/>
  <c r="N26"/>
  <c r="N27"/>
  <c r="N28"/>
  <c r="N29"/>
  <c r="N30"/>
  <c r="N31"/>
  <c r="N32"/>
  <c r="N33"/>
  <c r="N34"/>
  <c r="N35"/>
  <c r="N36"/>
  <c r="N37"/>
  <c r="N38"/>
  <c r="N14"/>
  <c r="O14" i="62"/>
  <c r="L14"/>
  <c r="L15"/>
  <c r="L16"/>
  <c r="L17"/>
  <c r="L18"/>
  <c r="L19"/>
  <c r="L20"/>
  <c r="L21"/>
  <c r="L22"/>
  <c r="L23"/>
  <c r="L24"/>
  <c r="L25"/>
  <c r="L26"/>
  <c r="L27"/>
  <c r="L28"/>
  <c r="L29"/>
  <c r="L30"/>
  <c r="L31"/>
  <c r="L32"/>
  <c r="L33"/>
  <c r="L34"/>
  <c r="L35"/>
  <c r="L36"/>
  <c r="L37"/>
  <c r="L38"/>
  <c r="L39"/>
  <c r="C15"/>
  <c r="C16"/>
  <c r="C17"/>
  <c r="C18"/>
  <c r="C19"/>
  <c r="C20"/>
  <c r="C21"/>
  <c r="C22"/>
  <c r="C23"/>
  <c r="C24"/>
  <c r="C25"/>
  <c r="C26"/>
  <c r="C27"/>
  <c r="C28"/>
  <c r="C29"/>
  <c r="C30"/>
  <c r="C31"/>
  <c r="C32"/>
  <c r="C33"/>
  <c r="C34"/>
  <c r="C35"/>
  <c r="C36"/>
  <c r="C37"/>
  <c r="C38"/>
  <c r="C39"/>
  <c r="C14"/>
  <c r="D14" i="61"/>
  <c r="F14"/>
  <c r="D15"/>
  <c r="F15"/>
  <c r="D16"/>
  <c r="F16"/>
  <c r="D17"/>
  <c r="F17"/>
  <c r="D18"/>
  <c r="F18"/>
  <c r="D19"/>
  <c r="F19"/>
  <c r="D20"/>
  <c r="F20"/>
  <c r="D21"/>
  <c r="F21"/>
  <c r="D22"/>
  <c r="F22"/>
  <c r="D23"/>
  <c r="F23"/>
  <c r="D24"/>
  <c r="F24"/>
  <c r="D25"/>
  <c r="F25"/>
  <c r="D26"/>
  <c r="F26"/>
  <c r="D27"/>
  <c r="F27"/>
  <c r="D28"/>
  <c r="F28"/>
  <c r="D29"/>
  <c r="F29"/>
  <c r="D30"/>
  <c r="F30"/>
  <c r="D31"/>
  <c r="F31"/>
  <c r="D32"/>
  <c r="F32"/>
  <c r="D33"/>
  <c r="F33"/>
  <c r="D34"/>
  <c r="F34"/>
  <c r="D35"/>
  <c r="F35"/>
  <c r="D36"/>
  <c r="F36"/>
  <c r="D37"/>
  <c r="F37"/>
  <c r="D38"/>
  <c r="F38"/>
  <c r="D39"/>
  <c r="F39"/>
  <c r="N39"/>
  <c r="N38"/>
  <c r="N37"/>
  <c r="N36"/>
  <c r="N35"/>
  <c r="N34"/>
  <c r="N33"/>
  <c r="N32"/>
  <c r="N31"/>
  <c r="N30"/>
  <c r="N29"/>
  <c r="N28"/>
  <c r="N27"/>
  <c r="N26"/>
  <c r="N25"/>
  <c r="N24"/>
  <c r="N23"/>
  <c r="N22"/>
  <c r="N21"/>
  <c r="N20"/>
  <c r="N19"/>
  <c r="N18"/>
  <c r="N17"/>
  <c r="N16"/>
  <c r="N15"/>
  <c r="N14"/>
  <c r="AA6" i="7"/>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L48" i="62" l="1"/>
  <c r="L49"/>
  <c r="N48" i="65"/>
  <c r="N49"/>
  <c r="K25" i="69"/>
  <c r="P47" i="70"/>
  <c r="P48"/>
  <c r="G35" i="73"/>
  <c r="L48" i="74"/>
  <c r="L49"/>
  <c r="G25" i="75"/>
  <c r="G47" s="1"/>
  <c r="L47" i="76"/>
  <c r="J35" i="75"/>
  <c r="O48" i="76"/>
  <c r="O49"/>
  <c r="D10" i="266"/>
  <c r="B28" i="218"/>
  <c r="B33"/>
  <c r="B34"/>
  <c r="B29"/>
  <c r="D49" i="61"/>
  <c r="D48"/>
  <c r="C48" i="62"/>
  <c r="C49"/>
  <c r="L48" i="65"/>
  <c r="L49"/>
  <c r="J25" i="69"/>
  <c r="O47" i="70"/>
  <c r="O48"/>
  <c r="C48" i="74"/>
  <c r="C49"/>
  <c r="K35" i="73"/>
  <c r="P48" i="74"/>
  <c r="P49"/>
  <c r="H47" i="76"/>
  <c r="H48"/>
  <c r="K25" i="75"/>
  <c r="K47" s="1"/>
  <c r="P47" i="76"/>
  <c r="I35" i="75"/>
  <c r="N48" i="76"/>
  <c r="N49"/>
  <c r="F48" i="61"/>
  <c r="F49"/>
  <c r="P48" i="65"/>
  <c r="P49"/>
  <c r="I25" i="69"/>
  <c r="N47" i="70"/>
  <c r="N48"/>
  <c r="J35" i="73"/>
  <c r="O48" i="74"/>
  <c r="O49"/>
  <c r="J25" i="75"/>
  <c r="J47" s="1"/>
  <c r="O47" i="76"/>
  <c r="G35" i="75"/>
  <c r="L48" i="76"/>
  <c r="L49"/>
  <c r="O48" i="65"/>
  <c r="O49"/>
  <c r="G25" i="69"/>
  <c r="L47" i="70"/>
  <c r="L48"/>
  <c r="I35" i="73"/>
  <c r="N48" i="74"/>
  <c r="N49"/>
  <c r="I25" i="75"/>
  <c r="I47" s="1"/>
  <c r="N47" i="76"/>
  <c r="K35" i="75"/>
  <c r="P48" i="76"/>
  <c r="P49"/>
  <c r="C38" i="61"/>
  <c r="C36"/>
  <c r="C34"/>
  <c r="C32"/>
  <c r="C30"/>
  <c r="C28"/>
  <c r="C26"/>
  <c r="C24"/>
  <c r="C22"/>
  <c r="C20"/>
  <c r="C18"/>
  <c r="C16"/>
  <c r="C14"/>
  <c r="C39"/>
  <c r="C37"/>
  <c r="C35"/>
  <c r="C33"/>
  <c r="C31"/>
  <c r="C29"/>
  <c r="C27"/>
  <c r="C25"/>
  <c r="C23"/>
  <c r="C21"/>
  <c r="C19"/>
  <c r="C17"/>
  <c r="C15"/>
  <c r="H38" i="74"/>
  <c r="M38" s="1"/>
  <c r="H38" i="73" s="1"/>
  <c r="J37" i="67"/>
  <c r="J33"/>
  <c r="H15" i="76"/>
  <c r="M15" s="1"/>
  <c r="H15" i="75" s="1"/>
  <c r="H23" i="76"/>
  <c r="M23" s="1"/>
  <c r="H23" i="75" s="1"/>
  <c r="M31" i="76"/>
  <c r="H31" i="75" s="1"/>
  <c r="K19" i="73"/>
  <c r="J20"/>
  <c r="J27"/>
  <c r="I28"/>
  <c r="G29"/>
  <c r="K30"/>
  <c r="I37" i="75"/>
  <c r="K27" i="73"/>
  <c r="I29"/>
  <c r="G30"/>
  <c r="K28"/>
  <c r="J29"/>
  <c r="I30"/>
  <c r="G31"/>
  <c r="C13" i="7"/>
  <c r="C13" i="118"/>
  <c r="I27" i="73"/>
  <c r="G28"/>
  <c r="J30"/>
  <c r="I19"/>
  <c r="G20"/>
  <c r="K23"/>
  <c r="J24"/>
  <c r="J19"/>
  <c r="I20"/>
  <c r="G21"/>
  <c r="J15"/>
  <c r="I16"/>
  <c r="G17"/>
  <c r="K20"/>
  <c r="J23"/>
  <c r="I24"/>
  <c r="G37" i="75"/>
  <c r="B27" i="123"/>
  <c r="B6" i="126" s="1"/>
  <c r="B27" i="122"/>
  <c r="I15" i="73"/>
  <c r="G16"/>
  <c r="I23"/>
  <c r="G24"/>
  <c r="C48" i="66"/>
  <c r="K16" i="73"/>
  <c r="K24"/>
  <c r="K37" i="75"/>
  <c r="I30" i="67"/>
  <c r="K30"/>
  <c r="I32"/>
  <c r="K32"/>
  <c r="G37" i="79"/>
  <c r="J37"/>
  <c r="J28" i="67"/>
  <c r="G14" i="71"/>
  <c r="I31" i="67"/>
  <c r="K31"/>
  <c r="J34"/>
  <c r="J29"/>
  <c r="C12" i="123"/>
  <c r="H7" i="87"/>
  <c r="I7"/>
  <c r="H8"/>
  <c r="I8"/>
  <c r="H9"/>
  <c r="I9"/>
  <c r="H10"/>
  <c r="I10"/>
  <c r="H11"/>
  <c r="I11"/>
  <c r="H12"/>
  <c r="I12"/>
  <c r="H13"/>
  <c r="I13"/>
  <c r="H14"/>
  <c r="I14"/>
  <c r="H15"/>
  <c r="I15"/>
  <c r="H16"/>
  <c r="I16"/>
  <c r="H17"/>
  <c r="I17"/>
  <c r="H18"/>
  <c r="I18"/>
  <c r="I61" s="1"/>
  <c r="H19"/>
  <c r="I19"/>
  <c r="H20"/>
  <c r="I20"/>
  <c r="H21"/>
  <c r="I21"/>
  <c r="H22"/>
  <c r="I22"/>
  <c r="H23"/>
  <c r="I23"/>
  <c r="H24"/>
  <c r="I24"/>
  <c r="H25"/>
  <c r="I25"/>
  <c r="H26"/>
  <c r="I26"/>
  <c r="I62" s="1"/>
  <c r="H27"/>
  <c r="I27"/>
  <c r="H28"/>
  <c r="I28"/>
  <c r="H29"/>
  <c r="I29"/>
  <c r="H30"/>
  <c r="I30"/>
  <c r="H31"/>
  <c r="I31"/>
  <c r="H32"/>
  <c r="I32"/>
  <c r="H33"/>
  <c r="I33"/>
  <c r="H34"/>
  <c r="I34"/>
  <c r="I64" s="1"/>
  <c r="H35"/>
  <c r="I35"/>
  <c r="H36"/>
  <c r="I36"/>
  <c r="H37"/>
  <c r="I37"/>
  <c r="H38"/>
  <c r="I38"/>
  <c r="H39"/>
  <c r="I39"/>
  <c r="H40"/>
  <c r="I40"/>
  <c r="H41"/>
  <c r="I41"/>
  <c r="H42"/>
  <c r="I42"/>
  <c r="H43"/>
  <c r="I43"/>
  <c r="H44"/>
  <c r="I44"/>
  <c r="H45"/>
  <c r="I45"/>
  <c r="I66" s="1"/>
  <c r="H46"/>
  <c r="I46"/>
  <c r="H47"/>
  <c r="I47"/>
  <c r="H48"/>
  <c r="I48"/>
  <c r="H49"/>
  <c r="I49"/>
  <c r="H50"/>
  <c r="I50"/>
  <c r="H51"/>
  <c r="I51"/>
  <c r="H52"/>
  <c r="I52"/>
  <c r="I28" i="67"/>
  <c r="K28"/>
  <c r="J31"/>
  <c r="I34"/>
  <c r="K34"/>
  <c r="I36"/>
  <c r="K36"/>
  <c r="I14" i="71"/>
  <c r="K14"/>
  <c r="J14" i="73"/>
  <c r="I17"/>
  <c r="K17"/>
  <c r="G18"/>
  <c r="I21"/>
  <c r="K21"/>
  <c r="G22"/>
  <c r="J22"/>
  <c r="G26"/>
  <c r="J26"/>
  <c r="I31"/>
  <c r="G32"/>
  <c r="I29" i="67"/>
  <c r="K29"/>
  <c r="J30"/>
  <c r="I14"/>
  <c r="K14"/>
  <c r="J15"/>
  <c r="I16"/>
  <c r="K16"/>
  <c r="J17"/>
  <c r="I18"/>
  <c r="K18"/>
  <c r="J19"/>
  <c r="I20"/>
  <c r="K20"/>
  <c r="J21"/>
  <c r="I22"/>
  <c r="K22"/>
  <c r="J23"/>
  <c r="I26"/>
  <c r="K26"/>
  <c r="J27"/>
  <c r="J32"/>
  <c r="I33"/>
  <c r="K33"/>
  <c r="J36"/>
  <c r="I37"/>
  <c r="K37"/>
  <c r="J14" i="71"/>
  <c r="I14" i="73"/>
  <c r="K14"/>
  <c r="G15"/>
  <c r="J17"/>
  <c r="I18"/>
  <c r="K18"/>
  <c r="G19"/>
  <c r="I22"/>
  <c r="G23"/>
  <c r="I26"/>
  <c r="G27"/>
  <c r="J31"/>
  <c r="I32"/>
  <c r="K32"/>
  <c r="I37" i="79"/>
  <c r="K37"/>
  <c r="I14" i="66"/>
  <c r="K14"/>
  <c r="I15"/>
  <c r="K15"/>
  <c r="I16"/>
  <c r="K16"/>
  <c r="I17"/>
  <c r="K17"/>
  <c r="I18"/>
  <c r="K18"/>
  <c r="I19"/>
  <c r="K19"/>
  <c r="I20"/>
  <c r="K20"/>
  <c r="I21"/>
  <c r="K21"/>
  <c r="I22"/>
  <c r="K22"/>
  <c r="I23"/>
  <c r="K23"/>
  <c r="I24"/>
  <c r="K24"/>
  <c r="I26"/>
  <c r="K26"/>
  <c r="I27"/>
  <c r="K27"/>
  <c r="I28"/>
  <c r="K28"/>
  <c r="I29"/>
  <c r="K29"/>
  <c r="I30"/>
  <c r="K30"/>
  <c r="I31"/>
  <c r="K31"/>
  <c r="I32"/>
  <c r="K32"/>
  <c r="I33"/>
  <c r="K33"/>
  <c r="I34"/>
  <c r="K34"/>
  <c r="I36"/>
  <c r="K36"/>
  <c r="I37"/>
  <c r="K37"/>
  <c r="J14" i="67"/>
  <c r="I15"/>
  <c r="K15"/>
  <c r="J16"/>
  <c r="I17"/>
  <c r="K17"/>
  <c r="J18"/>
  <c r="I19"/>
  <c r="K19"/>
  <c r="J20"/>
  <c r="I21"/>
  <c r="K21"/>
  <c r="J22"/>
  <c r="I23"/>
  <c r="K23"/>
  <c r="J26"/>
  <c r="I27"/>
  <c r="K27"/>
  <c r="H28" i="74"/>
  <c r="M28" s="1"/>
  <c r="H28" i="73" s="1"/>
  <c r="G14" i="66"/>
  <c r="J14"/>
  <c r="G15"/>
  <c r="J15"/>
  <c r="G16"/>
  <c r="J16"/>
  <c r="G17"/>
  <c r="J17"/>
  <c r="G18"/>
  <c r="J18"/>
  <c r="G19"/>
  <c r="J19"/>
  <c r="J20"/>
  <c r="G21"/>
  <c r="J21"/>
  <c r="G22"/>
  <c r="J22"/>
  <c r="G23"/>
  <c r="J23"/>
  <c r="G24"/>
  <c r="J24"/>
  <c r="G26"/>
  <c r="J26"/>
  <c r="G27"/>
  <c r="J27"/>
  <c r="G28"/>
  <c r="J28"/>
  <c r="G29"/>
  <c r="J29"/>
  <c r="G30"/>
  <c r="J30"/>
  <c r="G31"/>
  <c r="J31"/>
  <c r="G32"/>
  <c r="J32"/>
  <c r="G33"/>
  <c r="J33"/>
  <c r="G34"/>
  <c r="J34"/>
  <c r="G36"/>
  <c r="J36"/>
  <c r="G37"/>
  <c r="J37"/>
  <c r="H25" i="71"/>
  <c r="H47" s="1"/>
  <c r="G39" i="61"/>
  <c r="J39"/>
  <c r="G13" i="154"/>
  <c r="F13"/>
  <c r="E13"/>
  <c r="F36"/>
  <c r="E36"/>
  <c r="G36"/>
  <c r="F34"/>
  <c r="E34"/>
  <c r="G34"/>
  <c r="F32"/>
  <c r="E32"/>
  <c r="G32"/>
  <c r="F30"/>
  <c r="E30"/>
  <c r="G30"/>
  <c r="F28"/>
  <c r="E28"/>
  <c r="G28"/>
  <c r="F26"/>
  <c r="E26"/>
  <c r="G26"/>
  <c r="F24"/>
  <c r="E24"/>
  <c r="G24"/>
  <c r="F22"/>
  <c r="E22"/>
  <c r="G22"/>
  <c r="F20"/>
  <c r="E20"/>
  <c r="G20"/>
  <c r="F18"/>
  <c r="E18"/>
  <c r="G18"/>
  <c r="F16"/>
  <c r="E16"/>
  <c r="G16"/>
  <c r="F14"/>
  <c r="E14"/>
  <c r="G14"/>
  <c r="M14" i="68"/>
  <c r="D13" i="154"/>
  <c r="C13"/>
  <c r="M16" i="68"/>
  <c r="H16" i="67" s="1"/>
  <c r="B15" i="154"/>
  <c r="D15"/>
  <c r="C15"/>
  <c r="M18" i="68"/>
  <c r="H18" i="67" s="1"/>
  <c r="B17" i="154"/>
  <c r="D17"/>
  <c r="C17"/>
  <c r="M20" i="68"/>
  <c r="H20" i="67" s="1"/>
  <c r="B19" i="154"/>
  <c r="D19"/>
  <c r="C19"/>
  <c r="M22" i="68"/>
  <c r="H22" i="67" s="1"/>
  <c r="B21" i="154"/>
  <c r="D21"/>
  <c r="C21"/>
  <c r="B23"/>
  <c r="D23"/>
  <c r="C23"/>
  <c r="M26" i="68"/>
  <c r="H26" i="67" s="1"/>
  <c r="B25" i="154"/>
  <c r="D25"/>
  <c r="C25"/>
  <c r="B27"/>
  <c r="D27"/>
  <c r="C27"/>
  <c r="C28"/>
  <c r="B28"/>
  <c r="D28"/>
  <c r="C30"/>
  <c r="B30"/>
  <c r="D30"/>
  <c r="C32"/>
  <c r="B32"/>
  <c r="D32"/>
  <c r="C34"/>
  <c r="B34"/>
  <c r="D34"/>
  <c r="C48" i="68"/>
  <c r="N48"/>
  <c r="P48"/>
  <c r="C36" i="154"/>
  <c r="B36"/>
  <c r="D36"/>
  <c r="R14"/>
  <c r="Q14"/>
  <c r="S14"/>
  <c r="Q15"/>
  <c r="S15"/>
  <c r="R15"/>
  <c r="Q17"/>
  <c r="S17"/>
  <c r="R17"/>
  <c r="Q19"/>
  <c r="S19"/>
  <c r="R19"/>
  <c r="Q21"/>
  <c r="S21"/>
  <c r="R21"/>
  <c r="H25" i="70"/>
  <c r="R24" i="154"/>
  <c r="Q24"/>
  <c r="S24"/>
  <c r="H27" i="70"/>
  <c r="R26" i="154"/>
  <c r="Q26"/>
  <c r="S26"/>
  <c r="R28"/>
  <c r="Q28"/>
  <c r="S28"/>
  <c r="R30"/>
  <c r="Q30"/>
  <c r="S30"/>
  <c r="Q31"/>
  <c r="S31"/>
  <c r="R31"/>
  <c r="Q33"/>
  <c r="S33"/>
  <c r="R33"/>
  <c r="Q35"/>
  <c r="S35"/>
  <c r="R35"/>
  <c r="R37"/>
  <c r="Q37"/>
  <c r="S37"/>
  <c r="I13"/>
  <c r="H13"/>
  <c r="J13"/>
  <c r="I15"/>
  <c r="H15"/>
  <c r="J15"/>
  <c r="I17"/>
  <c r="H17"/>
  <c r="J17"/>
  <c r="I19"/>
  <c r="H19"/>
  <c r="J19"/>
  <c r="I21"/>
  <c r="H21"/>
  <c r="J21"/>
  <c r="I23"/>
  <c r="H23"/>
  <c r="J23"/>
  <c r="H27" i="71"/>
  <c r="H26" i="154"/>
  <c r="J26"/>
  <c r="I26"/>
  <c r="H29" i="71"/>
  <c r="H28" i="154"/>
  <c r="J28"/>
  <c r="I28"/>
  <c r="H31" i="71"/>
  <c r="H30" i="154"/>
  <c r="J30"/>
  <c r="I30"/>
  <c r="H33" i="71"/>
  <c r="H32" i="154"/>
  <c r="J32"/>
  <c r="I32"/>
  <c r="H34"/>
  <c r="J34"/>
  <c r="I34"/>
  <c r="H36"/>
  <c r="J36"/>
  <c r="I36"/>
  <c r="G25" i="73"/>
  <c r="G47" s="1"/>
  <c r="I25"/>
  <c r="I47" s="1"/>
  <c r="K25"/>
  <c r="K47" s="1"/>
  <c r="H22" i="74"/>
  <c r="H24"/>
  <c r="H26"/>
  <c r="M26" s="1"/>
  <c r="H26" i="73" s="1"/>
  <c r="O14" i="154"/>
  <c r="L14"/>
  <c r="N14"/>
  <c r="P14"/>
  <c r="K14"/>
  <c r="M14"/>
  <c r="N15"/>
  <c r="P15"/>
  <c r="K15"/>
  <c r="M15"/>
  <c r="O15"/>
  <c r="L15"/>
  <c r="N17"/>
  <c r="P17"/>
  <c r="K17"/>
  <c r="M17"/>
  <c r="O17"/>
  <c r="L17"/>
  <c r="N19"/>
  <c r="P19"/>
  <c r="K19"/>
  <c r="M19"/>
  <c r="O19"/>
  <c r="L19"/>
  <c r="N21"/>
  <c r="P21"/>
  <c r="K21"/>
  <c r="M21"/>
  <c r="O21"/>
  <c r="L21"/>
  <c r="O24"/>
  <c r="L24"/>
  <c r="N24"/>
  <c r="P24"/>
  <c r="K24"/>
  <c r="M24"/>
  <c r="M27" i="76"/>
  <c r="H27" i="75" s="1"/>
  <c r="O26" i="154"/>
  <c r="L26"/>
  <c r="N26"/>
  <c r="P26"/>
  <c r="K26"/>
  <c r="M26"/>
  <c r="M29" i="76"/>
  <c r="H29" i="75" s="1"/>
  <c r="O28" i="154"/>
  <c r="L28"/>
  <c r="N28"/>
  <c r="P28"/>
  <c r="K28"/>
  <c r="M28"/>
  <c r="O30"/>
  <c r="L30"/>
  <c r="N30"/>
  <c r="P30"/>
  <c r="K30"/>
  <c r="M30"/>
  <c r="N31"/>
  <c r="P31"/>
  <c r="K31"/>
  <c r="M31"/>
  <c r="O31"/>
  <c r="L31"/>
  <c r="N33"/>
  <c r="P33"/>
  <c r="K33"/>
  <c r="M33"/>
  <c r="O33"/>
  <c r="L33"/>
  <c r="N35"/>
  <c r="P35"/>
  <c r="K35"/>
  <c r="M35"/>
  <c r="O35"/>
  <c r="L35"/>
  <c r="M38" i="76"/>
  <c r="H38" i="75" s="1"/>
  <c r="N37" i="154"/>
  <c r="P37"/>
  <c r="K37"/>
  <c r="M37"/>
  <c r="O37"/>
  <c r="L37"/>
  <c r="T14"/>
  <c r="V14"/>
  <c r="U14"/>
  <c r="T16"/>
  <c r="V16"/>
  <c r="U16"/>
  <c r="T18"/>
  <c r="V18"/>
  <c r="U18"/>
  <c r="H21" i="80"/>
  <c r="M21" s="1"/>
  <c r="H21" i="79" s="1"/>
  <c r="T20" i="154"/>
  <c r="V20"/>
  <c r="U20"/>
  <c r="T22"/>
  <c r="V22"/>
  <c r="U22"/>
  <c r="U23"/>
  <c r="T23"/>
  <c r="V23"/>
  <c r="U25"/>
  <c r="T25"/>
  <c r="V25"/>
  <c r="U27"/>
  <c r="T27"/>
  <c r="V27"/>
  <c r="U29"/>
  <c r="T29"/>
  <c r="V29"/>
  <c r="U31"/>
  <c r="T31"/>
  <c r="V31"/>
  <c r="U33"/>
  <c r="T33"/>
  <c r="V33"/>
  <c r="U35"/>
  <c r="T35"/>
  <c r="V35"/>
  <c r="T37"/>
  <c r="V37"/>
  <c r="U37"/>
  <c r="G37" i="61"/>
  <c r="G33"/>
  <c r="G31"/>
  <c r="G29"/>
  <c r="G27"/>
  <c r="G23"/>
  <c r="G21"/>
  <c r="G19"/>
  <c r="G17"/>
  <c r="G15"/>
  <c r="J37"/>
  <c r="J33"/>
  <c r="J31"/>
  <c r="J29"/>
  <c r="J27"/>
  <c r="J25"/>
  <c r="J23"/>
  <c r="J21"/>
  <c r="J19"/>
  <c r="J17"/>
  <c r="J15"/>
  <c r="M15" i="65"/>
  <c r="H15" i="66" s="1"/>
  <c r="M17" i="65"/>
  <c r="H17" i="66" s="1"/>
  <c r="M19" i="65"/>
  <c r="H19" i="66" s="1"/>
  <c r="G20"/>
  <c r="M21" i="65"/>
  <c r="H21" i="66" s="1"/>
  <c r="M23" i="65"/>
  <c r="H23" i="66" s="1"/>
  <c r="J25"/>
  <c r="J47" s="1"/>
  <c r="J35"/>
  <c r="J49" s="1"/>
  <c r="G38"/>
  <c r="I38"/>
  <c r="K38"/>
  <c r="H20" i="74"/>
  <c r="M36"/>
  <c r="H36" i="73" s="1"/>
  <c r="E37" i="154"/>
  <c r="G37"/>
  <c r="F37"/>
  <c r="E35"/>
  <c r="G35"/>
  <c r="F35"/>
  <c r="E33"/>
  <c r="G33"/>
  <c r="F33"/>
  <c r="E31"/>
  <c r="G31"/>
  <c r="F31"/>
  <c r="E29"/>
  <c r="G29"/>
  <c r="F29"/>
  <c r="E27"/>
  <c r="G27"/>
  <c r="F27"/>
  <c r="E25"/>
  <c r="G25"/>
  <c r="F25"/>
  <c r="E23"/>
  <c r="G23"/>
  <c r="F23"/>
  <c r="E21"/>
  <c r="G21"/>
  <c r="F21"/>
  <c r="E19"/>
  <c r="G19"/>
  <c r="F19"/>
  <c r="E17"/>
  <c r="G17"/>
  <c r="F17"/>
  <c r="E15"/>
  <c r="G15"/>
  <c r="F15"/>
  <c r="C14"/>
  <c r="D14"/>
  <c r="C16"/>
  <c r="B16"/>
  <c r="D16"/>
  <c r="C18"/>
  <c r="B18"/>
  <c r="D18"/>
  <c r="C20"/>
  <c r="B20"/>
  <c r="D20"/>
  <c r="C22"/>
  <c r="B22"/>
  <c r="D22"/>
  <c r="C24"/>
  <c r="B24"/>
  <c r="D24"/>
  <c r="C26"/>
  <c r="B26"/>
  <c r="D26"/>
  <c r="M30" i="68"/>
  <c r="H30" i="67" s="1"/>
  <c r="B29" i="154"/>
  <c r="D29"/>
  <c r="C29"/>
  <c r="M32" i="68"/>
  <c r="H32" i="67" s="1"/>
  <c r="B31" i="154"/>
  <c r="D31"/>
  <c r="C31"/>
  <c r="M34" i="68"/>
  <c r="H34" i="67" s="1"/>
  <c r="B33" i="154"/>
  <c r="D33"/>
  <c r="C33"/>
  <c r="O48" i="68"/>
  <c r="M36"/>
  <c r="H36" i="67" s="1"/>
  <c r="B35" i="154"/>
  <c r="D35"/>
  <c r="C35"/>
  <c r="B37"/>
  <c r="D37"/>
  <c r="C37"/>
  <c r="R13"/>
  <c r="Q13"/>
  <c r="S13"/>
  <c r="M17" i="70"/>
  <c r="H17" i="69" s="1"/>
  <c r="R16" i="154"/>
  <c r="Q16"/>
  <c r="S16"/>
  <c r="M19" i="70"/>
  <c r="H19" i="69" s="1"/>
  <c r="R18" i="154"/>
  <c r="Q18"/>
  <c r="S18"/>
  <c r="M21" i="70"/>
  <c r="H21" i="69" s="1"/>
  <c r="R20" i="154"/>
  <c r="Q20"/>
  <c r="S20"/>
  <c r="R22"/>
  <c r="Q22"/>
  <c r="S22"/>
  <c r="Q23"/>
  <c r="S23"/>
  <c r="R23"/>
  <c r="Q25"/>
  <c r="S25"/>
  <c r="R25"/>
  <c r="Q27"/>
  <c r="S27"/>
  <c r="R27"/>
  <c r="Q29"/>
  <c r="S29"/>
  <c r="R29"/>
  <c r="R32"/>
  <c r="Q32"/>
  <c r="S32"/>
  <c r="R34"/>
  <c r="Q34"/>
  <c r="S34"/>
  <c r="R36"/>
  <c r="Q36"/>
  <c r="S36"/>
  <c r="H15" i="72"/>
  <c r="M15" s="1"/>
  <c r="H15" i="71" s="1"/>
  <c r="H14" i="154"/>
  <c r="J14"/>
  <c r="I14"/>
  <c r="H17" i="72"/>
  <c r="M17" s="1"/>
  <c r="H17" i="71" s="1"/>
  <c r="H16" i="154"/>
  <c r="J16"/>
  <c r="I16"/>
  <c r="H19" i="71"/>
  <c r="H18" i="154"/>
  <c r="J18"/>
  <c r="I18"/>
  <c r="H21" i="71"/>
  <c r="H20" i="154"/>
  <c r="J20"/>
  <c r="I20"/>
  <c r="H23" i="71"/>
  <c r="H22" i="154"/>
  <c r="J22"/>
  <c r="I22"/>
  <c r="H24"/>
  <c r="J24"/>
  <c r="I24"/>
  <c r="I25"/>
  <c r="H25"/>
  <c r="J25"/>
  <c r="I27"/>
  <c r="H27"/>
  <c r="J27"/>
  <c r="I29"/>
  <c r="H29"/>
  <c r="J29"/>
  <c r="I31"/>
  <c r="H31"/>
  <c r="J31"/>
  <c r="I33"/>
  <c r="H33"/>
  <c r="J33"/>
  <c r="I35"/>
  <c r="H35"/>
  <c r="J35"/>
  <c r="I37"/>
  <c r="H37"/>
  <c r="J37"/>
  <c r="H14" i="73"/>
  <c r="H16" i="74"/>
  <c r="M16" s="1"/>
  <c r="H18"/>
  <c r="M18" s="1"/>
  <c r="H30"/>
  <c r="M30" s="1"/>
  <c r="H30" i="73" s="1"/>
  <c r="H32" i="74"/>
  <c r="M32" s="1"/>
  <c r="H32" i="73" s="1"/>
  <c r="H34" i="74"/>
  <c r="M34" s="1"/>
  <c r="H34" i="73" s="1"/>
  <c r="O13" i="154"/>
  <c r="N13"/>
  <c r="M13"/>
  <c r="P13"/>
  <c r="L13"/>
  <c r="K13"/>
  <c r="M17" i="76"/>
  <c r="H17" i="75" s="1"/>
  <c r="O16" i="154"/>
  <c r="L16"/>
  <c r="N16"/>
  <c r="P16"/>
  <c r="K16"/>
  <c r="M16"/>
  <c r="M19" i="76"/>
  <c r="H19" i="75" s="1"/>
  <c r="O18" i="154"/>
  <c r="L18"/>
  <c r="N18"/>
  <c r="P18"/>
  <c r="K18"/>
  <c r="M18"/>
  <c r="M21" i="76"/>
  <c r="H21" i="75" s="1"/>
  <c r="O20" i="154"/>
  <c r="L20"/>
  <c r="N20"/>
  <c r="P20"/>
  <c r="K20"/>
  <c r="M20"/>
  <c r="O22"/>
  <c r="L22"/>
  <c r="N22"/>
  <c r="P22"/>
  <c r="K22"/>
  <c r="M22"/>
  <c r="N23"/>
  <c r="P23"/>
  <c r="K23"/>
  <c r="M23"/>
  <c r="O23"/>
  <c r="L23"/>
  <c r="N25"/>
  <c r="P25"/>
  <c r="K25"/>
  <c r="M25"/>
  <c r="O25"/>
  <c r="L25"/>
  <c r="N27"/>
  <c r="P27"/>
  <c r="K27"/>
  <c r="M27"/>
  <c r="O27"/>
  <c r="L27"/>
  <c r="N29"/>
  <c r="P29"/>
  <c r="K29"/>
  <c r="M29"/>
  <c r="O29"/>
  <c r="L29"/>
  <c r="M33" i="76"/>
  <c r="H33" i="75" s="1"/>
  <c r="O32" i="154"/>
  <c r="L32"/>
  <c r="N32"/>
  <c r="P32"/>
  <c r="K32"/>
  <c r="M32"/>
  <c r="O34"/>
  <c r="L34"/>
  <c r="N34"/>
  <c r="P34"/>
  <c r="K34"/>
  <c r="M34"/>
  <c r="M37" i="76"/>
  <c r="H37" i="75" s="1"/>
  <c r="O36" i="154"/>
  <c r="L36"/>
  <c r="N36"/>
  <c r="P36"/>
  <c r="K36"/>
  <c r="M36"/>
  <c r="U13"/>
  <c r="T13"/>
  <c r="V13"/>
  <c r="U15"/>
  <c r="T15"/>
  <c r="V15"/>
  <c r="U17"/>
  <c r="T17"/>
  <c r="V17"/>
  <c r="U19"/>
  <c r="T19"/>
  <c r="V19"/>
  <c r="U21"/>
  <c r="T21"/>
  <c r="V21"/>
  <c r="H25" i="80"/>
  <c r="T24" i="154"/>
  <c r="V24"/>
  <c r="U24"/>
  <c r="H27" i="80"/>
  <c r="M27" s="1"/>
  <c r="H27" i="79" s="1"/>
  <c r="T26" i="154"/>
  <c r="V26"/>
  <c r="U26"/>
  <c r="T28"/>
  <c r="V28"/>
  <c r="U28"/>
  <c r="T30"/>
  <c r="V30"/>
  <c r="U30"/>
  <c r="T32"/>
  <c r="V32"/>
  <c r="U32"/>
  <c r="T34"/>
  <c r="V34"/>
  <c r="U34"/>
  <c r="T36"/>
  <c r="V36"/>
  <c r="U36"/>
  <c r="G36" i="61"/>
  <c r="G34"/>
  <c r="G32"/>
  <c r="G30"/>
  <c r="G28"/>
  <c r="G26"/>
  <c r="G24"/>
  <c r="G22"/>
  <c r="G20"/>
  <c r="G18"/>
  <c r="G16"/>
  <c r="G14"/>
  <c r="J14"/>
  <c r="J36"/>
  <c r="J34"/>
  <c r="J32"/>
  <c r="J30"/>
  <c r="J28"/>
  <c r="J26"/>
  <c r="J24"/>
  <c r="J22"/>
  <c r="J20"/>
  <c r="J18"/>
  <c r="J16"/>
  <c r="M27" i="65"/>
  <c r="H27" i="66" s="1"/>
  <c r="M29" i="65"/>
  <c r="H29" i="66" s="1"/>
  <c r="M31" i="65"/>
  <c r="H31" i="66" s="1"/>
  <c r="M33" i="65"/>
  <c r="H33" i="66" s="1"/>
  <c r="M37" i="65"/>
  <c r="H37" i="66" s="1"/>
  <c r="M16" i="65"/>
  <c r="H16" i="66" s="1"/>
  <c r="M18" i="65"/>
  <c r="H18" i="66" s="1"/>
  <c r="M20" i="65"/>
  <c r="H20" i="66" s="1"/>
  <c r="M22" i="65"/>
  <c r="H22" i="66" s="1"/>
  <c r="M24" i="65"/>
  <c r="H24" i="66" s="1"/>
  <c r="M26" i="65"/>
  <c r="H26" i="66" s="1"/>
  <c r="M28" i="65"/>
  <c r="H28" i="66" s="1"/>
  <c r="M30" i="65"/>
  <c r="H30" i="66" s="1"/>
  <c r="M32" i="65"/>
  <c r="H32" i="66" s="1"/>
  <c r="M34" i="65"/>
  <c r="H34" i="66" s="1"/>
  <c r="M36" i="65"/>
  <c r="H36" i="66" s="1"/>
  <c r="M38" i="65"/>
  <c r="G25" i="66"/>
  <c r="G47" s="1"/>
  <c r="I25"/>
  <c r="I47" s="1"/>
  <c r="K25"/>
  <c r="K47" s="1"/>
  <c r="G35"/>
  <c r="G49" s="1"/>
  <c r="I35"/>
  <c r="I49" s="1"/>
  <c r="K35"/>
  <c r="K49" s="1"/>
  <c r="J38"/>
  <c r="D10" i="181"/>
  <c r="D8"/>
  <c r="K10" i="119"/>
  <c r="K12"/>
  <c r="K14"/>
  <c r="K16"/>
  <c r="K18"/>
  <c r="K20"/>
  <c r="K22"/>
  <c r="D12" i="181"/>
  <c r="D21" s="1"/>
  <c r="D43" i="127"/>
  <c r="D12" i="6"/>
  <c r="F12"/>
  <c r="E11"/>
  <c r="F61"/>
  <c r="B61"/>
  <c r="E61"/>
  <c r="D61"/>
  <c r="D8" i="87"/>
  <c r="J8" s="1"/>
  <c r="K8"/>
  <c r="D10"/>
  <c r="J10" s="1"/>
  <c r="K10"/>
  <c r="D12"/>
  <c r="J12" s="1"/>
  <c r="K12"/>
  <c r="D14"/>
  <c r="J14" s="1"/>
  <c r="K14"/>
  <c r="D16"/>
  <c r="J16" s="1"/>
  <c r="K16"/>
  <c r="D20"/>
  <c r="J20" s="1"/>
  <c r="K20"/>
  <c r="D22"/>
  <c r="J22" s="1"/>
  <c r="K22"/>
  <c r="D24"/>
  <c r="J24" s="1"/>
  <c r="K24"/>
  <c r="K7"/>
  <c r="M7"/>
  <c r="M8"/>
  <c r="K9"/>
  <c r="M9"/>
  <c r="M10"/>
  <c r="K11"/>
  <c r="M11"/>
  <c r="M12"/>
  <c r="K13"/>
  <c r="M13"/>
  <c r="M14"/>
  <c r="K15"/>
  <c r="M15"/>
  <c r="M16"/>
  <c r="K17"/>
  <c r="M17"/>
  <c r="K19"/>
  <c r="M19"/>
  <c r="M20"/>
  <c r="K21"/>
  <c r="M21"/>
  <c r="M22"/>
  <c r="K23"/>
  <c r="M23"/>
  <c r="M24"/>
  <c r="K25"/>
  <c r="M25"/>
  <c r="K47"/>
  <c r="L7"/>
  <c r="L8"/>
  <c r="L9"/>
  <c r="L10"/>
  <c r="L11"/>
  <c r="L12"/>
  <c r="L13"/>
  <c r="L14"/>
  <c r="L15"/>
  <c r="L16"/>
  <c r="L17"/>
  <c r="L19"/>
  <c r="L20"/>
  <c r="L21"/>
  <c r="L22"/>
  <c r="L23"/>
  <c r="L24"/>
  <c r="L25"/>
  <c r="D26"/>
  <c r="J26" s="1"/>
  <c r="K26"/>
  <c r="D28"/>
  <c r="J28" s="1"/>
  <c r="K28"/>
  <c r="D30"/>
  <c r="J30" s="1"/>
  <c r="K30"/>
  <c r="D32"/>
  <c r="J32" s="1"/>
  <c r="K32"/>
  <c r="D34"/>
  <c r="J34" s="1"/>
  <c r="J64" s="1"/>
  <c r="K34"/>
  <c r="D36"/>
  <c r="J36" s="1"/>
  <c r="K36"/>
  <c r="D38"/>
  <c r="J38" s="1"/>
  <c r="K38"/>
  <c r="D40"/>
  <c r="J40" s="1"/>
  <c r="K40"/>
  <c r="D42"/>
  <c r="J42" s="1"/>
  <c r="K42"/>
  <c r="D44"/>
  <c r="J44" s="1"/>
  <c r="K44"/>
  <c r="D46"/>
  <c r="J46" s="1"/>
  <c r="K46"/>
  <c r="D48"/>
  <c r="J48" s="1"/>
  <c r="K48"/>
  <c r="M26"/>
  <c r="K27"/>
  <c r="M27"/>
  <c r="M28"/>
  <c r="K29"/>
  <c r="M29"/>
  <c r="M30"/>
  <c r="K31"/>
  <c r="M31"/>
  <c r="M32"/>
  <c r="K33"/>
  <c r="M33"/>
  <c r="M34"/>
  <c r="M64" s="1"/>
  <c r="K35"/>
  <c r="M35"/>
  <c r="M36"/>
  <c r="K37"/>
  <c r="M37"/>
  <c r="M38"/>
  <c r="K39"/>
  <c r="M39"/>
  <c r="M40"/>
  <c r="K41"/>
  <c r="M41"/>
  <c r="M42"/>
  <c r="K43"/>
  <c r="M43"/>
  <c r="M44"/>
  <c r="K45"/>
  <c r="M45"/>
  <c r="M66" s="1"/>
  <c r="M46"/>
  <c r="M47"/>
  <c r="M48"/>
  <c r="K49"/>
  <c r="M49"/>
  <c r="K50"/>
  <c r="M50"/>
  <c r="K51"/>
  <c r="M51"/>
  <c r="K52"/>
  <c r="M52"/>
  <c r="L26"/>
  <c r="L27"/>
  <c r="L28"/>
  <c r="L29"/>
  <c r="L30"/>
  <c r="L31"/>
  <c r="L32"/>
  <c r="L33"/>
  <c r="L34"/>
  <c r="L64" s="1"/>
  <c r="L35"/>
  <c r="L36"/>
  <c r="L37"/>
  <c r="L38"/>
  <c r="L39"/>
  <c r="L40"/>
  <c r="L41"/>
  <c r="L42"/>
  <c r="L43"/>
  <c r="L44"/>
  <c r="L45"/>
  <c r="L46"/>
  <c r="L47"/>
  <c r="L48"/>
  <c r="L49"/>
  <c r="L50"/>
  <c r="L51"/>
  <c r="L52"/>
  <c r="D18"/>
  <c r="J18" s="1"/>
  <c r="K18"/>
  <c r="M18"/>
  <c r="L18"/>
  <c r="J6"/>
  <c r="J60" s="1"/>
  <c r="K6"/>
  <c r="K60" s="1"/>
  <c r="M6"/>
  <c r="M60" s="1"/>
  <c r="L6"/>
  <c r="L60" s="1"/>
  <c r="D29" i="122"/>
  <c r="D28" i="123" s="1"/>
  <c r="D7" i="126" s="1"/>
  <c r="N27" i="122"/>
  <c r="E27" s="1"/>
  <c r="E26" i="123" s="1"/>
  <c r="E5" i="126" s="1"/>
  <c r="P27" i="122"/>
  <c r="G27" s="1"/>
  <c r="G26" i="123" s="1"/>
  <c r="G5" i="126" s="1"/>
  <c r="O27" i="122"/>
  <c r="F27" s="1"/>
  <c r="F26" i="123" s="1"/>
  <c r="F5" i="126" s="1"/>
  <c r="D7" i="87"/>
  <c r="J7" s="1"/>
  <c r="D9"/>
  <c r="J9" s="1"/>
  <c r="D11"/>
  <c r="J11" s="1"/>
  <c r="D13"/>
  <c r="J13" s="1"/>
  <c r="D15"/>
  <c r="J15" s="1"/>
  <c r="D17"/>
  <c r="J17" s="1"/>
  <c r="D19"/>
  <c r="J19" s="1"/>
  <c r="D21"/>
  <c r="J21" s="1"/>
  <c r="D23"/>
  <c r="J23" s="1"/>
  <c r="D25"/>
  <c r="J25" s="1"/>
  <c r="D27"/>
  <c r="J27" s="1"/>
  <c r="D29"/>
  <c r="J29" s="1"/>
  <c r="D31"/>
  <c r="J31" s="1"/>
  <c r="D33"/>
  <c r="J33" s="1"/>
  <c r="D35"/>
  <c r="J35" s="1"/>
  <c r="D37"/>
  <c r="J37" s="1"/>
  <c r="D39"/>
  <c r="J39" s="1"/>
  <c r="D41"/>
  <c r="J41" s="1"/>
  <c r="D43"/>
  <c r="J43" s="1"/>
  <c r="D45"/>
  <c r="J45" s="1"/>
  <c r="J66" s="1"/>
  <c r="D47"/>
  <c r="J47" s="1"/>
  <c r="D49"/>
  <c r="J49" s="1"/>
  <c r="D50"/>
  <c r="J50" s="1"/>
  <c r="D51"/>
  <c r="J51" s="1"/>
  <c r="D52"/>
  <c r="J52" s="1"/>
  <c r="G35" i="61"/>
  <c r="G25"/>
  <c r="J38"/>
  <c r="J35"/>
  <c r="G38"/>
  <c r="D48" i="67"/>
  <c r="F48"/>
  <c r="C48"/>
  <c r="E48"/>
  <c r="I24"/>
  <c r="K24"/>
  <c r="J25"/>
  <c r="J47" s="1"/>
  <c r="J35"/>
  <c r="J49" s="1"/>
  <c r="I38"/>
  <c r="K38"/>
  <c r="J24"/>
  <c r="I25"/>
  <c r="I47" s="1"/>
  <c r="K25"/>
  <c r="K47" s="1"/>
  <c r="I35"/>
  <c r="I49" s="1"/>
  <c r="K35"/>
  <c r="K49" s="1"/>
  <c r="J38"/>
  <c r="H37" i="79"/>
  <c r="H20" i="80"/>
  <c r="M20" s="1"/>
  <c r="H20" i="79" s="1"/>
  <c r="H22" i="80"/>
  <c r="M22" s="1"/>
  <c r="H22" i="79" s="1"/>
  <c r="H24" i="80"/>
  <c r="M24" s="1"/>
  <c r="H24" i="79" s="1"/>
  <c r="H26" i="80"/>
  <c r="M26" s="1"/>
  <c r="H26" i="79" s="1"/>
  <c r="H28" i="80"/>
  <c r="M28" s="1"/>
  <c r="H28" i="79" s="1"/>
  <c r="M16" i="76"/>
  <c r="H16" i="75" s="1"/>
  <c r="M18" i="76"/>
  <c r="H18" i="75" s="1"/>
  <c r="M20" i="76"/>
  <c r="H20" i="75" s="1"/>
  <c r="M22" i="76"/>
  <c r="H22" i="75" s="1"/>
  <c r="M24" i="76"/>
  <c r="H24" i="75" s="1"/>
  <c r="M26" i="76"/>
  <c r="H26" i="75" s="1"/>
  <c r="M28" i="76"/>
  <c r="H28" i="75" s="1"/>
  <c r="M30" i="76"/>
  <c r="H30" i="75" s="1"/>
  <c r="M32" i="76"/>
  <c r="H32" i="75" s="1"/>
  <c r="M34" i="76"/>
  <c r="H34" i="75" s="1"/>
  <c r="M36" i="76"/>
  <c r="H36" i="75" s="1"/>
  <c r="K15" i="73"/>
  <c r="J16"/>
  <c r="J18"/>
  <c r="J21"/>
  <c r="K22"/>
  <c r="J25"/>
  <c r="J47" s="1"/>
  <c r="K26"/>
  <c r="J28"/>
  <c r="K29"/>
  <c r="K31"/>
  <c r="J32"/>
  <c r="H15" i="74"/>
  <c r="H17"/>
  <c r="M17" s="1"/>
  <c r="H19"/>
  <c r="H21"/>
  <c r="H23"/>
  <c r="H25"/>
  <c r="H47" s="1"/>
  <c r="H27"/>
  <c r="M27" s="1"/>
  <c r="H27" i="73" s="1"/>
  <c r="H29" i="74"/>
  <c r="M29" s="1"/>
  <c r="H29" i="73" s="1"/>
  <c r="H31" i="74"/>
  <c r="M31" s="1"/>
  <c r="H31" i="73" s="1"/>
  <c r="H33" i="74"/>
  <c r="M33" s="1"/>
  <c r="H33" i="73" s="1"/>
  <c r="H35" i="74"/>
  <c r="M37"/>
  <c r="H37" i="73" s="1"/>
  <c r="H37" i="71"/>
  <c r="H14"/>
  <c r="H16" i="72"/>
  <c r="M16" s="1"/>
  <c r="H16" i="71" s="1"/>
  <c r="H18"/>
  <c r="H20"/>
  <c r="H22"/>
  <c r="H24"/>
  <c r="H26"/>
  <c r="H28"/>
  <c r="H30"/>
  <c r="H32"/>
  <c r="H34"/>
  <c r="H36"/>
  <c r="M16" i="70"/>
  <c r="H16" i="69" s="1"/>
  <c r="M18" i="70"/>
  <c r="H18" i="69" s="1"/>
  <c r="M20" i="70"/>
  <c r="H20" i="69" s="1"/>
  <c r="M22" i="70"/>
  <c r="H22" i="69" s="1"/>
  <c r="H24" i="70"/>
  <c r="M24" s="1"/>
  <c r="H24" i="69" s="1"/>
  <c r="H26" i="70"/>
  <c r="M26" s="1"/>
  <c r="H26" i="69" s="1"/>
  <c r="H28" i="67"/>
  <c r="M15" i="68"/>
  <c r="H15" i="67" s="1"/>
  <c r="M17" i="68"/>
  <c r="H17" i="67" s="1"/>
  <c r="M19" i="68"/>
  <c r="H19" i="67" s="1"/>
  <c r="M21" i="68"/>
  <c r="H21" i="67" s="1"/>
  <c r="M23" i="68"/>
  <c r="H23" i="67" s="1"/>
  <c r="M27" i="68"/>
  <c r="H27" i="67" s="1"/>
  <c r="M29" i="68"/>
  <c r="H29" i="67" s="1"/>
  <c r="M31" i="68"/>
  <c r="H31" i="67" s="1"/>
  <c r="M33" i="68"/>
  <c r="H33" i="67" s="1"/>
  <c r="M37" i="68"/>
  <c r="H37" i="67" s="1"/>
  <c r="D18" i="181" l="1"/>
  <c r="D19"/>
  <c r="M25" i="80"/>
  <c r="H47"/>
  <c r="H48"/>
  <c r="H47" i="70"/>
  <c r="H48"/>
  <c r="C48" i="61"/>
  <c r="C49"/>
  <c r="J48" i="73"/>
  <c r="J49"/>
  <c r="J48" i="75"/>
  <c r="J49"/>
  <c r="K47" i="69"/>
  <c r="K48"/>
  <c r="I48" i="73"/>
  <c r="I49"/>
  <c r="G48" i="75"/>
  <c r="G49"/>
  <c r="I47" i="69"/>
  <c r="I48"/>
  <c r="H48" i="74"/>
  <c r="H49"/>
  <c r="L65" i="87"/>
  <c r="L66"/>
  <c r="K65"/>
  <c r="K66"/>
  <c r="K48" i="75"/>
  <c r="K49"/>
  <c r="G47" i="69"/>
  <c r="G48"/>
  <c r="I48" i="75"/>
  <c r="I49"/>
  <c r="J47" i="69"/>
  <c r="J48"/>
  <c r="K48" i="73"/>
  <c r="K49"/>
  <c r="G48"/>
  <c r="G49"/>
  <c r="J48" i="61"/>
  <c r="J49"/>
  <c r="G48"/>
  <c r="G49"/>
  <c r="H14" i="67"/>
  <c r="J65" i="87"/>
  <c r="M65"/>
  <c r="I65"/>
  <c r="H16" i="73"/>
  <c r="M20" i="74"/>
  <c r="H20" i="73" s="1"/>
  <c r="M15" i="74"/>
  <c r="H15" i="73" s="1"/>
  <c r="M23" i="74"/>
  <c r="H23" i="73" s="1"/>
  <c r="M21" i="74"/>
  <c r="H21" i="73" s="1"/>
  <c r="H17"/>
  <c r="H18"/>
  <c r="M24" i="74"/>
  <c r="H24" i="73" s="1"/>
  <c r="M19" i="74"/>
  <c r="H19" i="73" s="1"/>
  <c r="M22" i="74"/>
  <c r="H22" i="73" s="1"/>
  <c r="M27" i="70"/>
  <c r="H27" i="69" s="1"/>
  <c r="K64" i="87"/>
  <c r="C12" i="118"/>
  <c r="C12" i="7"/>
  <c r="B26" i="123"/>
  <c r="B5" i="126" s="1"/>
  <c r="B26" i="122"/>
  <c r="B59" s="1"/>
  <c r="L31" i="322"/>
  <c r="N30"/>
  <c r="F31"/>
  <c r="I48" i="66"/>
  <c r="L43" i="127"/>
  <c r="E42"/>
  <c r="H43"/>
  <c r="B42"/>
  <c r="B29" i="148"/>
  <c r="F41" i="328"/>
  <c r="G39"/>
  <c r="E41"/>
  <c r="B41"/>
  <c r="O42" i="127"/>
  <c r="N31" i="322"/>
  <c r="P31"/>
  <c r="R31"/>
  <c r="T31"/>
  <c r="V31"/>
  <c r="X31"/>
  <c r="K48" i="66"/>
  <c r="G48"/>
  <c r="J48"/>
  <c r="C11" i="123"/>
  <c r="I63" i="87"/>
  <c r="F39" i="328"/>
  <c r="B39"/>
  <c r="G41"/>
  <c r="D30" i="322"/>
  <c r="E29" i="148"/>
  <c r="J29"/>
  <c r="J43" i="127"/>
  <c r="P43"/>
  <c r="R43"/>
  <c r="T43"/>
  <c r="V43"/>
  <c r="X43"/>
  <c r="K26" i="119"/>
  <c r="M25" i="68"/>
  <c r="M47" s="1"/>
  <c r="M38"/>
  <c r="M35"/>
  <c r="M49" s="1"/>
  <c r="H48"/>
  <c r="M25" i="74"/>
  <c r="M47" s="1"/>
  <c r="M63" i="87"/>
  <c r="H38" i="66"/>
  <c r="M35" i="76"/>
  <c r="M25"/>
  <c r="M24" i="68"/>
  <c r="M61" i="87"/>
  <c r="J61"/>
  <c r="M62"/>
  <c r="J62"/>
  <c r="F43" i="127"/>
  <c r="M14" i="65"/>
  <c r="H14" i="66" s="1"/>
  <c r="M35" i="65"/>
  <c r="M25"/>
  <c r="M47" s="1"/>
  <c r="H38" i="71"/>
  <c r="H35"/>
  <c r="M35" i="74"/>
  <c r="J63" i="87"/>
  <c r="L63"/>
  <c r="K63"/>
  <c r="M25" i="70"/>
  <c r="L61" i="87"/>
  <c r="K61"/>
  <c r="L62"/>
  <c r="K62"/>
  <c r="E31" i="148"/>
  <c r="E35"/>
  <c r="J31"/>
  <c r="J35"/>
  <c r="I32"/>
  <c r="I28"/>
  <c r="I30"/>
  <c r="B32"/>
  <c r="B28"/>
  <c r="B30"/>
  <c r="D17" i="181"/>
  <c r="D20"/>
  <c r="I36" i="148"/>
  <c r="I34"/>
  <c r="D31"/>
  <c r="D35"/>
  <c r="E43" i="127"/>
  <c r="E32" i="148"/>
  <c r="E28"/>
  <c r="E30"/>
  <c r="O43" i="127"/>
  <c r="J32" i="148"/>
  <c r="J28"/>
  <c r="J30"/>
  <c r="U43" i="127"/>
  <c r="K13" i="119"/>
  <c r="B37"/>
  <c r="N41" i="127"/>
  <c r="U41"/>
  <c r="K29" i="148"/>
  <c r="H36"/>
  <c r="E32" i="322"/>
  <c r="G31" i="148"/>
  <c r="H31"/>
  <c r="S32" i="322"/>
  <c r="U32"/>
  <c r="W32"/>
  <c r="E34" i="148"/>
  <c r="E41" i="127"/>
  <c r="D42"/>
  <c r="N42"/>
  <c r="E31" i="322"/>
  <c r="F32"/>
  <c r="N32"/>
  <c r="P32"/>
  <c r="T32"/>
  <c r="X32"/>
  <c r="G43" i="127"/>
  <c r="K43"/>
  <c r="Q43"/>
  <c r="S43"/>
  <c r="K27" i="119"/>
  <c r="K25"/>
  <c r="K23"/>
  <c r="K21"/>
  <c r="K19"/>
  <c r="K17"/>
  <c r="K15"/>
  <c r="B41" i="127"/>
  <c r="K11" i="119"/>
  <c r="J36" i="148"/>
  <c r="J34"/>
  <c r="K36"/>
  <c r="K34"/>
  <c r="K31"/>
  <c r="K35"/>
  <c r="D32"/>
  <c r="D28"/>
  <c r="D30"/>
  <c r="F32"/>
  <c r="F30"/>
  <c r="N43" i="127"/>
  <c r="K28" i="119"/>
  <c r="B34" i="148"/>
  <c r="B36"/>
  <c r="B38" i="119"/>
  <c r="K24"/>
  <c r="D36" i="148"/>
  <c r="D34"/>
  <c r="I31"/>
  <c r="I35"/>
  <c r="G32"/>
  <c r="G30"/>
  <c r="H32"/>
  <c r="H30"/>
  <c r="K32"/>
  <c r="K30"/>
  <c r="K28"/>
  <c r="B31"/>
  <c r="B35"/>
  <c r="U42" i="127"/>
  <c r="E36" i="148"/>
  <c r="G36"/>
  <c r="G32" i="322"/>
  <c r="M32"/>
  <c r="O32"/>
  <c r="Q32"/>
  <c r="O41" i="127"/>
  <c r="E30" i="322"/>
  <c r="O30"/>
  <c r="U30"/>
  <c r="D29" i="148"/>
  <c r="I29"/>
  <c r="G31" i="322"/>
  <c r="M31"/>
  <c r="O31"/>
  <c r="Q31"/>
  <c r="S31"/>
  <c r="U31"/>
  <c r="W31"/>
  <c r="F36" i="148"/>
  <c r="D32" i="322"/>
  <c r="F31" i="148"/>
  <c r="L32" i="322"/>
  <c r="R32"/>
  <c r="V32"/>
  <c r="I43" i="127"/>
  <c r="M43"/>
  <c r="W43"/>
  <c r="E10" i="6"/>
  <c r="F11"/>
  <c r="D11"/>
  <c r="O26" i="122"/>
  <c r="F26" s="1"/>
  <c r="P26"/>
  <c r="G26" s="1"/>
  <c r="N26"/>
  <c r="E26" s="1"/>
  <c r="D28"/>
  <c r="D27" i="123" s="1"/>
  <c r="D6" i="126" s="1"/>
  <c r="K48" i="67"/>
  <c r="J48"/>
  <c r="I48"/>
  <c r="F25" i="123" l="1"/>
  <c r="F59" i="122"/>
  <c r="M48" i="74"/>
  <c r="M49"/>
  <c r="H25" i="79"/>
  <c r="M47" i="80"/>
  <c r="M48"/>
  <c r="E25" i="123"/>
  <c r="E59" i="122"/>
  <c r="H25" i="69"/>
  <c r="M47" i="70"/>
  <c r="M48"/>
  <c r="M48" i="65"/>
  <c r="M49"/>
  <c r="H25" i="75"/>
  <c r="H47" s="1"/>
  <c r="M47" i="76"/>
  <c r="G25" i="123"/>
  <c r="G59" i="122"/>
  <c r="H48" i="71"/>
  <c r="H49"/>
  <c r="M48" i="76"/>
  <c r="M49"/>
  <c r="H35" i="75"/>
  <c r="H35" i="73"/>
  <c r="C11" i="118"/>
  <c r="C11" i="7"/>
  <c r="B25" i="123"/>
  <c r="B60" i="122"/>
  <c r="B25"/>
  <c r="C10" i="123"/>
  <c r="D41" i="328"/>
  <c r="C29" i="148"/>
  <c r="C42" i="127"/>
  <c r="H25" i="66"/>
  <c r="H47" s="1"/>
  <c r="H25" i="73"/>
  <c r="H47" s="1"/>
  <c r="H35" i="67"/>
  <c r="H49" s="1"/>
  <c r="M48" i="68"/>
  <c r="H38" i="67"/>
  <c r="H25"/>
  <c r="H47" s="1"/>
  <c r="H35" i="66"/>
  <c r="H24" i="67"/>
  <c r="C31" i="148"/>
  <c r="C35"/>
  <c r="C36"/>
  <c r="C34"/>
  <c r="C32"/>
  <c r="C28"/>
  <c r="C30"/>
  <c r="C43" i="127"/>
  <c r="D10" i="6"/>
  <c r="F10"/>
  <c r="E9"/>
  <c r="D27" i="122"/>
  <c r="D26" i="123" s="1"/>
  <c r="D5" i="126" s="1"/>
  <c r="N25" i="122"/>
  <c r="E25" s="1"/>
  <c r="P25"/>
  <c r="G25" s="1"/>
  <c r="O25"/>
  <c r="F25" s="1"/>
  <c r="J7" i="39"/>
  <c r="K7"/>
  <c r="L7"/>
  <c r="M7"/>
  <c r="N7"/>
  <c r="O7"/>
  <c r="P7"/>
  <c r="Q7"/>
  <c r="R7"/>
  <c r="J8"/>
  <c r="K8"/>
  <c r="L8"/>
  <c r="M8"/>
  <c r="N8"/>
  <c r="O8"/>
  <c r="P8"/>
  <c r="Q8"/>
  <c r="R8"/>
  <c r="J9"/>
  <c r="K9"/>
  <c r="L9"/>
  <c r="M9"/>
  <c r="N9"/>
  <c r="O9"/>
  <c r="P9"/>
  <c r="Q9"/>
  <c r="R9"/>
  <c r="J10"/>
  <c r="K10"/>
  <c r="L10"/>
  <c r="M10"/>
  <c r="N10"/>
  <c r="O10"/>
  <c r="P10"/>
  <c r="Q10"/>
  <c r="R10"/>
  <c r="J11"/>
  <c r="K11"/>
  <c r="L11"/>
  <c r="M11"/>
  <c r="N11"/>
  <c r="O11"/>
  <c r="P11"/>
  <c r="Q11"/>
  <c r="R11"/>
  <c r="J12"/>
  <c r="K12"/>
  <c r="L12"/>
  <c r="M12"/>
  <c r="N12"/>
  <c r="O12"/>
  <c r="P12"/>
  <c r="Q12"/>
  <c r="R12"/>
  <c r="J13"/>
  <c r="K13"/>
  <c r="L13"/>
  <c r="M13"/>
  <c r="N13"/>
  <c r="O13"/>
  <c r="P13"/>
  <c r="Q13"/>
  <c r="R13"/>
  <c r="J14"/>
  <c r="K14"/>
  <c r="L14"/>
  <c r="M14"/>
  <c r="N14"/>
  <c r="O14"/>
  <c r="P14"/>
  <c r="Q14"/>
  <c r="R14"/>
  <c r="J15"/>
  <c r="K15"/>
  <c r="L15"/>
  <c r="M15"/>
  <c r="N15"/>
  <c r="O15"/>
  <c r="P15"/>
  <c r="Q15"/>
  <c r="R15"/>
  <c r="J16"/>
  <c r="K16"/>
  <c r="L16"/>
  <c r="M16"/>
  <c r="N16"/>
  <c r="O16"/>
  <c r="P16"/>
  <c r="Q16"/>
  <c r="R16"/>
  <c r="J17"/>
  <c r="K17"/>
  <c r="L17"/>
  <c r="M17"/>
  <c r="N17"/>
  <c r="O17"/>
  <c r="P17"/>
  <c r="Q17"/>
  <c r="R17"/>
  <c r="J18"/>
  <c r="K18"/>
  <c r="L18"/>
  <c r="M18"/>
  <c r="N18"/>
  <c r="O18"/>
  <c r="P18"/>
  <c r="Q18"/>
  <c r="R18"/>
  <c r="J19"/>
  <c r="K19"/>
  <c r="L19"/>
  <c r="M19"/>
  <c r="N19"/>
  <c r="O19"/>
  <c r="P19"/>
  <c r="Q19"/>
  <c r="R19"/>
  <c r="J20"/>
  <c r="K20"/>
  <c r="L20"/>
  <c r="M20"/>
  <c r="N20"/>
  <c r="O20"/>
  <c r="P20"/>
  <c r="Q20"/>
  <c r="R20"/>
  <c r="J21"/>
  <c r="K21"/>
  <c r="L21"/>
  <c r="M21"/>
  <c r="N21"/>
  <c r="O21"/>
  <c r="P21"/>
  <c r="Q21"/>
  <c r="R21"/>
  <c r="J22"/>
  <c r="K22"/>
  <c r="L22"/>
  <c r="M22"/>
  <c r="N22"/>
  <c r="O22"/>
  <c r="P22"/>
  <c r="Q22"/>
  <c r="R22"/>
  <c r="J23"/>
  <c r="K23"/>
  <c r="L23"/>
  <c r="M23"/>
  <c r="N23"/>
  <c r="O23"/>
  <c r="P23"/>
  <c r="Q23"/>
  <c r="R23"/>
  <c r="J24"/>
  <c r="K24"/>
  <c r="L24"/>
  <c r="M24"/>
  <c r="N24"/>
  <c r="O24"/>
  <c r="P24"/>
  <c r="Q24"/>
  <c r="R24"/>
  <c r="J25"/>
  <c r="K25"/>
  <c r="L25"/>
  <c r="M25"/>
  <c r="N25"/>
  <c r="O25"/>
  <c r="P25"/>
  <c r="Q25"/>
  <c r="R25"/>
  <c r="J26"/>
  <c r="K26"/>
  <c r="L26"/>
  <c r="M26"/>
  <c r="N26"/>
  <c r="O26"/>
  <c r="P26"/>
  <c r="Q26"/>
  <c r="R26"/>
  <c r="J27"/>
  <c r="K27"/>
  <c r="L27"/>
  <c r="M27"/>
  <c r="N27"/>
  <c r="O27"/>
  <c r="P27"/>
  <c r="Q27"/>
  <c r="R27"/>
  <c r="J7" i="38"/>
  <c r="K7"/>
  <c r="L7"/>
  <c r="M7"/>
  <c r="N7"/>
  <c r="O7"/>
  <c r="P7"/>
  <c r="Q7"/>
  <c r="R7"/>
  <c r="J8"/>
  <c r="K8"/>
  <c r="L8"/>
  <c r="M8"/>
  <c r="N8"/>
  <c r="O8"/>
  <c r="P8"/>
  <c r="Q8"/>
  <c r="R8"/>
  <c r="J9"/>
  <c r="K9"/>
  <c r="L9"/>
  <c r="M9"/>
  <c r="N9"/>
  <c r="O9"/>
  <c r="P9"/>
  <c r="Q9"/>
  <c r="R9"/>
  <c r="J10"/>
  <c r="K10"/>
  <c r="L10"/>
  <c r="M10"/>
  <c r="N10"/>
  <c r="O10"/>
  <c r="P10"/>
  <c r="Q10"/>
  <c r="R10"/>
  <c r="J11"/>
  <c r="K11"/>
  <c r="L11"/>
  <c r="M11"/>
  <c r="N11"/>
  <c r="O11"/>
  <c r="P11"/>
  <c r="Q11"/>
  <c r="R11"/>
  <c r="J12"/>
  <c r="K12"/>
  <c r="L12"/>
  <c r="M12"/>
  <c r="N12"/>
  <c r="O12"/>
  <c r="P12"/>
  <c r="Q12"/>
  <c r="R12"/>
  <c r="J13"/>
  <c r="K13"/>
  <c r="L13"/>
  <c r="M13"/>
  <c r="N13"/>
  <c r="O13"/>
  <c r="P13"/>
  <c r="Q13"/>
  <c r="R13"/>
  <c r="J14"/>
  <c r="K14"/>
  <c r="L14"/>
  <c r="M14"/>
  <c r="N14"/>
  <c r="O14"/>
  <c r="P14"/>
  <c r="Q14"/>
  <c r="R14"/>
  <c r="J15"/>
  <c r="K15"/>
  <c r="L15"/>
  <c r="M15"/>
  <c r="N15"/>
  <c r="O15"/>
  <c r="P15"/>
  <c r="Q15"/>
  <c r="R15"/>
  <c r="J16"/>
  <c r="K16"/>
  <c r="L16"/>
  <c r="M16"/>
  <c r="N16"/>
  <c r="O16"/>
  <c r="P16"/>
  <c r="Q16"/>
  <c r="R16"/>
  <c r="J17"/>
  <c r="K17"/>
  <c r="L17"/>
  <c r="M17"/>
  <c r="N17"/>
  <c r="O17"/>
  <c r="P17"/>
  <c r="Q17"/>
  <c r="R17"/>
  <c r="J18"/>
  <c r="K18"/>
  <c r="L18"/>
  <c r="M18"/>
  <c r="N18"/>
  <c r="O18"/>
  <c r="P18"/>
  <c r="Q18"/>
  <c r="R18"/>
  <c r="J19"/>
  <c r="K19"/>
  <c r="L19"/>
  <c r="M19"/>
  <c r="N19"/>
  <c r="O19"/>
  <c r="P19"/>
  <c r="Q19"/>
  <c r="R19"/>
  <c r="J20"/>
  <c r="K20"/>
  <c r="L20"/>
  <c r="M20"/>
  <c r="N20"/>
  <c r="O20"/>
  <c r="P20"/>
  <c r="Q20"/>
  <c r="R20"/>
  <c r="J21"/>
  <c r="K21"/>
  <c r="L21"/>
  <c r="M21"/>
  <c r="N21"/>
  <c r="O21"/>
  <c r="P21"/>
  <c r="Q21"/>
  <c r="R21"/>
  <c r="J22"/>
  <c r="K22"/>
  <c r="L22"/>
  <c r="M22"/>
  <c r="N22"/>
  <c r="O22"/>
  <c r="P22"/>
  <c r="Q22"/>
  <c r="R22"/>
  <c r="J23"/>
  <c r="K23"/>
  <c r="L23"/>
  <c r="M23"/>
  <c r="N23"/>
  <c r="O23"/>
  <c r="P23"/>
  <c r="Q23"/>
  <c r="R23"/>
  <c r="J24"/>
  <c r="K24"/>
  <c r="L24"/>
  <c r="M24"/>
  <c r="N24"/>
  <c r="O24"/>
  <c r="P24"/>
  <c r="Q24"/>
  <c r="R24"/>
  <c r="J25"/>
  <c r="K25"/>
  <c r="L25"/>
  <c r="M25"/>
  <c r="N25"/>
  <c r="O25"/>
  <c r="P25"/>
  <c r="Q25"/>
  <c r="R25"/>
  <c r="J26"/>
  <c r="K26"/>
  <c r="L26"/>
  <c r="M26"/>
  <c r="N26"/>
  <c r="O26"/>
  <c r="P26"/>
  <c r="Q26"/>
  <c r="R26"/>
  <c r="J27"/>
  <c r="K27"/>
  <c r="L27"/>
  <c r="M27"/>
  <c r="N27"/>
  <c r="O27"/>
  <c r="P27"/>
  <c r="Q27"/>
  <c r="R27"/>
  <c r="J7" i="37"/>
  <c r="K7"/>
  <c r="L7"/>
  <c r="M7"/>
  <c r="N7"/>
  <c r="O7"/>
  <c r="P7"/>
  <c r="Q7"/>
  <c r="R7"/>
  <c r="J8"/>
  <c r="K8"/>
  <c r="L8"/>
  <c r="M8"/>
  <c r="N8"/>
  <c r="O8"/>
  <c r="P8"/>
  <c r="Q8"/>
  <c r="R8"/>
  <c r="J9"/>
  <c r="K9"/>
  <c r="L9"/>
  <c r="M9"/>
  <c r="N9"/>
  <c r="O9"/>
  <c r="P9"/>
  <c r="Q9"/>
  <c r="R9"/>
  <c r="J10"/>
  <c r="K10"/>
  <c r="L10"/>
  <c r="M10"/>
  <c r="N10"/>
  <c r="O10"/>
  <c r="P10"/>
  <c r="Q10"/>
  <c r="R10"/>
  <c r="J11"/>
  <c r="K11"/>
  <c r="L11"/>
  <c r="M11"/>
  <c r="N11"/>
  <c r="O11"/>
  <c r="P11"/>
  <c r="Q11"/>
  <c r="R11"/>
  <c r="J12"/>
  <c r="K12"/>
  <c r="L12"/>
  <c r="M12"/>
  <c r="N12"/>
  <c r="O12"/>
  <c r="P12"/>
  <c r="Q12"/>
  <c r="R12"/>
  <c r="J13"/>
  <c r="K13"/>
  <c r="L13"/>
  <c r="M13"/>
  <c r="N13"/>
  <c r="O13"/>
  <c r="P13"/>
  <c r="Q13"/>
  <c r="R13"/>
  <c r="J14"/>
  <c r="K14"/>
  <c r="L14"/>
  <c r="M14"/>
  <c r="N14"/>
  <c r="O14"/>
  <c r="P14"/>
  <c r="Q14"/>
  <c r="R14"/>
  <c r="J15"/>
  <c r="K15"/>
  <c r="L15"/>
  <c r="M15"/>
  <c r="N15"/>
  <c r="O15"/>
  <c r="P15"/>
  <c r="Q15"/>
  <c r="R15"/>
  <c r="J16"/>
  <c r="K16"/>
  <c r="L16"/>
  <c r="M16"/>
  <c r="N16"/>
  <c r="O16"/>
  <c r="P16"/>
  <c r="Q16"/>
  <c r="R16"/>
  <c r="J17"/>
  <c r="K17"/>
  <c r="L17"/>
  <c r="M17"/>
  <c r="N17"/>
  <c r="O17"/>
  <c r="P17"/>
  <c r="Q17"/>
  <c r="R17"/>
  <c r="J18"/>
  <c r="K18"/>
  <c r="L18"/>
  <c r="M18"/>
  <c r="N18"/>
  <c r="O18"/>
  <c r="P18"/>
  <c r="Q18"/>
  <c r="R18"/>
  <c r="J19"/>
  <c r="K19"/>
  <c r="L19"/>
  <c r="M19"/>
  <c r="N19"/>
  <c r="O19"/>
  <c r="P19"/>
  <c r="Q19"/>
  <c r="R19"/>
  <c r="J20"/>
  <c r="K20"/>
  <c r="L20"/>
  <c r="M20"/>
  <c r="N20"/>
  <c r="O20"/>
  <c r="P20"/>
  <c r="Q20"/>
  <c r="R20"/>
  <c r="J21"/>
  <c r="K21"/>
  <c r="L21"/>
  <c r="M21"/>
  <c r="N21"/>
  <c r="O21"/>
  <c r="P21"/>
  <c r="Q21"/>
  <c r="R21"/>
  <c r="J22"/>
  <c r="K22"/>
  <c r="L22"/>
  <c r="M22"/>
  <c r="N22"/>
  <c r="O22"/>
  <c r="P22"/>
  <c r="Q22"/>
  <c r="R22"/>
  <c r="J23"/>
  <c r="K23"/>
  <c r="L23"/>
  <c r="M23"/>
  <c r="N23"/>
  <c r="O23"/>
  <c r="P23"/>
  <c r="Q23"/>
  <c r="R23"/>
  <c r="J24"/>
  <c r="K24"/>
  <c r="L24"/>
  <c r="M24"/>
  <c r="N24"/>
  <c r="O24"/>
  <c r="P24"/>
  <c r="Q24"/>
  <c r="R24"/>
  <c r="J25"/>
  <c r="K25"/>
  <c r="L25"/>
  <c r="M25"/>
  <c r="N25"/>
  <c r="O25"/>
  <c r="P25"/>
  <c r="Q25"/>
  <c r="R25"/>
  <c r="J26"/>
  <c r="K26"/>
  <c r="L26"/>
  <c r="M26"/>
  <c r="N26"/>
  <c r="O26"/>
  <c r="P26"/>
  <c r="Q26"/>
  <c r="R26"/>
  <c r="J27"/>
  <c r="K27"/>
  <c r="L27"/>
  <c r="M27"/>
  <c r="N27"/>
  <c r="O27"/>
  <c r="P27"/>
  <c r="Q27"/>
  <c r="R27"/>
  <c r="J7" i="36"/>
  <c r="K7"/>
  <c r="L7"/>
  <c r="M7"/>
  <c r="N7"/>
  <c r="O7"/>
  <c r="P7"/>
  <c r="Q7"/>
  <c r="R7"/>
  <c r="J8"/>
  <c r="K8"/>
  <c r="L8"/>
  <c r="M8"/>
  <c r="N8"/>
  <c r="O8"/>
  <c r="P8"/>
  <c r="Q8"/>
  <c r="R8"/>
  <c r="J9"/>
  <c r="K9"/>
  <c r="L9"/>
  <c r="M9"/>
  <c r="N9"/>
  <c r="O9"/>
  <c r="P9"/>
  <c r="Q9"/>
  <c r="R9"/>
  <c r="J10"/>
  <c r="K10"/>
  <c r="L10"/>
  <c r="M10"/>
  <c r="N10"/>
  <c r="O10"/>
  <c r="P10"/>
  <c r="Q10"/>
  <c r="R10"/>
  <c r="J11"/>
  <c r="K11"/>
  <c r="L11"/>
  <c r="M11"/>
  <c r="N11"/>
  <c r="O11"/>
  <c r="P11"/>
  <c r="Q11"/>
  <c r="R11"/>
  <c r="J12"/>
  <c r="K12"/>
  <c r="L12"/>
  <c r="M12"/>
  <c r="N12"/>
  <c r="O12"/>
  <c r="P12"/>
  <c r="Q12"/>
  <c r="R12"/>
  <c r="J13"/>
  <c r="K13"/>
  <c r="L13"/>
  <c r="M13"/>
  <c r="N13"/>
  <c r="O13"/>
  <c r="P13"/>
  <c r="Q13"/>
  <c r="R13"/>
  <c r="J14"/>
  <c r="K14"/>
  <c r="L14"/>
  <c r="M14"/>
  <c r="N14"/>
  <c r="O14"/>
  <c r="P14"/>
  <c r="Q14"/>
  <c r="R14"/>
  <c r="J15"/>
  <c r="K15"/>
  <c r="L15"/>
  <c r="M15"/>
  <c r="N15"/>
  <c r="O15"/>
  <c r="P15"/>
  <c r="Q15"/>
  <c r="R15"/>
  <c r="J16"/>
  <c r="K16"/>
  <c r="L16"/>
  <c r="M16"/>
  <c r="N16"/>
  <c r="O16"/>
  <c r="P16"/>
  <c r="Q16"/>
  <c r="R16"/>
  <c r="J17"/>
  <c r="K17"/>
  <c r="L17"/>
  <c r="M17"/>
  <c r="N17"/>
  <c r="O17"/>
  <c r="P17"/>
  <c r="Q17"/>
  <c r="R17"/>
  <c r="J18"/>
  <c r="K18"/>
  <c r="L18"/>
  <c r="M18"/>
  <c r="N18"/>
  <c r="O18"/>
  <c r="P18"/>
  <c r="Q18"/>
  <c r="R18"/>
  <c r="J19"/>
  <c r="K19"/>
  <c r="L19"/>
  <c r="M19"/>
  <c r="N19"/>
  <c r="O19"/>
  <c r="P19"/>
  <c r="Q19"/>
  <c r="R19"/>
  <c r="J20"/>
  <c r="K20"/>
  <c r="L20"/>
  <c r="M20"/>
  <c r="N20"/>
  <c r="O20"/>
  <c r="P20"/>
  <c r="Q20"/>
  <c r="R20"/>
  <c r="J21"/>
  <c r="K21"/>
  <c r="L21"/>
  <c r="M21"/>
  <c r="N21"/>
  <c r="O21"/>
  <c r="P21"/>
  <c r="Q21"/>
  <c r="R21"/>
  <c r="J22"/>
  <c r="K22"/>
  <c r="L22"/>
  <c r="M22"/>
  <c r="N22"/>
  <c r="O22"/>
  <c r="P22"/>
  <c r="Q22"/>
  <c r="R22"/>
  <c r="J23"/>
  <c r="K23"/>
  <c r="L23"/>
  <c r="M23"/>
  <c r="N23"/>
  <c r="O23"/>
  <c r="P23"/>
  <c r="Q23"/>
  <c r="R23"/>
  <c r="J24"/>
  <c r="K24"/>
  <c r="L24"/>
  <c r="M24"/>
  <c r="N24"/>
  <c r="O24"/>
  <c r="P24"/>
  <c r="Q24"/>
  <c r="R24"/>
  <c r="J25"/>
  <c r="K25"/>
  <c r="L25"/>
  <c r="M25"/>
  <c r="N25"/>
  <c r="O25"/>
  <c r="P25"/>
  <c r="Q25"/>
  <c r="R25"/>
  <c r="J26"/>
  <c r="K26"/>
  <c r="L26"/>
  <c r="M26"/>
  <c r="N26"/>
  <c r="O26"/>
  <c r="P26"/>
  <c r="Q26"/>
  <c r="R26"/>
  <c r="J27"/>
  <c r="K27"/>
  <c r="L27"/>
  <c r="M27"/>
  <c r="N27"/>
  <c r="O27"/>
  <c r="P27"/>
  <c r="Q27"/>
  <c r="R27"/>
  <c r="J8" i="35"/>
  <c r="K8"/>
  <c r="L8"/>
  <c r="M8"/>
  <c r="N8"/>
  <c r="O8"/>
  <c r="P8"/>
  <c r="Q8"/>
  <c r="R8"/>
  <c r="J9"/>
  <c r="K9"/>
  <c r="L9"/>
  <c r="M9"/>
  <c r="N9"/>
  <c r="O9"/>
  <c r="P9"/>
  <c r="Q9"/>
  <c r="R9"/>
  <c r="J10"/>
  <c r="K10"/>
  <c r="L10"/>
  <c r="M10"/>
  <c r="N10"/>
  <c r="O10"/>
  <c r="P10"/>
  <c r="Q10"/>
  <c r="R10"/>
  <c r="J11"/>
  <c r="K11"/>
  <c r="L11"/>
  <c r="M11"/>
  <c r="N11"/>
  <c r="O11"/>
  <c r="P11"/>
  <c r="Q11"/>
  <c r="R11"/>
  <c r="J12"/>
  <c r="K12"/>
  <c r="L12"/>
  <c r="M12"/>
  <c r="N12"/>
  <c r="O12"/>
  <c r="P12"/>
  <c r="Q12"/>
  <c r="R12"/>
  <c r="J13"/>
  <c r="K13"/>
  <c r="L13"/>
  <c r="M13"/>
  <c r="N13"/>
  <c r="O13"/>
  <c r="P13"/>
  <c r="Q13"/>
  <c r="R13"/>
  <c r="J14"/>
  <c r="K14"/>
  <c r="L14"/>
  <c r="M14"/>
  <c r="N14"/>
  <c r="O14"/>
  <c r="P14"/>
  <c r="Q14"/>
  <c r="R14"/>
  <c r="J15"/>
  <c r="K15"/>
  <c r="L15"/>
  <c r="M15"/>
  <c r="N15"/>
  <c r="O15"/>
  <c r="P15"/>
  <c r="Q15"/>
  <c r="R15"/>
  <c r="J16"/>
  <c r="K16"/>
  <c r="L16"/>
  <c r="M16"/>
  <c r="N16"/>
  <c r="O16"/>
  <c r="P16"/>
  <c r="Q16"/>
  <c r="R16"/>
  <c r="J17"/>
  <c r="K17"/>
  <c r="L17"/>
  <c r="M17"/>
  <c r="N17"/>
  <c r="O17"/>
  <c r="P17"/>
  <c r="Q17"/>
  <c r="R17"/>
  <c r="J18"/>
  <c r="K18"/>
  <c r="L18"/>
  <c r="M18"/>
  <c r="N18"/>
  <c r="O18"/>
  <c r="P18"/>
  <c r="Q18"/>
  <c r="R18"/>
  <c r="J19"/>
  <c r="K19"/>
  <c r="L19"/>
  <c r="M19"/>
  <c r="N19"/>
  <c r="O19"/>
  <c r="P19"/>
  <c r="Q19"/>
  <c r="R19"/>
  <c r="J20"/>
  <c r="K20"/>
  <c r="L20"/>
  <c r="M20"/>
  <c r="N20"/>
  <c r="O20"/>
  <c r="P20"/>
  <c r="Q20"/>
  <c r="R20"/>
  <c r="J21"/>
  <c r="K21"/>
  <c r="L21"/>
  <c r="M21"/>
  <c r="N21"/>
  <c r="O21"/>
  <c r="P21"/>
  <c r="Q21"/>
  <c r="R21"/>
  <c r="J22"/>
  <c r="K22"/>
  <c r="L22"/>
  <c r="M22"/>
  <c r="N22"/>
  <c r="O22"/>
  <c r="P22"/>
  <c r="Q22"/>
  <c r="R22"/>
  <c r="J23"/>
  <c r="K23"/>
  <c r="L23"/>
  <c r="M23"/>
  <c r="N23"/>
  <c r="O23"/>
  <c r="P23"/>
  <c r="Q23"/>
  <c r="R23"/>
  <c r="J24"/>
  <c r="K24"/>
  <c r="L24"/>
  <c r="M24"/>
  <c r="N24"/>
  <c r="O24"/>
  <c r="P24"/>
  <c r="Q24"/>
  <c r="R24"/>
  <c r="J25"/>
  <c r="K25"/>
  <c r="L25"/>
  <c r="M25"/>
  <c r="N25"/>
  <c r="O25"/>
  <c r="P25"/>
  <c r="Q25"/>
  <c r="R25"/>
  <c r="J26"/>
  <c r="K26"/>
  <c r="L26"/>
  <c r="M26"/>
  <c r="N26"/>
  <c r="O26"/>
  <c r="P26"/>
  <c r="Q26"/>
  <c r="R26"/>
  <c r="J27"/>
  <c r="K27"/>
  <c r="L27"/>
  <c r="M27"/>
  <c r="N27"/>
  <c r="O27"/>
  <c r="P27"/>
  <c r="Q27"/>
  <c r="R27"/>
  <c r="K7"/>
  <c r="L7"/>
  <c r="M7"/>
  <c r="N7"/>
  <c r="O7"/>
  <c r="P7"/>
  <c r="Q7"/>
  <c r="R7"/>
  <c r="J7"/>
  <c r="J8" i="34"/>
  <c r="K8"/>
  <c r="L8"/>
  <c r="M8"/>
  <c r="N8"/>
  <c r="O8"/>
  <c r="P8"/>
  <c r="Q8"/>
  <c r="R8"/>
  <c r="J9"/>
  <c r="K9"/>
  <c r="L9"/>
  <c r="M9"/>
  <c r="N9"/>
  <c r="O9"/>
  <c r="P9"/>
  <c r="Q9"/>
  <c r="R9"/>
  <c r="J10"/>
  <c r="K10"/>
  <c r="L10"/>
  <c r="M10"/>
  <c r="N10"/>
  <c r="O10"/>
  <c r="P10"/>
  <c r="Q10"/>
  <c r="R10"/>
  <c r="J11"/>
  <c r="K11"/>
  <c r="L11"/>
  <c r="M11"/>
  <c r="N11"/>
  <c r="O11"/>
  <c r="P11"/>
  <c r="Q11"/>
  <c r="R11"/>
  <c r="J12"/>
  <c r="K12"/>
  <c r="L12"/>
  <c r="M12"/>
  <c r="N12"/>
  <c r="O12"/>
  <c r="P12"/>
  <c r="Q12"/>
  <c r="R12"/>
  <c r="J13"/>
  <c r="K13"/>
  <c r="L13"/>
  <c r="M13"/>
  <c r="N13"/>
  <c r="O13"/>
  <c r="P13"/>
  <c r="Q13"/>
  <c r="R13"/>
  <c r="J14"/>
  <c r="K14"/>
  <c r="L14"/>
  <c r="M14"/>
  <c r="N14"/>
  <c r="O14"/>
  <c r="P14"/>
  <c r="Q14"/>
  <c r="R14"/>
  <c r="J15"/>
  <c r="K15"/>
  <c r="L15"/>
  <c r="M15"/>
  <c r="N15"/>
  <c r="O15"/>
  <c r="P15"/>
  <c r="Q15"/>
  <c r="R15"/>
  <c r="J16"/>
  <c r="K16"/>
  <c r="L16"/>
  <c r="M16"/>
  <c r="N16"/>
  <c r="O16"/>
  <c r="P16"/>
  <c r="Q16"/>
  <c r="R16"/>
  <c r="J17"/>
  <c r="K17"/>
  <c r="L17"/>
  <c r="M17"/>
  <c r="N17"/>
  <c r="O17"/>
  <c r="P17"/>
  <c r="Q17"/>
  <c r="R17"/>
  <c r="J18"/>
  <c r="K18"/>
  <c r="L18"/>
  <c r="M18"/>
  <c r="N18"/>
  <c r="O18"/>
  <c r="P18"/>
  <c r="Q18"/>
  <c r="R18"/>
  <c r="J19"/>
  <c r="K19"/>
  <c r="L19"/>
  <c r="M19"/>
  <c r="N19"/>
  <c r="O19"/>
  <c r="P19"/>
  <c r="Q19"/>
  <c r="R19"/>
  <c r="J20"/>
  <c r="K20"/>
  <c r="L20"/>
  <c r="M20"/>
  <c r="N20"/>
  <c r="O20"/>
  <c r="P20"/>
  <c r="Q20"/>
  <c r="R20"/>
  <c r="J21"/>
  <c r="K21"/>
  <c r="L21"/>
  <c r="M21"/>
  <c r="N21"/>
  <c r="O21"/>
  <c r="P21"/>
  <c r="Q21"/>
  <c r="R21"/>
  <c r="J22"/>
  <c r="K22"/>
  <c r="L22"/>
  <c r="M22"/>
  <c r="N22"/>
  <c r="O22"/>
  <c r="P22"/>
  <c r="Q22"/>
  <c r="R22"/>
  <c r="J23"/>
  <c r="K23"/>
  <c r="L23"/>
  <c r="M23"/>
  <c r="N23"/>
  <c r="O23"/>
  <c r="P23"/>
  <c r="Q23"/>
  <c r="R23"/>
  <c r="J24"/>
  <c r="K24"/>
  <c r="L24"/>
  <c r="M24"/>
  <c r="N24"/>
  <c r="O24"/>
  <c r="P24"/>
  <c r="Q24"/>
  <c r="R24"/>
  <c r="J25"/>
  <c r="K25"/>
  <c r="L25"/>
  <c r="M25"/>
  <c r="N25"/>
  <c r="O25"/>
  <c r="P25"/>
  <c r="Q25"/>
  <c r="R25"/>
  <c r="J26"/>
  <c r="K26"/>
  <c r="L26"/>
  <c r="M26"/>
  <c r="N26"/>
  <c r="O26"/>
  <c r="P26"/>
  <c r="Q26"/>
  <c r="R26"/>
  <c r="J27"/>
  <c r="K27"/>
  <c r="L27"/>
  <c r="M27"/>
  <c r="N27"/>
  <c r="O27"/>
  <c r="P27"/>
  <c r="Q27"/>
  <c r="R27"/>
  <c r="K7"/>
  <c r="L7"/>
  <c r="M7"/>
  <c r="N7"/>
  <c r="O7"/>
  <c r="P7"/>
  <c r="Q7"/>
  <c r="R7"/>
  <c r="J7"/>
  <c r="J8" i="33"/>
  <c r="K8"/>
  <c r="L8"/>
  <c r="M8"/>
  <c r="N8"/>
  <c r="O8"/>
  <c r="P8"/>
  <c r="Q8"/>
  <c r="R8"/>
  <c r="J9"/>
  <c r="K9"/>
  <c r="L9"/>
  <c r="M9"/>
  <c r="N9"/>
  <c r="O9"/>
  <c r="P9"/>
  <c r="Q9"/>
  <c r="R9"/>
  <c r="J10"/>
  <c r="K10"/>
  <c r="L10"/>
  <c r="M10"/>
  <c r="N10"/>
  <c r="O10"/>
  <c r="P10"/>
  <c r="Q10"/>
  <c r="R10"/>
  <c r="J11"/>
  <c r="K11"/>
  <c r="L11"/>
  <c r="M11"/>
  <c r="N11"/>
  <c r="O11"/>
  <c r="P11"/>
  <c r="Q11"/>
  <c r="R11"/>
  <c r="J12"/>
  <c r="K12"/>
  <c r="L12"/>
  <c r="M12"/>
  <c r="N12"/>
  <c r="O12"/>
  <c r="P12"/>
  <c r="Q12"/>
  <c r="R12"/>
  <c r="J13"/>
  <c r="K13"/>
  <c r="L13"/>
  <c r="M13"/>
  <c r="N13"/>
  <c r="O13"/>
  <c r="P13"/>
  <c r="Q13"/>
  <c r="R13"/>
  <c r="J14"/>
  <c r="K14"/>
  <c r="L14"/>
  <c r="M14"/>
  <c r="N14"/>
  <c r="O14"/>
  <c r="P14"/>
  <c r="Q14"/>
  <c r="R14"/>
  <c r="J15"/>
  <c r="K15"/>
  <c r="L15"/>
  <c r="M15"/>
  <c r="N15"/>
  <c r="O15"/>
  <c r="P15"/>
  <c r="Q15"/>
  <c r="R15"/>
  <c r="J16"/>
  <c r="K16"/>
  <c r="L16"/>
  <c r="M16"/>
  <c r="N16"/>
  <c r="O16"/>
  <c r="P16"/>
  <c r="Q16"/>
  <c r="R16"/>
  <c r="J17"/>
  <c r="K17"/>
  <c r="L17"/>
  <c r="M17"/>
  <c r="N17"/>
  <c r="O17"/>
  <c r="P17"/>
  <c r="Q17"/>
  <c r="R17"/>
  <c r="J18"/>
  <c r="K18"/>
  <c r="L18"/>
  <c r="M18"/>
  <c r="N18"/>
  <c r="O18"/>
  <c r="P18"/>
  <c r="Q18"/>
  <c r="R18"/>
  <c r="J19"/>
  <c r="K19"/>
  <c r="L19"/>
  <c r="M19"/>
  <c r="N19"/>
  <c r="O19"/>
  <c r="P19"/>
  <c r="Q19"/>
  <c r="R19"/>
  <c r="J20"/>
  <c r="K20"/>
  <c r="L20"/>
  <c r="M20"/>
  <c r="N20"/>
  <c r="O20"/>
  <c r="P20"/>
  <c r="Q20"/>
  <c r="R20"/>
  <c r="J21"/>
  <c r="K21"/>
  <c r="L21"/>
  <c r="M21"/>
  <c r="N21"/>
  <c r="O21"/>
  <c r="P21"/>
  <c r="Q21"/>
  <c r="R21"/>
  <c r="J22"/>
  <c r="K22"/>
  <c r="L22"/>
  <c r="M22"/>
  <c r="N22"/>
  <c r="O22"/>
  <c r="P22"/>
  <c r="Q22"/>
  <c r="R22"/>
  <c r="J23"/>
  <c r="K23"/>
  <c r="L23"/>
  <c r="M23"/>
  <c r="N23"/>
  <c r="O23"/>
  <c r="P23"/>
  <c r="Q23"/>
  <c r="R23"/>
  <c r="J24"/>
  <c r="K24"/>
  <c r="L24"/>
  <c r="M24"/>
  <c r="N24"/>
  <c r="O24"/>
  <c r="P24"/>
  <c r="Q24"/>
  <c r="R24"/>
  <c r="J25"/>
  <c r="K25"/>
  <c r="L25"/>
  <c r="M25"/>
  <c r="N25"/>
  <c r="O25"/>
  <c r="P25"/>
  <c r="Q25"/>
  <c r="R25"/>
  <c r="J26"/>
  <c r="K26"/>
  <c r="L26"/>
  <c r="M26"/>
  <c r="N26"/>
  <c r="O26"/>
  <c r="P26"/>
  <c r="Q26"/>
  <c r="R26"/>
  <c r="J27"/>
  <c r="K27"/>
  <c r="L27"/>
  <c r="M27"/>
  <c r="N27"/>
  <c r="O27"/>
  <c r="P27"/>
  <c r="Q27"/>
  <c r="R27"/>
  <c r="K7"/>
  <c r="L7"/>
  <c r="M7"/>
  <c r="N7"/>
  <c r="O7"/>
  <c r="P7"/>
  <c r="Q7"/>
  <c r="R7"/>
  <c r="J7"/>
  <c r="J8" i="32"/>
  <c r="K8"/>
  <c r="L8"/>
  <c r="M8"/>
  <c r="N8"/>
  <c r="O8"/>
  <c r="P8"/>
  <c r="Q8"/>
  <c r="R8"/>
  <c r="J9"/>
  <c r="K9"/>
  <c r="L9"/>
  <c r="M9"/>
  <c r="N9"/>
  <c r="O9"/>
  <c r="P9"/>
  <c r="Q9"/>
  <c r="R9"/>
  <c r="J10"/>
  <c r="K10"/>
  <c r="L10"/>
  <c r="M10"/>
  <c r="N10"/>
  <c r="O10"/>
  <c r="P10"/>
  <c r="Q10"/>
  <c r="R10"/>
  <c r="J11"/>
  <c r="K11"/>
  <c r="L11"/>
  <c r="M11"/>
  <c r="N11"/>
  <c r="O11"/>
  <c r="P11"/>
  <c r="Q11"/>
  <c r="R11"/>
  <c r="J12"/>
  <c r="K12"/>
  <c r="L12"/>
  <c r="M12"/>
  <c r="N12"/>
  <c r="O12"/>
  <c r="P12"/>
  <c r="Q12"/>
  <c r="R12"/>
  <c r="J13"/>
  <c r="K13"/>
  <c r="L13"/>
  <c r="M13"/>
  <c r="N13"/>
  <c r="O13"/>
  <c r="P13"/>
  <c r="Q13"/>
  <c r="R13"/>
  <c r="J14"/>
  <c r="K14"/>
  <c r="L14"/>
  <c r="M14"/>
  <c r="N14"/>
  <c r="O14"/>
  <c r="P14"/>
  <c r="Q14"/>
  <c r="R14"/>
  <c r="J15"/>
  <c r="K15"/>
  <c r="L15"/>
  <c r="M15"/>
  <c r="N15"/>
  <c r="O15"/>
  <c r="P15"/>
  <c r="Q15"/>
  <c r="R15"/>
  <c r="J16"/>
  <c r="K16"/>
  <c r="L16"/>
  <c r="M16"/>
  <c r="N16"/>
  <c r="O16"/>
  <c r="P16"/>
  <c r="Q16"/>
  <c r="R16"/>
  <c r="J17"/>
  <c r="K17"/>
  <c r="L17"/>
  <c r="M17"/>
  <c r="N17"/>
  <c r="O17"/>
  <c r="P17"/>
  <c r="Q17"/>
  <c r="R17"/>
  <c r="J18"/>
  <c r="K18"/>
  <c r="L18"/>
  <c r="M18"/>
  <c r="P18"/>
  <c r="Q18"/>
  <c r="R18"/>
  <c r="J19"/>
  <c r="K19"/>
  <c r="L19"/>
  <c r="M19"/>
  <c r="N19"/>
  <c r="O19"/>
  <c r="P19"/>
  <c r="Q19"/>
  <c r="R19"/>
  <c r="J20"/>
  <c r="K20"/>
  <c r="L20"/>
  <c r="M20"/>
  <c r="N20"/>
  <c r="O20"/>
  <c r="P20"/>
  <c r="Q20"/>
  <c r="R20"/>
  <c r="J21"/>
  <c r="K21"/>
  <c r="L21"/>
  <c r="M21"/>
  <c r="N21"/>
  <c r="O21"/>
  <c r="P21"/>
  <c r="Q21"/>
  <c r="R21"/>
  <c r="J22"/>
  <c r="K22"/>
  <c r="L22"/>
  <c r="M22"/>
  <c r="N22"/>
  <c r="O22"/>
  <c r="P22"/>
  <c r="Q22"/>
  <c r="R22"/>
  <c r="J23"/>
  <c r="K23"/>
  <c r="L23"/>
  <c r="M23"/>
  <c r="N23"/>
  <c r="O23"/>
  <c r="P23"/>
  <c r="Q23"/>
  <c r="R23"/>
  <c r="J24"/>
  <c r="K24"/>
  <c r="L24"/>
  <c r="M24"/>
  <c r="N24"/>
  <c r="O24"/>
  <c r="P24"/>
  <c r="Q24"/>
  <c r="R24"/>
  <c r="J25"/>
  <c r="K25"/>
  <c r="L25"/>
  <c r="M25"/>
  <c r="N25"/>
  <c r="O25"/>
  <c r="P25"/>
  <c r="Q25"/>
  <c r="R25"/>
  <c r="J26"/>
  <c r="K26"/>
  <c r="L26"/>
  <c r="M26"/>
  <c r="N26"/>
  <c r="O26"/>
  <c r="P26"/>
  <c r="Q26"/>
  <c r="R26"/>
  <c r="J27"/>
  <c r="K27"/>
  <c r="L27"/>
  <c r="M27"/>
  <c r="N27"/>
  <c r="O27"/>
  <c r="P27"/>
  <c r="Q27"/>
  <c r="R27"/>
  <c r="K7"/>
  <c r="L7"/>
  <c r="M7"/>
  <c r="N7"/>
  <c r="O7"/>
  <c r="P7"/>
  <c r="Q7"/>
  <c r="R7"/>
  <c r="J7"/>
  <c r="J8" i="31"/>
  <c r="K8"/>
  <c r="L8"/>
  <c r="M8"/>
  <c r="N8"/>
  <c r="O8"/>
  <c r="P8"/>
  <c r="Q8"/>
  <c r="R8"/>
  <c r="J9"/>
  <c r="K9"/>
  <c r="L9"/>
  <c r="M9"/>
  <c r="N9"/>
  <c r="O9"/>
  <c r="P9"/>
  <c r="Q9"/>
  <c r="R9"/>
  <c r="J10"/>
  <c r="K10"/>
  <c r="L10"/>
  <c r="M10"/>
  <c r="N10"/>
  <c r="O10"/>
  <c r="P10"/>
  <c r="Q10"/>
  <c r="R10"/>
  <c r="J11"/>
  <c r="K11"/>
  <c r="L11"/>
  <c r="M11"/>
  <c r="N11"/>
  <c r="O11"/>
  <c r="P11"/>
  <c r="Q11"/>
  <c r="R11"/>
  <c r="J12"/>
  <c r="K12"/>
  <c r="L12"/>
  <c r="M12"/>
  <c r="N12"/>
  <c r="O12"/>
  <c r="P12"/>
  <c r="Q12"/>
  <c r="R12"/>
  <c r="J13"/>
  <c r="K13"/>
  <c r="L13"/>
  <c r="M13"/>
  <c r="N13"/>
  <c r="O13"/>
  <c r="P13"/>
  <c r="Q13"/>
  <c r="R13"/>
  <c r="J14"/>
  <c r="K14"/>
  <c r="L14"/>
  <c r="M14"/>
  <c r="N14"/>
  <c r="O14"/>
  <c r="P14"/>
  <c r="Q14"/>
  <c r="R14"/>
  <c r="J15"/>
  <c r="K15"/>
  <c r="L15"/>
  <c r="M15"/>
  <c r="N15"/>
  <c r="O15"/>
  <c r="P15"/>
  <c r="Q15"/>
  <c r="R15"/>
  <c r="J16"/>
  <c r="K16"/>
  <c r="L16"/>
  <c r="M16"/>
  <c r="N16"/>
  <c r="O16"/>
  <c r="P16"/>
  <c r="Q16"/>
  <c r="R16"/>
  <c r="J17"/>
  <c r="K17"/>
  <c r="L17"/>
  <c r="M17"/>
  <c r="N17"/>
  <c r="O17"/>
  <c r="P17"/>
  <c r="Q17"/>
  <c r="R17"/>
  <c r="J18"/>
  <c r="K18"/>
  <c r="L18"/>
  <c r="M18"/>
  <c r="N18"/>
  <c r="O18"/>
  <c r="P18"/>
  <c r="Q18"/>
  <c r="R18"/>
  <c r="J19"/>
  <c r="K19"/>
  <c r="L19"/>
  <c r="M19"/>
  <c r="N19"/>
  <c r="O19"/>
  <c r="P19"/>
  <c r="Q19"/>
  <c r="R19"/>
  <c r="J20"/>
  <c r="K20"/>
  <c r="L20"/>
  <c r="M20"/>
  <c r="N20"/>
  <c r="O20"/>
  <c r="P20"/>
  <c r="Q20"/>
  <c r="R20"/>
  <c r="J21"/>
  <c r="K21"/>
  <c r="L21"/>
  <c r="M21"/>
  <c r="N21"/>
  <c r="O21"/>
  <c r="P21"/>
  <c r="Q21"/>
  <c r="R21"/>
  <c r="J22"/>
  <c r="K22"/>
  <c r="L22"/>
  <c r="M22"/>
  <c r="N22"/>
  <c r="O22"/>
  <c r="P22"/>
  <c r="Q22"/>
  <c r="R22"/>
  <c r="J23"/>
  <c r="K23"/>
  <c r="L23"/>
  <c r="M23"/>
  <c r="N23"/>
  <c r="O23"/>
  <c r="P23"/>
  <c r="Q23"/>
  <c r="R23"/>
  <c r="J24"/>
  <c r="K24"/>
  <c r="L24"/>
  <c r="M24"/>
  <c r="N24"/>
  <c r="O24"/>
  <c r="P24"/>
  <c r="Q24"/>
  <c r="R24"/>
  <c r="J25"/>
  <c r="K25"/>
  <c r="L25"/>
  <c r="M25"/>
  <c r="N25"/>
  <c r="O25"/>
  <c r="P25"/>
  <c r="Q25"/>
  <c r="R25"/>
  <c r="J26"/>
  <c r="K26"/>
  <c r="L26"/>
  <c r="M26"/>
  <c r="N26"/>
  <c r="O26"/>
  <c r="P26"/>
  <c r="Q26"/>
  <c r="R26"/>
  <c r="J27"/>
  <c r="K27"/>
  <c r="L27"/>
  <c r="M27"/>
  <c r="N27"/>
  <c r="O27"/>
  <c r="P27"/>
  <c r="Q27"/>
  <c r="R27"/>
  <c r="K7"/>
  <c r="L7"/>
  <c r="M7"/>
  <c r="N7"/>
  <c r="O7"/>
  <c r="P7"/>
  <c r="Q7"/>
  <c r="R7"/>
  <c r="J7"/>
  <c r="R7" i="30"/>
  <c r="R8"/>
  <c r="R9"/>
  <c r="R10"/>
  <c r="R11"/>
  <c r="R12"/>
  <c r="R13"/>
  <c r="R14"/>
  <c r="R15"/>
  <c r="R16"/>
  <c r="R17"/>
  <c r="R18"/>
  <c r="R19"/>
  <c r="R20"/>
  <c r="R21"/>
  <c r="R22"/>
  <c r="R23"/>
  <c r="R24"/>
  <c r="R25"/>
  <c r="R26"/>
  <c r="L7"/>
  <c r="M7"/>
  <c r="N7"/>
  <c r="O7"/>
  <c r="P7"/>
  <c r="Q7"/>
  <c r="L8"/>
  <c r="M8"/>
  <c r="N8"/>
  <c r="O8"/>
  <c r="P8"/>
  <c r="Q8"/>
  <c r="L9"/>
  <c r="M9"/>
  <c r="N9"/>
  <c r="O9"/>
  <c r="P9"/>
  <c r="Q9"/>
  <c r="L10"/>
  <c r="M10"/>
  <c r="N10"/>
  <c r="O10"/>
  <c r="P10"/>
  <c r="Q10"/>
  <c r="L11"/>
  <c r="M11"/>
  <c r="N11"/>
  <c r="O11"/>
  <c r="P11"/>
  <c r="Q11"/>
  <c r="L12"/>
  <c r="M12"/>
  <c r="N12"/>
  <c r="O12"/>
  <c r="P12"/>
  <c r="Q12"/>
  <c r="L13"/>
  <c r="M13"/>
  <c r="N13"/>
  <c r="O13"/>
  <c r="P13"/>
  <c r="Q13"/>
  <c r="L14"/>
  <c r="M14"/>
  <c r="N14"/>
  <c r="O14"/>
  <c r="P14"/>
  <c r="Q14"/>
  <c r="L15"/>
  <c r="M15"/>
  <c r="N15"/>
  <c r="O15"/>
  <c r="P15"/>
  <c r="Q15"/>
  <c r="L16"/>
  <c r="M16"/>
  <c r="N16"/>
  <c r="O16"/>
  <c r="P16"/>
  <c r="Q16"/>
  <c r="L17"/>
  <c r="M17"/>
  <c r="N17"/>
  <c r="O17"/>
  <c r="P17"/>
  <c r="Q17"/>
  <c r="L18"/>
  <c r="M18"/>
  <c r="N18"/>
  <c r="O18"/>
  <c r="P18"/>
  <c r="Q18"/>
  <c r="L19"/>
  <c r="M19"/>
  <c r="N19"/>
  <c r="O19"/>
  <c r="P19"/>
  <c r="Q19"/>
  <c r="L20"/>
  <c r="M20"/>
  <c r="N20"/>
  <c r="O20"/>
  <c r="P20"/>
  <c r="Q20"/>
  <c r="L21"/>
  <c r="M21"/>
  <c r="N21"/>
  <c r="O21"/>
  <c r="P21"/>
  <c r="Q21"/>
  <c r="L22"/>
  <c r="M22"/>
  <c r="N22"/>
  <c r="O22"/>
  <c r="P22"/>
  <c r="Q22"/>
  <c r="L23"/>
  <c r="M23"/>
  <c r="N23"/>
  <c r="O23"/>
  <c r="P23"/>
  <c r="Q23"/>
  <c r="L24"/>
  <c r="M24"/>
  <c r="N24"/>
  <c r="O24"/>
  <c r="P24"/>
  <c r="Q24"/>
  <c r="L25"/>
  <c r="M25"/>
  <c r="N25"/>
  <c r="O25"/>
  <c r="P25"/>
  <c r="Q25"/>
  <c r="L26"/>
  <c r="M26"/>
  <c r="N26"/>
  <c r="O26"/>
  <c r="P26"/>
  <c r="Q26"/>
  <c r="K7"/>
  <c r="K8"/>
  <c r="K9"/>
  <c r="K10"/>
  <c r="K11"/>
  <c r="K12"/>
  <c r="K13"/>
  <c r="K14"/>
  <c r="K15"/>
  <c r="K16"/>
  <c r="K17"/>
  <c r="K18"/>
  <c r="K19"/>
  <c r="K20"/>
  <c r="K21"/>
  <c r="K22"/>
  <c r="K23"/>
  <c r="K24"/>
  <c r="K25"/>
  <c r="K26"/>
  <c r="J7"/>
  <c r="J8"/>
  <c r="J9"/>
  <c r="J10"/>
  <c r="J11"/>
  <c r="J12"/>
  <c r="J13"/>
  <c r="J14"/>
  <c r="J15"/>
  <c r="J16"/>
  <c r="J17"/>
  <c r="J18"/>
  <c r="J19"/>
  <c r="J20"/>
  <c r="J21"/>
  <c r="J22"/>
  <c r="J23"/>
  <c r="J24"/>
  <c r="J25"/>
  <c r="J26"/>
  <c r="H51" i="53"/>
  <c r="E16" i="27"/>
  <c r="E17"/>
  <c r="F41" i="52"/>
  <c r="G41"/>
  <c r="H41"/>
  <c r="F42"/>
  <c r="G42"/>
  <c r="H42"/>
  <c r="F43"/>
  <c r="H43"/>
  <c r="F45"/>
  <c r="H45"/>
  <c r="F46"/>
  <c r="H46"/>
  <c r="F40"/>
  <c r="F41" i="58"/>
  <c r="H41"/>
  <c r="F42"/>
  <c r="H42"/>
  <c r="F43"/>
  <c r="H43"/>
  <c r="F45"/>
  <c r="H45"/>
  <c r="F46"/>
  <c r="H46"/>
  <c r="F47"/>
  <c r="H47"/>
  <c r="F49"/>
  <c r="H49"/>
  <c r="H40"/>
  <c r="H47" i="79" l="1"/>
  <c r="H48"/>
  <c r="H47" i="69"/>
  <c r="H48"/>
  <c r="H48" i="75"/>
  <c r="H49"/>
  <c r="B4" i="126"/>
  <c r="B38" s="1"/>
  <c r="B58" i="123"/>
  <c r="B59"/>
  <c r="G4" i="126"/>
  <c r="G38" s="1"/>
  <c r="G58" i="123"/>
  <c r="F4" i="126"/>
  <c r="F38" s="1"/>
  <c r="F58" i="123"/>
  <c r="H48" i="66"/>
  <c r="H49"/>
  <c r="H48" i="73"/>
  <c r="H49"/>
  <c r="E4" i="126"/>
  <c r="E38" s="1"/>
  <c r="E58" i="123"/>
  <c r="C10" i="7"/>
  <c r="C10" i="118"/>
  <c r="O34" i="30"/>
  <c r="B24" i="123"/>
  <c r="B24" i="122"/>
  <c r="N34" i="30"/>
  <c r="P34"/>
  <c r="L34"/>
  <c r="Q34"/>
  <c r="M34"/>
  <c r="C9" i="123"/>
  <c r="M34" i="39"/>
  <c r="F10" i="48"/>
  <c r="F9"/>
  <c r="F8"/>
  <c r="F7"/>
  <c r="F6"/>
  <c r="E24" i="28"/>
  <c r="E23"/>
  <c r="E22"/>
  <c r="E20"/>
  <c r="E9"/>
  <c r="E7"/>
  <c r="K34" i="30"/>
  <c r="Q34" i="31"/>
  <c r="O34"/>
  <c r="M34"/>
  <c r="K34"/>
  <c r="R34" i="32"/>
  <c r="P34"/>
  <c r="N34"/>
  <c r="L34"/>
  <c r="J34"/>
  <c r="Q34" i="33"/>
  <c r="O34"/>
  <c r="M34"/>
  <c r="K34"/>
  <c r="R34" i="34"/>
  <c r="P34"/>
  <c r="N34"/>
  <c r="L34"/>
  <c r="J34"/>
  <c r="Q34" i="35"/>
  <c r="O34"/>
  <c r="M34"/>
  <c r="K34"/>
  <c r="Q34" i="36"/>
  <c r="O34"/>
  <c r="M34"/>
  <c r="K34"/>
  <c r="R34" i="37"/>
  <c r="P34"/>
  <c r="N34"/>
  <c r="L34"/>
  <c r="J34"/>
  <c r="Q34" i="38"/>
  <c r="O34"/>
  <c r="M34"/>
  <c r="K34"/>
  <c r="G39" i="58"/>
  <c r="Q34" i="39"/>
  <c r="E5" i="23"/>
  <c r="I49" i="58"/>
  <c r="E12" i="23"/>
  <c r="E8"/>
  <c r="E6"/>
  <c r="O34" i="39"/>
  <c r="K34"/>
  <c r="E24" i="23"/>
  <c r="E23"/>
  <c r="E22"/>
  <c r="E20"/>
  <c r="E19"/>
  <c r="E18"/>
  <c r="E11"/>
  <c r="E9"/>
  <c r="E7"/>
  <c r="E7" i="24"/>
  <c r="E6"/>
  <c r="R34" i="39"/>
  <c r="P34"/>
  <c r="N34"/>
  <c r="L34"/>
  <c r="J34"/>
  <c r="B4" i="48"/>
  <c r="E4"/>
  <c r="F40" i="58"/>
  <c r="F40" i="50"/>
  <c r="G40" i="52"/>
  <c r="H40"/>
  <c r="F14" i="44"/>
  <c r="F50" i="58"/>
  <c r="G49"/>
  <c r="H48"/>
  <c r="E25" i="23"/>
  <c r="F44" i="58"/>
  <c r="E25" i="28"/>
  <c r="E21"/>
  <c r="H48" i="67"/>
  <c r="B4" i="44"/>
  <c r="B4" i="46"/>
  <c r="B4" i="47"/>
  <c r="H44" i="53"/>
  <c r="H49"/>
  <c r="H47"/>
  <c r="H45"/>
  <c r="H42"/>
  <c r="G46" i="52"/>
  <c r="G43"/>
  <c r="I28" i="23"/>
  <c r="C14" i="44" s="1"/>
  <c r="G51" i="58"/>
  <c r="H50"/>
  <c r="F48"/>
  <c r="H44"/>
  <c r="E21" i="23"/>
  <c r="E10"/>
  <c r="H51" i="58"/>
  <c r="F51"/>
  <c r="L27" i="23"/>
  <c r="G50" i="58"/>
  <c r="G48"/>
  <c r="G47"/>
  <c r="G46"/>
  <c r="G45"/>
  <c r="G44"/>
  <c r="G43"/>
  <c r="G42"/>
  <c r="G41"/>
  <c r="E25" i="27"/>
  <c r="E21"/>
  <c r="F51" i="53"/>
  <c r="E10" i="28"/>
  <c r="D4" i="48"/>
  <c r="G40" i="58"/>
  <c r="F10" i="44"/>
  <c r="F9"/>
  <c r="F8"/>
  <c r="F6"/>
  <c r="F4"/>
  <c r="F21" s="1"/>
  <c r="E5" i="24"/>
  <c r="E24"/>
  <c r="E20"/>
  <c r="E19"/>
  <c r="E13"/>
  <c r="E11"/>
  <c r="E9"/>
  <c r="E24" i="27"/>
  <c r="E23"/>
  <c r="E22"/>
  <c r="E20"/>
  <c r="E15"/>
  <c r="E14"/>
  <c r="E13"/>
  <c r="E12"/>
  <c r="E8" i="28"/>
  <c r="J34" i="30"/>
  <c r="R34"/>
  <c r="R34" i="31"/>
  <c r="P34"/>
  <c r="N34"/>
  <c r="L34"/>
  <c r="J34"/>
  <c r="Q34" i="32"/>
  <c r="O34"/>
  <c r="M34"/>
  <c r="K34"/>
  <c r="R34" i="33"/>
  <c r="P34"/>
  <c r="N34"/>
  <c r="L34"/>
  <c r="J34"/>
  <c r="Q34" i="34"/>
  <c r="O34"/>
  <c r="M34"/>
  <c r="K34"/>
  <c r="R34" i="35"/>
  <c r="P34"/>
  <c r="N34"/>
  <c r="L34"/>
  <c r="J34"/>
  <c r="R34" i="36"/>
  <c r="P34"/>
  <c r="N34"/>
  <c r="L34"/>
  <c r="J34"/>
  <c r="Q34" i="37"/>
  <c r="O34"/>
  <c r="M34"/>
  <c r="K34"/>
  <c r="R34" i="38"/>
  <c r="P34"/>
  <c r="N34"/>
  <c r="L34"/>
  <c r="J34"/>
  <c r="G51" i="53"/>
  <c r="G44"/>
  <c r="H50"/>
  <c r="H48"/>
  <c r="H46"/>
  <c r="H43"/>
  <c r="F44" i="52"/>
  <c r="G50" i="53"/>
  <c r="G49"/>
  <c r="G48"/>
  <c r="G47"/>
  <c r="G46"/>
  <c r="G45"/>
  <c r="G43"/>
  <c r="G42"/>
  <c r="G45" i="52"/>
  <c r="H44"/>
  <c r="G44"/>
  <c r="E8" i="6"/>
  <c r="F9"/>
  <c r="D9"/>
  <c r="E10" i="24"/>
  <c r="E14"/>
  <c r="F14" i="45"/>
  <c r="E25" i="24"/>
  <c r="E21"/>
  <c r="E23"/>
  <c r="E22"/>
  <c r="E18"/>
  <c r="E8"/>
  <c r="O24" i="122"/>
  <c r="F24" s="1"/>
  <c r="F24" i="123"/>
  <c r="P24" i="122"/>
  <c r="G24" s="1"/>
  <c r="G24" i="123"/>
  <c r="N24" i="122"/>
  <c r="E24" s="1"/>
  <c r="E24" i="123"/>
  <c r="F60" i="122"/>
  <c r="G60"/>
  <c r="D26"/>
  <c r="F50" i="53"/>
  <c r="F12" i="49"/>
  <c r="F48" i="53"/>
  <c r="F47"/>
  <c r="F46"/>
  <c r="F45"/>
  <c r="F44"/>
  <c r="F43"/>
  <c r="F42"/>
  <c r="B4" i="49"/>
  <c r="E19" i="28"/>
  <c r="E18"/>
  <c r="F13" i="49"/>
  <c r="F49" i="53"/>
  <c r="F11" i="49"/>
  <c r="F10"/>
  <c r="F9"/>
  <c r="F8"/>
  <c r="F7"/>
  <c r="F6"/>
  <c r="F5"/>
  <c r="F4"/>
  <c r="F21" s="1"/>
  <c r="H60" i="58" l="1"/>
  <c r="H61"/>
  <c r="E22" i="48"/>
  <c r="E21"/>
  <c r="B22" i="49"/>
  <c r="B21"/>
  <c r="H60" i="53"/>
  <c r="H61"/>
  <c r="F60"/>
  <c r="F61"/>
  <c r="G61" i="52"/>
  <c r="G60" i="53"/>
  <c r="G61"/>
  <c r="B21" i="44"/>
  <c r="B22"/>
  <c r="F61" i="58"/>
  <c r="F23" i="48"/>
  <c r="F22"/>
  <c r="B22" i="47"/>
  <c r="B21"/>
  <c r="H61" i="52"/>
  <c r="F22" i="49"/>
  <c r="F23"/>
  <c r="F61" i="52"/>
  <c r="D22" i="48"/>
  <c r="D21"/>
  <c r="G60" i="58"/>
  <c r="G61"/>
  <c r="B21" i="46"/>
  <c r="B22"/>
  <c r="B21" i="48"/>
  <c r="B22"/>
  <c r="B39" i="126"/>
  <c r="D25" i="123"/>
  <c r="D59" i="122"/>
  <c r="C9" i="7"/>
  <c r="C9" i="118"/>
  <c r="C12" i="48"/>
  <c r="F12"/>
  <c r="C12" i="44"/>
  <c r="F12"/>
  <c r="C8" i="121"/>
  <c r="C6"/>
  <c r="C5"/>
  <c r="C7"/>
  <c r="C5" i="44"/>
  <c r="F5"/>
  <c r="I28" i="28"/>
  <c r="C14" i="49" s="1"/>
  <c r="F14"/>
  <c r="C11" i="48"/>
  <c r="F11"/>
  <c r="B23" i="123"/>
  <c r="B23" i="122"/>
  <c r="I28" i="27"/>
  <c r="C14" i="48" s="1"/>
  <c r="F14"/>
  <c r="C7" i="44"/>
  <c r="F7"/>
  <c r="C11"/>
  <c r="F11"/>
  <c r="I27" i="23"/>
  <c r="C13" i="44" s="1"/>
  <c r="F13"/>
  <c r="C9" i="48"/>
  <c r="I45" i="52"/>
  <c r="I44"/>
  <c r="I46"/>
  <c r="C8" i="48"/>
  <c r="C10"/>
  <c r="C8" i="123"/>
  <c r="C6" i="48"/>
  <c r="I42" i="53"/>
  <c r="I43"/>
  <c r="I44"/>
  <c r="I45"/>
  <c r="I46"/>
  <c r="I47"/>
  <c r="I48"/>
  <c r="I50"/>
  <c r="I49"/>
  <c r="I46" i="58"/>
  <c r="H39"/>
  <c r="I48"/>
  <c r="I51" i="53"/>
  <c r="I51" i="58"/>
  <c r="G39" i="52"/>
  <c r="C4" i="49"/>
  <c r="C21" s="1"/>
  <c r="C5"/>
  <c r="C6"/>
  <c r="C8"/>
  <c r="C9"/>
  <c r="C10"/>
  <c r="C11"/>
  <c r="C13"/>
  <c r="C4" i="44"/>
  <c r="C21" s="1"/>
  <c r="C6"/>
  <c r="C12" i="49"/>
  <c r="F39" i="52"/>
  <c r="I45" i="58"/>
  <c r="I47"/>
  <c r="I50"/>
  <c r="H39" i="52"/>
  <c r="F39" i="50"/>
  <c r="F39" i="58"/>
  <c r="C7" i="49"/>
  <c r="I28" i="24"/>
  <c r="C14" i="45" s="1"/>
  <c r="C8" i="44"/>
  <c r="C9"/>
  <c r="C10"/>
  <c r="D8" i="6"/>
  <c r="F8"/>
  <c r="E7"/>
  <c r="D25" i="122"/>
  <c r="D24" i="123" s="1"/>
  <c r="N23" i="122"/>
  <c r="E23" s="1"/>
  <c r="E23" i="123"/>
  <c r="P23" i="122"/>
  <c r="G23" s="1"/>
  <c r="G23" i="123"/>
  <c r="O23" i="122"/>
  <c r="F23" s="1"/>
  <c r="F23" i="123"/>
  <c r="AA8" i="22"/>
  <c r="AA9"/>
  <c r="AE18"/>
  <c r="AE17"/>
  <c r="AE16"/>
  <c r="AE15"/>
  <c r="AE14"/>
  <c r="AE13"/>
  <c r="AE12"/>
  <c r="AE11"/>
  <c r="AE10"/>
  <c r="AE9"/>
  <c r="AE8"/>
  <c r="AE7"/>
  <c r="AE6"/>
  <c r="AE5"/>
  <c r="AC18"/>
  <c r="AC17"/>
  <c r="AC16"/>
  <c r="AC15"/>
  <c r="AC14"/>
  <c r="AC13"/>
  <c r="AC12"/>
  <c r="AC11"/>
  <c r="AC10"/>
  <c r="AC9"/>
  <c r="AC8"/>
  <c r="AC7"/>
  <c r="AC6"/>
  <c r="AC5"/>
  <c r="AA18"/>
  <c r="AA17"/>
  <c r="AA16"/>
  <c r="AA15"/>
  <c r="AA14"/>
  <c r="AA13"/>
  <c r="AA12"/>
  <c r="AA11"/>
  <c r="AA10"/>
  <c r="AA7"/>
  <c r="AA6"/>
  <c r="AA5"/>
  <c r="Y18"/>
  <c r="Y17"/>
  <c r="Y16"/>
  <c r="Y15"/>
  <c r="Y14"/>
  <c r="T43" s="1"/>
  <c r="Y13"/>
  <c r="Y12"/>
  <c r="Y11"/>
  <c r="Y10"/>
  <c r="T39" s="1"/>
  <c r="Y9"/>
  <c r="Y8"/>
  <c r="Y7"/>
  <c r="Y6"/>
  <c r="T35" s="1"/>
  <c r="Y5"/>
  <c r="W5"/>
  <c r="W6"/>
  <c r="W7"/>
  <c r="W8"/>
  <c r="W9"/>
  <c r="W10"/>
  <c r="W11"/>
  <c r="W12"/>
  <c r="W13"/>
  <c r="W14"/>
  <c r="W15"/>
  <c r="W16"/>
  <c r="W17"/>
  <c r="W18"/>
  <c r="C35" i="21"/>
  <c r="C5" i="162" s="1"/>
  <c r="C36" i="21"/>
  <c r="C6" i="162" s="1"/>
  <c r="C37" i="21"/>
  <c r="C7" i="162" s="1"/>
  <c r="C38" i="21"/>
  <c r="C8" i="162" s="1"/>
  <c r="C39" i="21"/>
  <c r="C9" i="162" s="1"/>
  <c r="C40" i="21"/>
  <c r="C10" i="162" s="1"/>
  <c r="C41" i="21"/>
  <c r="C11" i="162" s="1"/>
  <c r="C42" i="21"/>
  <c r="C12" i="162" s="1"/>
  <c r="C43" i="21"/>
  <c r="C13" i="162" s="1"/>
  <c r="C44" i="21"/>
  <c r="C14" i="162" s="1"/>
  <c r="C45" i="21"/>
  <c r="C15" i="162" s="1"/>
  <c r="C46" i="21"/>
  <c r="C16" i="162" s="1"/>
  <c r="C47" i="21"/>
  <c r="C17" i="162" s="1"/>
  <c r="C48" i="21"/>
  <c r="C18" i="162" s="1"/>
  <c r="C49" i="21"/>
  <c r="C19" i="162" s="1"/>
  <c r="C50" i="21"/>
  <c r="C20" i="162" s="1"/>
  <c r="C51" i="21"/>
  <c r="C21" i="162" s="1"/>
  <c r="C52" i="21"/>
  <c r="C22" i="162" s="1"/>
  <c r="C53" i="21"/>
  <c r="C23" i="162" s="1"/>
  <c r="C54" i="21"/>
  <c r="C24" i="162" s="1"/>
  <c r="C55" i="21"/>
  <c r="C25" i="162" s="1"/>
  <c r="C56" i="21"/>
  <c r="C26" i="162" s="1"/>
  <c r="C57" i="21"/>
  <c r="C27" i="162" s="1"/>
  <c r="C58" i="21"/>
  <c r="C28" i="162" s="1"/>
  <c r="C59" i="21"/>
  <c r="C29" i="162" s="1"/>
  <c r="C60" i="21"/>
  <c r="C30" i="162" s="1"/>
  <c r="C61" i="21"/>
  <c r="C31" i="162" s="1"/>
  <c r="C62" i="21"/>
  <c r="C32" i="162" s="1"/>
  <c r="C63" i="21"/>
  <c r="C33" i="162" s="1"/>
  <c r="C34" i="21"/>
  <c r="C4" i="162" s="1"/>
  <c r="D5" i="41"/>
  <c r="D6"/>
  <c r="D8"/>
  <c r="D9"/>
  <c r="D10"/>
  <c r="D12"/>
  <c r="B6" i="10"/>
  <c r="D6"/>
  <c r="E6"/>
  <c r="G6"/>
  <c r="H6"/>
  <c r="I6"/>
  <c r="J6"/>
  <c r="K6"/>
  <c r="L6"/>
  <c r="M6"/>
  <c r="B7"/>
  <c r="D7"/>
  <c r="E7"/>
  <c r="G7"/>
  <c r="H7"/>
  <c r="I7"/>
  <c r="J7"/>
  <c r="K7"/>
  <c r="L7"/>
  <c r="M7"/>
  <c r="B8"/>
  <c r="D8"/>
  <c r="E8"/>
  <c r="G8"/>
  <c r="H8"/>
  <c r="I8"/>
  <c r="J8"/>
  <c r="K8"/>
  <c r="L8"/>
  <c r="M8"/>
  <c r="B9"/>
  <c r="D9"/>
  <c r="E9"/>
  <c r="G9"/>
  <c r="H9"/>
  <c r="I9"/>
  <c r="J9"/>
  <c r="K9"/>
  <c r="L9"/>
  <c r="M9"/>
  <c r="B10"/>
  <c r="D10"/>
  <c r="E10"/>
  <c r="G10"/>
  <c r="H10"/>
  <c r="I10"/>
  <c r="J10"/>
  <c r="K10"/>
  <c r="L10"/>
  <c r="M10"/>
  <c r="B11"/>
  <c r="D11"/>
  <c r="E11"/>
  <c r="G11"/>
  <c r="H11"/>
  <c r="I11"/>
  <c r="J11"/>
  <c r="K11"/>
  <c r="L11"/>
  <c r="M11"/>
  <c r="B12"/>
  <c r="D12"/>
  <c r="E12"/>
  <c r="G12"/>
  <c r="H12"/>
  <c r="I12"/>
  <c r="J12"/>
  <c r="K12"/>
  <c r="L12"/>
  <c r="M12"/>
  <c r="B13"/>
  <c r="D13"/>
  <c r="E13"/>
  <c r="G13"/>
  <c r="H13"/>
  <c r="I13"/>
  <c r="J13"/>
  <c r="K13"/>
  <c r="L13"/>
  <c r="M13"/>
  <c r="B14"/>
  <c r="D14"/>
  <c r="E14"/>
  <c r="G14"/>
  <c r="H14"/>
  <c r="I14"/>
  <c r="J14"/>
  <c r="K14"/>
  <c r="L14"/>
  <c r="M14"/>
  <c r="B15"/>
  <c r="D15"/>
  <c r="E15"/>
  <c r="G15"/>
  <c r="H15"/>
  <c r="I15"/>
  <c r="J15"/>
  <c r="K15"/>
  <c r="L15"/>
  <c r="M15"/>
  <c r="B16"/>
  <c r="D16"/>
  <c r="E16"/>
  <c r="G16"/>
  <c r="H16"/>
  <c r="I16"/>
  <c r="J16"/>
  <c r="K16"/>
  <c r="L16"/>
  <c r="M16"/>
  <c r="B17"/>
  <c r="D17"/>
  <c r="E17"/>
  <c r="G17"/>
  <c r="H17"/>
  <c r="I17"/>
  <c r="J17"/>
  <c r="K17"/>
  <c r="L17"/>
  <c r="M17"/>
  <c r="B18"/>
  <c r="D18"/>
  <c r="E18"/>
  <c r="G18"/>
  <c r="H18"/>
  <c r="I18"/>
  <c r="J18"/>
  <c r="K18"/>
  <c r="L18"/>
  <c r="M18"/>
  <c r="B19"/>
  <c r="D19"/>
  <c r="E19"/>
  <c r="G19"/>
  <c r="H19"/>
  <c r="I19"/>
  <c r="J19"/>
  <c r="K19"/>
  <c r="L19"/>
  <c r="M19"/>
  <c r="B20"/>
  <c r="D20"/>
  <c r="E20"/>
  <c r="G20"/>
  <c r="H20"/>
  <c r="I20"/>
  <c r="J20"/>
  <c r="K20"/>
  <c r="L20"/>
  <c r="M20"/>
  <c r="B21"/>
  <c r="D21"/>
  <c r="E21"/>
  <c r="G21"/>
  <c r="H21"/>
  <c r="I21"/>
  <c r="J21"/>
  <c r="K21"/>
  <c r="L21"/>
  <c r="M21"/>
  <c r="B22"/>
  <c r="D22"/>
  <c r="E22"/>
  <c r="G22"/>
  <c r="H22"/>
  <c r="I22"/>
  <c r="J22"/>
  <c r="K22"/>
  <c r="L22"/>
  <c r="M22"/>
  <c r="B23"/>
  <c r="D23"/>
  <c r="E23"/>
  <c r="G23"/>
  <c r="H23"/>
  <c r="I23"/>
  <c r="J23"/>
  <c r="K23"/>
  <c r="L23"/>
  <c r="M23"/>
  <c r="B24"/>
  <c r="D24"/>
  <c r="E24"/>
  <c r="G24"/>
  <c r="H24"/>
  <c r="I24"/>
  <c r="J24"/>
  <c r="K24"/>
  <c r="L24"/>
  <c r="M24"/>
  <c r="B25"/>
  <c r="D25"/>
  <c r="E25"/>
  <c r="G25"/>
  <c r="H25"/>
  <c r="I25"/>
  <c r="J25"/>
  <c r="K25"/>
  <c r="L25"/>
  <c r="M25"/>
  <c r="D5"/>
  <c r="E5"/>
  <c r="G5"/>
  <c r="H5"/>
  <c r="I5"/>
  <c r="J5"/>
  <c r="K5"/>
  <c r="L5"/>
  <c r="M5"/>
  <c r="B5"/>
  <c r="C34" i="9"/>
  <c r="C36"/>
  <c r="F36"/>
  <c r="C6" i="8"/>
  <c r="C6" i="105" s="1"/>
  <c r="C7" i="8"/>
  <c r="C7" i="105" s="1"/>
  <c r="C8" i="8"/>
  <c r="C8" i="105" s="1"/>
  <c r="C9" i="8"/>
  <c r="C9" i="105" s="1"/>
  <c r="C10" i="8"/>
  <c r="C10" i="105" s="1"/>
  <c r="C11" i="8"/>
  <c r="C11" i="105" s="1"/>
  <c r="C12" i="8"/>
  <c r="C12" i="105" s="1"/>
  <c r="C13" i="8"/>
  <c r="C13" i="105" s="1"/>
  <c r="C14" i="8"/>
  <c r="C14" i="105" s="1"/>
  <c r="C15" i="8"/>
  <c r="C15" i="105" s="1"/>
  <c r="C16" i="8"/>
  <c r="C16" i="105" s="1"/>
  <c r="C17" i="8"/>
  <c r="C17" i="105" s="1"/>
  <c r="C18" i="8"/>
  <c r="C19"/>
  <c r="C19" i="105" s="1"/>
  <c r="C20" i="8"/>
  <c r="C20" i="105" s="1"/>
  <c r="C21" i="8"/>
  <c r="C21" i="105" s="1"/>
  <c r="C22" i="8"/>
  <c r="C22" i="105" s="1"/>
  <c r="C23" i="8"/>
  <c r="C23" i="105" s="1"/>
  <c r="C24" i="8"/>
  <c r="C25"/>
  <c r="C5"/>
  <c r="C5" i="105" s="1"/>
  <c r="F6" i="8"/>
  <c r="F6" i="105" s="1"/>
  <c r="F7" i="8"/>
  <c r="F7" i="105" s="1"/>
  <c r="F8" i="8"/>
  <c r="F8" i="105" s="1"/>
  <c r="F9" i="8"/>
  <c r="F9" i="105" s="1"/>
  <c r="F10" i="8"/>
  <c r="F10" i="105" s="1"/>
  <c r="F11" i="8"/>
  <c r="F11" i="105" s="1"/>
  <c r="F12" i="8"/>
  <c r="F12" i="105" s="1"/>
  <c r="F13" i="8"/>
  <c r="F13" i="105" s="1"/>
  <c r="F14" i="8"/>
  <c r="F14" i="105" s="1"/>
  <c r="F15" i="8"/>
  <c r="F15" i="105" s="1"/>
  <c r="F16" i="8"/>
  <c r="F16" i="105" s="1"/>
  <c r="F17" i="8"/>
  <c r="F17" i="105" s="1"/>
  <c r="F18" i="8"/>
  <c r="F19"/>
  <c r="F19" i="105" s="1"/>
  <c r="F20" i="8"/>
  <c r="F20" i="105" s="1"/>
  <c r="F21" i="8"/>
  <c r="F21" i="105" s="1"/>
  <c r="F22" i="8"/>
  <c r="F22" i="105" s="1"/>
  <c r="F23" i="8"/>
  <c r="F23" i="105" s="1"/>
  <c r="F24" i="8"/>
  <c r="F25"/>
  <c r="F5"/>
  <c r="F5" i="105" s="1"/>
  <c r="V6" i="7"/>
  <c r="W6"/>
  <c r="X6"/>
  <c r="V7"/>
  <c r="W7"/>
  <c r="X7"/>
  <c r="V8"/>
  <c r="W8"/>
  <c r="X8"/>
  <c r="V9"/>
  <c r="W9"/>
  <c r="X9"/>
  <c r="V10"/>
  <c r="W10"/>
  <c r="X10"/>
  <c r="V11"/>
  <c r="W11"/>
  <c r="X11"/>
  <c r="V12"/>
  <c r="W12"/>
  <c r="X12"/>
  <c r="V13"/>
  <c r="W13"/>
  <c r="X13"/>
  <c r="V14"/>
  <c r="W14"/>
  <c r="X14"/>
  <c r="V15"/>
  <c r="W15"/>
  <c r="X15"/>
  <c r="V16"/>
  <c r="W16"/>
  <c r="X16"/>
  <c r="V17"/>
  <c r="W17"/>
  <c r="X17"/>
  <c r="V18"/>
  <c r="W18"/>
  <c r="X18"/>
  <c r="V19"/>
  <c r="W19"/>
  <c r="X19"/>
  <c r="V20"/>
  <c r="W20"/>
  <c r="X20"/>
  <c r="V21"/>
  <c r="W21"/>
  <c r="X21"/>
  <c r="V22"/>
  <c r="W22"/>
  <c r="X22"/>
  <c r="V23"/>
  <c r="W23"/>
  <c r="X23"/>
  <c r="V24"/>
  <c r="W24"/>
  <c r="X24"/>
  <c r="V25"/>
  <c r="W25"/>
  <c r="X25"/>
  <c r="V26"/>
  <c r="W26"/>
  <c r="X26"/>
  <c r="V27"/>
  <c r="W27"/>
  <c r="X27"/>
  <c r="V28"/>
  <c r="W28"/>
  <c r="X28"/>
  <c r="V29"/>
  <c r="W29"/>
  <c r="X29"/>
  <c r="V30"/>
  <c r="W30"/>
  <c r="X30"/>
  <c r="V31"/>
  <c r="W31"/>
  <c r="X31"/>
  <c r="V32"/>
  <c r="W32"/>
  <c r="X32"/>
  <c r="V33"/>
  <c r="W33"/>
  <c r="X33"/>
  <c r="V34"/>
  <c r="W34"/>
  <c r="X34"/>
  <c r="V35"/>
  <c r="W35"/>
  <c r="X35"/>
  <c r="V36"/>
  <c r="W36"/>
  <c r="X36"/>
  <c r="V37"/>
  <c r="W37"/>
  <c r="X37"/>
  <c r="V38"/>
  <c r="W38"/>
  <c r="X38"/>
  <c r="V39"/>
  <c r="W39"/>
  <c r="X39"/>
  <c r="V40"/>
  <c r="W40"/>
  <c r="X40"/>
  <c r="G40" s="1"/>
  <c r="W41"/>
  <c r="V41"/>
  <c r="F22" i="44" l="1"/>
  <c r="F23"/>
  <c r="C22" i="49"/>
  <c r="C23"/>
  <c r="I60" i="53"/>
  <c r="I61"/>
  <c r="I60" i="52"/>
  <c r="I61"/>
  <c r="C22" i="44"/>
  <c r="C23"/>
  <c r="D4" i="126"/>
  <c r="D38" s="1"/>
  <c r="D58" i="123"/>
  <c r="G39" i="118"/>
  <c r="F40" i="124"/>
  <c r="G19" i="101"/>
  <c r="F40" i="293"/>
  <c r="T37" i="22"/>
  <c r="T41"/>
  <c r="R46"/>
  <c r="R42"/>
  <c r="R38"/>
  <c r="T45"/>
  <c r="T47"/>
  <c r="T36"/>
  <c r="T40"/>
  <c r="T44"/>
  <c r="R47"/>
  <c r="J17" s="1"/>
  <c r="J16" s="1"/>
  <c r="R35"/>
  <c r="R44"/>
  <c r="R40"/>
  <c r="R36"/>
  <c r="R43"/>
  <c r="R39"/>
  <c r="R45"/>
  <c r="R41"/>
  <c r="R37"/>
  <c r="T38"/>
  <c r="T42"/>
  <c r="T46"/>
  <c r="C8" i="118"/>
  <c r="C8" i="7"/>
  <c r="C7" i="48"/>
  <c r="B22" i="123"/>
  <c r="B22" i="122"/>
  <c r="G38" i="58"/>
  <c r="C7" i="123"/>
  <c r="F21" i="10"/>
  <c r="C20"/>
  <c r="C16"/>
  <c r="C12"/>
  <c r="C8"/>
  <c r="F23"/>
  <c r="F19"/>
  <c r="C22"/>
  <c r="C14"/>
  <c r="C10"/>
  <c r="C6"/>
  <c r="P10" i="119"/>
  <c r="D36" i="179"/>
  <c r="D8" i="187" s="1"/>
  <c r="F36" i="8"/>
  <c r="F24" i="105"/>
  <c r="C25"/>
  <c r="C33" i="8"/>
  <c r="C35"/>
  <c r="F51" i="55"/>
  <c r="D13" i="41"/>
  <c r="B12"/>
  <c r="F49" i="55"/>
  <c r="D11" i="41"/>
  <c r="B10"/>
  <c r="F47" i="55"/>
  <c r="B9" i="41"/>
  <c r="F46" i="55"/>
  <c r="B8" i="41"/>
  <c r="F45" i="55"/>
  <c r="D7" i="41"/>
  <c r="B4"/>
  <c r="B21" s="1"/>
  <c r="F41" i="55"/>
  <c r="F38" i="58"/>
  <c r="F38" i="50"/>
  <c r="H38" i="52"/>
  <c r="F38"/>
  <c r="F5" i="10"/>
  <c r="F16"/>
  <c r="F12"/>
  <c r="N10" i="119"/>
  <c r="N15"/>
  <c r="F34" i="8"/>
  <c r="F18" i="105"/>
  <c r="Q10" i="119"/>
  <c r="Q17"/>
  <c r="Q26"/>
  <c r="O10"/>
  <c r="O18"/>
  <c r="O19"/>
  <c r="M10"/>
  <c r="M19"/>
  <c r="M22"/>
  <c r="M14"/>
  <c r="D28" i="179"/>
  <c r="D8" i="186" s="1"/>
  <c r="F33" i="8"/>
  <c r="F35"/>
  <c r="F25" i="105"/>
  <c r="C36" i="8"/>
  <c r="C24" i="105"/>
  <c r="C34" i="8"/>
  <c r="C18" i="105"/>
  <c r="B13" i="41"/>
  <c r="F50" i="55"/>
  <c r="B11" i="41"/>
  <c r="F48" i="55"/>
  <c r="B7" i="41"/>
  <c r="F44" i="55"/>
  <c r="B6" i="41"/>
  <c r="F43" i="55"/>
  <c r="B5" i="41"/>
  <c r="F42" i="55"/>
  <c r="G37" i="58"/>
  <c r="G38" i="52"/>
  <c r="H37" i="58"/>
  <c r="F14" i="10"/>
  <c r="F10"/>
  <c r="F8"/>
  <c r="F6"/>
  <c r="F22"/>
  <c r="F20"/>
  <c r="F17"/>
  <c r="F15"/>
  <c r="F13"/>
  <c r="F11"/>
  <c r="F9"/>
  <c r="F7"/>
  <c r="C5"/>
  <c r="C23"/>
  <c r="C21"/>
  <c r="C19"/>
  <c r="C17"/>
  <c r="C15"/>
  <c r="C13"/>
  <c r="C11"/>
  <c r="C9"/>
  <c r="C7"/>
  <c r="E13" i="20"/>
  <c r="E12"/>
  <c r="E11"/>
  <c r="E9"/>
  <c r="E8"/>
  <c r="E7"/>
  <c r="E6"/>
  <c r="C41" i="6"/>
  <c r="E6"/>
  <c r="E59" s="1"/>
  <c r="F7"/>
  <c r="D7"/>
  <c r="C13" i="104"/>
  <c r="C11"/>
  <c r="C9"/>
  <c r="C7"/>
  <c r="C66" i="6"/>
  <c r="C10" i="104"/>
  <c r="C65" i="6"/>
  <c r="C6" i="104"/>
  <c r="E41" i="7"/>
  <c r="B41"/>
  <c r="F41"/>
  <c r="C5" i="104"/>
  <c r="C12"/>
  <c r="C14"/>
  <c r="C8"/>
  <c r="C33" i="9"/>
  <c r="C35"/>
  <c r="F34"/>
  <c r="C25" i="10"/>
  <c r="C24"/>
  <c r="C18"/>
  <c r="F33" i="9"/>
  <c r="F35"/>
  <c r="F25" i="10"/>
  <c r="F24"/>
  <c r="F18"/>
  <c r="F40" i="57"/>
  <c r="F51"/>
  <c r="G50"/>
  <c r="F49"/>
  <c r="G48"/>
  <c r="G47"/>
  <c r="G46"/>
  <c r="G45"/>
  <c r="G44"/>
  <c r="G43"/>
  <c r="G42"/>
  <c r="G41"/>
  <c r="G51"/>
  <c r="F50"/>
  <c r="G49"/>
  <c r="F48"/>
  <c r="F47"/>
  <c r="F46"/>
  <c r="F45"/>
  <c r="F44"/>
  <c r="F43"/>
  <c r="F42"/>
  <c r="F41"/>
  <c r="B4" i="43"/>
  <c r="E10" i="20"/>
  <c r="F50" i="56"/>
  <c r="F48"/>
  <c r="F46"/>
  <c r="F44"/>
  <c r="F42"/>
  <c r="F51"/>
  <c r="F49"/>
  <c r="F47"/>
  <c r="F45"/>
  <c r="F43"/>
  <c r="B4" i="42"/>
  <c r="F41" i="56"/>
  <c r="O22" i="122"/>
  <c r="F22" s="1"/>
  <c r="F22" i="123"/>
  <c r="P22" i="122"/>
  <c r="G22" s="1"/>
  <c r="G22" i="123"/>
  <c r="N22" i="122"/>
  <c r="E22" s="1"/>
  <c r="E22" i="123"/>
  <c r="D24" i="122"/>
  <c r="D23" i="123" s="1"/>
  <c r="E16" i="20"/>
  <c r="E15"/>
  <c r="E14"/>
  <c r="F40" i="56"/>
  <c r="F40" i="55"/>
  <c r="C22" i="48" l="1"/>
  <c r="C23"/>
  <c r="F61" i="55"/>
  <c r="B22" i="42"/>
  <c r="B21"/>
  <c r="B22" i="43"/>
  <c r="B21"/>
  <c r="F61" i="57"/>
  <c r="F61" i="56"/>
  <c r="G61" i="57"/>
  <c r="B22" i="41"/>
  <c r="B23"/>
  <c r="D22"/>
  <c r="D23"/>
  <c r="E41" i="124"/>
  <c r="F40" i="118"/>
  <c r="E41" i="131"/>
  <c r="F20" i="101"/>
  <c r="E41" i="293"/>
  <c r="J15" i="22"/>
  <c r="J14" s="1"/>
  <c r="J13" s="1"/>
  <c r="J12" s="1"/>
  <c r="J11" s="1"/>
  <c r="J10" s="1"/>
  <c r="J9" s="1"/>
  <c r="J8" s="1"/>
  <c r="J7" s="1"/>
  <c r="J6" s="1"/>
  <c r="J5" s="1"/>
  <c r="J4" s="1"/>
  <c r="E40" i="118"/>
  <c r="D41" i="124"/>
  <c r="D41" i="131"/>
  <c r="E20" i="101"/>
  <c r="D41" i="293"/>
  <c r="G41" i="131"/>
  <c r="B41" i="124"/>
  <c r="B40" i="118"/>
  <c r="H41" i="131"/>
  <c r="B20" i="101"/>
  <c r="B41" i="293"/>
  <c r="F41" i="131"/>
  <c r="G19" i="108"/>
  <c r="C7" i="118"/>
  <c r="C7" i="7"/>
  <c r="B21" i="123"/>
  <c r="B21" i="122"/>
  <c r="B41" i="131"/>
  <c r="M23" i="119"/>
  <c r="M18"/>
  <c r="M15"/>
  <c r="M25"/>
  <c r="O15"/>
  <c r="O14"/>
  <c r="O25"/>
  <c r="Q11"/>
  <c r="Q25"/>
  <c r="Q22"/>
  <c r="N19"/>
  <c r="C6" i="123"/>
  <c r="D41" i="7"/>
  <c r="C41" i="293" s="1"/>
  <c r="E40" i="7"/>
  <c r="Q23" i="119"/>
  <c r="N22"/>
  <c r="Q27"/>
  <c r="O11"/>
  <c r="O17"/>
  <c r="Q15"/>
  <c r="N11"/>
  <c r="M11"/>
  <c r="M12"/>
  <c r="M16"/>
  <c r="M20"/>
  <c r="M13"/>
  <c r="M17"/>
  <c r="M21"/>
  <c r="M27"/>
  <c r="O23"/>
  <c r="O16"/>
  <c r="Q19"/>
  <c r="O26"/>
  <c r="N17"/>
  <c r="N21"/>
  <c r="H36" i="58"/>
  <c r="D10" i="186"/>
  <c r="E60" i="123"/>
  <c r="D11" i="187"/>
  <c r="I38" i="119"/>
  <c r="Q24"/>
  <c r="Q28"/>
  <c r="D12" i="187"/>
  <c r="D23" s="1"/>
  <c r="G59" i="123"/>
  <c r="D11" i="186"/>
  <c r="P13" i="119"/>
  <c r="H37"/>
  <c r="M26"/>
  <c r="O21"/>
  <c r="O27"/>
  <c r="O12"/>
  <c r="O22"/>
  <c r="Q12"/>
  <c r="Q16"/>
  <c r="Q20"/>
  <c r="N12"/>
  <c r="N16"/>
  <c r="N20"/>
  <c r="N26"/>
  <c r="N23"/>
  <c r="N27"/>
  <c r="P12"/>
  <c r="P21"/>
  <c r="P27"/>
  <c r="P14"/>
  <c r="P18"/>
  <c r="P22"/>
  <c r="P26"/>
  <c r="P17"/>
  <c r="P23"/>
  <c r="L10"/>
  <c r="G37" i="52"/>
  <c r="G36" i="58"/>
  <c r="F59" i="123"/>
  <c r="D10" i="185"/>
  <c r="G60" i="123"/>
  <c r="E38" i="119"/>
  <c r="M24"/>
  <c r="M28"/>
  <c r="O28"/>
  <c r="G37"/>
  <c r="O13"/>
  <c r="G38"/>
  <c r="O24"/>
  <c r="I37"/>
  <c r="Q13"/>
  <c r="D11" i="185"/>
  <c r="D20" s="1"/>
  <c r="D9"/>
  <c r="D10" i="187"/>
  <c r="F60" i="123"/>
  <c r="F38" i="119"/>
  <c r="N24"/>
  <c r="N28"/>
  <c r="N13"/>
  <c r="F37"/>
  <c r="D12" i="186"/>
  <c r="D23" s="1"/>
  <c r="F37" i="52"/>
  <c r="H37"/>
  <c r="F37" i="50"/>
  <c r="F37" i="58"/>
  <c r="P28" i="119"/>
  <c r="H38"/>
  <c r="P24"/>
  <c r="O20"/>
  <c r="Q14"/>
  <c r="Q18"/>
  <c r="Q21"/>
  <c r="N14"/>
  <c r="N18"/>
  <c r="N25"/>
  <c r="P11"/>
  <c r="P25"/>
  <c r="P16"/>
  <c r="P20"/>
  <c r="P15"/>
  <c r="P19"/>
  <c r="C15" i="104"/>
  <c r="C40" i="6"/>
  <c r="D6"/>
  <c r="D59" s="1"/>
  <c r="F6"/>
  <c r="F59" s="1"/>
  <c r="F40" i="7"/>
  <c r="B40"/>
  <c r="D23" i="122"/>
  <c r="D22" i="123" s="1"/>
  <c r="G40" i="57"/>
  <c r="F39"/>
  <c r="N21" i="122"/>
  <c r="E21" s="1"/>
  <c r="E21" i="123"/>
  <c r="P21" i="122"/>
  <c r="G21" s="1"/>
  <c r="G21" i="123"/>
  <c r="O21" i="122"/>
  <c r="F21" s="1"/>
  <c r="F21" i="123"/>
  <c r="F39" i="56"/>
  <c r="F39" i="55"/>
  <c r="E20" i="120" l="1"/>
  <c r="E20" i="108"/>
  <c r="F39" i="118"/>
  <c r="E40" i="131"/>
  <c r="E40" i="124"/>
  <c r="F19" i="101"/>
  <c r="E40" i="293"/>
  <c r="C41" i="131"/>
  <c r="C41" i="124"/>
  <c r="D40" i="118"/>
  <c r="D20" i="101"/>
  <c r="H40" i="131"/>
  <c r="G40"/>
  <c r="B39" i="118"/>
  <c r="B40" i="124"/>
  <c r="B19" i="101"/>
  <c r="B40" i="293"/>
  <c r="F40" i="131"/>
  <c r="D40"/>
  <c r="D40" i="124"/>
  <c r="E39" i="118"/>
  <c r="E19" i="101"/>
  <c r="D40" i="293"/>
  <c r="B20" i="120"/>
  <c r="B20" i="108"/>
  <c r="H20" i="120"/>
  <c r="I20"/>
  <c r="G20"/>
  <c r="C20"/>
  <c r="F20"/>
  <c r="F20" i="108"/>
  <c r="C6" i="118"/>
  <c r="C6" i="7"/>
  <c r="C60" s="1"/>
  <c r="B40" i="131"/>
  <c r="B20" i="123"/>
  <c r="B20" i="122"/>
  <c r="L18" i="119"/>
  <c r="B57" i="101"/>
  <c r="C9" i="297"/>
  <c r="E39" i="7"/>
  <c r="D17" i="185"/>
  <c r="C11" i="297"/>
  <c r="D40" i="7"/>
  <c r="C10" i="297"/>
  <c r="D21" i="186"/>
  <c r="C5" i="123"/>
  <c r="E41" i="126"/>
  <c r="L22" i="119"/>
  <c r="C5" i="299"/>
  <c r="C8"/>
  <c r="C7"/>
  <c r="C6"/>
  <c r="C13" i="298"/>
  <c r="C14"/>
  <c r="C16"/>
  <c r="D16" i="185"/>
  <c r="D19"/>
  <c r="C8" i="298"/>
  <c r="C6"/>
  <c r="C5"/>
  <c r="C7"/>
  <c r="H17" i="180"/>
  <c r="D19" i="187"/>
  <c r="D17"/>
  <c r="D22"/>
  <c r="H11" i="180"/>
  <c r="H20" s="1"/>
  <c r="H18"/>
  <c r="D9" i="184"/>
  <c r="D9" i="182"/>
  <c r="L14" i="119"/>
  <c r="L27"/>
  <c r="L23"/>
  <c r="L15"/>
  <c r="L26"/>
  <c r="L20"/>
  <c r="L12"/>
  <c r="L17"/>
  <c r="D9" i="183"/>
  <c r="F36" i="58"/>
  <c r="F36" i="50"/>
  <c r="H36" i="52"/>
  <c r="F36"/>
  <c r="D19" i="186"/>
  <c r="D22"/>
  <c r="D17"/>
  <c r="D18" i="187"/>
  <c r="D20"/>
  <c r="G41" i="126"/>
  <c r="C13" i="299"/>
  <c r="C16"/>
  <c r="C14"/>
  <c r="C10" i="298"/>
  <c r="C12"/>
  <c r="C9"/>
  <c r="C11"/>
  <c r="F39" i="126"/>
  <c r="G36" i="52"/>
  <c r="L28" i="119"/>
  <c r="D38"/>
  <c r="L24"/>
  <c r="F41" i="126"/>
  <c r="C12" i="299"/>
  <c r="C10"/>
  <c r="C11"/>
  <c r="C9"/>
  <c r="G39" i="126"/>
  <c r="C13" i="297"/>
  <c r="C14"/>
  <c r="D18" i="186"/>
  <c r="D20"/>
  <c r="H35" i="58"/>
  <c r="D60" i="123"/>
  <c r="D18" i="185"/>
  <c r="L25" i="119"/>
  <c r="L19"/>
  <c r="L11"/>
  <c r="L16"/>
  <c r="L21"/>
  <c r="L13"/>
  <c r="D21" i="187"/>
  <c r="C39" i="6"/>
  <c r="G39" i="7"/>
  <c r="B39"/>
  <c r="F39"/>
  <c r="F38" i="57"/>
  <c r="G39"/>
  <c r="O20" i="122"/>
  <c r="F20" s="1"/>
  <c r="F20" i="123"/>
  <c r="P20" i="122"/>
  <c r="G20" s="1"/>
  <c r="G20" i="123"/>
  <c r="N20" i="122"/>
  <c r="E20" s="1"/>
  <c r="E20" i="123"/>
  <c r="D22" i="122"/>
  <c r="D21" i="123" s="1"/>
  <c r="F38" i="56"/>
  <c r="F38" i="55"/>
  <c r="F19" i="120" l="1"/>
  <c r="F19" i="108"/>
  <c r="G38" i="118"/>
  <c r="F39" i="124"/>
  <c r="F39" i="131"/>
  <c r="G18" i="101"/>
  <c r="F39" i="293"/>
  <c r="B38" i="118"/>
  <c r="B39" i="124"/>
  <c r="H39" i="131"/>
  <c r="G39"/>
  <c r="B18" i="101"/>
  <c r="B39" i="293"/>
  <c r="E39" i="131"/>
  <c r="F38" i="118"/>
  <c r="E39" i="124"/>
  <c r="F18" i="101"/>
  <c r="E39" i="293"/>
  <c r="D20" i="108"/>
  <c r="D20" i="120"/>
  <c r="C40" i="131"/>
  <c r="C40" i="124"/>
  <c r="D39" i="118"/>
  <c r="D19" i="101"/>
  <c r="D39" i="131"/>
  <c r="E38" i="118"/>
  <c r="D39" i="124"/>
  <c r="E18" i="101"/>
  <c r="D39" i="293"/>
  <c r="E19" i="120"/>
  <c r="E19" i="108"/>
  <c r="B19" i="120"/>
  <c r="B19" i="108"/>
  <c r="H19" i="120"/>
  <c r="I19"/>
  <c r="C19"/>
  <c r="G19"/>
  <c r="C40" i="293"/>
  <c r="C61" i="7"/>
  <c r="C63"/>
  <c r="C62"/>
  <c r="C5" i="118"/>
  <c r="B39" i="131"/>
  <c r="B19" i="123"/>
  <c r="B19" i="122"/>
  <c r="C11" i="296"/>
  <c r="E38" i="7"/>
  <c r="D39"/>
  <c r="C10" i="296"/>
  <c r="G35" i="52"/>
  <c r="H16" i="180"/>
  <c r="H19"/>
  <c r="D8" i="184"/>
  <c r="D8" i="183"/>
  <c r="D17" s="1"/>
  <c r="D8" i="182"/>
  <c r="C12" i="296"/>
  <c r="C13"/>
  <c r="C14"/>
  <c r="C16" i="297"/>
  <c r="C16" i="296"/>
  <c r="H34" i="58"/>
  <c r="G35"/>
  <c r="F35" i="52"/>
  <c r="H35"/>
  <c r="F35" i="50"/>
  <c r="F35" i="58"/>
  <c r="D18" i="180"/>
  <c r="D10" i="184"/>
  <c r="D18" s="1"/>
  <c r="D10" i="183"/>
  <c r="D18" s="1"/>
  <c r="D10" i="182"/>
  <c r="D18" s="1"/>
  <c r="D11" i="180"/>
  <c r="D20" s="1"/>
  <c r="D11" i="184"/>
  <c r="D20" s="1"/>
  <c r="D11" i="182"/>
  <c r="D20" s="1"/>
  <c r="D11" i="183"/>
  <c r="D20" s="1"/>
  <c r="D41" i="126"/>
  <c r="C9" i="296"/>
  <c r="C12" i="297"/>
  <c r="C38" i="6"/>
  <c r="F38" i="7"/>
  <c r="B38"/>
  <c r="G38"/>
  <c r="D21" i="122"/>
  <c r="D20" i="123" s="1"/>
  <c r="F37" i="57"/>
  <c r="G38"/>
  <c r="N19" i="122"/>
  <c r="E19" s="1"/>
  <c r="E19" i="123"/>
  <c r="P19" i="122"/>
  <c r="G19" s="1"/>
  <c r="G19" i="123"/>
  <c r="O19" i="122"/>
  <c r="F19" s="1"/>
  <c r="F19" i="123"/>
  <c r="F37" i="56"/>
  <c r="F37" i="55"/>
  <c r="B38" i="124" l="1"/>
  <c r="B37" i="118"/>
  <c r="H38" i="131"/>
  <c r="G38"/>
  <c r="B17" i="101"/>
  <c r="B38" i="293"/>
  <c r="E37" i="118"/>
  <c r="D38" i="124"/>
  <c r="D38" i="131"/>
  <c r="E17" i="101"/>
  <c r="D38" i="293"/>
  <c r="F18" i="120"/>
  <c r="F18" i="108"/>
  <c r="E38" i="131"/>
  <c r="F37" i="118"/>
  <c r="E38" i="124"/>
  <c r="F17" i="101"/>
  <c r="E38" i="293"/>
  <c r="C39" i="131"/>
  <c r="C39" i="124"/>
  <c r="D38" i="118"/>
  <c r="D18" i="101"/>
  <c r="G18" i="120"/>
  <c r="G18" i="108"/>
  <c r="C39" i="293"/>
  <c r="F38" i="124"/>
  <c r="F38" i="131"/>
  <c r="G37" i="118"/>
  <c r="G17" i="101"/>
  <c r="F38" i="293"/>
  <c r="E18" i="108"/>
  <c r="E18" i="120"/>
  <c r="D19" i="108"/>
  <c r="D19" i="120"/>
  <c r="H18"/>
  <c r="B18" i="108"/>
  <c r="B18" i="120"/>
  <c r="I18"/>
  <c r="C18"/>
  <c r="B38" i="131"/>
  <c r="B18" i="123"/>
  <c r="B18" i="122"/>
  <c r="E37" i="7"/>
  <c r="D38"/>
  <c r="C38" i="293" s="1"/>
  <c r="D17" i="184"/>
  <c r="D17" i="182"/>
  <c r="D16" i="183"/>
  <c r="D19"/>
  <c r="D16" i="184"/>
  <c r="D19"/>
  <c r="D17" i="180"/>
  <c r="G34" i="52"/>
  <c r="D16" i="182"/>
  <c r="D19"/>
  <c r="D16" i="180"/>
  <c r="D19"/>
  <c r="F34" i="58"/>
  <c r="F34" i="50"/>
  <c r="I34" i="58"/>
  <c r="H34" i="52"/>
  <c r="F34"/>
  <c r="G34" i="58"/>
  <c r="C37" i="6"/>
  <c r="B37" i="7"/>
  <c r="F37"/>
  <c r="G37"/>
  <c r="F36" i="57"/>
  <c r="G37"/>
  <c r="G37" i="56"/>
  <c r="O18" i="122"/>
  <c r="F18" s="1"/>
  <c r="F18" i="123"/>
  <c r="P18" i="122"/>
  <c r="G18" s="1"/>
  <c r="G18" i="123"/>
  <c r="N18" i="122"/>
  <c r="E18" s="1"/>
  <c r="E18" i="123"/>
  <c r="D20" i="122"/>
  <c r="D19" i="123" s="1"/>
  <c r="F36" i="56"/>
  <c r="F36" i="55"/>
  <c r="H17" i="120" l="1"/>
  <c r="B17" i="108"/>
  <c r="B17" i="120"/>
  <c r="I17"/>
  <c r="C17"/>
  <c r="F37" i="131"/>
  <c r="G36" i="118"/>
  <c r="F37" i="124"/>
  <c r="G16" i="101"/>
  <c r="F37" i="293"/>
  <c r="G17" i="108"/>
  <c r="G17" i="120"/>
  <c r="D18" i="108"/>
  <c r="D18" i="120"/>
  <c r="E17"/>
  <c r="E17" i="108"/>
  <c r="E37" i="124"/>
  <c r="E37" i="131"/>
  <c r="F36" i="118"/>
  <c r="F16" i="101"/>
  <c r="E37" i="293"/>
  <c r="C38" i="124"/>
  <c r="C38" i="131"/>
  <c r="D37" i="118"/>
  <c r="D17" i="101"/>
  <c r="C37" i="293"/>
  <c r="F17" i="120"/>
  <c r="F17" i="108"/>
  <c r="G37" i="131"/>
  <c r="H37"/>
  <c r="B36" i="118"/>
  <c r="B16" i="101"/>
  <c r="B37" i="293"/>
  <c r="E36" i="118"/>
  <c r="D37" i="124"/>
  <c r="D37" i="131"/>
  <c r="E16" i="101"/>
  <c r="D37" i="293"/>
  <c r="B37" i="131"/>
  <c r="B37" i="124"/>
  <c r="B17" i="123"/>
  <c r="B17" i="122"/>
  <c r="E36" i="7"/>
  <c r="D37"/>
  <c r="H32" i="58"/>
  <c r="F33" i="50"/>
  <c r="C36" i="6"/>
  <c r="B36" i="7"/>
  <c r="G36"/>
  <c r="F36"/>
  <c r="D19" i="122"/>
  <c r="D18" i="123" s="1"/>
  <c r="F35" i="57"/>
  <c r="G36"/>
  <c r="G36" i="56"/>
  <c r="N17" i="122"/>
  <c r="E17" s="1"/>
  <c r="E17" i="123"/>
  <c r="P17" i="122"/>
  <c r="G17" s="1"/>
  <c r="G17" i="123"/>
  <c r="O17" i="122"/>
  <c r="F17" s="1"/>
  <c r="F17" i="123"/>
  <c r="F35" i="56"/>
  <c r="F35" i="55"/>
  <c r="F59" i="50" l="1"/>
  <c r="F60"/>
  <c r="F36" i="124"/>
  <c r="G35" i="118"/>
  <c r="F36" i="131"/>
  <c r="G15" i="101"/>
  <c r="F36" i="293"/>
  <c r="D36" i="131"/>
  <c r="E35" i="118"/>
  <c r="D36" i="124"/>
  <c r="E15" i="101"/>
  <c r="D36" i="293"/>
  <c r="E16" i="108"/>
  <c r="E16" i="120"/>
  <c r="D17" i="108"/>
  <c r="D17" i="120"/>
  <c r="G16"/>
  <c r="G16" i="108"/>
  <c r="H36" i="131"/>
  <c r="B35" i="118"/>
  <c r="G36" i="131"/>
  <c r="B15" i="101"/>
  <c r="B36" i="293"/>
  <c r="F35" i="118"/>
  <c r="E36" i="124"/>
  <c r="E36" i="131"/>
  <c r="F15" i="101"/>
  <c r="E36" i="293"/>
  <c r="C37" i="131"/>
  <c r="C37" i="124"/>
  <c r="D36" i="118"/>
  <c r="D16" i="101"/>
  <c r="B16" i="120"/>
  <c r="H16"/>
  <c r="B16" i="108"/>
  <c r="I16" i="120"/>
  <c r="C16"/>
  <c r="F16"/>
  <c r="F16" i="108"/>
  <c r="C36" i="293"/>
  <c r="B16" i="123"/>
  <c r="B16" i="122"/>
  <c r="B36" i="131"/>
  <c r="B36" i="124"/>
  <c r="E35" i="7"/>
  <c r="D36"/>
  <c r="F32" i="58"/>
  <c r="F32" i="50"/>
  <c r="I32" i="58"/>
  <c r="H32" i="52"/>
  <c r="F32"/>
  <c r="H31" i="58"/>
  <c r="G32" i="52"/>
  <c r="F33" i="58"/>
  <c r="H33" i="52"/>
  <c r="F33"/>
  <c r="G32" i="58"/>
  <c r="G33" i="52"/>
  <c r="C35" i="6"/>
  <c r="D60"/>
  <c r="F35" i="7"/>
  <c r="G35"/>
  <c r="B35"/>
  <c r="G34" i="57"/>
  <c r="F34"/>
  <c r="G35"/>
  <c r="G35" i="56"/>
  <c r="O16" i="122"/>
  <c r="F16" s="1"/>
  <c r="F16" i="123"/>
  <c r="P16" i="122"/>
  <c r="G16" s="1"/>
  <c r="G16" i="123"/>
  <c r="N16" i="122"/>
  <c r="E16" s="1"/>
  <c r="E16" i="123"/>
  <c r="D18" i="122"/>
  <c r="D17" i="123" s="1"/>
  <c r="F32" i="53"/>
  <c r="H32"/>
  <c r="I32"/>
  <c r="F34" i="56"/>
  <c r="F34" i="55"/>
  <c r="G60" i="52" l="1"/>
  <c r="F59" i="58"/>
  <c r="F60"/>
  <c r="H59" i="52"/>
  <c r="H60"/>
  <c r="F60"/>
  <c r="D35" i="131"/>
  <c r="D35" i="124"/>
  <c r="E34" i="118"/>
  <c r="E14" i="101"/>
  <c r="D35" i="293"/>
  <c r="B34" i="118"/>
  <c r="H35" i="131"/>
  <c r="G35"/>
  <c r="B14" i="101"/>
  <c r="B35" i="293"/>
  <c r="F15" i="108"/>
  <c r="F15" i="120"/>
  <c r="E15"/>
  <c r="E15" i="108"/>
  <c r="D16" i="120"/>
  <c r="D16" i="108"/>
  <c r="E35" i="131"/>
  <c r="E35" i="124"/>
  <c r="F34" i="118"/>
  <c r="F14" i="101"/>
  <c r="E35" i="293"/>
  <c r="G34" i="118"/>
  <c r="F35" i="131"/>
  <c r="F35" i="124"/>
  <c r="G14" i="101"/>
  <c r="F35" i="293"/>
  <c r="C36" i="124"/>
  <c r="C36" i="131"/>
  <c r="D35" i="118"/>
  <c r="D15" i="101"/>
  <c r="H15" i="120"/>
  <c r="B15" i="108"/>
  <c r="B15" i="120"/>
  <c r="I15"/>
  <c r="C15"/>
  <c r="G15" i="108"/>
  <c r="G15" i="120"/>
  <c r="B15" i="123"/>
  <c r="B15" i="122"/>
  <c r="B35" i="131"/>
  <c r="B35" i="124"/>
  <c r="E34" i="7"/>
  <c r="D35"/>
  <c r="C35" i="293" s="1"/>
  <c r="G32" i="53"/>
  <c r="G31" i="52"/>
  <c r="F31"/>
  <c r="H31"/>
  <c r="I31" i="58"/>
  <c r="F31" i="50"/>
  <c r="F31" i="58"/>
  <c r="G31"/>
  <c r="C34" i="6"/>
  <c r="F60"/>
  <c r="B60"/>
  <c r="E60"/>
  <c r="G34" i="7"/>
  <c r="B34"/>
  <c r="F34"/>
  <c r="D17" i="122"/>
  <c r="D16" i="123" s="1"/>
  <c r="G34" i="56"/>
  <c r="N15" i="122"/>
  <c r="E15" s="1"/>
  <c r="E15" i="123"/>
  <c r="P15" i="122"/>
  <c r="G15" s="1"/>
  <c r="G15" i="123"/>
  <c r="O15" i="122"/>
  <c r="F15" s="1"/>
  <c r="F15" i="123"/>
  <c r="G34" i="131" l="1"/>
  <c r="B33" i="118"/>
  <c r="B63" s="1"/>
  <c r="H34" i="131"/>
  <c r="B13" i="101"/>
  <c r="B34" i="293"/>
  <c r="F14" i="108"/>
  <c r="F14" i="120"/>
  <c r="B14"/>
  <c r="H14"/>
  <c r="B14" i="108"/>
  <c r="I14" i="120"/>
  <c r="C14"/>
  <c r="E34" i="131"/>
  <c r="F33" i="118"/>
  <c r="F63" s="1"/>
  <c r="E34" i="124"/>
  <c r="F13" i="101"/>
  <c r="E34" i="293"/>
  <c r="G14" i="120"/>
  <c r="G14" i="108"/>
  <c r="D34" i="131"/>
  <c r="E33" i="118"/>
  <c r="E63" s="1"/>
  <c r="D34" i="124"/>
  <c r="E13" i="101"/>
  <c r="D34" i="293"/>
  <c r="D15" i="120"/>
  <c r="D15" i="108"/>
  <c r="F34" i="131"/>
  <c r="G33" i="118"/>
  <c r="G63" s="1"/>
  <c r="F34" i="124"/>
  <c r="G13" i="101"/>
  <c r="F34" i="293"/>
  <c r="C35" i="131"/>
  <c r="C35" i="124"/>
  <c r="D34" i="118"/>
  <c r="D14" i="101"/>
  <c r="E14" i="108"/>
  <c r="E14" i="120"/>
  <c r="B34" i="131"/>
  <c r="B34" i="124"/>
  <c r="B14" i="123"/>
  <c r="B14" i="122"/>
  <c r="E22" i="179"/>
  <c r="F22" s="1"/>
  <c r="E33" i="7"/>
  <c r="D34"/>
  <c r="C34" i="293" s="1"/>
  <c r="F33" i="55"/>
  <c r="H30" i="58"/>
  <c r="G30"/>
  <c r="B68" i="7"/>
  <c r="F30" i="50"/>
  <c r="H29" i="52"/>
  <c r="H29" i="58"/>
  <c r="F29" i="51"/>
  <c r="C33" i="6"/>
  <c r="C63"/>
  <c r="B33" i="7"/>
  <c r="E38" i="179"/>
  <c r="G33" i="7"/>
  <c r="E30" i="179"/>
  <c r="F33" i="7"/>
  <c r="F32" i="57"/>
  <c r="G33"/>
  <c r="F33"/>
  <c r="G33" i="56"/>
  <c r="F33"/>
  <c r="O14" i="122"/>
  <c r="F14" s="1"/>
  <c r="F14" i="123"/>
  <c r="P14" i="122"/>
  <c r="G14" s="1"/>
  <c r="G14" i="123"/>
  <c r="N14" i="122"/>
  <c r="E14" s="1"/>
  <c r="E14" i="123"/>
  <c r="D16" i="122"/>
  <c r="D15" i="123" s="1"/>
  <c r="F32" i="56"/>
  <c r="F32" i="55"/>
  <c r="G60" i="57" l="1"/>
  <c r="F60"/>
  <c r="G60" i="56"/>
  <c r="F60" i="55"/>
  <c r="F60" i="56"/>
  <c r="E32" i="118"/>
  <c r="D33" i="124"/>
  <c r="D33" i="131"/>
  <c r="E12" i="101"/>
  <c r="D33" i="293"/>
  <c r="B62" i="124"/>
  <c r="D62" i="131"/>
  <c r="F42" i="101"/>
  <c r="F13" i="120"/>
  <c r="F13" i="108"/>
  <c r="B42" i="101"/>
  <c r="B9" i="121" s="1"/>
  <c r="H13" i="120"/>
  <c r="B13"/>
  <c r="B13" i="108"/>
  <c r="I13" i="120"/>
  <c r="C13"/>
  <c r="F33" i="124"/>
  <c r="F33" i="131"/>
  <c r="G32" i="118"/>
  <c r="G12" i="101"/>
  <c r="F33" i="293"/>
  <c r="E15" i="179"/>
  <c r="C34" i="124"/>
  <c r="C34" i="131"/>
  <c r="D33" i="118"/>
  <c r="D63" s="1"/>
  <c r="D13" i="101"/>
  <c r="E62" i="131"/>
  <c r="G42" i="101"/>
  <c r="G13" i="120"/>
  <c r="G13" i="108"/>
  <c r="E33" i="124"/>
  <c r="F32" i="118"/>
  <c r="E33" i="131"/>
  <c r="F12" i="101"/>
  <c r="E33" i="293"/>
  <c r="G33" i="131"/>
  <c r="B32" i="118"/>
  <c r="H33" i="131"/>
  <c r="B12" i="101"/>
  <c r="B33" i="293"/>
  <c r="B62" i="131"/>
  <c r="D14" i="120"/>
  <c r="D14" i="108"/>
  <c r="F62" i="131"/>
  <c r="E42" i="101"/>
  <c r="E13" i="108"/>
  <c r="E13" i="120"/>
  <c r="E32" i="7"/>
  <c r="E9" i="185"/>
  <c r="F9" s="1"/>
  <c r="B13" i="123"/>
  <c r="B13" i="122"/>
  <c r="B33" i="131"/>
  <c r="B33" i="124"/>
  <c r="D33" i="7"/>
  <c r="C33" i="293" s="1"/>
  <c r="G29" i="52"/>
  <c r="F28" i="51"/>
  <c r="F29" i="52"/>
  <c r="G29" i="51"/>
  <c r="I29" i="58"/>
  <c r="F29" i="50"/>
  <c r="F29" i="58"/>
  <c r="G30" i="52"/>
  <c r="G29" i="58"/>
  <c r="F30" i="52"/>
  <c r="H30"/>
  <c r="F30" i="58"/>
  <c r="C32" i="6"/>
  <c r="E10" i="187"/>
  <c r="F38" i="179"/>
  <c r="C9" i="185"/>
  <c r="C9" i="182"/>
  <c r="F32" i="7"/>
  <c r="E10" i="186"/>
  <c r="F30" i="179"/>
  <c r="G32" i="7"/>
  <c r="B32"/>
  <c r="E10" i="181"/>
  <c r="D15" i="122"/>
  <c r="D14" i="123" s="1"/>
  <c r="F31" i="57"/>
  <c r="G32"/>
  <c r="G32" i="56"/>
  <c r="N13" i="122"/>
  <c r="E13" s="1"/>
  <c r="E13" i="123"/>
  <c r="P13" i="122"/>
  <c r="G13" s="1"/>
  <c r="G13" i="123"/>
  <c r="O13" i="122"/>
  <c r="F13" s="1"/>
  <c r="F13" i="123"/>
  <c r="F31" i="56"/>
  <c r="F31" i="55"/>
  <c r="F58" i="51" l="1"/>
  <c r="F59"/>
  <c r="E18" i="181"/>
  <c r="E19"/>
  <c r="F15" i="179"/>
  <c r="C9" i="180" s="1"/>
  <c r="G9" s="1"/>
  <c r="E9"/>
  <c r="F9" s="1"/>
  <c r="F32" i="124"/>
  <c r="F32" i="131"/>
  <c r="G31" i="118"/>
  <c r="G11" i="101"/>
  <c r="F32" i="293"/>
  <c r="B12" i="120"/>
  <c r="B12" i="108"/>
  <c r="H12" i="120"/>
  <c r="I12"/>
  <c r="C12"/>
  <c r="H32" i="131"/>
  <c r="G32"/>
  <c r="B31" i="118"/>
  <c r="B11" i="101"/>
  <c r="B32" i="293"/>
  <c r="F31" i="118"/>
  <c r="E32" i="124"/>
  <c r="E32" i="131"/>
  <c r="F11" i="101"/>
  <c r="E32" i="293"/>
  <c r="D32" i="131"/>
  <c r="D32" i="124"/>
  <c r="E31" i="118"/>
  <c r="E11" i="101"/>
  <c r="D32" i="293"/>
  <c r="F12" i="120"/>
  <c r="F12" i="108"/>
  <c r="C62" i="131"/>
  <c r="G12" i="120"/>
  <c r="G12" i="108"/>
  <c r="C41" i="120"/>
  <c r="B41"/>
  <c r="C33" i="131"/>
  <c r="C33" i="124"/>
  <c r="D32" i="118"/>
  <c r="D12" i="101"/>
  <c r="D42"/>
  <c r="D13" i="120"/>
  <c r="D13" i="108"/>
  <c r="E12" i="120"/>
  <c r="E12" i="108"/>
  <c r="E31" i="7"/>
  <c r="E30" s="1"/>
  <c r="B32" i="131"/>
  <c r="B32" i="124"/>
  <c r="B12" i="123"/>
  <c r="B12" i="122"/>
  <c r="E9" i="184"/>
  <c r="F9" s="1"/>
  <c r="E9" i="183"/>
  <c r="F9" s="1"/>
  <c r="E9" i="182"/>
  <c r="F9" s="1"/>
  <c r="D9" i="121"/>
  <c r="E9" s="1"/>
  <c r="D32" i="7"/>
  <c r="C32" i="293" s="1"/>
  <c r="G28" i="52"/>
  <c r="I30" i="58"/>
  <c r="G28" i="51"/>
  <c r="F28" i="52"/>
  <c r="C31" i="6"/>
  <c r="F10" i="181"/>
  <c r="C10" i="186"/>
  <c r="C9" i="183"/>
  <c r="F31" i="7"/>
  <c r="C10" i="187"/>
  <c r="C9" i="184"/>
  <c r="F10" i="187"/>
  <c r="B9" i="185"/>
  <c r="G9" s="1"/>
  <c r="B10" i="187"/>
  <c r="B10" i="181"/>
  <c r="C10"/>
  <c r="B10" i="186"/>
  <c r="B31" i="7"/>
  <c r="G31"/>
  <c r="F10" i="186"/>
  <c r="G31" i="57"/>
  <c r="G31" i="56"/>
  <c r="O12" i="122"/>
  <c r="F12" s="1"/>
  <c r="F12" i="123"/>
  <c r="P12" i="122"/>
  <c r="G12" s="1"/>
  <c r="G12" i="123"/>
  <c r="N12" i="122"/>
  <c r="E12" s="1"/>
  <c r="E12" i="123"/>
  <c r="D14" i="122"/>
  <c r="D13" i="123" s="1"/>
  <c r="G58" i="52" l="1"/>
  <c r="G59"/>
  <c r="B9" i="182"/>
  <c r="F19" i="181"/>
  <c r="F18"/>
  <c r="B9" i="183"/>
  <c r="F58" i="52"/>
  <c r="F59"/>
  <c r="B18" i="181"/>
  <c r="B19"/>
  <c r="C18"/>
  <c r="I18" s="1"/>
  <c r="C19"/>
  <c r="I19" s="1"/>
  <c r="G58" i="51"/>
  <c r="G59"/>
  <c r="B9" i="184"/>
  <c r="E31" i="131"/>
  <c r="E31" i="124"/>
  <c r="F30" i="118"/>
  <c r="F10" i="101"/>
  <c r="E31" i="293"/>
  <c r="B30" i="118"/>
  <c r="H31" i="131"/>
  <c r="G31"/>
  <c r="B10" i="101"/>
  <c r="B31" i="293"/>
  <c r="D31" i="131"/>
  <c r="E30" i="118"/>
  <c r="D31" i="124"/>
  <c r="E10" i="101"/>
  <c r="E52" s="1"/>
  <c r="D31" i="293"/>
  <c r="B11" i="120"/>
  <c r="B11" i="108"/>
  <c r="H11" i="120"/>
  <c r="I11"/>
  <c r="C11"/>
  <c r="D12"/>
  <c r="D12" i="108"/>
  <c r="F11"/>
  <c r="F11" i="120"/>
  <c r="E29" i="118"/>
  <c r="D30" i="124"/>
  <c r="E9" i="101"/>
  <c r="D30" i="293"/>
  <c r="G30" i="118"/>
  <c r="F31" i="131"/>
  <c r="F31" i="124"/>
  <c r="G10" i="101"/>
  <c r="F31" i="293"/>
  <c r="C32" i="124"/>
  <c r="C32" i="131"/>
  <c r="D31" i="118"/>
  <c r="D11" i="101"/>
  <c r="E11" i="108"/>
  <c r="E11" i="120"/>
  <c r="G11"/>
  <c r="G11" i="108"/>
  <c r="E21" i="179"/>
  <c r="B31" i="131"/>
  <c r="B31" i="124"/>
  <c r="B11" i="123"/>
  <c r="B11" i="122"/>
  <c r="F9" i="121"/>
  <c r="D31" i="7"/>
  <c r="C31" i="293" s="1"/>
  <c r="F30" i="55"/>
  <c r="F30" i="56"/>
  <c r="C30" i="6"/>
  <c r="B30" i="7"/>
  <c r="D30" i="131" s="1"/>
  <c r="G10" i="181"/>
  <c r="G9" i="184"/>
  <c r="G9" i="183"/>
  <c r="H9" i="185"/>
  <c r="G30" i="7"/>
  <c r="E37" i="179"/>
  <c r="E9" i="187" s="1"/>
  <c r="F9" s="1"/>
  <c r="G10"/>
  <c r="F30" i="7"/>
  <c r="E29" i="179"/>
  <c r="E9" i="186" s="1"/>
  <c r="F9" s="1"/>
  <c r="G10"/>
  <c r="G9" i="182"/>
  <c r="D13" i="122"/>
  <c r="D12" i="123" s="1"/>
  <c r="F30" i="57"/>
  <c r="G30"/>
  <c r="F29"/>
  <c r="G30" i="56"/>
  <c r="N11" i="122"/>
  <c r="E11" s="1"/>
  <c r="E11" i="123"/>
  <c r="P11" i="122"/>
  <c r="G11" s="1"/>
  <c r="G11" i="123"/>
  <c r="O11" i="122"/>
  <c r="F11" s="1"/>
  <c r="F11" i="123"/>
  <c r="E29" i="7"/>
  <c r="F29" i="56"/>
  <c r="F29" i="55"/>
  <c r="F21" i="179" l="1"/>
  <c r="C8" i="185" s="1"/>
  <c r="G8" s="1"/>
  <c r="E8"/>
  <c r="F8" s="1"/>
  <c r="J18" i="181"/>
  <c r="K18"/>
  <c r="H9" i="186"/>
  <c r="J19" i="181"/>
  <c r="G18"/>
  <c r="G19"/>
  <c r="H9" i="187"/>
  <c r="K19" i="181"/>
  <c r="E9" i="108"/>
  <c r="H10" i="120"/>
  <c r="B10" i="108"/>
  <c r="B10" i="120"/>
  <c r="I10"/>
  <c r="C10"/>
  <c r="E28" i="118"/>
  <c r="D29" i="124"/>
  <c r="E8" i="101"/>
  <c r="D29" i="293"/>
  <c r="E30" i="131"/>
  <c r="F29" i="118"/>
  <c r="E30" i="124"/>
  <c r="F9" i="101"/>
  <c r="E30" i="293"/>
  <c r="F30" i="131"/>
  <c r="G29" i="118"/>
  <c r="F30" i="124"/>
  <c r="G9" i="101"/>
  <c r="F30" i="293"/>
  <c r="E14" i="179"/>
  <c r="C31" i="131"/>
  <c r="C31" i="124"/>
  <c r="D30" i="118"/>
  <c r="D10" i="101"/>
  <c r="G10" i="120"/>
  <c r="G10" i="108"/>
  <c r="E10" i="120"/>
  <c r="E10" i="108"/>
  <c r="D11" i="120"/>
  <c r="D11" i="108"/>
  <c r="B29" i="118"/>
  <c r="H30" i="131"/>
  <c r="G30"/>
  <c r="B9" i="101"/>
  <c r="B30" i="293"/>
  <c r="F10" i="108"/>
  <c r="F10" i="120"/>
  <c r="F28" i="54"/>
  <c r="B30" i="124"/>
  <c r="B10" i="123"/>
  <c r="B10" i="122"/>
  <c r="D30" i="7"/>
  <c r="F28" i="55"/>
  <c r="C29" i="6"/>
  <c r="B50" i="101"/>
  <c r="H9" i="182"/>
  <c r="H10" i="186"/>
  <c r="F52" i="101"/>
  <c r="G52"/>
  <c r="B29" i="7"/>
  <c r="B30" i="131"/>
  <c r="F29" i="179"/>
  <c r="C9" i="186" s="1"/>
  <c r="G9" s="1"/>
  <c r="F29" i="7"/>
  <c r="H10" i="187"/>
  <c r="F37" i="179"/>
  <c r="C9" i="187" s="1"/>
  <c r="G9" s="1"/>
  <c r="G29" i="7"/>
  <c r="H9" i="183"/>
  <c r="H9" i="184"/>
  <c r="B52" i="101"/>
  <c r="G29" i="57"/>
  <c r="G28"/>
  <c r="F28"/>
  <c r="G29" i="56"/>
  <c r="G28"/>
  <c r="F28"/>
  <c r="O10" i="122"/>
  <c r="F10" s="1"/>
  <c r="F10" i="123"/>
  <c r="P10" i="122"/>
  <c r="G10" s="1"/>
  <c r="G10" i="123"/>
  <c r="N10" i="122"/>
  <c r="E10" s="1"/>
  <c r="E10" i="123"/>
  <c r="D12" i="122"/>
  <c r="D11" i="123" s="1"/>
  <c r="E28" i="7"/>
  <c r="F58" i="56" l="1"/>
  <c r="F59"/>
  <c r="F58" i="57"/>
  <c r="F59"/>
  <c r="F58" i="55"/>
  <c r="F59"/>
  <c r="L19" i="181"/>
  <c r="K26"/>
  <c r="C8" i="182"/>
  <c r="H8" i="185"/>
  <c r="F58" i="54"/>
  <c r="F59"/>
  <c r="F14" i="179"/>
  <c r="B8" i="184" s="1"/>
  <c r="E8" i="180"/>
  <c r="F8" s="1"/>
  <c r="G58" i="57"/>
  <c r="G59"/>
  <c r="G58" i="56"/>
  <c r="G59"/>
  <c r="L18" i="181"/>
  <c r="E8" i="108"/>
  <c r="F29" i="131"/>
  <c r="F29" i="124"/>
  <c r="G28" i="118"/>
  <c r="G8" i="101"/>
  <c r="F29" i="293"/>
  <c r="E29" i="124"/>
  <c r="F28" i="118"/>
  <c r="E29" i="131"/>
  <c r="F8" i="101"/>
  <c r="E29" i="293"/>
  <c r="G29" i="131"/>
  <c r="H29"/>
  <c r="B28" i="118"/>
  <c r="B8" i="101"/>
  <c r="E8" i="120" s="1"/>
  <c r="B29" i="293"/>
  <c r="G9" i="120"/>
  <c r="G9" i="108"/>
  <c r="E8" i="182"/>
  <c r="F8" s="1"/>
  <c r="F17" s="1"/>
  <c r="D29" i="131"/>
  <c r="D28" i="124"/>
  <c r="E7" i="101"/>
  <c r="D28" i="293"/>
  <c r="B9" i="120"/>
  <c r="B9" i="108"/>
  <c r="H9" i="120"/>
  <c r="I9"/>
  <c r="C9"/>
  <c r="E9"/>
  <c r="D10"/>
  <c r="D10" i="108"/>
  <c r="C30" i="124"/>
  <c r="C30" i="131"/>
  <c r="D29" i="118"/>
  <c r="D9" i="101"/>
  <c r="F9" i="108"/>
  <c r="F9" i="120"/>
  <c r="C30" i="293"/>
  <c r="C28" i="6"/>
  <c r="E17" i="185"/>
  <c r="B29" i="124"/>
  <c r="B9" i="123"/>
  <c r="B9" i="122"/>
  <c r="D52" i="101"/>
  <c r="E8" i="184"/>
  <c r="E8" i="183"/>
  <c r="D29" i="7"/>
  <c r="E27" i="118"/>
  <c r="C17" i="182"/>
  <c r="C8" i="184"/>
  <c r="E20" i="187"/>
  <c r="F28" i="7"/>
  <c r="E20" i="186"/>
  <c r="B28" i="7"/>
  <c r="D28" i="131" s="1"/>
  <c r="B29"/>
  <c r="C17" i="185"/>
  <c r="C24"/>
  <c r="G28" i="7"/>
  <c r="C8" i="183"/>
  <c r="F17" i="185"/>
  <c r="D11" i="122"/>
  <c r="D10" i="123" s="1"/>
  <c r="N9" i="122"/>
  <c r="E9" s="1"/>
  <c r="E9" i="123"/>
  <c r="P9" i="122"/>
  <c r="G9" s="1"/>
  <c r="G9" i="123"/>
  <c r="O9" i="122"/>
  <c r="F9" s="1"/>
  <c r="F9" i="123"/>
  <c r="E27" i="7"/>
  <c r="E17" i="182" l="1"/>
  <c r="E28" i="124"/>
  <c r="E28" i="131"/>
  <c r="F7" i="101"/>
  <c r="E28" i="293"/>
  <c r="D9" i="108"/>
  <c r="D9" i="120"/>
  <c r="F8"/>
  <c r="F8" i="108"/>
  <c r="D27" i="124"/>
  <c r="E6" i="101"/>
  <c r="D27" i="293"/>
  <c r="F28" i="131"/>
  <c r="F28" i="124"/>
  <c r="G7" i="101"/>
  <c r="F28" i="293"/>
  <c r="C29" i="131"/>
  <c r="C29" i="124"/>
  <c r="D28" i="118"/>
  <c r="D8" i="101"/>
  <c r="G8" i="120"/>
  <c r="G8" i="108"/>
  <c r="C29" i="293"/>
  <c r="H28" i="131"/>
  <c r="G28"/>
  <c r="B7" i="101"/>
  <c r="E7" i="120" s="1"/>
  <c r="B28" i="293"/>
  <c r="E7" i="108"/>
  <c r="H8" i="120"/>
  <c r="B8"/>
  <c r="B8" i="108"/>
  <c r="I8" i="120"/>
  <c r="C8"/>
  <c r="C27" i="6"/>
  <c r="B8" i="183"/>
  <c r="G8" s="1"/>
  <c r="B8" i="182"/>
  <c r="G8" s="1"/>
  <c r="H8" s="1"/>
  <c r="I17" s="1"/>
  <c r="B28" i="124"/>
  <c r="B8" i="123"/>
  <c r="B8" i="122"/>
  <c r="D28" i="7"/>
  <c r="F8" i="183"/>
  <c r="F17" s="1"/>
  <c r="F8" i="184"/>
  <c r="F17" s="1"/>
  <c r="E17"/>
  <c r="C8" i="180"/>
  <c r="E17" i="183"/>
  <c r="E17" i="180"/>
  <c r="B20" i="186"/>
  <c r="B24" i="185"/>
  <c r="B17"/>
  <c r="C17" i="183"/>
  <c r="G27" i="7"/>
  <c r="G27" i="118"/>
  <c r="F17" i="180"/>
  <c r="B27" i="7"/>
  <c r="D27" i="131" s="1"/>
  <c r="B28"/>
  <c r="B27" i="118"/>
  <c r="F27" i="7"/>
  <c r="F27" i="118"/>
  <c r="F20" i="187"/>
  <c r="G8" i="184"/>
  <c r="C17"/>
  <c r="C25"/>
  <c r="E26" i="118"/>
  <c r="B17" i="180"/>
  <c r="B20" i="187"/>
  <c r="C20" i="186"/>
  <c r="F20"/>
  <c r="C20" i="187"/>
  <c r="B17" i="184"/>
  <c r="B25"/>
  <c r="O8" i="122"/>
  <c r="F8" s="1"/>
  <c r="F8" i="123"/>
  <c r="P8" i="122"/>
  <c r="G8" s="1"/>
  <c r="G8" i="123"/>
  <c r="N8" i="122"/>
  <c r="E8" s="1"/>
  <c r="E8" i="123"/>
  <c r="D10" i="122"/>
  <c r="D9" i="123" s="1"/>
  <c r="E26" i="7"/>
  <c r="C17" i="180" l="1"/>
  <c r="I17" s="1"/>
  <c r="I24" s="1"/>
  <c r="G8"/>
  <c r="J17" s="1"/>
  <c r="J24" s="1"/>
  <c r="D26" i="124"/>
  <c r="D60" s="1"/>
  <c r="E5" i="101"/>
  <c r="D26" i="293"/>
  <c r="D64" s="1"/>
  <c r="E6" i="108"/>
  <c r="E27" i="131"/>
  <c r="E27" i="124"/>
  <c r="F6" i="101"/>
  <c r="E27" i="293"/>
  <c r="F27" i="131"/>
  <c r="F27" i="124"/>
  <c r="G6" i="101"/>
  <c r="F27" i="293"/>
  <c r="F7" i="120"/>
  <c r="F7" i="108"/>
  <c r="G27" i="131"/>
  <c r="H27"/>
  <c r="B6" i="101"/>
  <c r="E6" i="120" s="1"/>
  <c r="B27" i="293"/>
  <c r="C28" i="124"/>
  <c r="C28" i="131"/>
  <c r="D7" i="101"/>
  <c r="B7" i="108"/>
  <c r="H7" i="120"/>
  <c r="B7"/>
  <c r="I7"/>
  <c r="C7"/>
  <c r="G7" i="108"/>
  <c r="G7" i="120"/>
  <c r="D8" i="108"/>
  <c r="D8" i="120"/>
  <c r="C28" i="293"/>
  <c r="C26" i="6"/>
  <c r="B17" i="183"/>
  <c r="D27" i="118"/>
  <c r="D27" i="7"/>
  <c r="C27" i="293" s="1"/>
  <c r="B27" i="124"/>
  <c r="B7" i="123"/>
  <c r="B7" i="122"/>
  <c r="K25" i="181"/>
  <c r="G17" i="182"/>
  <c r="K17"/>
  <c r="B17"/>
  <c r="I24" s="1"/>
  <c r="J17"/>
  <c r="H8" i="183"/>
  <c r="I17" s="1"/>
  <c r="H17" i="182"/>
  <c r="E25" i="118"/>
  <c r="I20" i="186"/>
  <c r="K20"/>
  <c r="K29" s="1"/>
  <c r="H20"/>
  <c r="H8" i="184"/>
  <c r="J17"/>
  <c r="J25" s="1"/>
  <c r="G17"/>
  <c r="B26" i="7"/>
  <c r="B27" i="131"/>
  <c r="B26" i="118"/>
  <c r="J20" i="186"/>
  <c r="J29" s="1"/>
  <c r="G20"/>
  <c r="J17" i="183"/>
  <c r="J17" i="185"/>
  <c r="J24" s="1"/>
  <c r="G17"/>
  <c r="I20" i="187"/>
  <c r="J20"/>
  <c r="J29" s="1"/>
  <c r="G20"/>
  <c r="I25" i="181"/>
  <c r="J25"/>
  <c r="F26" i="7"/>
  <c r="F26" i="118"/>
  <c r="G26" i="7"/>
  <c r="G26" i="118"/>
  <c r="G17" i="183"/>
  <c r="D9" i="122"/>
  <c r="D8" i="123" s="1"/>
  <c r="N7" i="122"/>
  <c r="E7" s="1"/>
  <c r="E7" i="123"/>
  <c r="P7" i="122"/>
  <c r="G7" s="1"/>
  <c r="G7" i="123"/>
  <c r="O7" i="122"/>
  <c r="F7" s="1"/>
  <c r="F7" i="123"/>
  <c r="E25" i="7"/>
  <c r="D25" i="293" s="1"/>
  <c r="E67" i="7"/>
  <c r="K17" i="180" l="1"/>
  <c r="K24" s="1"/>
  <c r="L17" i="182"/>
  <c r="L24" s="1"/>
  <c r="J24" i="183"/>
  <c r="E26" i="131"/>
  <c r="E26" i="124"/>
  <c r="E60" s="1"/>
  <c r="F5" i="101"/>
  <c r="E26" i="293"/>
  <c r="E64" s="1"/>
  <c r="B65" i="7"/>
  <c r="H26" i="131"/>
  <c r="G26"/>
  <c r="B5" i="101"/>
  <c r="B26" i="293"/>
  <c r="B64" s="1"/>
  <c r="G6" i="120"/>
  <c r="G6" i="108"/>
  <c r="F6"/>
  <c r="F6" i="120"/>
  <c r="D7" i="108"/>
  <c r="D7" i="120"/>
  <c r="B6" i="108"/>
  <c r="B6" i="120"/>
  <c r="H6"/>
  <c r="I6"/>
  <c r="C6"/>
  <c r="E5" i="108"/>
  <c r="E5" i="120"/>
  <c r="C27" i="124"/>
  <c r="C27" i="131"/>
  <c r="D6" i="101"/>
  <c r="F26" i="131"/>
  <c r="F26" i="124"/>
  <c r="F60" s="1"/>
  <c r="G5" i="101"/>
  <c r="F26" i="293"/>
  <c r="F64" s="1"/>
  <c r="D26" i="131"/>
  <c r="C26" i="293"/>
  <c r="C64" s="1"/>
  <c r="B26" i="124"/>
  <c r="D25"/>
  <c r="D26" i="118"/>
  <c r="B6" i="123"/>
  <c r="B6" i="122"/>
  <c r="B5" i="123" s="1"/>
  <c r="K17" i="183"/>
  <c r="K24" s="1"/>
  <c r="K24" i="182"/>
  <c r="G17" i="180"/>
  <c r="H17" i="183"/>
  <c r="J24" i="182"/>
  <c r="D26" i="7"/>
  <c r="D65" i="293"/>
  <c r="C25" i="6"/>
  <c r="C62"/>
  <c r="I29" i="187"/>
  <c r="G25" i="7"/>
  <c r="F25" i="293" s="1"/>
  <c r="E36" i="179"/>
  <c r="E8" i="187" s="1"/>
  <c r="F8" s="1"/>
  <c r="G25" i="118"/>
  <c r="G67" i="7"/>
  <c r="K20" i="187"/>
  <c r="K29" s="1"/>
  <c r="H20"/>
  <c r="B25" i="7"/>
  <c r="B25" i="293" s="1"/>
  <c r="B26" i="131"/>
  <c r="B25" i="118"/>
  <c r="B67" i="7"/>
  <c r="E62" i="118"/>
  <c r="I24" i="183"/>
  <c r="L25" i="181"/>
  <c r="F25" i="7"/>
  <c r="E25" i="293" s="1"/>
  <c r="E28" i="179"/>
  <c r="E8" i="186" s="1"/>
  <c r="F8" s="1"/>
  <c r="F25" i="118"/>
  <c r="F67" i="7"/>
  <c r="I17" i="185"/>
  <c r="K17"/>
  <c r="K24" s="1"/>
  <c r="H17"/>
  <c r="K17" i="184"/>
  <c r="K25" s="1"/>
  <c r="I17"/>
  <c r="H17"/>
  <c r="I29" i="186"/>
  <c r="L20"/>
  <c r="L29" s="1"/>
  <c r="D8" i="122"/>
  <c r="D7" i="123" s="1"/>
  <c r="E24" i="118"/>
  <c r="O6" i="122"/>
  <c r="F6" i="123"/>
  <c r="P6" i="122"/>
  <c r="G6" i="123"/>
  <c r="N6" i="122"/>
  <c r="E6" i="123"/>
  <c r="E24" i="7"/>
  <c r="D24" i="293" s="1"/>
  <c r="L17" i="180" l="1"/>
  <c r="L24" s="1"/>
  <c r="L17" i="183"/>
  <c r="L24" s="1"/>
  <c r="D60" i="131"/>
  <c r="D61"/>
  <c r="F60"/>
  <c r="F61"/>
  <c r="B60" i="124"/>
  <c r="B61"/>
  <c r="F39" i="101"/>
  <c r="F5" i="120"/>
  <c r="F39" s="1"/>
  <c r="F5" i="108"/>
  <c r="F39" s="1"/>
  <c r="D6"/>
  <c r="D6" i="120"/>
  <c r="E60" i="131"/>
  <c r="E61"/>
  <c r="B60"/>
  <c r="B61"/>
  <c r="C26" i="124"/>
  <c r="C60" s="1"/>
  <c r="C26" i="131"/>
  <c r="D5" i="101"/>
  <c r="G39"/>
  <c r="G5" i="108"/>
  <c r="G39" s="1"/>
  <c r="G5" i="120"/>
  <c r="G39" s="1"/>
  <c r="B39" i="101"/>
  <c r="H5" i="120"/>
  <c r="B5"/>
  <c r="I5"/>
  <c r="B5" i="108"/>
  <c r="B39" s="1"/>
  <c r="C5" i="120"/>
  <c r="D24" i="124"/>
  <c r="E25"/>
  <c r="B25"/>
  <c r="F25"/>
  <c r="C65" i="293"/>
  <c r="D67" i="7"/>
  <c r="D25" i="131"/>
  <c r="G6" i="122"/>
  <c r="G5" i="123" s="1"/>
  <c r="E6" i="122"/>
  <c r="E5" i="123" s="1"/>
  <c r="F6" i="122"/>
  <c r="F5" i="123" s="1"/>
  <c r="B5" i="121"/>
  <c r="D25" i="118"/>
  <c r="D62" s="1"/>
  <c r="D25" i="7"/>
  <c r="C25" i="293" s="1"/>
  <c r="B65"/>
  <c r="E65"/>
  <c r="F65"/>
  <c r="C24" i="6"/>
  <c r="B59" i="118"/>
  <c r="D5" i="121" s="1"/>
  <c r="E5" s="1"/>
  <c r="L17" i="184"/>
  <c r="L25" s="1"/>
  <c r="I25"/>
  <c r="F40" i="120"/>
  <c r="F41" i="101"/>
  <c r="B8" i="298" s="1"/>
  <c r="E25" i="131"/>
  <c r="F24" i="7"/>
  <c r="E24" i="293" s="1"/>
  <c r="F24" i="118"/>
  <c r="B41" i="101"/>
  <c r="B8" i="121" s="1"/>
  <c r="B25" i="131"/>
  <c r="B24" i="7"/>
  <c r="B24" i="293" s="1"/>
  <c r="B24" i="118"/>
  <c r="G40" i="120"/>
  <c r="G41" i="101"/>
  <c r="B8" i="299" s="1"/>
  <c r="G24" i="7"/>
  <c r="F24" i="293" s="1"/>
  <c r="F25" i="131"/>
  <c r="G24" i="118"/>
  <c r="I24" i="185"/>
  <c r="L17"/>
  <c r="L24" s="1"/>
  <c r="F62" i="118"/>
  <c r="D8" i="298" s="1"/>
  <c r="F28" i="179"/>
  <c r="C8" i="186" s="1"/>
  <c r="G8" s="1"/>
  <c r="H8" s="1"/>
  <c r="B62" i="118"/>
  <c r="D8" i="121" s="1"/>
  <c r="E8" i="181"/>
  <c r="G62" i="118"/>
  <c r="D8" i="299" s="1"/>
  <c r="F36" i="179"/>
  <c r="C8" i="187" s="1"/>
  <c r="G8" s="1"/>
  <c r="H8" s="1"/>
  <c r="L20"/>
  <c r="L29" s="1"/>
  <c r="D7" i="122"/>
  <c r="D6" i="123" s="1"/>
  <c r="E23" i="118"/>
  <c r="E23" i="7"/>
  <c r="D23" i="293" s="1"/>
  <c r="C60" i="131" l="1"/>
  <c r="C61"/>
  <c r="D5" i="108"/>
  <c r="D5" i="120"/>
  <c r="B39"/>
  <c r="B40"/>
  <c r="C39"/>
  <c r="C40"/>
  <c r="F5" i="121"/>
  <c r="F24" i="124"/>
  <c r="E24"/>
  <c r="D23"/>
  <c r="D24" i="131"/>
  <c r="B24" i="124"/>
  <c r="C25"/>
  <c r="D6" i="122"/>
  <c r="D5" i="123" s="1"/>
  <c r="C25" i="131"/>
  <c r="D24" i="118"/>
  <c r="D24" i="7"/>
  <c r="C24" i="293" s="1"/>
  <c r="C23" i="6"/>
  <c r="E8" i="299"/>
  <c r="F8"/>
  <c r="E8" i="298"/>
  <c r="F8"/>
  <c r="F8" i="121"/>
  <c r="E8"/>
  <c r="C18" i="187"/>
  <c r="B8" i="181"/>
  <c r="C8"/>
  <c r="C18" i="186"/>
  <c r="B24" i="131"/>
  <c r="B23" i="7"/>
  <c r="B23" i="293" s="1"/>
  <c r="B23" i="118"/>
  <c r="F23"/>
  <c r="F23" i="7"/>
  <c r="E23" i="293" s="1"/>
  <c r="E24" i="131"/>
  <c r="E18" i="187"/>
  <c r="F8" i="181"/>
  <c r="E18" i="186"/>
  <c r="G23" i="7"/>
  <c r="F23" i="293" s="1"/>
  <c r="G23" i="118"/>
  <c r="F24" i="131"/>
  <c r="E22" i="118"/>
  <c r="E22" i="7"/>
  <c r="D22" i="293" s="1"/>
  <c r="C24" i="124" l="1"/>
  <c r="D22"/>
  <c r="F23"/>
  <c r="E23"/>
  <c r="D23" i="131"/>
  <c r="B23" i="124"/>
  <c r="G8" i="181"/>
  <c r="D23" i="118"/>
  <c r="D23" i="7"/>
  <c r="C23" i="293" s="1"/>
  <c r="C24" i="131"/>
  <c r="C22" i="6"/>
  <c r="G22" i="7"/>
  <c r="F22" i="293" s="1"/>
  <c r="F23" i="131"/>
  <c r="G22" i="118"/>
  <c r="F18" i="186"/>
  <c r="E23" i="131"/>
  <c r="F22" i="7"/>
  <c r="E22" i="293" s="1"/>
  <c r="F22" i="118"/>
  <c r="B22"/>
  <c r="B22" i="7"/>
  <c r="B22" i="293" s="1"/>
  <c r="B23" i="131"/>
  <c r="B18" i="187"/>
  <c r="B18" i="186"/>
  <c r="F18" i="187"/>
  <c r="K18" s="1"/>
  <c r="E21" i="118"/>
  <c r="E21" i="7"/>
  <c r="D21" i="293" s="1"/>
  <c r="F22" i="124" l="1"/>
  <c r="E22"/>
  <c r="D21"/>
  <c r="B22"/>
  <c r="D22" i="118"/>
  <c r="C23" i="124"/>
  <c r="D22" i="7"/>
  <c r="C22" i="293" s="1"/>
  <c r="K27" i="187"/>
  <c r="C23" i="131"/>
  <c r="D22"/>
  <c r="C21" i="6"/>
  <c r="J18" i="187"/>
  <c r="J27" s="1"/>
  <c r="G18"/>
  <c r="B21" i="7"/>
  <c r="B21" i="293" s="1"/>
  <c r="B21" i="118"/>
  <c r="B22" i="131"/>
  <c r="F21" i="7"/>
  <c r="E21" i="293" s="1"/>
  <c r="E22" i="131"/>
  <c r="F21" i="118"/>
  <c r="J18" i="186"/>
  <c r="J27" s="1"/>
  <c r="G18"/>
  <c r="F22" i="131"/>
  <c r="G21" i="7"/>
  <c r="F21" i="293" s="1"/>
  <c r="G21" i="118"/>
  <c r="K18" i="186"/>
  <c r="K27" s="1"/>
  <c r="E20" i="118"/>
  <c r="E20" i="7"/>
  <c r="D20" i="293" s="1"/>
  <c r="C22" i="131" l="1"/>
  <c r="F21" i="124"/>
  <c r="E21"/>
  <c r="D20"/>
  <c r="B21"/>
  <c r="C22"/>
  <c r="D21" i="118"/>
  <c r="D21" i="7"/>
  <c r="C21" i="293" s="1"/>
  <c r="D21" i="131"/>
  <c r="C20" i="6"/>
  <c r="G20" i="118"/>
  <c r="G20" i="7"/>
  <c r="F20" i="293" s="1"/>
  <c r="F21" i="131"/>
  <c r="F20" i="7"/>
  <c r="E20" i="293" s="1"/>
  <c r="F20" i="118"/>
  <c r="E21" i="131"/>
  <c r="B20" i="7"/>
  <c r="B20" i="293" s="1"/>
  <c r="B20" i="118"/>
  <c r="B21" i="131"/>
  <c r="H18" i="187"/>
  <c r="I18"/>
  <c r="I18" i="186"/>
  <c r="H18"/>
  <c r="E19" i="118"/>
  <c r="E19" i="7"/>
  <c r="D19" i="124" l="1"/>
  <c r="D19" i="293"/>
  <c r="B20" i="124"/>
  <c r="E20"/>
  <c r="F20"/>
  <c r="C21" i="131"/>
  <c r="C21" i="124"/>
  <c r="D20" i="118"/>
  <c r="D20" i="7"/>
  <c r="C20" i="293" s="1"/>
  <c r="D20" i="131"/>
  <c r="C19" i="6"/>
  <c r="G19" i="7"/>
  <c r="G19" i="118"/>
  <c r="F20" i="131"/>
  <c r="I27" i="186"/>
  <c r="L18"/>
  <c r="L27" s="1"/>
  <c r="I27" i="187"/>
  <c r="L18"/>
  <c r="L27" s="1"/>
  <c r="B20" i="131"/>
  <c r="B19" i="7"/>
  <c r="B19" i="293" s="1"/>
  <c r="B19" i="118"/>
  <c r="F19"/>
  <c r="F19" i="7"/>
  <c r="E20" i="131"/>
  <c r="E18" i="118"/>
  <c r="E18" i="7"/>
  <c r="D18" i="124" s="1"/>
  <c r="E19" l="1"/>
  <c r="E19" i="293"/>
  <c r="F19" i="124"/>
  <c r="F19" i="293"/>
  <c r="C19"/>
  <c r="C20" i="131"/>
  <c r="C20" i="124"/>
  <c r="D19" i="131"/>
  <c r="B19" i="124"/>
  <c r="D19" i="118"/>
  <c r="D18" i="293"/>
  <c r="D63" s="1"/>
  <c r="D19" i="7"/>
  <c r="C18" i="6"/>
  <c r="E64" i="7"/>
  <c r="E19" i="131"/>
  <c r="F18" i="7"/>
  <c r="E18" i="124" s="1"/>
  <c r="F18" i="118"/>
  <c r="B18"/>
  <c r="B18" i="7"/>
  <c r="B19" i="131"/>
  <c r="G18" i="7"/>
  <c r="F18" i="124" s="1"/>
  <c r="F19" i="131"/>
  <c r="G18" i="118"/>
  <c r="E17"/>
  <c r="E17" i="7"/>
  <c r="D17" i="124" s="1"/>
  <c r="B18" l="1"/>
  <c r="B18" i="293"/>
  <c r="B63" s="1"/>
  <c r="C19" i="124"/>
  <c r="C19" i="131"/>
  <c r="D17" i="293"/>
  <c r="F18"/>
  <c r="F63" s="1"/>
  <c r="E18"/>
  <c r="E63" s="1"/>
  <c r="D18" i="118"/>
  <c r="D18" i="131"/>
  <c r="D18" i="7"/>
  <c r="C18" i="124" s="1"/>
  <c r="C17" i="6"/>
  <c r="C61"/>
  <c r="G17" i="7"/>
  <c r="F17" i="124" s="1"/>
  <c r="G17" i="118"/>
  <c r="F18" i="131"/>
  <c r="G64" i="7"/>
  <c r="B18" i="131"/>
  <c r="B17" i="7"/>
  <c r="B17" i="118"/>
  <c r="B64" i="7"/>
  <c r="F17" i="118"/>
  <c r="F17" i="7"/>
  <c r="E17" i="124" s="1"/>
  <c r="E18" i="131"/>
  <c r="F64" i="7"/>
  <c r="E16" i="118"/>
  <c r="E16" i="7"/>
  <c r="D16" i="124" s="1"/>
  <c r="B17" l="1"/>
  <c r="B17" i="293"/>
  <c r="D16"/>
  <c r="E17"/>
  <c r="D17" i="118"/>
  <c r="F17" i="293"/>
  <c r="D64" i="7"/>
  <c r="C18" i="293"/>
  <c r="C63" s="1"/>
  <c r="D17" i="7"/>
  <c r="C17" i="124" s="1"/>
  <c r="C18" i="131"/>
  <c r="D17"/>
  <c r="C16" i="6"/>
  <c r="G16" i="118"/>
  <c r="F17" i="131"/>
  <c r="G16" i="7"/>
  <c r="F16" i="124" s="1"/>
  <c r="E17" i="131"/>
  <c r="F16" i="7"/>
  <c r="E16" i="124" s="1"/>
  <c r="F16" i="118"/>
  <c r="B17" i="131"/>
  <c r="B16" i="118"/>
  <c r="B16" i="7"/>
  <c r="E15" i="118"/>
  <c r="E15" i="7"/>
  <c r="D15" i="124" s="1"/>
  <c r="B16" l="1"/>
  <c r="B16" i="293"/>
  <c r="C17"/>
  <c r="D16" i="118"/>
  <c r="D16" i="7"/>
  <c r="D15" i="293"/>
  <c r="C17" i="131"/>
  <c r="E16" i="293"/>
  <c r="F16"/>
  <c r="D16" i="131"/>
  <c r="C15" i="6"/>
  <c r="B15" i="118"/>
  <c r="B16" i="131"/>
  <c r="B15" i="7"/>
  <c r="E16" i="131"/>
  <c r="F15" i="118"/>
  <c r="F15" i="7"/>
  <c r="E15" i="124" s="1"/>
  <c r="G15" i="7"/>
  <c r="F15" i="124" s="1"/>
  <c r="G15" i="118"/>
  <c r="F16" i="131"/>
  <c r="E14" i="118"/>
  <c r="E14" i="7"/>
  <c r="D14" i="124" s="1"/>
  <c r="B15" l="1"/>
  <c r="B15" i="293"/>
  <c r="C16"/>
  <c r="C16" i="124"/>
  <c r="C16" i="131"/>
  <c r="D15" i="118"/>
  <c r="D14" i="293"/>
  <c r="F15"/>
  <c r="E15"/>
  <c r="D15" i="7"/>
  <c r="D15" i="131"/>
  <c r="C14" i="6"/>
  <c r="G14" i="118"/>
  <c r="F15" i="131"/>
  <c r="G14" i="7"/>
  <c r="F14" i="124" s="1"/>
  <c r="E15" i="131"/>
  <c r="F14" i="7"/>
  <c r="E14" i="124" s="1"/>
  <c r="F14" i="118"/>
  <c r="B15" i="131"/>
  <c r="B14" i="118"/>
  <c r="B14" i="7"/>
  <c r="E13" i="118"/>
  <c r="E13" i="7"/>
  <c r="D13" i="124" s="1"/>
  <c r="B14" l="1"/>
  <c r="B14" i="293"/>
  <c r="C15"/>
  <c r="C15" i="124"/>
  <c r="D14" i="7"/>
  <c r="D14" i="118"/>
  <c r="D13" i="293"/>
  <c r="E14"/>
  <c r="F14"/>
  <c r="C15" i="131"/>
  <c r="D14"/>
  <c r="C13" i="6"/>
  <c r="B13" i="7"/>
  <c r="B13" i="118"/>
  <c r="B14" i="131"/>
  <c r="F13" i="7"/>
  <c r="E13" i="124" s="1"/>
  <c r="E14" i="131"/>
  <c r="F13" i="118"/>
  <c r="G13"/>
  <c r="F14" i="131"/>
  <c r="G13" i="7"/>
  <c r="F13" i="124" s="1"/>
  <c r="E12" i="118"/>
  <c r="E12" i="7"/>
  <c r="D12" i="124" s="1"/>
  <c r="B13" l="1"/>
  <c r="B13" i="293"/>
  <c r="C14" i="131"/>
  <c r="C14" i="124"/>
  <c r="D13" i="118"/>
  <c r="C14" i="293"/>
  <c r="D13" i="7"/>
  <c r="E13" i="293"/>
  <c r="D12"/>
  <c r="F13"/>
  <c r="D13" i="131"/>
  <c r="C12" i="6"/>
  <c r="G12" i="118"/>
  <c r="F13" i="131"/>
  <c r="G12" i="7"/>
  <c r="F12" i="124" s="1"/>
  <c r="F12" i="118"/>
  <c r="E13" i="131"/>
  <c r="F12" i="7"/>
  <c r="E12" i="124" s="1"/>
  <c r="B13" i="131"/>
  <c r="B12" i="118"/>
  <c r="B12" i="7"/>
  <c r="E11" i="118"/>
  <c r="E11" i="7"/>
  <c r="D11" i="124" s="1"/>
  <c r="B12" l="1"/>
  <c r="B12" i="293"/>
  <c r="D12" i="118"/>
  <c r="C13" i="124"/>
  <c r="C13" i="293"/>
  <c r="C13" i="131"/>
  <c r="D11" i="293"/>
  <c r="F12"/>
  <c r="E12"/>
  <c r="D12" i="7"/>
  <c r="D12" i="131"/>
  <c r="C11" i="6"/>
  <c r="B11" i="118"/>
  <c r="B12" i="131"/>
  <c r="B11" i="7"/>
  <c r="B11" i="293" s="1"/>
  <c r="F11" i="7"/>
  <c r="E11" i="124" s="1"/>
  <c r="E12" i="131"/>
  <c r="F11" i="118"/>
  <c r="G11"/>
  <c r="G11" i="7"/>
  <c r="F11" i="124" s="1"/>
  <c r="F12" i="131"/>
  <c r="E10" i="118"/>
  <c r="E10" i="7"/>
  <c r="D10" i="124" s="1"/>
  <c r="C12" i="131" l="1"/>
  <c r="C12" i="124"/>
  <c r="D11" i="131"/>
  <c r="B11" i="124"/>
  <c r="C12" i="293"/>
  <c r="E11"/>
  <c r="D11" i="118"/>
  <c r="F11" i="293"/>
  <c r="D10"/>
  <c r="D11" i="7"/>
  <c r="C11" i="124" s="1"/>
  <c r="C10" i="6"/>
  <c r="F11" i="131"/>
  <c r="G10" i="7"/>
  <c r="F10" i="124" s="1"/>
  <c r="G10" i="118"/>
  <c r="F10" i="7"/>
  <c r="E10" i="124" s="1"/>
  <c r="F10" i="118"/>
  <c r="E11" i="131"/>
  <c r="B10" i="7"/>
  <c r="B11" i="131"/>
  <c r="B10" i="118"/>
  <c r="E9"/>
  <c r="E9" i="7"/>
  <c r="D9" i="124" s="1"/>
  <c r="B10" l="1"/>
  <c r="B10" i="293"/>
  <c r="E10"/>
  <c r="F10"/>
  <c r="C11"/>
  <c r="D9"/>
  <c r="D10" i="7"/>
  <c r="D10" i="118"/>
  <c r="C11" i="131"/>
  <c r="D10"/>
  <c r="C9" i="6"/>
  <c r="B9" i="118"/>
  <c r="B9" i="7"/>
  <c r="B9" i="293" s="1"/>
  <c r="B10" i="131"/>
  <c r="E10"/>
  <c r="F9" i="118"/>
  <c r="F9" i="7"/>
  <c r="E9" i="124" s="1"/>
  <c r="G9" i="118"/>
  <c r="F10" i="131"/>
  <c r="G9" i="7"/>
  <c r="F9" i="124" s="1"/>
  <c r="E8" i="118"/>
  <c r="E8" i="7"/>
  <c r="D8" i="124" s="1"/>
  <c r="C10" i="293" l="1"/>
  <c r="C10" i="124"/>
  <c r="D9" i="131"/>
  <c r="B9" i="124"/>
  <c r="C10" i="131"/>
  <c r="E9" i="293"/>
  <c r="D9" i="118"/>
  <c r="D8" i="293"/>
  <c r="F9"/>
  <c r="D9" i="7"/>
  <c r="C8" i="6"/>
  <c r="B9" i="131"/>
  <c r="B8" i="118"/>
  <c r="B8" i="7"/>
  <c r="B8" i="293" s="1"/>
  <c r="G8" i="118"/>
  <c r="F9" i="131"/>
  <c r="G8" i="7"/>
  <c r="F8" i="124" s="1"/>
  <c r="F8" i="118"/>
  <c r="E9" i="131"/>
  <c r="F8" i="7"/>
  <c r="E8" i="124" s="1"/>
  <c r="E7" i="118"/>
  <c r="E7" i="7"/>
  <c r="D7" i="124" s="1"/>
  <c r="C9" i="293" l="1"/>
  <c r="C9" i="124"/>
  <c r="D8" i="131"/>
  <c r="B8" i="124"/>
  <c r="C9" i="131"/>
  <c r="D8" i="118"/>
  <c r="D7" i="293"/>
  <c r="E8"/>
  <c r="F8"/>
  <c r="D8" i="7"/>
  <c r="C8" i="124" s="1"/>
  <c r="C7" i="6"/>
  <c r="F7" i="7"/>
  <c r="E7" i="124" s="1"/>
  <c r="E8" i="131"/>
  <c r="F7" i="118"/>
  <c r="G7"/>
  <c r="F8" i="131"/>
  <c r="G7" i="7"/>
  <c r="F7" i="124" s="1"/>
  <c r="B7" i="7"/>
  <c r="B7" i="118"/>
  <c r="B8" i="131"/>
  <c r="E6" i="118"/>
  <c r="E6" i="7"/>
  <c r="D6" i="124" l="1"/>
  <c r="E60" i="7"/>
  <c r="B7" i="124"/>
  <c r="B7" i="293"/>
  <c r="F7"/>
  <c r="C8"/>
  <c r="E7"/>
  <c r="D7" i="118"/>
  <c r="C8" i="131"/>
  <c r="D7"/>
  <c r="D7" i="7"/>
  <c r="D6" i="293"/>
  <c r="D60" s="1"/>
  <c r="E62" i="7"/>
  <c r="C6" i="6"/>
  <c r="C59" s="1"/>
  <c r="E63" i="7"/>
  <c r="B6"/>
  <c r="B60" s="1"/>
  <c r="B7" i="131"/>
  <c r="B6" i="118"/>
  <c r="F7" i="131"/>
  <c r="G6" i="7"/>
  <c r="G6" i="118"/>
  <c r="F6" i="7"/>
  <c r="F6" i="118"/>
  <c r="E7" i="131"/>
  <c r="E5" i="118"/>
  <c r="E6" i="124" l="1"/>
  <c r="F60" i="7"/>
  <c r="F6" i="124"/>
  <c r="G60" i="7"/>
  <c r="D6" i="131"/>
  <c r="B6" i="124"/>
  <c r="C7" i="131"/>
  <c r="C7" i="124"/>
  <c r="C7" i="293"/>
  <c r="D6" i="118"/>
  <c r="B6" i="293"/>
  <c r="B60" s="1"/>
  <c r="B62" i="7"/>
  <c r="D61" i="293"/>
  <c r="D62"/>
  <c r="E6"/>
  <c r="E60" s="1"/>
  <c r="F62" i="7"/>
  <c r="F6" i="293"/>
  <c r="F60" s="1"/>
  <c r="G62" i="7"/>
  <c r="C60" i="6"/>
  <c r="F5" i="118"/>
  <c r="E6" i="131"/>
  <c r="F63" i="7"/>
  <c r="B6" i="131"/>
  <c r="B5" i="118"/>
  <c r="B63" i="7"/>
  <c r="G5" i="118"/>
  <c r="F6" i="131"/>
  <c r="G63" i="7"/>
  <c r="D61" i="124"/>
  <c r="D6" i="7"/>
  <c r="D60" s="1"/>
  <c r="C6" i="131" l="1"/>
  <c r="C6" i="124"/>
  <c r="D62" i="7"/>
  <c r="F61" i="293"/>
  <c r="F62"/>
  <c r="E61"/>
  <c r="E62"/>
  <c r="B61"/>
  <c r="B62"/>
  <c r="D5" i="118"/>
  <c r="C6" i="293"/>
  <c r="D63" i="7"/>
  <c r="F61" i="124"/>
  <c r="E61"/>
  <c r="C61" i="293" l="1"/>
  <c r="C60"/>
  <c r="C62"/>
  <c r="C61" i="124"/>
  <c r="F56" i="101" l="1"/>
  <c r="E31" i="179"/>
  <c r="F31" s="1"/>
  <c r="B44" i="101"/>
  <c r="B11" i="121" s="1"/>
  <c r="F40" i="179"/>
  <c r="E23"/>
  <c r="F23" s="1"/>
  <c r="C10" i="182" s="1"/>
  <c r="C18" s="1"/>
  <c r="I18" s="1"/>
  <c r="D66" i="7"/>
  <c r="G66" i="118"/>
  <c r="D10" i="299" s="1"/>
  <c r="E10" s="1"/>
  <c r="D73" i="7"/>
  <c r="F61"/>
  <c r="F66"/>
  <c r="F73"/>
  <c r="F70"/>
  <c r="G74"/>
  <c r="B61"/>
  <c r="B66"/>
  <c r="B70"/>
  <c r="B73"/>
  <c r="E66"/>
  <c r="E61"/>
  <c r="E73"/>
  <c r="E70"/>
  <c r="G61"/>
  <c r="G73"/>
  <c r="G70"/>
  <c r="G66"/>
  <c r="E74"/>
  <c r="F69"/>
  <c r="E66" i="293"/>
  <c r="E69" i="7"/>
  <c r="D66" i="293"/>
  <c r="B53" i="101"/>
  <c r="I70" i="7"/>
  <c r="F62" i="124"/>
  <c r="E62"/>
  <c r="F74" i="7"/>
  <c r="B74"/>
  <c r="G69"/>
  <c r="F66" i="293"/>
  <c r="B69" i="7"/>
  <c r="B66" i="293"/>
  <c r="H70" i="7"/>
  <c r="I74"/>
  <c r="I54" i="101"/>
  <c r="E24" i="179"/>
  <c r="E39"/>
  <c r="D62" i="124"/>
  <c r="H74" i="7"/>
  <c r="E12" i="187" l="1"/>
  <c r="B43" i="101"/>
  <c r="B10" i="121" s="1"/>
  <c r="F53" i="101"/>
  <c r="D68" i="7"/>
  <c r="B40" i="101"/>
  <c r="B6" i="121" s="1"/>
  <c r="C10" i="185"/>
  <c r="C25" s="1"/>
  <c r="E11" i="186"/>
  <c r="E21" s="1"/>
  <c r="D60" i="118"/>
  <c r="B51" i="101"/>
  <c r="E10" i="185"/>
  <c r="E18" s="1"/>
  <c r="B56" i="101"/>
  <c r="F44"/>
  <c r="B11" i="298" s="1"/>
  <c r="G41" i="120"/>
  <c r="B49" i="101"/>
  <c r="B7" i="121" s="1"/>
  <c r="G45" i="101"/>
  <c r="F49"/>
  <c r="B7" i="298" s="1"/>
  <c r="AD45" i="7"/>
  <c r="E65" i="118"/>
  <c r="G68" i="7"/>
  <c r="AD49"/>
  <c r="F65" i="118"/>
  <c r="G65"/>
  <c r="F68" i="7"/>
  <c r="D70"/>
  <c r="G60" i="118"/>
  <c r="D6" i="299" s="1"/>
  <c r="E6" s="1"/>
  <c r="G68" i="118"/>
  <c r="D14" i="299" s="1"/>
  <c r="E14" s="1"/>
  <c r="AD47" i="7"/>
  <c r="D61"/>
  <c r="AD48"/>
  <c r="AD50"/>
  <c r="AD51"/>
  <c r="E68"/>
  <c r="AD46"/>
  <c r="H54" i="101"/>
  <c r="B69" i="118"/>
  <c r="B61"/>
  <c r="D7" i="121" s="1"/>
  <c r="E7" s="1"/>
  <c r="B64" i="118"/>
  <c r="D11" i="121" s="1"/>
  <c r="E11" s="1"/>
  <c r="F51" i="101"/>
  <c r="F43"/>
  <c r="F46"/>
  <c r="F40"/>
  <c r="B6" i="298" s="1"/>
  <c r="E11" i="185"/>
  <c r="E20" s="1"/>
  <c r="F24" i="179"/>
  <c r="G69" i="118"/>
  <c r="D16" i="299" s="1"/>
  <c r="E16" s="1"/>
  <c r="G64" i="118"/>
  <c r="D11" i="299" s="1"/>
  <c r="E11" s="1"/>
  <c r="G61" i="118"/>
  <c r="D7" i="299" s="1"/>
  <c r="E7" s="1"/>
  <c r="E61" i="118"/>
  <c r="E64"/>
  <c r="D11" i="297" s="1"/>
  <c r="E11" s="1"/>
  <c r="E69" i="118"/>
  <c r="D16" i="297" s="1"/>
  <c r="E16" s="1"/>
  <c r="F45" i="101"/>
  <c r="F41" i="120"/>
  <c r="E60" i="118"/>
  <c r="E68"/>
  <c r="D14" i="297" s="1"/>
  <c r="E14" s="1"/>
  <c r="E66" i="118"/>
  <c r="D10" i="297" s="1"/>
  <c r="E10" s="1"/>
  <c r="G51" i="101"/>
  <c r="G46"/>
  <c r="G43"/>
  <c r="G40"/>
  <c r="B6" i="299" s="1"/>
  <c r="D69" i="7"/>
  <c r="C66" i="293"/>
  <c r="C62" i="124"/>
  <c r="E10" i="184"/>
  <c r="C10" i="183"/>
  <c r="C11" i="186"/>
  <c r="G65" i="7"/>
  <c r="C11" i="184"/>
  <c r="C12" i="187"/>
  <c r="C23" s="1"/>
  <c r="D69" i="293"/>
  <c r="C69"/>
  <c r="B46" i="101"/>
  <c r="F54"/>
  <c r="I46"/>
  <c r="B45"/>
  <c r="B12" i="121" s="1"/>
  <c r="B54" i="101"/>
  <c r="B13" i="121"/>
  <c r="F39" i="179"/>
  <c r="E11" i="187"/>
  <c r="E65" i="7"/>
  <c r="E12" i="181"/>
  <c r="E21" s="1"/>
  <c r="F66" i="118"/>
  <c r="D10" i="298" s="1"/>
  <c r="E10" s="1"/>
  <c r="F68" i="118"/>
  <c r="D14" i="298" s="1"/>
  <c r="E14" s="1"/>
  <c r="F60" i="118"/>
  <c r="D6" i="298" s="1"/>
  <c r="E6" s="1"/>
  <c r="E51" i="101"/>
  <c r="E43"/>
  <c r="E46"/>
  <c r="F61" i="118"/>
  <c r="D7" i="298" s="1"/>
  <c r="E7" s="1"/>
  <c r="F64" i="118"/>
  <c r="D11" i="298" s="1"/>
  <c r="E11" s="1"/>
  <c r="F69" i="118"/>
  <c r="D16" i="298" s="1"/>
  <c r="E16" s="1"/>
  <c r="G53" i="101"/>
  <c r="G56"/>
  <c r="G44"/>
  <c r="B11" i="299" s="1"/>
  <c r="G49" i="101"/>
  <c r="B7" i="299" s="1"/>
  <c r="G54" i="101"/>
  <c r="D74" i="7"/>
  <c r="E11" i="183"/>
  <c r="E20" s="1"/>
  <c r="E53" i="101"/>
  <c r="E56"/>
  <c r="E44"/>
  <c r="B11" i="297" s="1"/>
  <c r="E54" i="101"/>
  <c r="B66" i="118"/>
  <c r="D10" i="121" s="1"/>
  <c r="E10" s="1"/>
  <c r="B68" i="118"/>
  <c r="D14" i="121" s="1"/>
  <c r="E14" s="1"/>
  <c r="B60" i="118"/>
  <c r="D6" i="121" s="1"/>
  <c r="E6" s="1"/>
  <c r="B65" i="118"/>
  <c r="E12" i="186"/>
  <c r="E23" s="1"/>
  <c r="F32" i="179"/>
  <c r="F65" i="7"/>
  <c r="E45" i="101"/>
  <c r="E41" i="120"/>
  <c r="F69" i="293"/>
  <c r="B69"/>
  <c r="E69"/>
  <c r="H46" i="101"/>
  <c r="E17" i="187" l="1"/>
  <c r="E23"/>
  <c r="C20" i="184"/>
  <c r="C28"/>
  <c r="F12" i="187"/>
  <c r="E19"/>
  <c r="E41" i="108"/>
  <c r="C18" i="185"/>
  <c r="I18" s="1"/>
  <c r="F57" i="101"/>
  <c r="G57"/>
  <c r="E57"/>
  <c r="AD52" i="7"/>
  <c r="D43" i="101"/>
  <c r="B10" i="296" s="1"/>
  <c r="D65" i="7"/>
  <c r="F7" i="298"/>
  <c r="F11" i="186"/>
  <c r="F21" s="1"/>
  <c r="J21" s="1"/>
  <c r="F11" i="121"/>
  <c r="F10" i="185"/>
  <c r="F18" s="1"/>
  <c r="B12" i="299"/>
  <c r="D66" i="118"/>
  <c r="D10" i="296" s="1"/>
  <c r="E10" s="1"/>
  <c r="G40" i="108"/>
  <c r="F10" i="121"/>
  <c r="G41" i="108"/>
  <c r="D51" i="101"/>
  <c r="F6" i="121"/>
  <c r="F7"/>
  <c r="F6" i="299"/>
  <c r="F41" i="108"/>
  <c r="D13" i="121"/>
  <c r="E13" s="1"/>
  <c r="D12" i="299"/>
  <c r="E12" s="1"/>
  <c r="D12" i="298"/>
  <c r="E12" s="1"/>
  <c r="D12" i="297"/>
  <c r="E12" s="1"/>
  <c r="D12" i="121"/>
  <c r="E12" s="1"/>
  <c r="D65" i="118"/>
  <c r="D46" i="101"/>
  <c r="F7" i="299"/>
  <c r="F40" i="108"/>
  <c r="F11" i="298"/>
  <c r="F11" i="299"/>
  <c r="B40" i="108"/>
  <c r="F59" i="118"/>
  <c r="D5" i="298" s="1"/>
  <c r="E5" s="1"/>
  <c r="C12" i="186"/>
  <c r="C23" s="1"/>
  <c r="C11" i="183"/>
  <c r="C20" s="1"/>
  <c r="E19" i="186"/>
  <c r="E17"/>
  <c r="E22"/>
  <c r="F12"/>
  <c r="F23" s="1"/>
  <c r="B16" i="297"/>
  <c r="E11" i="180"/>
  <c r="E20" s="1"/>
  <c r="E11" i="184"/>
  <c r="E20" s="1"/>
  <c r="D53" i="101"/>
  <c r="D56"/>
  <c r="D44"/>
  <c r="B11" i="296" s="1"/>
  <c r="D54" i="101"/>
  <c r="B10" i="297"/>
  <c r="F10" s="1"/>
  <c r="E20" i="181"/>
  <c r="E17"/>
  <c r="F12"/>
  <c r="E59" i="118"/>
  <c r="E21" i="187"/>
  <c r="F11"/>
  <c r="F21" s="1"/>
  <c r="B16" i="121"/>
  <c r="B16" i="298"/>
  <c r="B14" i="121"/>
  <c r="F14" s="1"/>
  <c r="C24" i="184"/>
  <c r="C16"/>
  <c r="G50" i="101"/>
  <c r="B5" i="299"/>
  <c r="C21" i="186"/>
  <c r="I21" s="1"/>
  <c r="D45" i="101"/>
  <c r="D41" i="120"/>
  <c r="B14" i="299"/>
  <c r="F14" s="1"/>
  <c r="E19" i="185"/>
  <c r="E16"/>
  <c r="F11"/>
  <c r="F20" s="1"/>
  <c r="B10" i="298"/>
  <c r="F10" s="1"/>
  <c r="E11" i="182"/>
  <c r="E20" s="1"/>
  <c r="F6" i="298"/>
  <c r="E22" i="187"/>
  <c r="B12" i="297"/>
  <c r="F50" i="101"/>
  <c r="B5" i="298"/>
  <c r="E16" i="183"/>
  <c r="F11"/>
  <c r="F20" s="1"/>
  <c r="B10" i="185"/>
  <c r="B11" i="186"/>
  <c r="B21" s="1"/>
  <c r="B18" i="180"/>
  <c r="B11" i="187"/>
  <c r="B21" s="1"/>
  <c r="F11" i="297"/>
  <c r="D61" i="118"/>
  <c r="D69"/>
  <c r="D16" i="296" s="1"/>
  <c r="E16" s="1"/>
  <c r="D64" i="118"/>
  <c r="D11" i="296" s="1"/>
  <c r="E11" s="1"/>
  <c r="B16" i="299"/>
  <c r="B14" i="297"/>
  <c r="F14" s="1"/>
  <c r="B11" i="185"/>
  <c r="B12" i="186"/>
  <c r="B23" s="1"/>
  <c r="B12" i="187"/>
  <c r="B11" i="180"/>
  <c r="B20" s="1"/>
  <c r="B12" i="181"/>
  <c r="B21" s="1"/>
  <c r="C12"/>
  <c r="C21" s="1"/>
  <c r="I21" s="1"/>
  <c r="E50" i="101"/>
  <c r="E18" i="184"/>
  <c r="F10"/>
  <c r="F18" s="1"/>
  <c r="C11" i="187"/>
  <c r="C22" s="1"/>
  <c r="C10" i="184"/>
  <c r="C19" s="1"/>
  <c r="C19" i="187"/>
  <c r="I19" s="1"/>
  <c r="C17"/>
  <c r="I17" s="1"/>
  <c r="G59" i="118"/>
  <c r="D5" i="299" s="1"/>
  <c r="E5" s="1"/>
  <c r="C18" i="183"/>
  <c r="I18" s="1"/>
  <c r="E10" i="182"/>
  <c r="E10" i="183"/>
  <c r="B10" i="299"/>
  <c r="F10" s="1"/>
  <c r="B12" i="298"/>
  <c r="C11" i="185"/>
  <c r="C11" i="182"/>
  <c r="C20" s="1"/>
  <c r="B14" i="298"/>
  <c r="F14" s="1"/>
  <c r="B41" i="108"/>
  <c r="D68" i="118"/>
  <c r="D14" i="296" s="1"/>
  <c r="E14" s="1"/>
  <c r="G12" i="187" l="1"/>
  <c r="B23"/>
  <c r="F17"/>
  <c r="F23"/>
  <c r="F17" i="181"/>
  <c r="J17" s="1"/>
  <c r="F21"/>
  <c r="K21" s="1"/>
  <c r="C27" i="185"/>
  <c r="C20"/>
  <c r="B20"/>
  <c r="B27"/>
  <c r="K18"/>
  <c r="F19" i="187"/>
  <c r="J19" s="1"/>
  <c r="F12" i="299"/>
  <c r="D59" i="118"/>
  <c r="D9" i="296"/>
  <c r="E9" s="1"/>
  <c r="D57" i="101"/>
  <c r="F10" i="296"/>
  <c r="J18" i="185"/>
  <c r="B13" i="296"/>
  <c r="D50" i="101"/>
  <c r="B14" i="296"/>
  <c r="F14" s="1"/>
  <c r="F5" i="298"/>
  <c r="D9" i="299"/>
  <c r="E9" s="1"/>
  <c r="D9" i="298"/>
  <c r="E9" s="1"/>
  <c r="D12" i="296"/>
  <c r="E12" s="1"/>
  <c r="D13"/>
  <c r="E13" s="1"/>
  <c r="D13" i="299"/>
  <c r="E13" s="1"/>
  <c r="D9" i="297"/>
  <c r="E9" s="1"/>
  <c r="D13"/>
  <c r="E13" s="1"/>
  <c r="D13" i="298"/>
  <c r="E13" s="1"/>
  <c r="F22" i="187"/>
  <c r="F12" i="298"/>
  <c r="B9" i="297"/>
  <c r="B9" i="298"/>
  <c r="B9" i="299"/>
  <c r="J17" i="187"/>
  <c r="K17"/>
  <c r="C19" i="182"/>
  <c r="C16"/>
  <c r="E18"/>
  <c r="F10"/>
  <c r="F18" s="1"/>
  <c r="B10" i="184"/>
  <c r="G10" s="1"/>
  <c r="B10" i="182"/>
  <c r="B10" i="183"/>
  <c r="G17" i="187"/>
  <c r="G11"/>
  <c r="C21"/>
  <c r="I21" s="1"/>
  <c r="B20" i="181"/>
  <c r="B17"/>
  <c r="B19" i="187"/>
  <c r="I28" s="1"/>
  <c r="B17"/>
  <c r="I26" s="1"/>
  <c r="B22"/>
  <c r="B19" i="185"/>
  <c r="B26"/>
  <c r="B23"/>
  <c r="B16"/>
  <c r="F16" i="299"/>
  <c r="B18" i="185"/>
  <c r="I25" s="1"/>
  <c r="B25"/>
  <c r="G10"/>
  <c r="E16" i="182"/>
  <c r="E19"/>
  <c r="F11"/>
  <c r="F20" s="1"/>
  <c r="B12" i="296"/>
  <c r="F20" i="181"/>
  <c r="B16" i="296"/>
  <c r="E19" i="184"/>
  <c r="E16"/>
  <c r="F11"/>
  <c r="F20" s="1"/>
  <c r="B11"/>
  <c r="B11" i="182"/>
  <c r="B20" s="1"/>
  <c r="C11" i="180"/>
  <c r="C20" s="1"/>
  <c r="I20" s="1"/>
  <c r="B11" i="183"/>
  <c r="F16" i="297"/>
  <c r="J26" i="181"/>
  <c r="F22" i="186"/>
  <c r="F17"/>
  <c r="F19"/>
  <c r="C19" i="183"/>
  <c r="C16"/>
  <c r="G11" i="186"/>
  <c r="F5" i="299"/>
  <c r="K21" i="186"/>
  <c r="K30" s="1"/>
  <c r="C23" i="185"/>
  <c r="G11"/>
  <c r="C19"/>
  <c r="C26"/>
  <c r="C16"/>
  <c r="I16" s="1"/>
  <c r="E18" i="183"/>
  <c r="F10"/>
  <c r="F18" s="1"/>
  <c r="E18" i="180"/>
  <c r="F18"/>
  <c r="C26" i="184"/>
  <c r="C18"/>
  <c r="I18" s="1"/>
  <c r="J18"/>
  <c r="B13" i="297"/>
  <c r="G12" i="181"/>
  <c r="C20"/>
  <c r="I20" s="1"/>
  <c r="C17"/>
  <c r="I17" s="1"/>
  <c r="B19" i="180"/>
  <c r="B16"/>
  <c r="B19" i="186"/>
  <c r="B17"/>
  <c r="B22"/>
  <c r="F16" i="183"/>
  <c r="B13" i="298"/>
  <c r="F12" i="297"/>
  <c r="F19" i="185"/>
  <c r="F16"/>
  <c r="I30" i="186"/>
  <c r="B13" i="299"/>
  <c r="I16" i="184"/>
  <c r="F16" i="298"/>
  <c r="F12" i="121"/>
  <c r="F16"/>
  <c r="F13"/>
  <c r="J21" i="187"/>
  <c r="J30" s="1"/>
  <c r="F11" i="296"/>
  <c r="E19" i="180"/>
  <c r="E16"/>
  <c r="F11"/>
  <c r="F20" s="1"/>
  <c r="G12" i="186"/>
  <c r="C22"/>
  <c r="C19"/>
  <c r="I19" s="1"/>
  <c r="C17"/>
  <c r="I17" s="1"/>
  <c r="E19" i="183"/>
  <c r="D41" i="108"/>
  <c r="C27" i="184"/>
  <c r="J30" i="186"/>
  <c r="J23" i="187" l="1"/>
  <c r="J32" s="1"/>
  <c r="G23"/>
  <c r="J21" i="181"/>
  <c r="L21" s="1"/>
  <c r="G21"/>
  <c r="J20" i="185"/>
  <c r="J27" s="1"/>
  <c r="G20"/>
  <c r="G11" i="183"/>
  <c r="B20"/>
  <c r="K20" i="180"/>
  <c r="H12" i="187"/>
  <c r="J23" i="186"/>
  <c r="J32" s="1"/>
  <c r="G23"/>
  <c r="B20" i="184"/>
  <c r="B28"/>
  <c r="G19" i="187"/>
  <c r="L18" i="185"/>
  <c r="L25" s="1"/>
  <c r="K19" i="187"/>
  <c r="K28" s="1"/>
  <c r="K18" i="184"/>
  <c r="L18" s="1"/>
  <c r="B9" i="296"/>
  <c r="F9" s="1"/>
  <c r="F9" i="297"/>
  <c r="K21" i="187"/>
  <c r="K30" s="1"/>
  <c r="L21" i="186"/>
  <c r="L30" s="1"/>
  <c r="L17" i="187"/>
  <c r="L26" s="1"/>
  <c r="K25" i="185"/>
  <c r="F19" i="183"/>
  <c r="F9" i="299"/>
  <c r="F9" i="298"/>
  <c r="F13" i="299"/>
  <c r="F13" i="296"/>
  <c r="F13" i="298"/>
  <c r="I26" i="186"/>
  <c r="F19" i="180"/>
  <c r="F16"/>
  <c r="I28" i="186"/>
  <c r="G22"/>
  <c r="H12"/>
  <c r="G19"/>
  <c r="G17"/>
  <c r="J16" i="185"/>
  <c r="J23" s="1"/>
  <c r="K16"/>
  <c r="K23" s="1"/>
  <c r="J16" i="183"/>
  <c r="K16"/>
  <c r="J20" i="181"/>
  <c r="J27" s="1"/>
  <c r="I24"/>
  <c r="G17"/>
  <c r="G20"/>
  <c r="G18" i="184"/>
  <c r="H10"/>
  <c r="J18" i="180"/>
  <c r="J25" s="1"/>
  <c r="J18" i="183"/>
  <c r="K18"/>
  <c r="I23" i="185"/>
  <c r="I16" i="183"/>
  <c r="J17" i="186"/>
  <c r="J26" s="1"/>
  <c r="K17"/>
  <c r="K26" s="1"/>
  <c r="B16" i="183"/>
  <c r="B19"/>
  <c r="B19" i="182"/>
  <c r="B16"/>
  <c r="F19" i="184"/>
  <c r="J19" s="1"/>
  <c r="F16"/>
  <c r="F16" i="296"/>
  <c r="K17" i="181"/>
  <c r="K24" s="1"/>
  <c r="J24"/>
  <c r="F12" i="296"/>
  <c r="G21" i="187"/>
  <c r="H11"/>
  <c r="H22" s="1"/>
  <c r="J22"/>
  <c r="J31" s="1"/>
  <c r="C18" i="180"/>
  <c r="I18" s="1"/>
  <c r="B18" i="184"/>
  <c r="J26" s="1"/>
  <c r="B26"/>
  <c r="I16" i="182"/>
  <c r="G22" i="187"/>
  <c r="J25" i="185"/>
  <c r="J26" i="187"/>
  <c r="J28"/>
  <c r="I26" i="181"/>
  <c r="I27"/>
  <c r="F13" i="297"/>
  <c r="G16" i="185"/>
  <c r="G19"/>
  <c r="H11"/>
  <c r="G21" i="186"/>
  <c r="H11"/>
  <c r="J22"/>
  <c r="J31" s="1"/>
  <c r="G16" i="183"/>
  <c r="H11"/>
  <c r="J19" i="186"/>
  <c r="J28" s="1"/>
  <c r="K19"/>
  <c r="K28" s="1"/>
  <c r="G11" i="180"/>
  <c r="C19"/>
  <c r="I19" s="1"/>
  <c r="C16"/>
  <c r="B19" i="184"/>
  <c r="B16"/>
  <c r="I24" s="1"/>
  <c r="B24"/>
  <c r="B27"/>
  <c r="G11"/>
  <c r="F19" i="182"/>
  <c r="F16"/>
  <c r="G18" i="185"/>
  <c r="H10"/>
  <c r="J19"/>
  <c r="J26" s="1"/>
  <c r="I30" i="187"/>
  <c r="H19"/>
  <c r="H17"/>
  <c r="B18" i="183"/>
  <c r="I25" s="1"/>
  <c r="G10"/>
  <c r="G19" s="1"/>
  <c r="B18" i="182"/>
  <c r="I25" s="1"/>
  <c r="G10"/>
  <c r="K18"/>
  <c r="J18"/>
  <c r="K20" i="181"/>
  <c r="K27" s="1"/>
  <c r="G11" i="182"/>
  <c r="K26" i="187"/>
  <c r="J20" i="180" l="1"/>
  <c r="L20" s="1"/>
  <c r="G20"/>
  <c r="K20" i="185"/>
  <c r="K27" s="1"/>
  <c r="H20"/>
  <c r="H20" i="183"/>
  <c r="K20"/>
  <c r="K27" s="1"/>
  <c r="I20"/>
  <c r="I20" i="185"/>
  <c r="H23" i="186"/>
  <c r="I23"/>
  <c r="K23"/>
  <c r="K32" s="1"/>
  <c r="J20" i="183"/>
  <c r="J27" s="1"/>
  <c r="G20"/>
  <c r="J20" i="182"/>
  <c r="J27" s="1"/>
  <c r="G20"/>
  <c r="J20" i="184"/>
  <c r="J28" s="1"/>
  <c r="G20"/>
  <c r="K23" i="187"/>
  <c r="K32" s="1"/>
  <c r="H23"/>
  <c r="I23"/>
  <c r="L19"/>
  <c r="L28" s="1"/>
  <c r="K25" i="182"/>
  <c r="K26" i="184"/>
  <c r="L21" i="187"/>
  <c r="L30" s="1"/>
  <c r="L26" i="184"/>
  <c r="L16" i="185"/>
  <c r="L23" s="1"/>
  <c r="I26" i="184"/>
  <c r="L26" i="181"/>
  <c r="J27" i="184"/>
  <c r="I16" i="180"/>
  <c r="G16"/>
  <c r="G19"/>
  <c r="I23" i="182"/>
  <c r="G18" i="180"/>
  <c r="J19"/>
  <c r="J26" s="1"/>
  <c r="I23" i="183"/>
  <c r="L16"/>
  <c r="L23" s="1"/>
  <c r="H18" i="184"/>
  <c r="K19"/>
  <c r="K27" s="1"/>
  <c r="I19"/>
  <c r="L20" i="181"/>
  <c r="L27" s="1"/>
  <c r="K25" i="183"/>
  <c r="K18" i="180"/>
  <c r="K25" s="1"/>
  <c r="L17" i="181"/>
  <c r="L24" s="1"/>
  <c r="J23" i="183"/>
  <c r="K19" i="180"/>
  <c r="K26" s="1"/>
  <c r="G19" i="182"/>
  <c r="H11"/>
  <c r="G16"/>
  <c r="J25"/>
  <c r="L18"/>
  <c r="L25" s="1"/>
  <c r="G18"/>
  <c r="J19"/>
  <c r="J26" s="1"/>
  <c r="H10"/>
  <c r="G18" i="183"/>
  <c r="J19"/>
  <c r="J26" s="1"/>
  <c r="H10"/>
  <c r="H19" s="1"/>
  <c r="H18" i="185"/>
  <c r="K19"/>
  <c r="K26" s="1"/>
  <c r="I19"/>
  <c r="K16" i="182"/>
  <c r="K23" s="1"/>
  <c r="J16"/>
  <c r="J23" s="1"/>
  <c r="G16" i="184"/>
  <c r="H11"/>
  <c r="G19"/>
  <c r="I26" i="180"/>
  <c r="H16" i="183"/>
  <c r="H21" i="186"/>
  <c r="I22"/>
  <c r="K22"/>
  <c r="K31" s="1"/>
  <c r="H16" i="185"/>
  <c r="H19"/>
  <c r="I25" i="180"/>
  <c r="H21" i="187"/>
  <c r="K22"/>
  <c r="K31" s="1"/>
  <c r="I22"/>
  <c r="J16" i="184"/>
  <c r="K16"/>
  <c r="K24" s="1"/>
  <c r="J25" i="183"/>
  <c r="L18"/>
  <c r="L25" s="1"/>
  <c r="H17" i="186"/>
  <c r="H22"/>
  <c r="H19"/>
  <c r="J16" i="180"/>
  <c r="J23" s="1"/>
  <c r="K16"/>
  <c r="K23" s="1"/>
  <c r="K23" i="183"/>
  <c r="L19" i="186"/>
  <c r="L28" s="1"/>
  <c r="L17"/>
  <c r="L26" s="1"/>
  <c r="I32" l="1"/>
  <c r="L23"/>
  <c r="L32" s="1"/>
  <c r="I27" i="183"/>
  <c r="L20"/>
  <c r="L27" s="1"/>
  <c r="H20" i="184"/>
  <c r="I20"/>
  <c r="K20"/>
  <c r="K28" s="1"/>
  <c r="K20" i="182"/>
  <c r="K27" s="1"/>
  <c r="H20"/>
  <c r="I20"/>
  <c r="L23" i="187"/>
  <c r="L32" s="1"/>
  <c r="I32"/>
  <c r="L20" i="185"/>
  <c r="L27" s="1"/>
  <c r="I27"/>
  <c r="L19" i="180"/>
  <c r="L26" s="1"/>
  <c r="L18"/>
  <c r="L25" s="1"/>
  <c r="I31" i="186"/>
  <c r="L22"/>
  <c r="L31" s="1"/>
  <c r="I26" i="185"/>
  <c r="L19"/>
  <c r="L26" s="1"/>
  <c r="H18" i="182"/>
  <c r="I19"/>
  <c r="K19"/>
  <c r="K26" s="1"/>
  <c r="H16"/>
  <c r="H19"/>
  <c r="L19" i="184"/>
  <c r="L27" s="1"/>
  <c r="I27"/>
  <c r="I23" i="180"/>
  <c r="L16"/>
  <c r="L23" s="1"/>
  <c r="J24" i="184"/>
  <c r="L16"/>
  <c r="L24" s="1"/>
  <c r="I31" i="187"/>
  <c r="L22"/>
  <c r="L31" s="1"/>
  <c r="H16" i="184"/>
  <c r="H19"/>
  <c r="I19" i="183"/>
  <c r="K19"/>
  <c r="K26" s="1"/>
  <c r="H18"/>
  <c r="L16" i="182"/>
  <c r="L23" s="1"/>
  <c r="I28" i="184" l="1"/>
  <c r="L20"/>
  <c r="L28" s="1"/>
  <c r="L20" i="182"/>
  <c r="L27" s="1"/>
  <c r="I27"/>
  <c r="I26" i="183"/>
  <c r="L19"/>
  <c r="L26" s="1"/>
  <c r="I26" i="182"/>
  <c r="L19"/>
  <c r="L26" s="1"/>
  <c r="S51" i="24"/>
  <c r="U55"/>
  <c r="T52"/>
  <c r="U54"/>
  <c r="Q53"/>
  <c r="Q49"/>
  <c r="U48"/>
  <c r="Q54"/>
  <c r="R50"/>
  <c r="S55"/>
  <c r="S48"/>
  <c r="S49"/>
  <c r="U53"/>
  <c r="T51"/>
  <c r="S52"/>
  <c r="Q48"/>
  <c r="U50"/>
  <c r="S53"/>
  <c r="R54"/>
  <c r="Q51"/>
  <c r="T49"/>
  <c r="R48"/>
  <c r="R49"/>
  <c r="T54"/>
  <c r="U51"/>
  <c r="U49"/>
  <c r="T50"/>
  <c r="R51"/>
  <c r="U52"/>
  <c r="Q52"/>
  <c r="R53"/>
  <c r="R55"/>
  <c r="T53"/>
  <c r="R52"/>
  <c r="Q55"/>
  <c r="T48"/>
  <c r="T55" l="1"/>
  <c r="S50"/>
  <c r="Q50"/>
  <c r="S54"/>
  <c r="R56"/>
  <c r="T57"/>
  <c r="M27" s="1"/>
  <c r="U57"/>
  <c r="N27" s="1"/>
  <c r="S57"/>
  <c r="K27" s="1"/>
  <c r="H50" i="59" s="1"/>
  <c r="L27" i="24" l="1"/>
  <c r="I50" i="59" s="1"/>
  <c r="H13" i="45"/>
  <c r="G13"/>
  <c r="E13"/>
  <c r="S56" i="24"/>
  <c r="K26" s="1"/>
  <c r="H49" i="59" s="1"/>
  <c r="R57" i="24"/>
  <c r="J27" s="1"/>
  <c r="G50" i="59" s="1"/>
  <c r="U56" i="24"/>
  <c r="N26" s="1"/>
  <c r="T56"/>
  <c r="M26" s="1"/>
  <c r="Q56"/>
  <c r="Q57"/>
  <c r="H27" s="1"/>
  <c r="F50" i="59" s="1"/>
  <c r="L26" i="24" l="1"/>
  <c r="I49" i="59" s="1"/>
  <c r="M25" i="24"/>
  <c r="G12" i="45"/>
  <c r="K25" i="24"/>
  <c r="H48" i="59" s="1"/>
  <c r="E12" i="45"/>
  <c r="N25" i="24"/>
  <c r="H12" i="45"/>
  <c r="J26" i="24"/>
  <c r="G49" i="59" s="1"/>
  <c r="D13" i="45"/>
  <c r="I27" i="24"/>
  <c r="F13" i="45"/>
  <c r="H26" i="24"/>
  <c r="F49" i="59" s="1"/>
  <c r="B13" i="45"/>
  <c r="J25" i="24" l="1"/>
  <c r="G48" i="59" s="1"/>
  <c r="I26" i="24"/>
  <c r="C12" i="45" s="1"/>
  <c r="D12"/>
  <c r="N24" i="24"/>
  <c r="H11" i="45"/>
  <c r="C13"/>
  <c r="K24" i="24"/>
  <c r="H47" i="59" s="1"/>
  <c r="E11" i="45"/>
  <c r="H25" i="24"/>
  <c r="F48" i="59" s="1"/>
  <c r="B12" i="45"/>
  <c r="F12"/>
  <c r="M24" i="24"/>
  <c r="L25"/>
  <c r="I48" i="59" s="1"/>
  <c r="G11" i="45"/>
  <c r="K23" i="24" l="1"/>
  <c r="H46" i="59" s="1"/>
  <c r="E10" i="45"/>
  <c r="H24" i="24"/>
  <c r="F47" i="59" s="1"/>
  <c r="B11" i="45"/>
  <c r="L24" i="24"/>
  <c r="I47" i="59" s="1"/>
  <c r="M23" i="24"/>
  <c r="G10" i="45"/>
  <c r="N23" i="24"/>
  <c r="H10" i="45"/>
  <c r="J24" i="24"/>
  <c r="G47" i="59" s="1"/>
  <c r="D11" i="45"/>
  <c r="I25" i="24"/>
  <c r="F11" i="45"/>
  <c r="C11" l="1"/>
  <c r="N22" i="24"/>
  <c r="H9" i="45"/>
  <c r="H23" i="24"/>
  <c r="F46" i="59" s="1"/>
  <c r="B10" i="45"/>
  <c r="I24" i="24"/>
  <c r="C10" i="45" s="1"/>
  <c r="F10"/>
  <c r="K22" i="24"/>
  <c r="H45" i="59" s="1"/>
  <c r="E9" i="45"/>
  <c r="J23" i="24"/>
  <c r="G46" i="59" s="1"/>
  <c r="D10" i="45"/>
  <c r="L23" i="24"/>
  <c r="I46" i="59" s="1"/>
  <c r="M22" i="24"/>
  <c r="G9" i="45"/>
  <c r="M21" i="24" l="1"/>
  <c r="L22"/>
  <c r="I45" i="59" s="1"/>
  <c r="G8" i="45"/>
  <c r="J22" i="24"/>
  <c r="G45" i="59" s="1"/>
  <c r="D9" i="45"/>
  <c r="K21" i="24"/>
  <c r="H44" i="59" s="1"/>
  <c r="E8" i="45"/>
  <c r="N21" i="24"/>
  <c r="H8" i="45"/>
  <c r="I23" i="24"/>
  <c r="C9" i="45" s="1"/>
  <c r="F9"/>
  <c r="H22" i="24"/>
  <c r="F45" i="59" s="1"/>
  <c r="B9" i="45"/>
  <c r="H24" l="1"/>
  <c r="H60" i="59"/>
  <c r="H61"/>
  <c r="E24" i="45"/>
  <c r="G24"/>
  <c r="H21" i="24"/>
  <c r="F44" i="59" s="1"/>
  <c r="B8" i="45"/>
  <c r="K20" i="24"/>
  <c r="H43" i="59" s="1"/>
  <c r="E7" i="45"/>
  <c r="J21" i="24"/>
  <c r="G44" i="59" s="1"/>
  <c r="D8" i="45"/>
  <c r="M20" i="24"/>
  <c r="L21"/>
  <c r="I44" i="59" s="1"/>
  <c r="G7" i="45"/>
  <c r="N20" i="24"/>
  <c r="H7" i="45"/>
  <c r="I22" i="24"/>
  <c r="C8" i="45" s="1"/>
  <c r="F8"/>
  <c r="F24" l="1"/>
  <c r="F61" i="59"/>
  <c r="D24" i="45"/>
  <c r="B24"/>
  <c r="G61" i="59"/>
  <c r="C24" i="45"/>
  <c r="I61" i="59"/>
  <c r="K19" i="24"/>
  <c r="H42" i="59" s="1"/>
  <c r="E6" i="45"/>
  <c r="N19" i="24"/>
  <c r="H6" i="45"/>
  <c r="M19" i="24"/>
  <c r="L20"/>
  <c r="I43" i="59" s="1"/>
  <c r="G6" i="45"/>
  <c r="H20" i="24"/>
  <c r="F43" i="59" s="1"/>
  <c r="B7" i="45"/>
  <c r="I21" i="24"/>
  <c r="F7" i="45"/>
  <c r="J20" i="24"/>
  <c r="G43" i="59" s="1"/>
  <c r="D7" i="45"/>
  <c r="N18" i="24" l="1"/>
  <c r="H5" i="45"/>
  <c r="J19" i="24"/>
  <c r="G42" i="59" s="1"/>
  <c r="D6" i="45"/>
  <c r="C7"/>
  <c r="H19" i="24"/>
  <c r="F42" i="59" s="1"/>
  <c r="B6" i="45"/>
  <c r="K18" i="24"/>
  <c r="H41" i="59" s="1"/>
  <c r="E5" i="45"/>
  <c r="L19" i="24"/>
  <c r="I42" i="59" s="1"/>
  <c r="M18" i="24"/>
  <c r="G5" i="45"/>
  <c r="I20" i="24"/>
  <c r="C6" i="45" s="1"/>
  <c r="F6"/>
  <c r="E22" l="1"/>
  <c r="E23"/>
  <c r="H22"/>
  <c r="H23"/>
  <c r="G22"/>
  <c r="G23"/>
  <c r="H18" i="24"/>
  <c r="F41" i="59" s="1"/>
  <c r="B5" i="45"/>
  <c r="N14" i="24"/>
  <c r="N13" s="1"/>
  <c r="N11" s="1"/>
  <c r="N10" s="1"/>
  <c r="H4" i="45"/>
  <c r="I19" i="24"/>
  <c r="C5" i="45" s="1"/>
  <c r="F5"/>
  <c r="M17" i="24"/>
  <c r="L18"/>
  <c r="I41" i="59" s="1"/>
  <c r="G4" i="45"/>
  <c r="K12" i="24"/>
  <c r="H35" i="59" s="1"/>
  <c r="E4" i="45"/>
  <c r="J18" i="24"/>
  <c r="G41" i="59" s="1"/>
  <c r="D5" i="45"/>
  <c r="C22" l="1"/>
  <c r="C23"/>
  <c r="D22"/>
  <c r="D23"/>
  <c r="F22"/>
  <c r="F23"/>
  <c r="B22"/>
  <c r="B23"/>
  <c r="K8" i="24"/>
  <c r="H31" i="59" s="1"/>
  <c r="N9" i="24"/>
  <c r="N8" s="1"/>
  <c r="N7" s="1"/>
  <c r="L17"/>
  <c r="I40" i="59" s="1"/>
  <c r="M16" i="24"/>
  <c r="H17"/>
  <c r="F40" i="59" s="1"/>
  <c r="B4" i="45"/>
  <c r="I18" i="24"/>
  <c r="C4" i="45" s="1"/>
  <c r="F4"/>
  <c r="J17" i="24"/>
  <c r="G40" i="59" s="1"/>
  <c r="D4" i="45"/>
  <c r="J16" i="24" l="1"/>
  <c r="G39" i="59" s="1"/>
  <c r="N6" i="24"/>
  <c r="N5" s="1"/>
  <c r="M15"/>
  <c r="L16"/>
  <c r="I39" i="59" s="1"/>
  <c r="H16" i="24"/>
  <c r="F39" i="59" s="1"/>
  <c r="K6" i="24"/>
  <c r="H15" l="1"/>
  <c r="F38" i="59" s="1"/>
  <c r="K5" i="24"/>
  <c r="H29" i="59"/>
  <c r="L15" i="24"/>
  <c r="I38" i="59" s="1"/>
  <c r="M14" i="24"/>
  <c r="J15"/>
  <c r="G38" i="59" s="1"/>
  <c r="L14" i="24" l="1"/>
  <c r="I37" i="59" s="1"/>
  <c r="M13" i="24"/>
  <c r="H14"/>
  <c r="F37" i="59" s="1"/>
  <c r="J14" i="24"/>
  <c r="G37" i="59" s="1"/>
  <c r="H28"/>
  <c r="H59" l="1"/>
  <c r="H58"/>
  <c r="H13" i="24"/>
  <c r="F36" i="59" s="1"/>
  <c r="J13" i="24"/>
  <c r="G36" i="59" s="1"/>
  <c r="L13" i="24"/>
  <c r="I36" i="59" s="1"/>
  <c r="M12" i="24"/>
  <c r="H12" l="1"/>
  <c r="F35" i="59" s="1"/>
  <c r="M11" i="24"/>
  <c r="L12"/>
  <c r="I35" i="59" s="1"/>
  <c r="J12" i="24"/>
  <c r="G35" i="59" s="1"/>
  <c r="I12" i="24" l="1"/>
  <c r="M10"/>
  <c r="L11"/>
  <c r="I34" i="59" s="1"/>
  <c r="J11" i="24"/>
  <c r="G34" i="59" s="1"/>
  <c r="H11" i="24"/>
  <c r="F34" i="59" s="1"/>
  <c r="H10" i="24" l="1"/>
  <c r="F33" i="59" s="1"/>
  <c r="L10" i="24"/>
  <c r="I33" i="59" s="1"/>
  <c r="M9" i="24"/>
  <c r="J10"/>
  <c r="G33" i="59" s="1"/>
  <c r="I60" l="1"/>
  <c r="G60"/>
  <c r="F60"/>
  <c r="J9" i="24"/>
  <c r="G32" i="59" s="1"/>
  <c r="M8" i="24"/>
  <c r="L9"/>
  <c r="I32" i="59" s="1"/>
  <c r="H9" i="24"/>
  <c r="F32" i="59" s="1"/>
  <c r="H8" i="24" l="1"/>
  <c r="F31" i="59" s="1"/>
  <c r="J8" i="24"/>
  <c r="G31" i="59" s="1"/>
  <c r="M7" i="24"/>
  <c r="L8"/>
  <c r="I31" i="59" s="1"/>
  <c r="J7" i="24" l="1"/>
  <c r="G30" i="59" s="1"/>
  <c r="L7" i="24"/>
  <c r="I30" i="59" s="1"/>
  <c r="M6" i="24"/>
  <c r="H7"/>
  <c r="F30" i="59" s="1"/>
  <c r="I8" i="24"/>
  <c r="L6" l="1"/>
  <c r="I29" i="59" s="1"/>
  <c r="M5" i="24"/>
  <c r="J6"/>
  <c r="H6"/>
  <c r="H5" l="1"/>
  <c r="F29" i="59"/>
  <c r="L5" i="24"/>
  <c r="I28" i="59" s="1"/>
  <c r="I6" i="24"/>
  <c r="J5"/>
  <c r="G29" i="59"/>
  <c r="I58" l="1"/>
  <c r="I59"/>
  <c r="I5" i="24"/>
  <c r="G28" i="59"/>
  <c r="F28"/>
  <c r="F58" l="1"/>
  <c r="F59"/>
  <c r="G58"/>
  <c r="G59"/>
  <c r="B39" i="156"/>
  <c r="B33" l="1"/>
</calcChain>
</file>

<file path=xl/sharedStrings.xml><?xml version="1.0" encoding="utf-8"?>
<sst xmlns="http://schemas.openxmlformats.org/spreadsheetml/2006/main" count="16090" uniqueCount="2177">
  <si>
    <t>Forestry and logging [113]</t>
  </si>
  <si>
    <t>Wood product manufacturing [321]</t>
  </si>
  <si>
    <t>Paper manufacturing [322]</t>
  </si>
  <si>
    <t>v41707524</t>
  </si>
  <si>
    <t>v41707541</t>
  </si>
  <si>
    <t>v41707542</t>
  </si>
  <si>
    <t>Index 2002 = 100</t>
  </si>
  <si>
    <t>All industries</t>
  </si>
  <si>
    <t>Sawmills and wood preservation [3211]</t>
  </si>
  <si>
    <t>Veneer, plywood and engineered wood product manufacturing [3212]</t>
  </si>
  <si>
    <t>Structural wood product manufacturing [321215]</t>
  </si>
  <si>
    <t>Other wood product manufacturing [3219]</t>
  </si>
  <si>
    <t>Millwork [32191]</t>
  </si>
  <si>
    <t>Pulp, paper and paperboard mills [3221]</t>
  </si>
  <si>
    <t>Pulp mills [32211]</t>
  </si>
  <si>
    <t>Paper mills [32212]</t>
  </si>
  <si>
    <t>Paper (except newsprint) mills [322121]</t>
  </si>
  <si>
    <t>Newsprint mills [322122]</t>
  </si>
  <si>
    <t>Paperboard mills [32213]</t>
  </si>
  <si>
    <t>Converted paper product manufacturing [3222]</t>
  </si>
  <si>
    <t>Paperboard container manufacturing [32221]</t>
  </si>
  <si>
    <t>Paper bag and coated and treated paper manufacturing [32222]</t>
  </si>
  <si>
    <t>..</t>
  </si>
  <si>
    <t>Compound Annual Growth Rate</t>
  </si>
  <si>
    <t>1981-2006</t>
  </si>
  <si>
    <t>1981-1989</t>
  </si>
  <si>
    <t>1989-2000</t>
  </si>
  <si>
    <t>2000-2006</t>
  </si>
  <si>
    <t>Forestry and logging [1B]</t>
  </si>
  <si>
    <t xml:space="preserve"> Wood product manufacturing [321]</t>
  </si>
  <si>
    <t>v3859620</t>
  </si>
  <si>
    <t>v3859675</t>
  </si>
  <si>
    <t>v3859677</t>
  </si>
  <si>
    <t>v3859678</t>
  </si>
  <si>
    <t>v3859679</t>
  </si>
  <si>
    <t>Note: GDP at basic prices in current dollars</t>
  </si>
  <si>
    <t xml:space="preserve">All industries, total economy </t>
  </si>
  <si>
    <t>Forest Products Sector</t>
  </si>
  <si>
    <t>Total, Paper manufacturing</t>
  </si>
  <si>
    <t>Total Forest Products Sector</t>
  </si>
  <si>
    <t>v3860036</t>
  </si>
  <si>
    <t>All industries, total economy</t>
  </si>
  <si>
    <t>v15900147</t>
  </si>
  <si>
    <t>v15900150</t>
  </si>
  <si>
    <t>v15900191</t>
  </si>
  <si>
    <t>v15900192</t>
  </si>
  <si>
    <t>v15900193</t>
  </si>
  <si>
    <t>v15900194</t>
  </si>
  <si>
    <t>Total, Paper Manufacturing</t>
  </si>
  <si>
    <t>Forest Products Industry</t>
  </si>
  <si>
    <t>Total, Forest Products Industry</t>
  </si>
  <si>
    <t xml:space="preserve"> All industries, total economy</t>
  </si>
  <si>
    <t>v15900411</t>
  </si>
  <si>
    <t>v15900414</t>
  </si>
  <si>
    <t>v15900455</t>
  </si>
  <si>
    <t>v15900456</t>
  </si>
  <si>
    <t>v15900457</t>
  </si>
  <si>
    <t>v15900458</t>
  </si>
  <si>
    <t>Total, Forest Product Sector</t>
  </si>
  <si>
    <t>v41707644</t>
  </si>
  <si>
    <t>v41707661</t>
  </si>
  <si>
    <t>v41707662</t>
  </si>
  <si>
    <t xml:space="preserve">Note: </t>
  </si>
  <si>
    <t>Forestry and Logging</t>
  </si>
  <si>
    <t>Logging</t>
  </si>
  <si>
    <t>Other Forestry</t>
  </si>
  <si>
    <t>Total, Forestry and Logging</t>
  </si>
  <si>
    <t>321-Wood Product Manufacturing</t>
  </si>
  <si>
    <t>3211-Sawmills &amp; Wood Preservation</t>
  </si>
  <si>
    <t>3212-Veneer, Plywood &amp; Engineered Wood Prod. Manuf.</t>
  </si>
  <si>
    <t>3219-Other Wood Prod. Manuf.</t>
  </si>
  <si>
    <t>322-Paper Manufacturing</t>
  </si>
  <si>
    <t>3221-Pulp, Paper &amp; Paperboard Mills</t>
  </si>
  <si>
    <t>3222-Converted Paper Prod. Manuf.</t>
  </si>
  <si>
    <t>Total, Wood Product Manufacturing</t>
  </si>
  <si>
    <t>Source: Centre for the Study of Living Standards Productivity Database http://www.csls.ca/data/ptabln.asp.  Based on Statistics Canada National Accounts and Labour Force Survey.</t>
  </si>
  <si>
    <t>1133-Logging</t>
  </si>
  <si>
    <t>Forest and Logging</t>
  </si>
  <si>
    <t>Total, Forest Products Sector</t>
  </si>
  <si>
    <t>Note: 1. Estimates from the Labour Force Survey at the four-digit NAICS level should be used with prudence.</t>
  </si>
  <si>
    <t>1. Estimates from the Labour Force Survey at the four-digit NAICS level should be used with prudence.</t>
  </si>
  <si>
    <t>2. Calculated from Tables 5 and 6</t>
  </si>
  <si>
    <t>Table 7: Hours Worked per Job, Weekly Average, Canada, Forest Products Sector, Hours, 1987-2007</t>
  </si>
  <si>
    <t>v4419841</t>
  </si>
  <si>
    <t>v4419969</t>
  </si>
  <si>
    <t>v4421977</t>
  </si>
  <si>
    <t>v4422105</t>
  </si>
  <si>
    <t>Total all industries</t>
  </si>
  <si>
    <t>Source: Calculated by CSLS from Statistics Canada CANSIM Table 031-0002</t>
  </si>
  <si>
    <t>v41707224</t>
  </si>
  <si>
    <t>v41707241</t>
  </si>
  <si>
    <t>v41707242</t>
  </si>
  <si>
    <t>v41707284</t>
  </si>
  <si>
    <t>v41707301</t>
  </si>
  <si>
    <t>v41707302</t>
  </si>
  <si>
    <t>v41707344</t>
  </si>
  <si>
    <t>v41707404</t>
  </si>
  <si>
    <t>v41707464</t>
  </si>
  <si>
    <t>v41707584</t>
  </si>
  <si>
    <t>v41707704</t>
  </si>
  <si>
    <t>v41707764</t>
  </si>
  <si>
    <t>v41707824</t>
  </si>
  <si>
    <t>v41707884</t>
  </si>
  <si>
    <t>v41707944</t>
  </si>
  <si>
    <t>v41708004</t>
  </si>
  <si>
    <t>v41708064</t>
  </si>
  <si>
    <t>v41708124</t>
  </si>
  <si>
    <t>v41708184</t>
  </si>
  <si>
    <t>v41708244</t>
  </si>
  <si>
    <t>v41708304</t>
  </si>
  <si>
    <t>v41708364</t>
  </si>
  <si>
    <t>(dollars)</t>
  </si>
  <si>
    <t>(hours)</t>
  </si>
  <si>
    <t>Multifactor Productivity</t>
  </si>
  <si>
    <t>Based on gross output</t>
  </si>
  <si>
    <t>Based on value-added</t>
  </si>
  <si>
    <t>Labour Productivity</t>
  </si>
  <si>
    <t>Real gross output</t>
  </si>
  <si>
    <t>Real Gross Domestic Product (GDP)</t>
  </si>
  <si>
    <t>Combined labour and capital inputs</t>
  </si>
  <si>
    <t>Combined units of all inputs</t>
  </si>
  <si>
    <t>Gross output</t>
  </si>
  <si>
    <t>Gross Domestic Product (GDP)</t>
  </si>
  <si>
    <t>Capital cost</t>
  </si>
  <si>
    <t>Energy</t>
  </si>
  <si>
    <t>Material</t>
  </si>
  <si>
    <t>Services</t>
  </si>
  <si>
    <t>Total Labour input</t>
  </si>
  <si>
    <t>Intermediate Inputs</t>
  </si>
  <si>
    <t>v41708424</t>
  </si>
  <si>
    <t>v41708484</t>
  </si>
  <si>
    <t>v41708544</t>
  </si>
  <si>
    <t>v41708604</t>
  </si>
  <si>
    <t>v41708664</t>
  </si>
  <si>
    <t>v41708724</t>
  </si>
  <si>
    <t>v41708784</t>
  </si>
  <si>
    <t>v41707361</t>
  </si>
  <si>
    <t>v41707421</t>
  </si>
  <si>
    <t>v41707481</t>
  </si>
  <si>
    <t>v41707601</t>
  </si>
  <si>
    <t>v41707721</t>
  </si>
  <si>
    <t>v41707781</t>
  </si>
  <si>
    <t>v41707841</t>
  </si>
  <si>
    <t>v41707901</t>
  </si>
  <si>
    <t>v41707961</t>
  </si>
  <si>
    <t>v41708021</t>
  </si>
  <si>
    <t>v41708081</t>
  </si>
  <si>
    <t>v41708141</t>
  </si>
  <si>
    <t>v41708321</t>
  </si>
  <si>
    <t>v41708381</t>
  </si>
  <si>
    <t>v41708441</t>
  </si>
  <si>
    <t>v41708501</t>
  </si>
  <si>
    <t>v41708561</t>
  </si>
  <si>
    <t>v41708621</t>
  </si>
  <si>
    <t>v41708681</t>
  </si>
  <si>
    <t>v41708741</t>
  </si>
  <si>
    <t>v41708801</t>
  </si>
  <si>
    <t>v41707362</t>
  </si>
  <si>
    <t>v41707422</t>
  </si>
  <si>
    <t>v41707482</t>
  </si>
  <si>
    <t>v41707602</t>
  </si>
  <si>
    <t>v41707722</t>
  </si>
  <si>
    <t>v41707782</t>
  </si>
  <si>
    <t>v41707842</t>
  </si>
  <si>
    <t>v41707902</t>
  </si>
  <si>
    <t>v41707962</t>
  </si>
  <si>
    <t>v41708022</t>
  </si>
  <si>
    <t>v41708082</t>
  </si>
  <si>
    <t>v41708142</t>
  </si>
  <si>
    <t>v41708322</t>
  </si>
  <si>
    <t>v41708382</t>
  </si>
  <si>
    <t>v41708442</t>
  </si>
  <si>
    <t>v41708502</t>
  </si>
  <si>
    <t>v41708562</t>
  </si>
  <si>
    <t>v41708622</t>
  </si>
  <si>
    <t>v41708682</t>
  </si>
  <si>
    <t>v41708742</t>
  </si>
  <si>
    <t>v41708802</t>
  </si>
  <si>
    <t>v3826657</t>
  </si>
  <si>
    <t>v3826660</t>
  </si>
  <si>
    <t>v3826699</t>
  </si>
  <si>
    <t>v3826700</t>
  </si>
  <si>
    <t>v3826701</t>
  </si>
  <si>
    <t>v41888879</t>
  </si>
  <si>
    <t>v41888882</t>
  </si>
  <si>
    <t>v41888921</t>
  </si>
  <si>
    <t>v41888922</t>
  </si>
  <si>
    <t>v41888923</t>
  </si>
  <si>
    <t>x</t>
  </si>
  <si>
    <t>Current dollars</t>
  </si>
  <si>
    <t xml:space="preserve">1997 constant dollars; </t>
  </si>
  <si>
    <t>Chained 2002 dollars</t>
  </si>
  <si>
    <t xml:space="preserve"> Forestry and logging [113]</t>
  </si>
  <si>
    <t>Note:</t>
  </si>
  <si>
    <t>"x" means that data were not released by Statistics Canada for reasons of confidentiality.</t>
  </si>
  <si>
    <t>Chained 2002 Fisher dollar series are available 1997-2007.  These series were extended into the past (starting in 1996) using the growth rates of the corresponding constant-dollar series from the same CANSIM table.</t>
  </si>
  <si>
    <t>1997 constant dollars</t>
  </si>
  <si>
    <t>v3826770</t>
  </si>
  <si>
    <t>v3826773</t>
  </si>
  <si>
    <t>v3826812</t>
  </si>
  <si>
    <t>v3826814</t>
  </si>
  <si>
    <t>v41888992</t>
  </si>
  <si>
    <t>v41888995</t>
  </si>
  <si>
    <t>v41889034</t>
  </si>
  <si>
    <t>v41889035</t>
  </si>
  <si>
    <t>v41889036</t>
  </si>
  <si>
    <t xml:space="preserve"> Current dollars</t>
  </si>
  <si>
    <t>Wood products</t>
  </si>
  <si>
    <t>Paper products</t>
  </si>
  <si>
    <t>Source: US Bureau of Economic Analysis,  Gross-Domestic-Product-by-Industry Accounts, Value Added by Industry, Release date: April 29, 2008</t>
  </si>
  <si>
    <t>Forestry, fishing, and related activities*</t>
  </si>
  <si>
    <t xml:space="preserve"> Nova Scotia; Chained 2002 dollars; All industries</t>
  </si>
  <si>
    <t xml:space="preserve"> Nova Scotia; Chained 2002 dollars; Forestry and logging [113]</t>
  </si>
  <si>
    <t xml:space="preserve"> Nova Scotia; Chained 2002 dollars; Wood product manufacturing [321]</t>
  </si>
  <si>
    <t xml:space="preserve"> Nova Scotia; Chained 2002 dollars; Pulp, paper and paperboard mills [3221]</t>
  </si>
  <si>
    <t xml:space="preserve"> Nova Scotia; Chained 2002 dollars; Converted paper product manufacturing [3222]</t>
  </si>
  <si>
    <t xml:space="preserve"> Nova Scotia; 1997 constant dollars; All industries *Terminated*</t>
  </si>
  <si>
    <t xml:space="preserve"> Nova Scotia; 1997 constant dollars; Forestry and logging [113] *Terminated*</t>
  </si>
  <si>
    <t xml:space="preserve"> Nova Scotia; 1997 constant dollars; Wood product manufacturing [321] *Terminated*</t>
  </si>
  <si>
    <t xml:space="preserve"> Nova Scotia; 1997 constant dollars; Pulp, paper and paperboard mills [3221] *Terminated*</t>
  </si>
  <si>
    <t xml:space="preserve"> Nova Scotia; 1997 constant dollars; Converted paper product manufacturing [3222] *Terminated*</t>
  </si>
  <si>
    <t>v41889105</t>
  </si>
  <si>
    <t>v41889108</t>
  </si>
  <si>
    <t>v41889147</t>
  </si>
  <si>
    <t>v41889148</t>
  </si>
  <si>
    <t>v41889149</t>
  </si>
  <si>
    <t>v3826883</t>
  </si>
  <si>
    <t>v3826886</t>
  </si>
  <si>
    <t>v3826925</t>
  </si>
  <si>
    <t>v3826926</t>
  </si>
  <si>
    <t>v3826927</t>
  </si>
  <si>
    <t xml:space="preserve"> New Brunswick; 1997 constant dollars; All industries *Terminated*</t>
  </si>
  <si>
    <t xml:space="preserve"> New Brunswick; 1997 constant dollars; Forestry and logging [113] *Terminated*</t>
  </si>
  <si>
    <t xml:space="preserve"> New Brunswick; 1997 constant dollars; Wood product manufacturing [321] *Terminated*</t>
  </si>
  <si>
    <t xml:space="preserve"> New Brunswick; 1997 constant dollars; Pulp, paper and paperboard mills [3221] *Terminated*</t>
  </si>
  <si>
    <t xml:space="preserve"> New Brunswick; 1997 constant dollars; Converted paper product manufacturing [3222] *Terminated*</t>
  </si>
  <si>
    <t xml:space="preserve"> New Brunswick; Chained 2002 dollars; All industries</t>
  </si>
  <si>
    <t xml:space="preserve"> New Brunswick; Chained 2002 dollars; Forestry and logging [113]</t>
  </si>
  <si>
    <t xml:space="preserve"> New Brunswick; Chained 2002 dollars; Wood product manufacturing [321]</t>
  </si>
  <si>
    <t xml:space="preserve"> New Brunswick; Chained 2002 dollars; Pulp, paper and paperboard mills [3221]</t>
  </si>
  <si>
    <t xml:space="preserve"> New Brunswick; Chained 2002 dollars; Converted paper product manufacturing [3222]</t>
  </si>
  <si>
    <t>v3826996</t>
  </si>
  <si>
    <t>v3826999</t>
  </si>
  <si>
    <t>v3827038</t>
  </si>
  <si>
    <t>v3827039</t>
  </si>
  <si>
    <t>v3827040</t>
  </si>
  <si>
    <t>v41889218</t>
  </si>
  <si>
    <t>v41889221</t>
  </si>
  <si>
    <t>v41889260</t>
  </si>
  <si>
    <t>v41889261</t>
  </si>
  <si>
    <t>v41889262</t>
  </si>
  <si>
    <t xml:space="preserve"> Quebec; 1997 constant dollars; All industries *Terminated*</t>
  </si>
  <si>
    <t xml:space="preserve"> Quebec; 1997 constant dollars; Forestry and logging [113] *Terminated*</t>
  </si>
  <si>
    <t xml:space="preserve"> Quebec; 1997 constant dollars; Wood product manufacturing [321] *Terminated*</t>
  </si>
  <si>
    <t xml:space="preserve"> Quebec; 1997 constant dollars; Pulp, paper and paperboard mills [3221] *Terminated*</t>
  </si>
  <si>
    <t xml:space="preserve"> Quebec; 1997 constant dollars; Converted paper product manufacturing [3222] *Terminated*</t>
  </si>
  <si>
    <t xml:space="preserve"> Quebec; Chained 2002 dollars; All industries</t>
  </si>
  <si>
    <t xml:space="preserve"> Quebec; Chained 2002 dollars; Forestry and logging [113]</t>
  </si>
  <si>
    <t xml:space="preserve"> Quebec; Chained 2002 dollars; Wood product manufacturing [321]</t>
  </si>
  <si>
    <t xml:space="preserve"> Quebec; Chained 2002 dollars; Pulp, paper and paperboard mills [3221]</t>
  </si>
  <si>
    <t xml:space="preserve"> Quebec; Chained 2002 dollars; Converted paper product manufacturing [3222]</t>
  </si>
  <si>
    <t>v3827109</t>
  </si>
  <si>
    <t>v3827112</t>
  </si>
  <si>
    <t>v3827151</t>
  </si>
  <si>
    <t>v3827152</t>
  </si>
  <si>
    <t>v3827153</t>
  </si>
  <si>
    <t>v41889331</t>
  </si>
  <si>
    <t>v41889334</t>
  </si>
  <si>
    <t>v41889373</t>
  </si>
  <si>
    <t>v41889374</t>
  </si>
  <si>
    <t>v41889375</t>
  </si>
  <si>
    <t xml:space="preserve"> Ontario; 1997 constant dollars; All industries *Terminated*</t>
  </si>
  <si>
    <t xml:space="preserve"> Ontario; 1997 constant dollars; Forestry and logging [113] *Terminated*</t>
  </si>
  <si>
    <t xml:space="preserve"> Ontario; 1997 constant dollars; Wood product manufacturing [321] *Terminated*</t>
  </si>
  <si>
    <t xml:space="preserve"> Ontario; 1997 constant dollars; Pulp, paper and paperboard mills [3221] *Terminated*</t>
  </si>
  <si>
    <t xml:space="preserve"> Ontario; 1997 constant dollars; Converted paper product manufacturing [3222] *Terminated*</t>
  </si>
  <si>
    <t xml:space="preserve"> Ontario; Chained 2002 dollars; All industries</t>
  </si>
  <si>
    <t xml:space="preserve"> Ontario; Chained 2002 dollars; Forestry and logging [113]</t>
  </si>
  <si>
    <t xml:space="preserve"> Ontario; Chained 2002 dollars; Wood product manufacturing [321]</t>
  </si>
  <si>
    <t xml:space="preserve"> Ontario; Chained 2002 dollars; Pulp, paper and paperboard mills [3221]</t>
  </si>
  <si>
    <t xml:space="preserve"> Ontario; Chained 2002 dollars; Converted paper product manufacturing [3222]</t>
  </si>
  <si>
    <t>v3827222</t>
  </si>
  <si>
    <t>v3827225</t>
  </si>
  <si>
    <t>v3827264</t>
  </si>
  <si>
    <t>v3827265</t>
  </si>
  <si>
    <t>v3827266</t>
  </si>
  <si>
    <t>v41889444</t>
  </si>
  <si>
    <t>v41889447</t>
  </si>
  <si>
    <t>v41889486</t>
  </si>
  <si>
    <t>v41889487</t>
  </si>
  <si>
    <t>v41889488</t>
  </si>
  <si>
    <t xml:space="preserve"> Manitoba; 1997 constant dollars; All industries *Terminated*</t>
  </si>
  <si>
    <t xml:space="preserve"> Manitoba; 1997 constant dollars; Forestry and logging [113] *Terminated*</t>
  </si>
  <si>
    <t xml:space="preserve"> Manitoba; 1997 constant dollars; Wood product manufacturing [321] *Terminated*</t>
  </si>
  <si>
    <t xml:space="preserve"> Manitoba; 1997 constant dollars; Pulp, paper and paperboard mills [3221] *Terminated*</t>
  </si>
  <si>
    <t xml:space="preserve"> Manitoba; 1997 constant dollars; Converted paper product manufacturing [3222] *Terminated*</t>
  </si>
  <si>
    <t xml:space="preserve"> Manitoba; Chained 2002 dollars; All industries</t>
  </si>
  <si>
    <t xml:space="preserve"> Manitoba; Chained 2002 dollars; Forestry and logging [113]</t>
  </si>
  <si>
    <t xml:space="preserve"> Manitoba; Chained 2002 dollars; Wood product manufacturing [321]</t>
  </si>
  <si>
    <t xml:space="preserve"> Manitoba; Chained 2002 dollars; Pulp, paper and paperboard mills [3221]</t>
  </si>
  <si>
    <t xml:space="preserve"> Manitoba; Chained 2002 dollars; Converted paper product manufacturing [3222]</t>
  </si>
  <si>
    <t>v3827335</t>
  </si>
  <si>
    <t>v3827338</t>
  </si>
  <si>
    <t>v3827377</t>
  </si>
  <si>
    <t>v3827378</t>
  </si>
  <si>
    <t>v3827379</t>
  </si>
  <si>
    <t>v41889557</t>
  </si>
  <si>
    <t>v41889560</t>
  </si>
  <si>
    <t>v41889599</t>
  </si>
  <si>
    <t>v41889600</t>
  </si>
  <si>
    <t>v41889601</t>
  </si>
  <si>
    <t xml:space="preserve"> Saskatchewan; 1997 constant dollars; All industries *Terminated*</t>
  </si>
  <si>
    <t xml:space="preserve"> Saskatchewan; 1997 constant dollars; Forestry and logging [113] *Terminated*</t>
  </si>
  <si>
    <t xml:space="preserve"> Saskatchewan; 1997 constant dollars; Wood product manufacturing [321] *Terminated*</t>
  </si>
  <si>
    <t xml:space="preserve"> Saskatchewan; 1997 constant dollars; Pulp, paper and paperboard mills [3221] *Terminated*</t>
  </si>
  <si>
    <t xml:space="preserve"> Saskatchewan; 1997 constant dollars; Converted paper product manufacturing [3222] *Terminated*</t>
  </si>
  <si>
    <t xml:space="preserve"> Saskatchewan; Chained 2002 dollars; All industries</t>
  </si>
  <si>
    <t xml:space="preserve"> Saskatchewan; Chained 2002 dollars; Forestry and logging [113]</t>
  </si>
  <si>
    <t xml:space="preserve"> Saskatchewan; Chained 2002 dollars; Wood product manufacturing [321]</t>
  </si>
  <si>
    <t xml:space="preserve"> Saskatchewan; Chained 2002 dollars; Pulp, paper and paperboard mills [3221]</t>
  </si>
  <si>
    <t xml:space="preserve"> Saskatchewan; Chained 2002 dollars; Converted paper product manufacturing [3222]</t>
  </si>
  <si>
    <t>v3827448</t>
  </si>
  <si>
    <t>v3827451</t>
  </si>
  <si>
    <t>v3827490</t>
  </si>
  <si>
    <t>v3827491</t>
  </si>
  <si>
    <t>v3827492</t>
  </si>
  <si>
    <t>v41889670</t>
  </si>
  <si>
    <t>v41889673</t>
  </si>
  <si>
    <t>v41889712</t>
  </si>
  <si>
    <t>v41889713</t>
  </si>
  <si>
    <t>v41889714</t>
  </si>
  <si>
    <t xml:space="preserve"> Alberta; 1997 constant dollars; All industries *Terminated*</t>
  </si>
  <si>
    <t xml:space="preserve"> Alberta; 1997 constant dollars; Forestry and logging [113] *Terminated*</t>
  </si>
  <si>
    <t xml:space="preserve"> Alberta; 1997 constant dollars; Wood product manufacturing [321] *Terminated*</t>
  </si>
  <si>
    <t xml:space="preserve"> Alberta; 1997 constant dollars; Pulp, paper and paperboard mills [3221] *Terminated*</t>
  </si>
  <si>
    <t xml:space="preserve"> Alberta; 1997 constant dollars; Converted paper product manufacturing [3222] *Terminated*</t>
  </si>
  <si>
    <t xml:space="preserve"> Alberta; Chained 2002 dollars; All industries</t>
  </si>
  <si>
    <t xml:space="preserve"> Alberta; Chained 2002 dollars; Forestry and logging [113]</t>
  </si>
  <si>
    <t xml:space="preserve"> Alberta; Chained 2002 dollars; Wood product manufacturing [321]</t>
  </si>
  <si>
    <t xml:space="preserve"> Alberta; Chained 2002 dollars; Pulp, paper and paperboard mills [3221]</t>
  </si>
  <si>
    <t xml:space="preserve"> Alberta; Chained 2002 dollars; Converted paper product manufacturing [3222]</t>
  </si>
  <si>
    <t>v3827561</t>
  </si>
  <si>
    <t>v3827564</t>
  </si>
  <si>
    <t>v3827603</t>
  </si>
  <si>
    <t>v3827604</t>
  </si>
  <si>
    <t>v3827605</t>
  </si>
  <si>
    <t>v41889783</t>
  </si>
  <si>
    <t>v41889786</t>
  </si>
  <si>
    <t>v41889825</t>
  </si>
  <si>
    <t>v41889826</t>
  </si>
  <si>
    <t>v41889827</t>
  </si>
  <si>
    <t xml:space="preserve"> British Columbia; 1997 constant dollars; All industries *Terminated*</t>
  </si>
  <si>
    <t xml:space="preserve"> British Columbia; 1997 constant dollars; Forestry and logging [113] *Terminated*</t>
  </si>
  <si>
    <t xml:space="preserve"> British Columbia; 1997 constant dollars; Wood product manufacturing [321] *Terminated*</t>
  </si>
  <si>
    <t xml:space="preserve"> British Columbia; 1997 constant dollars; Pulp, paper and paperboard mills [3221] *Terminated*</t>
  </si>
  <si>
    <t xml:space="preserve"> British Columbia; 1997 constant dollars; Converted paper product manufacturing [3222] *Terminated*</t>
  </si>
  <si>
    <t xml:space="preserve"> British Columbia; Chained 2002 dollars; All industries</t>
  </si>
  <si>
    <t xml:space="preserve"> British Columbia; Chained 2002 dollars; Forestry and logging [113]</t>
  </si>
  <si>
    <t xml:space="preserve"> British Columbia; Chained 2002 dollars; Wood product manufacturing [321]</t>
  </si>
  <si>
    <t xml:space="preserve"> British Columbia; Chained 2002 dollars; Pulp, paper and paperboard mills [3221]</t>
  </si>
  <si>
    <t xml:space="preserve"> British Columbia; Chained 2002 dollars; Converted paper product manufacturing [3222]</t>
  </si>
  <si>
    <t>v3827674</t>
  </si>
  <si>
    <t>v3827677</t>
  </si>
  <si>
    <t>v3827716</t>
  </si>
  <si>
    <t>v3827717</t>
  </si>
  <si>
    <t>v3827718</t>
  </si>
  <si>
    <t>v41889896</t>
  </si>
  <si>
    <t>v41889899</t>
  </si>
  <si>
    <t>v41889938</t>
  </si>
  <si>
    <t>v41889939</t>
  </si>
  <si>
    <t>v41889940</t>
  </si>
  <si>
    <t xml:space="preserve"> Newfoundland and Labrador; Total economy; Hours worked for all jobs (Hours); All industries</t>
  </si>
  <si>
    <t xml:space="preserve"> Newfoundland and Labrador; Total economy; Hours worked for all jobs (Hours); Forestry and logging [113]</t>
  </si>
  <si>
    <t xml:space="preserve"> Newfoundland and Labrador; Total economy; Hours worked for all jobs (Hours); Wood product manufacturing [321]</t>
  </si>
  <si>
    <t xml:space="preserve"> Newfoundland and Labrador; Total economy; Hours worked for all jobs (Hours); Paper manufacturing [322]</t>
  </si>
  <si>
    <t xml:space="preserve"> Newfoundland and Labrador; Total economy; Hours worked for all jobs (Hours); Pulp, paper and paperboard mills [3221]</t>
  </si>
  <si>
    <t xml:space="preserve"> Newfoundland and Labrador; Total economy; Hours worked for all jobs (Hours); Converted paper product manufacturing [3222]</t>
  </si>
  <si>
    <t>v15902787</t>
  </si>
  <si>
    <t>v15902790</t>
  </si>
  <si>
    <t>v15902831</t>
  </si>
  <si>
    <t>v15902832</t>
  </si>
  <si>
    <t>v15902833</t>
  </si>
  <si>
    <t>v15902834</t>
  </si>
  <si>
    <t>Hours worked for all jobs, total economy</t>
  </si>
  <si>
    <t xml:space="preserve"> Prince Edward Island; Total economy; Hours worked for all jobs (Hours); All industries</t>
  </si>
  <si>
    <t xml:space="preserve"> Prince Edward Island; Total economy; Hours worked for all jobs (Hours); Forestry and logging [113]</t>
  </si>
  <si>
    <t xml:space="preserve"> Prince Edward Island; Total economy; Hours worked for all jobs (Hours); Wood product manufacturing [321]</t>
  </si>
  <si>
    <t xml:space="preserve"> Prince Edward Island; Total economy; Hours worked for all jobs (Hours); Paper manufacturing [322]</t>
  </si>
  <si>
    <t xml:space="preserve"> Prince Edward Island; Total economy; Hours worked for all jobs (Hours); Pulp, paper and paperboard mills [3221]</t>
  </si>
  <si>
    <t xml:space="preserve"> Prince Edward Island; Total economy; Hours worked for all jobs (Hours); Converted paper product manufacturing [3222]</t>
  </si>
  <si>
    <t>v15905163</t>
  </si>
  <si>
    <t>v15905166</t>
  </si>
  <si>
    <t>v15905207</t>
  </si>
  <si>
    <t>v15905208</t>
  </si>
  <si>
    <t>v15905209</t>
  </si>
  <si>
    <t>v15905210</t>
  </si>
  <si>
    <t xml:space="preserve"> Nova Scotia; Total economy; Hours worked for all jobs (Hours); All industries</t>
  </si>
  <si>
    <t xml:space="preserve"> Nova Scotia; Total economy; Hours worked for all jobs (Hours); Forestry and logging [113]</t>
  </si>
  <si>
    <t xml:space="preserve"> Nova Scotia; Total economy; Hours worked for all jobs (Hours); Wood product manufacturing [321]</t>
  </si>
  <si>
    <t xml:space="preserve"> Nova Scotia; Total economy; Hours worked for all jobs (Hours); Paper manufacturing [322]</t>
  </si>
  <si>
    <t xml:space="preserve"> Nova Scotia; Total economy; Hours worked for all jobs (Hours); Pulp, paper and paperboard mills [3221]</t>
  </si>
  <si>
    <t xml:space="preserve"> Nova Scotia; Total economy; Hours worked for all jobs (Hours); Converted paper product manufacturing [3222]</t>
  </si>
  <si>
    <t>v15907539</t>
  </si>
  <si>
    <t>v15907542</t>
  </si>
  <si>
    <t>v15907583</t>
  </si>
  <si>
    <t>v15907584</t>
  </si>
  <si>
    <t>v15907585</t>
  </si>
  <si>
    <t>v15907586</t>
  </si>
  <si>
    <t xml:space="preserve"> New Brunswick; Total economy; Hours worked for all jobs (Hours); All industries</t>
  </si>
  <si>
    <t xml:space="preserve"> New Brunswick; Total economy; Hours worked for all jobs (Hours); Forestry and logging [113]</t>
  </si>
  <si>
    <t xml:space="preserve"> New Brunswick; Total economy; Hours worked for all jobs (Hours); Wood product manufacturing [321]</t>
  </si>
  <si>
    <t xml:space="preserve"> New Brunswick; Total economy; Hours worked for all jobs (Hours); Paper manufacturing [322]</t>
  </si>
  <si>
    <t xml:space="preserve"> New Brunswick; Total economy; Hours worked for all jobs (Hours); Pulp, paper and paperboard mills [3221]</t>
  </si>
  <si>
    <t xml:space="preserve"> New Brunswick; Total economy; Hours worked for all jobs (Hours); Converted paper product manufacturing [3222]</t>
  </si>
  <si>
    <t>v15909915</t>
  </si>
  <si>
    <t>v15909918</t>
  </si>
  <si>
    <t>v15909959</t>
  </si>
  <si>
    <t>v15909960</t>
  </si>
  <si>
    <t>v15909961</t>
  </si>
  <si>
    <t>v15909962</t>
  </si>
  <si>
    <t xml:space="preserve"> Quebec; Total economy; Hours worked for all jobs (Hours); All industries</t>
  </si>
  <si>
    <t xml:space="preserve"> Quebec; Total economy; Hours worked for all jobs (Hours); Forestry and logging [113]</t>
  </si>
  <si>
    <t xml:space="preserve"> Quebec; Total economy; Hours worked for all jobs (Hours); Wood product manufacturing [321]</t>
  </si>
  <si>
    <t xml:space="preserve"> Quebec; Total economy; Hours worked for all jobs (Hours); Paper manufacturing [322]</t>
  </si>
  <si>
    <t xml:space="preserve"> Quebec; Total economy; Hours worked for all jobs (Hours); Pulp, paper and paperboard mills [3221]</t>
  </si>
  <si>
    <t xml:space="preserve"> Quebec; Total economy; Hours worked for all jobs (Hours); Converted paper product manufacturing [3222]</t>
  </si>
  <si>
    <t>v15912291</t>
  </si>
  <si>
    <t>v15912294</t>
  </si>
  <si>
    <t>v15912335</t>
  </si>
  <si>
    <t>v15912336</t>
  </si>
  <si>
    <t>v15912337</t>
  </si>
  <si>
    <t>v15912338</t>
  </si>
  <si>
    <t xml:space="preserve"> Ontario; Total economy; Hours worked for all jobs (Hours); All industries</t>
  </si>
  <si>
    <t xml:space="preserve"> Ontario; Total economy; Hours worked for all jobs (Hours); Forestry and logging [113]</t>
  </si>
  <si>
    <t xml:space="preserve"> Ontario; Total economy; Hours worked for all jobs (Hours); Wood product manufacturing [321]</t>
  </si>
  <si>
    <t xml:space="preserve"> Ontario; Total economy; Hours worked for all jobs (Hours); Paper manufacturing [322]</t>
  </si>
  <si>
    <t xml:space="preserve"> Ontario; Total economy; Hours worked for all jobs (Hours); Pulp, paper and paperboard mills [3221]</t>
  </si>
  <si>
    <t xml:space="preserve"> Ontario; Total economy; Hours worked for all jobs (Hours); Converted paper product manufacturing [3222]</t>
  </si>
  <si>
    <t>v15914667</t>
  </si>
  <si>
    <t>v15914670</t>
  </si>
  <si>
    <t>v15914711</t>
  </si>
  <si>
    <t>v15914712</t>
  </si>
  <si>
    <t>v15914713</t>
  </si>
  <si>
    <t>v15914714</t>
  </si>
  <si>
    <t xml:space="preserve"> Manitoba; Total economy; Hours worked for all jobs (Hours); All industries</t>
  </si>
  <si>
    <t xml:space="preserve"> Manitoba; Total economy; Hours worked for all jobs (Hours); Forestry and logging [113]</t>
  </si>
  <si>
    <t xml:space="preserve"> Manitoba; Total economy; Hours worked for all jobs (Hours); Wood product manufacturing [321]</t>
  </si>
  <si>
    <t xml:space="preserve"> Manitoba; Total economy; Hours worked for all jobs (Hours); Paper manufacturing [322]</t>
  </si>
  <si>
    <t xml:space="preserve"> Manitoba; Total economy; Hours worked for all jobs (Hours); Pulp, paper and paperboard mills [3221]</t>
  </si>
  <si>
    <t xml:space="preserve"> Manitoba; Total economy; Hours worked for all jobs (Hours); Converted paper product manufacturing [3222]</t>
  </si>
  <si>
    <t>v15917043</t>
  </si>
  <si>
    <t>v15917046</t>
  </si>
  <si>
    <t>v15917087</t>
  </si>
  <si>
    <t>v15917088</t>
  </si>
  <si>
    <t>v15917089</t>
  </si>
  <si>
    <t>v15917090</t>
  </si>
  <si>
    <t xml:space="preserve"> Saskatchewan; Total economy; Hours worked for all jobs (Hours); All industries</t>
  </si>
  <si>
    <t xml:space="preserve"> Saskatchewan; Total economy; Hours worked for all jobs (Hours); Forestry and logging [113]</t>
  </si>
  <si>
    <t xml:space="preserve"> Saskatchewan; Total economy; Hours worked for all jobs (Hours); Wood product manufacturing [321]</t>
  </si>
  <si>
    <t xml:space="preserve"> Saskatchewan; Total economy; Hours worked for all jobs (Hours); Paper manufacturing [322]</t>
  </si>
  <si>
    <t xml:space="preserve"> Saskatchewan; Total economy; Hours worked for all jobs (Hours); Pulp, paper and paperboard mills [3221]</t>
  </si>
  <si>
    <t xml:space="preserve"> Saskatchewan; Total economy; Hours worked for all jobs (Hours); Converted paper product manufacturing [3222]</t>
  </si>
  <si>
    <t>v15919419</t>
  </si>
  <si>
    <t>v15919422</t>
  </si>
  <si>
    <t>v15919463</t>
  </si>
  <si>
    <t>v15919464</t>
  </si>
  <si>
    <t>v15919465</t>
  </si>
  <si>
    <t>v15919466</t>
  </si>
  <si>
    <t xml:space="preserve"> Alberta; Total economy; Hours worked for all jobs (Hours); All industries</t>
  </si>
  <si>
    <t xml:space="preserve"> Alberta; Total economy; Hours worked for all jobs (Hours); Forestry and logging [113]</t>
  </si>
  <si>
    <t xml:space="preserve"> Alberta; Total economy; Hours worked for all jobs (Hours); Wood product manufacturing [321]</t>
  </si>
  <si>
    <t xml:space="preserve"> Alberta; Total economy; Hours worked for all jobs (Hours); Paper manufacturing [322]</t>
  </si>
  <si>
    <t xml:space="preserve"> Alberta; Total economy; Hours worked for all jobs (Hours); Pulp, paper and paperboard mills [3221]</t>
  </si>
  <si>
    <t xml:space="preserve"> Alberta; Total economy; Hours worked for all jobs (Hours); Converted paper product manufacturing [3222]</t>
  </si>
  <si>
    <t>v15921795</t>
  </si>
  <si>
    <t>v15921798</t>
  </si>
  <si>
    <t>v15921839</t>
  </si>
  <si>
    <t>v15921840</t>
  </si>
  <si>
    <t>v15921841</t>
  </si>
  <si>
    <t>v15921842</t>
  </si>
  <si>
    <t xml:space="preserve"> British Columbia; Total economy; Hours worked for all jobs (Hours); All industries</t>
  </si>
  <si>
    <t xml:space="preserve"> British Columbia; Total economy; Hours worked for all jobs (Hours); Forestry and logging [113]</t>
  </si>
  <si>
    <t xml:space="preserve"> British Columbia; Total economy; Hours worked for all jobs (Hours); Wood product manufacturing [321]</t>
  </si>
  <si>
    <t xml:space="preserve"> British Columbia; Total economy; Hours worked for all jobs (Hours); Paper manufacturing [322]</t>
  </si>
  <si>
    <t xml:space="preserve"> British Columbia; Total economy; Hours worked for all jobs (Hours); Pulp, paper and paperboard mills [3221]</t>
  </si>
  <si>
    <t xml:space="preserve"> British Columbia; Total economy; Hours worked for all jobs (Hours); Converted paper product manufacturing [3222]</t>
  </si>
  <si>
    <t>v15924171</t>
  </si>
  <si>
    <t>v15924174</t>
  </si>
  <si>
    <t>v15924215</t>
  </si>
  <si>
    <t>v15924216</t>
  </si>
  <si>
    <t>v15924217</t>
  </si>
  <si>
    <t>v15924218</t>
  </si>
  <si>
    <t>113-Forestry and Logging</t>
  </si>
  <si>
    <t>TOTAL</t>
  </si>
  <si>
    <t xml:space="preserve">Source: </t>
  </si>
  <si>
    <t>1. Calculated from Statistics Canada CANSIM Table 383-0010</t>
  </si>
  <si>
    <t>2. Calcualted from Statistics Canada Labour Force Survey Data</t>
  </si>
  <si>
    <t>In LFS 0.0 are estimates with less than 1,500 for Canada, Quebec, Ontario, Alberta and British Columbia; less than 500 for Manitoba, Saskatchewan and the Atlantic regions except for Prince Edward Island which is less than 200.</t>
  </si>
  <si>
    <t>CAGR</t>
  </si>
  <si>
    <t>1997-06</t>
  </si>
  <si>
    <t>Source:</t>
  </si>
  <si>
    <t>Tables 801 and 811</t>
  </si>
  <si>
    <t>".." means that data were not available</t>
  </si>
  <si>
    <t>Source: Statistics Canada CANSIM Table 379-0025.</t>
  </si>
  <si>
    <t>Tables 804 and 814</t>
  </si>
  <si>
    <t>Tables 803 and 813</t>
  </si>
  <si>
    <t>Tables 802 and 812</t>
  </si>
  <si>
    <t>Tables 805 and 815</t>
  </si>
  <si>
    <t>Tables 806 and 816</t>
  </si>
  <si>
    <t>Tables 807 and 817</t>
  </si>
  <si>
    <t>Tables 808 and 818</t>
  </si>
  <si>
    <t>Tables 809 and 819</t>
  </si>
  <si>
    <t>Tables 810 and 820</t>
  </si>
  <si>
    <t>1997-2006</t>
  </si>
  <si>
    <t>Capital stock includes all components: structures and machinery and equipment</t>
  </si>
  <si>
    <t>Geometric (infinite) net stock at year end.</t>
  </si>
  <si>
    <t>".." means that data is unavailable</t>
  </si>
  <si>
    <t>Total, Paper manufacturing [322]</t>
  </si>
  <si>
    <t xml:space="preserve"> Canada; Hours worked for all jobs (Hours); Total economy, special aggregation *Terminated*</t>
  </si>
  <si>
    <t>v716818</t>
  </si>
  <si>
    <t>Series for "All industries, total economy," were calculated by extending the series from table 383-0010. into the past (from 1996) using growth rate from the series from Table 383-0003</t>
  </si>
  <si>
    <t>Series for "Forestry and Logging," "Wood product manufacturing," and "paper manufacturing" from CANSIM Table 383-0010 extended back (from 1997) using growth rates from the corresponding series in CANSIM Table 383-0022.</t>
  </si>
  <si>
    <t>Forestry</t>
  </si>
  <si>
    <t>Total, All Industries</t>
  </si>
  <si>
    <t>Wood &amp; Products of Wood and Cork</t>
  </si>
  <si>
    <t>Pulp, Paper &amp; Paper Products</t>
  </si>
  <si>
    <t>Nominal Value Added, Millions of Current Dollars</t>
  </si>
  <si>
    <t>Real Value Added calculated by CSLS from GGDC Nominal Value Added and Value Added Deflators</t>
  </si>
  <si>
    <t>Millions of Hours Worked</t>
  </si>
  <si>
    <t>Thousands of Hours Worked</t>
  </si>
  <si>
    <t>Value Added Deflators (1995 = 100)</t>
  </si>
  <si>
    <t>Labour Productivity, Real Value Added per Hour Worked, 1995 Konor</t>
  </si>
  <si>
    <t>Nominal Value Added, Millions of Konor</t>
  </si>
  <si>
    <t>Real Value Added, Millions of 1995 Konor</t>
  </si>
  <si>
    <t>Real Value Added, Millions of 1995 Euros</t>
  </si>
  <si>
    <t>Nominal Value Added, Millions of Current Euros</t>
  </si>
  <si>
    <t>Labour Productivity, Real Value Added per Hour Worked, 1995 Euros</t>
  </si>
  <si>
    <t>Labour Productivity, Real Value Added per Hour Worked, 1995 Canadian Dollars</t>
  </si>
  <si>
    <t>Real Value Added, Millions of 1995 Canadian Dollars</t>
  </si>
  <si>
    <t>Nominal Value Added, Millions of Current Canadian Dollars</t>
  </si>
  <si>
    <t>Labour Productivity, Real Value Added per Hour Worked, 1995 US Dollars</t>
  </si>
  <si>
    <t>Real Value Added, Millions of 1995 US Dollars</t>
  </si>
  <si>
    <t>Nominal Value Added, Millions of Euros</t>
  </si>
  <si>
    <t>Trends of West Germany have been linked to the Unified Germany series in 1991.</t>
  </si>
  <si>
    <t>Real Value Added, Millions of 1995 Pounds</t>
  </si>
  <si>
    <t>Nominal Value Added, Millions of Current Pounds</t>
  </si>
  <si>
    <t>Labour Productivity, Real Value Added per Hour Worked, 1995 Pounds</t>
  </si>
  <si>
    <t>Total, Paper Manuf. [322]</t>
  </si>
  <si>
    <t>Total, Wood Product Manuf. [321]</t>
  </si>
  <si>
    <t>v1070274</t>
  </si>
  <si>
    <t>v1070402</t>
  </si>
  <si>
    <t>v1072386</t>
  </si>
  <si>
    <t>v1072514</t>
  </si>
  <si>
    <t>1. Geometric (infinite) end-year net stock of fixed non-residential capital; Total components</t>
  </si>
  <si>
    <t>Veneer and plywood mills [32121A]</t>
  </si>
  <si>
    <t>Particle board, fibreboard and waferboard mills [32121B]</t>
  </si>
  <si>
    <t>Wood container and other wood product manufacturing [3219X]</t>
  </si>
  <si>
    <t>Stationery and other converted paper product manufacturing [3222X]</t>
  </si>
  <si>
    <t xml:space="preserve"> Total, Veneer, plywood and engineered wood product manufacturing [3212]</t>
  </si>
  <si>
    <t>Total, Other wood product manufacturing [3219]</t>
  </si>
  <si>
    <t>Total, Wood product manufacturing [321]</t>
  </si>
  <si>
    <t>Total, Pulp, paper and paperboard mills [3221]</t>
  </si>
  <si>
    <t>Total, Converted paper product manufacturing [3222]</t>
  </si>
  <si>
    <t>v41881478</t>
  </si>
  <si>
    <t>v41881498</t>
  </si>
  <si>
    <t>v41881555</t>
  </si>
  <si>
    <t>v41881556</t>
  </si>
  <si>
    <t>v41881557</t>
  </si>
  <si>
    <t>v41881558</t>
  </si>
  <si>
    <t>v41881559</t>
  </si>
  <si>
    <t>v41881560</t>
  </si>
  <si>
    <t>v41881561</t>
  </si>
  <si>
    <t>v41881562</t>
  </si>
  <si>
    <t>v41881563</t>
  </si>
  <si>
    <t>v41881564</t>
  </si>
  <si>
    <t>v41881565</t>
  </si>
  <si>
    <t>v41881566</t>
  </si>
  <si>
    <t>v41881567</t>
  </si>
  <si>
    <t>v41881568</t>
  </si>
  <si>
    <t>v41881569</t>
  </si>
  <si>
    <t>v41881570</t>
  </si>
  <si>
    <t>v41881571</t>
  </si>
  <si>
    <t>v41881572</t>
  </si>
  <si>
    <t>v41881573</t>
  </si>
  <si>
    <t>v41881574</t>
  </si>
  <si>
    <t xml:space="preserve"> Canada; Seasonally adjusted at annual rates; 2002 constant prices;</t>
  </si>
  <si>
    <t>Arithmetic mean of 12 months; Seasonally adjusted at annual rates; 2002 constant prices;</t>
  </si>
  <si>
    <t>1981-2007</t>
  </si>
  <si>
    <t>2000-2007</t>
  </si>
  <si>
    <t>v1078498</t>
  </si>
  <si>
    <t>v1078626</t>
  </si>
  <si>
    <t>v1120674</t>
  </si>
  <si>
    <t>v1120802</t>
  </si>
  <si>
    <t>Source: Statistics Canada Labour Force Survey</t>
  </si>
  <si>
    <t>All levels of education</t>
  </si>
  <si>
    <t>0 to 8 Years</t>
  </si>
  <si>
    <t>Some High School</t>
  </si>
  <si>
    <t>High School Graduate</t>
  </si>
  <si>
    <t>Some Post Secondary</t>
  </si>
  <si>
    <t>Post-Secondary Certificate or Diploma</t>
  </si>
  <si>
    <t>University Degree</t>
  </si>
  <si>
    <t>Bachelors Degree</t>
  </si>
  <si>
    <t>Above Bachelors Degree</t>
  </si>
  <si>
    <t>Total business enterprise research and development intramural expenditures (Dollars)</t>
  </si>
  <si>
    <t>Total business enterprise research and development current expenditures (Dollars)</t>
  </si>
  <si>
    <t>Wages and salaries (Dollars)</t>
  </si>
  <si>
    <t>Other current expenditures (Dollars)</t>
  </si>
  <si>
    <t>Total business enterprise research and development capital expenditures (Dollars)</t>
  </si>
  <si>
    <t>v29793120</t>
  </si>
  <si>
    <t>v29793173</t>
  </si>
  <si>
    <t>v29793226</t>
  </si>
  <si>
    <t>v29793279</t>
  </si>
  <si>
    <t>v29793332</t>
  </si>
  <si>
    <t>v29793385</t>
  </si>
  <si>
    <t>v29793438</t>
  </si>
  <si>
    <t>v29793491</t>
  </si>
  <si>
    <t>v29793544</t>
  </si>
  <si>
    <t>Total business enterprise research and development intramural expenditures</t>
  </si>
  <si>
    <t>Total business enterprise research and development current expenditures</t>
  </si>
  <si>
    <t>Wages and salaries</t>
  </si>
  <si>
    <t>Other current expenditures</t>
  </si>
  <si>
    <t>Total business enterprise research and development capital expenditures</t>
  </si>
  <si>
    <t>Business enterprise research and development current expenditures</t>
  </si>
  <si>
    <t xml:space="preserve">Total research and development personnel </t>
  </si>
  <si>
    <t>(Full-time equivalent personnel)</t>
  </si>
  <si>
    <t>Research and development professionals</t>
  </si>
  <si>
    <t>Research and development technicians and technologists</t>
  </si>
  <si>
    <t>Research and development other support staff</t>
  </si>
  <si>
    <t>Research and Development Personnel</t>
  </si>
  <si>
    <t>Calculated from Statistics Canada CANSIM Table 358-0024</t>
  </si>
  <si>
    <t>(Millions of Current Dollars)</t>
  </si>
  <si>
    <t>v29793123</t>
  </si>
  <si>
    <t>v29793176</t>
  </si>
  <si>
    <t>v29793229</t>
  </si>
  <si>
    <t>v29793282</t>
  </si>
  <si>
    <t>v29793335</t>
  </si>
  <si>
    <t>v29793388</t>
  </si>
  <si>
    <t>v29793441</t>
  </si>
  <si>
    <t>v29793494</t>
  </si>
  <si>
    <t>v29793547</t>
  </si>
  <si>
    <t>v29793136</t>
  </si>
  <si>
    <t>v29793189</t>
  </si>
  <si>
    <t>v29793242</t>
  </si>
  <si>
    <t>v29793295</t>
  </si>
  <si>
    <t>v29793348</t>
  </si>
  <si>
    <t>v29793401</t>
  </si>
  <si>
    <t>v29793454</t>
  </si>
  <si>
    <t>v29793507</t>
  </si>
  <si>
    <t>v29793560</t>
  </si>
  <si>
    <t>v29793137</t>
  </si>
  <si>
    <t>v29793190</t>
  </si>
  <si>
    <t>v29793243</t>
  </si>
  <si>
    <t>v29793296</t>
  </si>
  <si>
    <t>v29793349</t>
  </si>
  <si>
    <t>v29793402</t>
  </si>
  <si>
    <t>v29793455</t>
  </si>
  <si>
    <t>v29793508</t>
  </si>
  <si>
    <t>v29793561</t>
  </si>
  <si>
    <t>1979-2003</t>
  </si>
  <si>
    <t>2000-2003</t>
  </si>
  <si>
    <t>1990-2000</t>
  </si>
  <si>
    <t>Source: Table 1a and Table 4</t>
  </si>
  <si>
    <t>2000-2004</t>
  </si>
  <si>
    <t>1997-2000</t>
  </si>
  <si>
    <t>Table 3b: Employment in Forest Products Sector, Canada Thousands, 1987-2007</t>
  </si>
  <si>
    <t>2. Annual average employment</t>
  </si>
  <si>
    <t xml:space="preserve">Notes: </t>
  </si>
  <si>
    <t>1987-2007</t>
  </si>
  <si>
    <t>1997-2005</t>
  </si>
  <si>
    <t>1981-2004</t>
  </si>
  <si>
    <t>Wood Product Manufacturing</t>
  </si>
  <si>
    <t>Paper Manufacturing</t>
  </si>
  <si>
    <t>Converted Paper Product Manufacturing</t>
  </si>
  <si>
    <t>All Industries, Total Economy</t>
  </si>
  <si>
    <t>Constant 2002 Dollars</t>
  </si>
  <si>
    <t>Employment</t>
  </si>
  <si>
    <t>1989-2006</t>
  </si>
  <si>
    <t>Real GDP per $1000 of Capital Stock</t>
  </si>
  <si>
    <t>Paper Manufacturing [322]</t>
  </si>
  <si>
    <t>1. "x" means that data were not released by Statistics Canada for reasons of confidentiality.</t>
  </si>
  <si>
    <t>2. Chained 2002 Fisher dollar series are available 1997-2007.  These series were extended into the past (starting in 1996) using the growth rates of the corresponding constant-dollar series from the same CANSIM table.</t>
  </si>
  <si>
    <t xml:space="preserve">3. Chained-dollar series for "Paper Manufacturing [322]" is the sum of the chained-dollar series for "Pulp, Paper and Paperboard Mills [3221]" and "Converted Paper Product Manufacturing [3222]," both of which were construct as outlined in Note 2.  Since chained-dollar series should not be added, caution should be used interpreting the series "Paper Manufacturing [322]."  </t>
  </si>
  <si>
    <t>1984-1989</t>
  </si>
  <si>
    <t>2. Capital stock includes all components: structures and machinery and equipment</t>
  </si>
  <si>
    <t>3. Geometric (infinite) net stock at year end.</t>
  </si>
  <si>
    <t>Real GDP from Table 808.</t>
  </si>
  <si>
    <t>Capital stock from unpublished Statistics Canada data.</t>
  </si>
  <si>
    <t>Real GDP from Table 809.</t>
  </si>
  <si>
    <t>Real GDP from Table 810.</t>
  </si>
  <si>
    <t>Real GDP from Table 806.</t>
  </si>
  <si>
    <t>Real GDP from Table 807.</t>
  </si>
  <si>
    <t>Real GDP from Table 805.</t>
  </si>
  <si>
    <t>Real GDP from Table 804.</t>
  </si>
  <si>
    <t>Real GDP from Table 803.</t>
  </si>
  <si>
    <t>Real GDP from Table 802.</t>
  </si>
  <si>
    <t>Real GDP from Table 801.</t>
  </si>
  <si>
    <t>Canada</t>
  </si>
  <si>
    <t>NL</t>
  </si>
  <si>
    <t>NS</t>
  </si>
  <si>
    <t>NB</t>
  </si>
  <si>
    <t>QC</t>
  </si>
  <si>
    <t>ON</t>
  </si>
  <si>
    <t>MB</t>
  </si>
  <si>
    <t>SK</t>
  </si>
  <si>
    <t>AB</t>
  </si>
  <si>
    <t>BC</t>
  </si>
  <si>
    <t xml:space="preserve">Source: Calculated by CSLS from Statistics Canada CANSIM Table 153-0011 </t>
  </si>
  <si>
    <t>The values presented in method I are based on a present value calculation that assumes a positive return to capital (present value I). For a description of this method, please see page 37 of the Concepts, Sources and Methods of the Canadian System of Environmental Resource Accounts, catalogue number 16-505-GPE, which is included in PDF format on the Econnections, Indicators and Detailed Statistics 2000 CD-ROM.</t>
  </si>
  <si>
    <t>Note (from Statistics Canada):</t>
  </si>
  <si>
    <t>The values presented in method II are based on a present value calculation that assumes a zero return to capital (present value II). For a description of this method, please see page 37 of the Concepts, Sources and Methods of the Canadian System of Environmental Resource Accounts, catalogue number 16-505-GPE, which is included in PDF format on the Econnections, Indicators and Detailed Statistics 2000 CD-ROM.</t>
  </si>
  <si>
    <t>Negative stock values are set to zero.</t>
  </si>
  <si>
    <t>v3822488</t>
  </si>
  <si>
    <t>v3822489</t>
  </si>
  <si>
    <t>v3822490</t>
  </si>
  <si>
    <t>v3822491</t>
  </si>
  <si>
    <t>v3822492</t>
  </si>
  <si>
    <t>v3822493</t>
  </si>
  <si>
    <t>v3822494</t>
  </si>
  <si>
    <t xml:space="preserve"> Opening stock</t>
  </si>
  <si>
    <t>Harvest</t>
  </si>
  <si>
    <t>Fire</t>
  </si>
  <si>
    <t>Mortality</t>
  </si>
  <si>
    <t>Roads</t>
  </si>
  <si>
    <t>Regeneration</t>
  </si>
  <si>
    <t>Closing stock</t>
  </si>
  <si>
    <t>Table 14: Timber Assets, Canada, volume in millions of cubic meters, 1961-2003</t>
  </si>
  <si>
    <t xml:space="preserve"> Opening Stock</t>
  </si>
  <si>
    <t>Closing Stock</t>
  </si>
  <si>
    <t>Source: Calculated by CSLS from Statistics Canada CANSIM Table 153-0030</t>
  </si>
  <si>
    <t>These data are also available for selected provinces</t>
  </si>
  <si>
    <t>Source: Calculated by CSLS from Statistics Canada CANSIM Table 153-0029</t>
  </si>
  <si>
    <t>Nonreserved Accessible Opening Stock</t>
  </si>
  <si>
    <t>Nonreserved Accessible Closing Stock</t>
  </si>
  <si>
    <t>Nonstocked Accessible Closing Stock</t>
  </si>
  <si>
    <t>v3821839</t>
  </si>
  <si>
    <t>v3821840</t>
  </si>
  <si>
    <t>v3821841</t>
  </si>
  <si>
    <t>v3821842</t>
  </si>
  <si>
    <t>v3821843</t>
  </si>
  <si>
    <t>v3821844</t>
  </si>
  <si>
    <t>v3821845</t>
  </si>
  <si>
    <t>v3821846</t>
  </si>
  <si>
    <t>Table 14a: Timber Assets, Canada, Area in Thousands of Hectares, 1961-2003</t>
  </si>
  <si>
    <t>PE</t>
  </si>
  <si>
    <t>Hours Worked</t>
  </si>
  <si>
    <t>Wood Product Manufacturing [321]</t>
  </si>
  <si>
    <t>Chained 2002 Dollars</t>
  </si>
  <si>
    <t>Millions of Current Dollars</t>
  </si>
  <si>
    <t>As a Share of All Industries Total, per cent</t>
  </si>
  <si>
    <t>Source: Tables 1a and 8</t>
  </si>
  <si>
    <t>Forestry and Logging [113]</t>
  </si>
  <si>
    <t>Total All Industries</t>
  </si>
  <si>
    <t>Source: Tables 4 and 8</t>
  </si>
  <si>
    <t>Source: Calculated from Table 1b</t>
  </si>
  <si>
    <t>Source: Calculated from Tables 1a and 1b</t>
  </si>
  <si>
    <t>Note: GDP in constant 2002 dollars divided by GDP at basic prices in current dollars in 2002</t>
  </si>
  <si>
    <t>v15900543</t>
  </si>
  <si>
    <t>v15900546</t>
  </si>
  <si>
    <t>v15900587</t>
  </si>
  <si>
    <t>v15900588</t>
  </si>
  <si>
    <t>v15900589</t>
  </si>
  <si>
    <t>v15900590</t>
  </si>
  <si>
    <t xml:space="preserve"> Canada; Labour compensation (dollars); </t>
  </si>
  <si>
    <t xml:space="preserve"> Canada; Total economy; Total compensation for all jobs (Dollars); </t>
  </si>
  <si>
    <t>Note: Total compensation for all jobs</t>
  </si>
  <si>
    <t xml:space="preserve"> Canada; Total compensation for all jobs (Dollars); Total economy, special aggregation *Terminated*</t>
  </si>
  <si>
    <t>v717040</t>
  </si>
  <si>
    <t>Source: Calculated by CSLS from Statistics Canada CANSIM Table 383-0010 and 383-0022.  Forest Products Sector Series from Table 383-0010 were extended back (from 1996) using the growth rates from the corresponding series in Table 383-0022.  All industries, total economy, series was extended back (from 1996) using the growth rates from the corresponding series in Table 383-0003.</t>
  </si>
  <si>
    <t>Source: Tables 8b</t>
  </si>
  <si>
    <t>Source: Tables 6b</t>
  </si>
  <si>
    <t xml:space="preserve">1. Geometric (infinite) end-year net stock of fixed non-residential capital; Total components.  </t>
  </si>
  <si>
    <t>2. Calculated as 1-(Labour Share)</t>
  </si>
  <si>
    <t>Source: Calculated from Statistics Canada Table 1a</t>
  </si>
  <si>
    <t>Notes:</t>
  </si>
  <si>
    <t>Selected Indicators</t>
  </si>
  <si>
    <t>Total Economy</t>
  </si>
  <si>
    <t>Nominal Output Share</t>
  </si>
  <si>
    <t>Relative Labour Productivity Level</t>
  </si>
  <si>
    <t>Labour Input Share</t>
  </si>
  <si>
    <t>Relative Size</t>
  </si>
  <si>
    <t>Pure Productivity Growth Effect</t>
  </si>
  <si>
    <t>Relative Size Change Effect</t>
  </si>
  <si>
    <t>Interaction Effect</t>
  </si>
  <si>
    <t>Total Effect</t>
  </si>
  <si>
    <t>(per cent)</t>
  </si>
  <si>
    <t>Finland</t>
  </si>
  <si>
    <t>France</t>
  </si>
  <si>
    <t>Germany</t>
  </si>
  <si>
    <t>Italy</t>
  </si>
  <si>
    <t>Sweden</t>
  </si>
  <si>
    <t>United States</t>
  </si>
  <si>
    <t>Norway</t>
  </si>
  <si>
    <t>United Kingdom</t>
  </si>
  <si>
    <t>Compound Annual Growth Rate, per cent</t>
  </si>
  <si>
    <t>(constant 2002 dollars)</t>
  </si>
  <si>
    <t>(percentage points)</t>
  </si>
  <si>
    <t>1986-1989</t>
  </si>
  <si>
    <t>1986-2007</t>
  </si>
  <si>
    <t>Pulp Mills</t>
  </si>
  <si>
    <t>Paper (except newsprint) Mills</t>
  </si>
  <si>
    <t>Newsprint Mills</t>
  </si>
  <si>
    <t>Paperboard Mills</t>
  </si>
  <si>
    <t>1986-2006</t>
  </si>
  <si>
    <t>1986-2004</t>
  </si>
  <si>
    <t>v41712881</t>
  </si>
  <si>
    <t>v41712898</t>
  </si>
  <si>
    <t>v41712915</t>
  </si>
  <si>
    <t>v41712932</t>
  </si>
  <si>
    <t>v41712949</t>
  </si>
  <si>
    <t>v41712966</t>
  </si>
  <si>
    <t>v41712983</t>
  </si>
  <si>
    <t>v41713000</t>
  </si>
  <si>
    <t>v41713017</t>
  </si>
  <si>
    <t>v41713034</t>
  </si>
  <si>
    <t>v41713051</t>
  </si>
  <si>
    <t>v41713068</t>
  </si>
  <si>
    <t>v41713085</t>
  </si>
  <si>
    <t>v41713102</t>
  </si>
  <si>
    <t>v41713119</t>
  </si>
  <si>
    <t>v41713136</t>
  </si>
  <si>
    <t>v41713153</t>
  </si>
  <si>
    <t>v41713170</t>
  </si>
  <si>
    <t>v41713187</t>
  </si>
  <si>
    <t>v41713204</t>
  </si>
  <si>
    <t>v41713221</t>
  </si>
  <si>
    <t>v41713238</t>
  </si>
  <si>
    <t>v41713255</t>
  </si>
  <si>
    <t>v41713272</t>
  </si>
  <si>
    <t>v41713289</t>
  </si>
  <si>
    <t>v41713306</t>
  </si>
  <si>
    <t xml:space="preserve">Labour input </t>
  </si>
  <si>
    <t>(Index, 2002=100)</t>
  </si>
  <si>
    <t>Capital Productivity</t>
  </si>
  <si>
    <t>Labour Composition</t>
  </si>
  <si>
    <t>Capital Input</t>
  </si>
  <si>
    <t>Capital Stock</t>
  </si>
  <si>
    <t>Capital Composition</t>
  </si>
  <si>
    <t>Capital Input of Information and Communications Technologies</t>
  </si>
  <si>
    <t>Capital Input of Non-Information and Communications Technologies</t>
  </si>
  <si>
    <t>Combined Labour and Capital Inputs</t>
  </si>
  <si>
    <t>Labour Compensation</t>
  </si>
  <si>
    <t>Capital Cost</t>
  </si>
  <si>
    <t>Capital Cost of Information and Communications Technologies</t>
  </si>
  <si>
    <t>Capital Cost of Non-Information and Communications Technologies</t>
  </si>
  <si>
    <t>(Index 2002 = 100)</t>
  </si>
  <si>
    <t>Contribution of Labour Composition to Labour Productivity Growth</t>
  </si>
  <si>
    <t>Labour Input of Workers with</t>
  </si>
  <si>
    <t>Primary or Secondary Education</t>
  </si>
  <si>
    <t>Some or Completed Post-Secondary Certificate or Diploma</t>
  </si>
  <si>
    <t>University Degree or Above</t>
  </si>
  <si>
    <t xml:space="preserve">Labour Compensation of Workers with </t>
  </si>
  <si>
    <t xml:space="preserve">4. Chained-dollar series for "Forest Products Sector" is the sum of the chained-dollar series for "Forestry and Logging," "Wood Product Manufacturing," and "Paper Manufacturing," all of which were constructed as outlined in Note 2.  Since chained-dollar series should not be added, caution should be used interpreting the series "Paper Manufacturing [322]."  </t>
  </si>
  <si>
    <t>New Brunswick</t>
  </si>
  <si>
    <t>Quebec</t>
  </si>
  <si>
    <t>Ontario</t>
  </si>
  <si>
    <t>Alberta</t>
  </si>
  <si>
    <t>British Columbia</t>
  </si>
  <si>
    <t>Source: Table 1a and Table 4c</t>
  </si>
  <si>
    <t>Forest and Logging (113)</t>
  </si>
  <si>
    <t>1987-2004</t>
  </si>
  <si>
    <t>Business Sector</t>
  </si>
  <si>
    <t>Source: Tables 600-608</t>
  </si>
  <si>
    <t>Reconstituted Wood Product Manufacturing [321219]</t>
  </si>
  <si>
    <t>Veneer and Plywood Manufacturing [32121N]</t>
  </si>
  <si>
    <t>Engineered Wood Product Manufacturing [32121P]</t>
  </si>
  <si>
    <t>Wood Container and Pallet Manufacturing [32192]</t>
  </si>
  <si>
    <t>All Other Wood Product Manufacturing [32199]</t>
  </si>
  <si>
    <t>Manufactured Home (Mobile Home) Manufacturing [321991]</t>
  </si>
  <si>
    <t>Note: Output per hour</t>
  </si>
  <si>
    <t>Coated and Laminated Paper and Packaging Manufacturing [32222N]</t>
  </si>
  <si>
    <t>Coated, Uncoated, and Multiwall Bag and Packaging Manufacturing [32222P]</t>
  </si>
  <si>
    <t>Stationery Product Manufacturing [32223]</t>
  </si>
  <si>
    <t>Other Converted Paper Product Manufacturing [32229]</t>
  </si>
  <si>
    <t>1987-2000</t>
  </si>
  <si>
    <t>Billions of Current Dollars</t>
  </si>
  <si>
    <t>Value of Production</t>
  </si>
  <si>
    <t>Capital Payments</t>
  </si>
  <si>
    <t>Cost of Labor</t>
  </si>
  <si>
    <t>Cost of Energy</t>
  </si>
  <si>
    <t>Cost of Materials</t>
  </si>
  <si>
    <t>Cost of Purchased Services</t>
  </si>
  <si>
    <t>Materials</t>
  </si>
  <si>
    <t>Purchased Services</t>
  </si>
  <si>
    <t>Gross Output, constant 2000 dollars</t>
  </si>
  <si>
    <t>Capital Services</t>
  </si>
  <si>
    <t xml:space="preserve">Labor Hours, Hours worked, all employees and proprietors </t>
  </si>
  <si>
    <t xml:space="preserve">Combined Inputs, Combined K, L, E, M, S, cost share weights </t>
  </si>
  <si>
    <t xml:space="preserve">Multifactor Productivity, Sectoral output per unit of combined K, L, E, M, S  </t>
  </si>
  <si>
    <t>Output per unit of Capital (Q/K)</t>
  </si>
  <si>
    <t>Output per unit of Labor (Q/L)</t>
  </si>
  <si>
    <t>Source: US Bureau of Labor Statistics, Major Sector Multifactor Productivity Index</t>
  </si>
  <si>
    <t>*BEA does not publish a separate series for forestry and logging.</t>
  </si>
  <si>
    <t>Source: US Bureau of Economic Analysis,  Gross-Domestic-Product-by-Industry Accounts, Real Value Added by Industry, Release date: April 29, 2008</t>
  </si>
  <si>
    <r>
      <t>Total, Forest Products Sector</t>
    </r>
    <r>
      <rPr>
        <vertAlign val="superscript"/>
        <sz val="11"/>
        <color theme="1"/>
        <rFont val="Calibri"/>
        <family val="2"/>
        <scheme val="minor"/>
      </rPr>
      <t>1</t>
    </r>
  </si>
  <si>
    <r>
      <t>Forestry, fishing, and related activities</t>
    </r>
    <r>
      <rPr>
        <vertAlign val="superscript"/>
        <sz val="11"/>
        <color theme="1"/>
        <rFont val="Calibri"/>
        <family val="2"/>
        <scheme val="minor"/>
      </rPr>
      <t>2</t>
    </r>
  </si>
  <si>
    <t>2. BEA does not publish a separate series for forestry and logging.</t>
  </si>
  <si>
    <t>1. Because the series are in chained dollars they are not additive, therefore an aggregate real GDP estimate for the forest products sector cannot be obtained.</t>
  </si>
  <si>
    <t>Source: Calculated from the US Bureau of Economic Analysis,  Gross-Domestic-Product-by-Industry Accounts, Value Added by Industry, Release date: April 29, 2008</t>
  </si>
  <si>
    <t>Source: Calcaulted from US Bureau of Labour Statistics, Industry Productivity and Costs Database</t>
  </si>
  <si>
    <t>Index = 1987 = 100</t>
  </si>
  <si>
    <t>Average Weekly Hours</t>
  </si>
  <si>
    <t>Hours</t>
  </si>
  <si>
    <t>Current $ Output</t>
  </si>
  <si>
    <t>Compensation</t>
  </si>
  <si>
    <t>Non-Labor Payments</t>
  </si>
  <si>
    <t>Output Per Hour</t>
  </si>
  <si>
    <t>Hourly Compensation</t>
  </si>
  <si>
    <t>Unit Labor Costs</t>
  </si>
  <si>
    <t>Unit Nonlabor Payments</t>
  </si>
  <si>
    <t>Implicit Price Deflator</t>
  </si>
  <si>
    <t>Real Hourly Compensation</t>
  </si>
  <si>
    <t>Output Per Person</t>
  </si>
  <si>
    <t>Labor Share</t>
  </si>
  <si>
    <t> Output</t>
  </si>
  <si>
    <t>1. Tornquist agg. of hrs by educ., work, exp. &amp; sex</t>
  </si>
  <si>
    <t>2. Tornquist (rental price wts.) aggregate K inputs</t>
  </si>
  <si>
    <t>Index 2000 = 100</t>
  </si>
  <si>
    <t>Output per Hour</t>
  </si>
  <si>
    <t>Output per unit Capital Services</t>
  </si>
  <si>
    <t>Capital Hours Ratio</t>
  </si>
  <si>
    <t>3. Tornquist (cost share wts.) aggregate K and L</t>
  </si>
  <si>
    <t>4. Real Value-Added Output div by combined inputs</t>
  </si>
  <si>
    <t>5. Ratio of Labor Input to Hours</t>
  </si>
  <si>
    <t>Output</t>
  </si>
  <si>
    <t>Capital Income</t>
  </si>
  <si>
    <t>Real Value-Added Output, constant 2000 dollars</t>
  </si>
  <si>
    <r>
      <t> Labor Input</t>
    </r>
    <r>
      <rPr>
        <b/>
        <vertAlign val="superscript"/>
        <sz val="11"/>
        <color theme="1"/>
        <rFont val="Calibri"/>
        <family val="2"/>
        <scheme val="minor"/>
      </rPr>
      <t>1</t>
    </r>
  </si>
  <si>
    <r>
      <t>Capital Services</t>
    </r>
    <r>
      <rPr>
        <b/>
        <vertAlign val="superscript"/>
        <sz val="11"/>
        <color theme="1"/>
        <rFont val="Calibri"/>
        <family val="2"/>
        <scheme val="minor"/>
      </rPr>
      <t>2</t>
    </r>
  </si>
  <si>
    <r>
      <t>Combined Input Quantity</t>
    </r>
    <r>
      <rPr>
        <b/>
        <vertAlign val="superscript"/>
        <sz val="11"/>
        <color theme="1"/>
        <rFont val="Calibri"/>
        <family val="2"/>
        <scheme val="minor"/>
      </rPr>
      <t>3</t>
    </r>
  </si>
  <si>
    <r>
      <t>Multifactor Productivity</t>
    </r>
    <r>
      <rPr>
        <b/>
        <vertAlign val="superscript"/>
        <sz val="11"/>
        <color theme="1"/>
        <rFont val="Calibri"/>
        <family val="2"/>
        <scheme val="minor"/>
      </rPr>
      <t>4</t>
    </r>
  </si>
  <si>
    <r>
      <t>Labor Composition</t>
    </r>
    <r>
      <rPr>
        <b/>
        <vertAlign val="superscript"/>
        <sz val="11"/>
        <color theme="1"/>
        <rFont val="Calibri"/>
        <family val="2"/>
        <scheme val="minor"/>
      </rPr>
      <t>5</t>
    </r>
  </si>
  <si>
    <t> Labor Compensation</t>
  </si>
  <si>
    <t>Source: Calculated by CSLS from US Bureau of Labor Statistics, Major Sector Multifactor Productivity Index</t>
  </si>
  <si>
    <t>Index 1987 = 100</t>
  </si>
  <si>
    <t>Total</t>
  </si>
  <si>
    <t>Total Growth</t>
  </si>
  <si>
    <t>Utility</t>
  </si>
  <si>
    <t>Construction</t>
  </si>
  <si>
    <t>Manufacturing</t>
  </si>
  <si>
    <t>Wholesale Trade</t>
  </si>
  <si>
    <t>Retail Trade</t>
  </si>
  <si>
    <t>Transportation</t>
  </si>
  <si>
    <t xml:space="preserve">Communications </t>
  </si>
  <si>
    <t>Other services</t>
  </si>
  <si>
    <t>Aggregate</t>
  </si>
  <si>
    <t>Newfoundland and Labrador</t>
  </si>
  <si>
    <t>Prince Edward Island</t>
  </si>
  <si>
    <t>Nova Scotia</t>
  </si>
  <si>
    <t>Manitoba</t>
  </si>
  <si>
    <t>Saskatchewan</t>
  </si>
  <si>
    <t>Source: Mintz and Chen (2008)</t>
  </si>
  <si>
    <t>Note: .. data not available.</t>
  </si>
  <si>
    <t>Q</t>
  </si>
  <si>
    <t>Y</t>
  </si>
  <si>
    <t>L</t>
  </si>
  <si>
    <t>X=Y/L</t>
  </si>
  <si>
    <t>Labour Productivity
(GDP per Hour Worked)</t>
  </si>
  <si>
    <t>Sources:</t>
  </si>
  <si>
    <t>Real Output (GDP)</t>
  </si>
  <si>
    <t>Nominal Output (GDP)</t>
  </si>
  <si>
    <t>Implicit Price Index for Output (GDP)</t>
  </si>
  <si>
    <t>Y: Appendix Table 1a</t>
  </si>
  <si>
    <t>(millions of current dollars)</t>
  </si>
  <si>
    <t>Q: Appendix Table 1b</t>
  </si>
  <si>
    <t>P = Q/Y*100</t>
  </si>
  <si>
    <t>(millions)</t>
  </si>
  <si>
    <t>L: Appendix Table 4</t>
  </si>
  <si>
    <t>Relative (Real) Output Price</t>
  </si>
  <si>
    <r>
      <rPr>
        <i/>
        <sz val="11"/>
        <color theme="1"/>
        <rFont val="Calibri"/>
        <family val="2"/>
        <scheme val="minor"/>
      </rPr>
      <t>l</t>
    </r>
    <r>
      <rPr>
        <vertAlign val="superscript"/>
        <sz val="11"/>
        <color theme="1"/>
        <rFont val="Calibri"/>
        <family val="2"/>
        <scheme val="minor"/>
      </rPr>
      <t>i</t>
    </r>
    <r>
      <rPr>
        <sz val="11"/>
        <color theme="1"/>
        <rFont val="Calibri"/>
        <family val="2"/>
        <scheme val="minor"/>
      </rPr>
      <t xml:space="preserve"> = L</t>
    </r>
    <r>
      <rPr>
        <vertAlign val="superscript"/>
        <sz val="11"/>
        <color theme="1"/>
        <rFont val="Calibri"/>
        <family val="2"/>
        <scheme val="minor"/>
      </rPr>
      <t>i</t>
    </r>
    <r>
      <rPr>
        <sz val="11"/>
        <color theme="1"/>
        <rFont val="Calibri"/>
        <family val="2"/>
        <scheme val="minor"/>
      </rPr>
      <t>/L*100</t>
    </r>
  </si>
  <si>
    <r>
      <rPr>
        <i/>
        <sz val="11"/>
        <color theme="1"/>
        <rFont val="Calibri"/>
        <family val="2"/>
        <scheme val="minor"/>
      </rPr>
      <t>s</t>
    </r>
    <r>
      <rPr>
        <vertAlign val="superscript"/>
        <sz val="11"/>
        <color theme="1"/>
        <rFont val="Calibri"/>
        <family val="2"/>
        <scheme val="minor"/>
      </rPr>
      <t>i</t>
    </r>
    <r>
      <rPr>
        <sz val="11"/>
        <color theme="1"/>
        <rFont val="Calibri"/>
        <family val="2"/>
        <scheme val="minor"/>
      </rPr>
      <t xml:space="preserve"> = </t>
    </r>
    <r>
      <rPr>
        <i/>
        <sz val="11"/>
        <color theme="1"/>
        <rFont val="Calibri"/>
        <family val="2"/>
        <scheme val="minor"/>
      </rPr>
      <t>p</t>
    </r>
    <r>
      <rPr>
        <vertAlign val="superscript"/>
        <sz val="11"/>
        <color theme="1"/>
        <rFont val="Calibri"/>
        <family val="2"/>
        <scheme val="minor"/>
      </rPr>
      <t>i</t>
    </r>
    <r>
      <rPr>
        <i/>
        <sz val="11"/>
        <color theme="1"/>
        <rFont val="Calibri"/>
        <family val="2"/>
        <scheme val="minor"/>
      </rPr>
      <t>l</t>
    </r>
    <r>
      <rPr>
        <vertAlign val="superscript"/>
        <sz val="11"/>
        <color theme="1"/>
        <rFont val="Calibri"/>
        <family val="2"/>
        <scheme val="minor"/>
      </rPr>
      <t>i</t>
    </r>
  </si>
  <si>
    <r>
      <rPr>
        <i/>
        <sz val="11"/>
        <color theme="1"/>
        <rFont val="Calibri"/>
        <family val="2"/>
        <scheme val="minor"/>
      </rPr>
      <t>p</t>
    </r>
    <r>
      <rPr>
        <vertAlign val="superscript"/>
        <sz val="11"/>
        <color theme="1"/>
        <rFont val="Calibri"/>
        <family val="2"/>
        <scheme val="minor"/>
      </rPr>
      <t>i</t>
    </r>
    <r>
      <rPr>
        <sz val="11"/>
        <color theme="1"/>
        <rFont val="Calibri"/>
        <family val="2"/>
        <scheme val="minor"/>
      </rPr>
      <t xml:space="preserve"> = P</t>
    </r>
    <r>
      <rPr>
        <vertAlign val="superscript"/>
        <sz val="11"/>
        <color theme="1"/>
        <rFont val="Calibri"/>
        <family val="2"/>
        <scheme val="minor"/>
      </rPr>
      <t>i</t>
    </r>
    <r>
      <rPr>
        <sz val="11"/>
        <color theme="1"/>
        <rFont val="Calibri"/>
        <family val="2"/>
        <scheme val="minor"/>
      </rPr>
      <t>/P</t>
    </r>
  </si>
  <si>
    <t>Index = All Industries = 1.000</t>
  </si>
  <si>
    <r>
      <rPr>
        <i/>
        <sz val="11"/>
        <color theme="1"/>
        <rFont val="Calibri"/>
        <family val="2"/>
        <scheme val="minor"/>
      </rPr>
      <t>x</t>
    </r>
    <r>
      <rPr>
        <vertAlign val="superscript"/>
        <sz val="11"/>
        <color theme="1"/>
        <rFont val="Calibri"/>
        <family val="2"/>
        <scheme val="minor"/>
      </rPr>
      <t>i</t>
    </r>
    <r>
      <rPr>
        <sz val="11"/>
        <color theme="1"/>
        <rFont val="Calibri"/>
        <family val="2"/>
        <scheme val="minor"/>
      </rPr>
      <t xml:space="preserve"> = X</t>
    </r>
    <r>
      <rPr>
        <vertAlign val="superscript"/>
        <sz val="11"/>
        <color theme="1"/>
        <rFont val="Calibri"/>
        <family val="2"/>
        <scheme val="minor"/>
      </rPr>
      <t>i</t>
    </r>
    <r>
      <rPr>
        <sz val="11"/>
        <color theme="1"/>
        <rFont val="Calibri"/>
        <family val="2"/>
        <scheme val="minor"/>
      </rPr>
      <t>/X</t>
    </r>
  </si>
  <si>
    <r>
      <rPr>
        <i/>
        <sz val="11"/>
        <color theme="1"/>
        <rFont val="Calibri"/>
        <family val="2"/>
        <scheme val="minor"/>
      </rPr>
      <t>w</t>
    </r>
    <r>
      <rPr>
        <b/>
        <i/>
        <vertAlign val="superscript"/>
        <sz val="11"/>
        <color theme="1"/>
        <rFont val="Calibri"/>
        <family val="2"/>
        <scheme val="minor"/>
      </rPr>
      <t>i</t>
    </r>
    <r>
      <rPr>
        <sz val="11"/>
        <color theme="1"/>
        <rFont val="Calibri"/>
        <family val="2"/>
        <scheme val="minor"/>
      </rPr>
      <t xml:space="preserve"> = Q</t>
    </r>
    <r>
      <rPr>
        <vertAlign val="superscript"/>
        <sz val="11"/>
        <color theme="1"/>
        <rFont val="Calibri"/>
        <family val="2"/>
        <scheme val="minor"/>
      </rPr>
      <t>i</t>
    </r>
    <r>
      <rPr>
        <sz val="11"/>
        <color theme="1"/>
        <rFont val="Calibri"/>
        <family val="2"/>
        <scheme val="minor"/>
      </rPr>
      <t xml:space="preserve">/Q = </t>
    </r>
    <r>
      <rPr>
        <i/>
        <sz val="11"/>
        <color theme="1"/>
        <rFont val="Calibri"/>
        <family val="2"/>
        <scheme val="minor"/>
      </rPr>
      <t>x</t>
    </r>
    <r>
      <rPr>
        <vertAlign val="superscript"/>
        <sz val="11"/>
        <color theme="1"/>
        <rFont val="Calibri"/>
        <family val="2"/>
        <scheme val="minor"/>
      </rPr>
      <t>i</t>
    </r>
    <r>
      <rPr>
        <i/>
        <sz val="11"/>
        <color theme="1"/>
        <rFont val="Calibri"/>
        <family val="2"/>
        <scheme val="minor"/>
      </rPr>
      <t>s</t>
    </r>
    <r>
      <rPr>
        <vertAlign val="superscript"/>
        <sz val="11"/>
        <color theme="1"/>
        <rFont val="Calibri"/>
        <family val="2"/>
        <scheme val="minor"/>
      </rPr>
      <t>i</t>
    </r>
  </si>
  <si>
    <r>
      <t>X</t>
    </r>
    <r>
      <rPr>
        <vertAlign val="superscript"/>
        <sz val="11"/>
        <color theme="1"/>
        <rFont val="Calibri"/>
        <family val="2"/>
        <scheme val="minor"/>
      </rPr>
      <t>i</t>
    </r>
    <r>
      <rPr>
        <sz val="11"/>
        <color theme="1"/>
        <rFont val="Calibri"/>
        <family val="2"/>
        <scheme val="minor"/>
      </rPr>
      <t>=Y</t>
    </r>
    <r>
      <rPr>
        <vertAlign val="superscript"/>
        <sz val="11"/>
        <color theme="1"/>
        <rFont val="Calibri"/>
        <family val="2"/>
        <scheme val="minor"/>
      </rPr>
      <t>i</t>
    </r>
    <r>
      <rPr>
        <sz val="11"/>
        <color theme="1"/>
        <rFont val="Calibri"/>
        <family val="2"/>
        <scheme val="minor"/>
      </rPr>
      <t>/L</t>
    </r>
    <r>
      <rPr>
        <vertAlign val="superscript"/>
        <sz val="11"/>
        <color theme="1"/>
        <rFont val="Calibri"/>
        <family val="2"/>
        <scheme val="minor"/>
      </rPr>
      <t>i</t>
    </r>
  </si>
  <si>
    <t>Total Change</t>
  </si>
  <si>
    <t>Absolute Contribution</t>
  </si>
  <si>
    <t>(absolute)</t>
  </si>
  <si>
    <t>Percentage Points</t>
  </si>
  <si>
    <r>
      <t>w</t>
    </r>
    <r>
      <rPr>
        <vertAlign val="superscript"/>
        <sz val="11"/>
        <color theme="1"/>
        <rFont val="Calibri"/>
        <family val="2"/>
        <scheme val="minor"/>
      </rPr>
      <t>i</t>
    </r>
    <r>
      <rPr>
        <vertAlign val="subscript"/>
        <sz val="11"/>
        <color theme="1"/>
        <rFont val="Calibri"/>
        <family val="2"/>
        <scheme val="minor"/>
      </rPr>
      <t>t-1</t>
    </r>
    <r>
      <rPr>
        <sz val="11"/>
        <color theme="1"/>
        <rFont val="Calibri"/>
        <family val="2"/>
        <scheme val="minor"/>
      </rPr>
      <t>*G(X</t>
    </r>
    <r>
      <rPr>
        <vertAlign val="superscript"/>
        <sz val="11"/>
        <color theme="1"/>
        <rFont val="Calibri"/>
        <family val="2"/>
        <scheme val="minor"/>
      </rPr>
      <t>i</t>
    </r>
    <r>
      <rPr>
        <vertAlign val="subscript"/>
        <sz val="11"/>
        <color theme="1"/>
        <rFont val="Calibri"/>
        <family val="2"/>
        <scheme val="minor"/>
      </rPr>
      <t>t</t>
    </r>
    <r>
      <rPr>
        <sz val="11"/>
        <color theme="1"/>
        <rFont val="Calibri"/>
        <family val="2"/>
        <scheme val="minor"/>
      </rPr>
      <t>)</t>
    </r>
  </si>
  <si>
    <r>
      <t>G(X</t>
    </r>
    <r>
      <rPr>
        <vertAlign val="superscript"/>
        <sz val="11"/>
        <color theme="1"/>
        <rFont val="Calibri"/>
        <family val="2"/>
        <scheme val="minor"/>
      </rPr>
      <t>i</t>
    </r>
    <r>
      <rPr>
        <vertAlign val="subscript"/>
        <sz val="11"/>
        <color theme="1"/>
        <rFont val="Calibri"/>
        <family val="2"/>
        <scheme val="minor"/>
      </rPr>
      <t>t</t>
    </r>
    <r>
      <rPr>
        <sz val="11"/>
        <color theme="1"/>
        <rFont val="Calibri"/>
        <family val="2"/>
        <scheme val="minor"/>
      </rPr>
      <t>) = (X</t>
    </r>
    <r>
      <rPr>
        <vertAlign val="subscript"/>
        <sz val="11"/>
        <color theme="1"/>
        <rFont val="Calibri"/>
        <family val="2"/>
        <scheme val="minor"/>
      </rPr>
      <t>t</t>
    </r>
    <r>
      <rPr>
        <sz val="11"/>
        <color theme="1"/>
        <rFont val="Calibri"/>
        <family val="2"/>
        <scheme val="minor"/>
      </rPr>
      <t>-X</t>
    </r>
    <r>
      <rPr>
        <vertAlign val="subscript"/>
        <sz val="11"/>
        <color theme="1"/>
        <rFont val="Calibri"/>
        <family val="2"/>
        <scheme val="minor"/>
      </rPr>
      <t>t-1</t>
    </r>
    <r>
      <rPr>
        <sz val="11"/>
        <color theme="1"/>
        <rFont val="Calibri"/>
        <family val="2"/>
        <scheme val="minor"/>
      </rPr>
      <t>)/X</t>
    </r>
    <r>
      <rPr>
        <vertAlign val="subscript"/>
        <sz val="11"/>
        <color theme="1"/>
        <rFont val="Calibri"/>
        <family val="2"/>
        <scheme val="minor"/>
      </rPr>
      <t xml:space="preserve">t-1 </t>
    </r>
    <r>
      <rPr>
        <sz val="11"/>
        <color theme="1"/>
        <rFont val="Calibri"/>
        <family val="2"/>
        <scheme val="minor"/>
      </rPr>
      <t>where "t" is the final year of the period and "t-1" is the first year of the period.</t>
    </r>
  </si>
  <si>
    <r>
      <t>x</t>
    </r>
    <r>
      <rPr>
        <vertAlign val="superscript"/>
        <sz val="11"/>
        <color theme="1"/>
        <rFont val="Calibri"/>
        <family val="2"/>
        <scheme val="minor"/>
      </rPr>
      <t>i</t>
    </r>
    <r>
      <rPr>
        <vertAlign val="subscript"/>
        <sz val="11"/>
        <color theme="1"/>
        <rFont val="Calibri"/>
        <family val="2"/>
        <scheme val="minor"/>
      </rPr>
      <t>t-1</t>
    </r>
    <r>
      <rPr>
        <sz val="11"/>
        <color theme="1"/>
        <rFont val="Calibri"/>
        <family val="2"/>
        <scheme val="minor"/>
      </rPr>
      <t>*(s</t>
    </r>
    <r>
      <rPr>
        <vertAlign val="superscript"/>
        <sz val="11"/>
        <color theme="1"/>
        <rFont val="Calibri"/>
        <family val="2"/>
        <scheme val="minor"/>
      </rPr>
      <t>i</t>
    </r>
    <r>
      <rPr>
        <vertAlign val="subscript"/>
        <sz val="11"/>
        <color theme="1"/>
        <rFont val="Calibri"/>
        <family val="2"/>
        <scheme val="minor"/>
      </rPr>
      <t>t</t>
    </r>
    <r>
      <rPr>
        <sz val="11"/>
        <color theme="1"/>
        <rFont val="Calibri"/>
        <family val="2"/>
        <scheme val="minor"/>
      </rPr>
      <t>-s</t>
    </r>
    <r>
      <rPr>
        <vertAlign val="superscript"/>
        <sz val="11"/>
        <color theme="1"/>
        <rFont val="Calibri"/>
        <family val="2"/>
        <scheme val="minor"/>
      </rPr>
      <t>i</t>
    </r>
    <r>
      <rPr>
        <vertAlign val="subscript"/>
        <sz val="11"/>
        <color theme="1"/>
        <rFont val="Calibri"/>
        <family val="2"/>
        <scheme val="minor"/>
      </rPr>
      <t>t-1</t>
    </r>
    <r>
      <rPr>
        <sz val="11"/>
        <color theme="1"/>
        <rFont val="Calibri"/>
        <family val="2"/>
        <scheme val="minor"/>
      </rPr>
      <t>)</t>
    </r>
  </si>
  <si>
    <t>Sum of three effects</t>
  </si>
  <si>
    <t>Source: Appendix Table 7</t>
  </si>
  <si>
    <t>Relative Contribution to Total Change</t>
  </si>
  <si>
    <r>
      <t>x</t>
    </r>
    <r>
      <rPr>
        <vertAlign val="superscript"/>
        <sz val="11"/>
        <color theme="1"/>
        <rFont val="Calibri"/>
        <family val="2"/>
        <scheme val="minor"/>
      </rPr>
      <t>i</t>
    </r>
    <r>
      <rPr>
        <vertAlign val="subscript"/>
        <sz val="11"/>
        <color theme="1"/>
        <rFont val="Calibri"/>
        <family val="2"/>
        <scheme val="minor"/>
      </rPr>
      <t>t-1</t>
    </r>
    <r>
      <rPr>
        <sz val="11"/>
        <color theme="1"/>
        <rFont val="Calibri"/>
        <family val="2"/>
        <scheme val="minor"/>
      </rPr>
      <t>*(s</t>
    </r>
    <r>
      <rPr>
        <vertAlign val="superscript"/>
        <sz val="11"/>
        <color theme="1"/>
        <rFont val="Calibri"/>
        <family val="2"/>
        <scheme val="minor"/>
      </rPr>
      <t>i</t>
    </r>
    <r>
      <rPr>
        <vertAlign val="subscript"/>
        <sz val="11"/>
        <color theme="1"/>
        <rFont val="Calibri"/>
        <family val="2"/>
        <scheme val="minor"/>
      </rPr>
      <t>t</t>
    </r>
    <r>
      <rPr>
        <sz val="11"/>
        <color theme="1"/>
        <rFont val="Calibri"/>
        <family val="2"/>
        <scheme val="minor"/>
      </rPr>
      <t>-s</t>
    </r>
    <r>
      <rPr>
        <vertAlign val="superscript"/>
        <sz val="11"/>
        <color theme="1"/>
        <rFont val="Calibri"/>
        <family val="2"/>
        <scheme val="minor"/>
      </rPr>
      <t>i</t>
    </r>
    <r>
      <rPr>
        <vertAlign val="subscript"/>
        <sz val="11"/>
        <color theme="1"/>
        <rFont val="Calibri"/>
        <family val="2"/>
        <scheme val="minor"/>
      </rPr>
      <t>t-1</t>
    </r>
    <r>
      <rPr>
        <sz val="11"/>
        <color theme="1"/>
        <rFont val="Calibri"/>
        <family val="2"/>
        <scheme val="minor"/>
      </rPr>
      <t>)*G(X</t>
    </r>
    <r>
      <rPr>
        <vertAlign val="superscript"/>
        <sz val="11"/>
        <color theme="1"/>
        <rFont val="Calibri"/>
        <family val="2"/>
        <scheme val="minor"/>
      </rPr>
      <t>i</t>
    </r>
    <r>
      <rPr>
        <vertAlign val="subscript"/>
        <sz val="11"/>
        <color theme="1"/>
        <rFont val="Calibri"/>
        <family val="2"/>
        <scheme val="minor"/>
      </rPr>
      <t>t</t>
    </r>
    <r>
      <rPr>
        <sz val="11"/>
        <color theme="1"/>
        <rFont val="Calibri"/>
        <family val="2"/>
        <scheme val="minor"/>
      </rPr>
      <t>)</t>
    </r>
  </si>
  <si>
    <t>Total Growth Rate</t>
  </si>
  <si>
    <t>Table 3c: Employment in the Forest Products Sector as a Share of Total Employment in All Industries, Canada, per cent, 1987-2007</t>
  </si>
  <si>
    <t>List of Appendix Tables</t>
  </si>
  <si>
    <t>GDP</t>
  </si>
  <si>
    <t xml:space="preserve">Labour Productivity </t>
  </si>
  <si>
    <t>Contributions to Labour Productivity Growth</t>
  </si>
  <si>
    <t>Official Productivity Estimates from Statistics Canada</t>
  </si>
  <si>
    <t>Educational Attainment</t>
  </si>
  <si>
    <t>Research and Development</t>
  </si>
  <si>
    <t>Timber Stocks</t>
  </si>
  <si>
    <t>Marginal Effective Tax Rates</t>
  </si>
  <si>
    <t>GDP Shares</t>
  </si>
  <si>
    <t>Capital Stock and Capital Productivity</t>
  </si>
  <si>
    <t>(millions of dollars)</t>
  </si>
  <si>
    <t>Contribution of Capital Intensity to Labour Productivity Growth</t>
  </si>
  <si>
    <t>(millions of hours)</t>
  </si>
  <si>
    <t>(Millions of Dollars)</t>
  </si>
  <si>
    <t>Contribution to growth in labour productivity based on gross output</t>
  </si>
  <si>
    <t>Gross Output</t>
  </si>
  <si>
    <t>(Millions of Hours)</t>
  </si>
  <si>
    <t>Total Labour Input</t>
  </si>
  <si>
    <t>Total Intermediate Inputs</t>
  </si>
  <si>
    <t>Cost of Intermediate Inputs</t>
  </si>
  <si>
    <t>of Capital Intensity</t>
  </si>
  <si>
    <t xml:space="preserve">of Intermediate Input Intensity </t>
  </si>
  <si>
    <t xml:space="preserve">of Labour Composition </t>
  </si>
  <si>
    <t>Source: Calcaulted by CSLS from Statistics Canada CANSIM Table 383-0022 (Industry KLEMS Productivity Program Database)</t>
  </si>
  <si>
    <t>A Detailed Analysis of the Productivity Performance of the Canadian Forest Products Sector</t>
  </si>
  <si>
    <t>I. Canada</t>
  </si>
  <si>
    <t>II. Selected OECD Countries</t>
  </si>
  <si>
    <t>III. Canadian Provinces</t>
  </si>
  <si>
    <t>IV. United States</t>
  </si>
  <si>
    <t>1997-2007</t>
  </si>
  <si>
    <t>2. Chained-dollar estimates of GDP are not additive. As result the total do not necessarily equal the sum of their component. As well, an aggregate estimate of real GDP for the forest products sector is not provided because of this non-additivity.</t>
  </si>
  <si>
    <t>1. Arithmetic mean over 12 months.</t>
  </si>
  <si>
    <t>Source: Calculated from Appendix Table 3</t>
  </si>
  <si>
    <t>Source: Centre for the Study of Living Standards Productivity Database http://www.csls.ca/data/ptabln.asp.  Based on Statistics Canada Labour Force Survey.</t>
  </si>
  <si>
    <t>Source: Calculated from Appendix Table 4</t>
  </si>
  <si>
    <t>Note: Real GDP per Hour Worked</t>
  </si>
  <si>
    <t>1. Real GDP per Hour Worked</t>
  </si>
  <si>
    <t>2. Hours Worked from Statistics Canada Labour Force Survey</t>
  </si>
  <si>
    <t>2. Hours Worked from Statistics Canada Canadian Productivity Accounts</t>
  </si>
  <si>
    <t>1. Real GDP per $1000 of Capital Stock, Constant 2002 Dollars</t>
  </si>
  <si>
    <t>2. Geometric (infinite) end-year net stock of fixed non-residential capital; Total components</t>
  </si>
  <si>
    <t>1. Geometric (infinite) end-year net stock of fixed non-residential capital; Total components, per hour worked, hours worked for all jobs, constant 2002 dollars</t>
  </si>
  <si>
    <t>1961-1973</t>
  </si>
  <si>
    <t>1973-1981</t>
  </si>
  <si>
    <t>Table 11d: Educational Attainment, Number of Workers by Highest Educational Attainment, Paper Manfacturing [322], Thousands, 1990-2007</t>
  </si>
  <si>
    <t>Table 11c: Educational Attainment, Number of Workers by Highest Educational Attainment, Wood Product Manfacturing [321], Thousands, 1990-2007</t>
  </si>
  <si>
    <t>Table 11b: Educational Attainment, Number of Workers by Highest Educational Attainment, Forestry and Logging [113], Thousands, 1990-2007</t>
  </si>
  <si>
    <t>Table 11a: Educational Attainment, Number of Workers by Highest Educational Attainment, Forest Products Sector, Thousands, 1990-2007</t>
  </si>
  <si>
    <t>Source: Statistics Canada Labour Force Survey, Calcualted by CSLS from Tables 11b, 11c, and 11d.</t>
  </si>
  <si>
    <t>1990-2007</t>
  </si>
  <si>
    <t>Total Growth Rate, per cent</t>
  </si>
  <si>
    <t>1. 0.0 are estimates with less than 1,500 employed.</t>
  </si>
  <si>
    <t>2. Caution: Data with 3 and 4 digits NAICS should be used with prudence.  Data with a higher variability is reliable enough for some purposes, however it should be used with great caution.  Therefore, in any subsequent use, specific reference should be made to the high sampling variability of data.</t>
  </si>
  <si>
    <t>Above Bachelors Degree*</t>
  </si>
  <si>
    <t>*Growth rate based on 1991 rather than 1990 estimate</t>
  </si>
  <si>
    <t>1994-2000</t>
  </si>
  <si>
    <t>Compound Annual Growth Rate, per cent*</t>
  </si>
  <si>
    <t>**When data for 2000 were unavailable, data for 1999 were used.</t>
  </si>
  <si>
    <t>1961-2006</t>
  </si>
  <si>
    <t>Compound Annual Growth Rate*</t>
  </si>
  <si>
    <t>Note: *All growth rates are calculated for periods ending in 2004 (instead of 2006 or 2007) for "Capital Cost" series in millions of dollars</t>
  </si>
  <si>
    <t>Note: *All growth rates are calculated for periods ending in 2004 (instead of 2006 or 2007) for "Labour Compensation" series</t>
  </si>
  <si>
    <t>(Billions of Current Dollars)</t>
  </si>
  <si>
    <t>(Index = 1987 = 100)</t>
  </si>
  <si>
    <t>Table 4c: Hours Worked for All Jobs (LFS-based), Canada, Forest Products Sector, Millions of Hours, 1987-2007</t>
  </si>
  <si>
    <t>Pulp, Paper and Paperboard Mills [3221]</t>
  </si>
  <si>
    <t>Converted Paper Product Manufacturing [3222]</t>
  </si>
  <si>
    <t>Investment</t>
  </si>
  <si>
    <t>Source: Calculated by CSLS from Statistics Canada CANSIM Table 028-0002. Annual estimates calcualted as the arithmetic mean of the four quarterly observations contained in the CANSIM series.</t>
  </si>
  <si>
    <t>Absolute Growth, percentage points</t>
  </si>
  <si>
    <t>Capacity Utilization</t>
  </si>
  <si>
    <t>COL0</t>
  </si>
  <si>
    <t>v1756</t>
  </si>
  <si>
    <t>v1772</t>
  </si>
  <si>
    <t>v1782</t>
  </si>
  <si>
    <t>v4594</t>
  </si>
  <si>
    <t>Sawn lumber, Total Production</t>
  </si>
  <si>
    <t>Coniferous Production</t>
  </si>
  <si>
    <t>Non-Coniferous Production</t>
  </si>
  <si>
    <t>Sawn Lumber, Total Shipments</t>
  </si>
  <si>
    <t>Sawn Lumber Production</t>
  </si>
  <si>
    <t>Coniferous</t>
  </si>
  <si>
    <t>Non-Coniferous</t>
  </si>
  <si>
    <t>Source: Statistics Canada CANSIM Table 303-0009.</t>
  </si>
  <si>
    <t>1153- Support Activities for Forestry</t>
  </si>
  <si>
    <r>
      <t>1153-Support Activities for Forestry</t>
    </r>
    <r>
      <rPr>
        <b/>
        <vertAlign val="superscript"/>
        <sz val="11"/>
        <color theme="1"/>
        <rFont val="Calibri"/>
        <family val="2"/>
        <scheme val="minor"/>
      </rPr>
      <t>3</t>
    </r>
  </si>
  <si>
    <t>3. Not included in the forest products sector as defined in this report. Presented for information only.</t>
  </si>
  <si>
    <t>2. Not included in the forest products sector as defined in this report. Presented for information only.</t>
  </si>
  <si>
    <r>
      <t>1153-Support Activities for Forestry</t>
    </r>
    <r>
      <rPr>
        <b/>
        <vertAlign val="superscript"/>
        <sz val="11"/>
        <color theme="1"/>
        <rFont val="Calibri"/>
        <family val="2"/>
        <scheme val="minor"/>
      </rPr>
      <t>2</t>
    </r>
  </si>
  <si>
    <r>
      <t>1153- Support Activities for Forestry</t>
    </r>
    <r>
      <rPr>
        <b/>
        <vertAlign val="superscript"/>
        <sz val="11"/>
        <color theme="1"/>
        <rFont val="Calibri"/>
        <family val="2"/>
        <scheme val="minor"/>
      </rPr>
      <t>2</t>
    </r>
  </si>
  <si>
    <t>Capital Input per Hour Worked</t>
  </si>
  <si>
    <t>Labour Share</t>
  </si>
  <si>
    <t>Capital Share</t>
  </si>
  <si>
    <t>Labour Share of GDP</t>
  </si>
  <si>
    <t>(Per cent)</t>
  </si>
  <si>
    <t>Capital Share of GDP</t>
  </si>
  <si>
    <t>Average Annual Contribution to Labour Productivity Growth, percentage points</t>
  </si>
  <si>
    <t>Capital Services Intensity</t>
  </si>
  <si>
    <t>Average Factor Shares, per cent</t>
  </si>
  <si>
    <t>Source: Appendix Tables 18, 18a, and 18b</t>
  </si>
  <si>
    <t>Source: Appendix Tables 19, 19a, and 19b</t>
  </si>
  <si>
    <t>Source: Appendix Tables 20, 20a, and 20b</t>
  </si>
  <si>
    <t>Summary Table: Sources of Labour Productivity Growth, Forest Products Sector, 1961-2007</t>
  </si>
  <si>
    <t>Source: Appendix Tables 18c, 19c, and 20c.</t>
  </si>
  <si>
    <t>Table 19b: Capital and Intermediate Inputs to Productivity, Wood Product Manufacturing (NAICS 321), Canada, 1961-2004</t>
  </si>
  <si>
    <t>Sawn Lumber Production and Shipments</t>
  </si>
  <si>
    <t>1961-1981</t>
  </si>
  <si>
    <t>v41596152</t>
  </si>
  <si>
    <t>v41596185</t>
  </si>
  <si>
    <t>v41596186</t>
  </si>
  <si>
    <t>v41596187</t>
  </si>
  <si>
    <t>v41596188</t>
  </si>
  <si>
    <t>v41596308</t>
  </si>
  <si>
    <t>v41596342</t>
  </si>
  <si>
    <t>v41596343</t>
  </si>
  <si>
    <t>v41596344</t>
  </si>
  <si>
    <t>v41596345</t>
  </si>
  <si>
    <t>Imports</t>
  </si>
  <si>
    <t>Total of All Merchandise</t>
  </si>
  <si>
    <t>Exports</t>
  </si>
  <si>
    <t>Sector 3 Forestry Products</t>
  </si>
  <si>
    <t>Sub-sector 3.1 Lumber and sawmill products</t>
  </si>
  <si>
    <t>Sub-sector 3.2 Wood pulp and other wood products</t>
  </si>
  <si>
    <t>Sub-sector 3.3 Newsprint and other paper and paperboard</t>
  </si>
  <si>
    <t>Balance of Payments Basis</t>
  </si>
  <si>
    <t>Customs Basis</t>
  </si>
  <si>
    <t>Source: Statistics Canada CANSIM Table 228-0055</t>
  </si>
  <si>
    <t xml:space="preserve">Volume Index </t>
  </si>
  <si>
    <t>Price Index</t>
  </si>
  <si>
    <t>v41596204</t>
  </si>
  <si>
    <t>v41596237</t>
  </si>
  <si>
    <t>v41596238</t>
  </si>
  <si>
    <t>v41596239</t>
  </si>
  <si>
    <t>v41596240</t>
  </si>
  <si>
    <t>v41596256</t>
  </si>
  <si>
    <t>v41596289</t>
  </si>
  <si>
    <t>v41596290</t>
  </si>
  <si>
    <t>v41596291</t>
  </si>
  <si>
    <t>v41596292</t>
  </si>
  <si>
    <t>v41596362</t>
  </si>
  <si>
    <t>v41596396</t>
  </si>
  <si>
    <t>v41596397</t>
  </si>
  <si>
    <t>v41596398</t>
  </si>
  <si>
    <t>v41596399</t>
  </si>
  <si>
    <t>v41596416</t>
  </si>
  <si>
    <t>v41596450</t>
  </si>
  <si>
    <t>v41596451</t>
  </si>
  <si>
    <t>v41596452</t>
  </si>
  <si>
    <t>v41596453</t>
  </si>
  <si>
    <t>Lumber and Timber</t>
  </si>
  <si>
    <t>Veneer and Plywood</t>
  </si>
  <si>
    <t>Other Wood Fabricated Materials</t>
  </si>
  <si>
    <t>Total, Lumber and Timber</t>
  </si>
  <si>
    <t>Lumber and Ties</t>
  </si>
  <si>
    <t>Other Lumber Products</t>
  </si>
  <si>
    <t>Lumber, Hardwood, Maple</t>
  </si>
  <si>
    <t>Lumber, Hardwood, Birch</t>
  </si>
  <si>
    <t>Lumber, Softwood, Domestic</t>
  </si>
  <si>
    <t>Lumber, Softwood, Export</t>
  </si>
  <si>
    <t>Total, Veneer and Plywood</t>
  </si>
  <si>
    <t>Veneer and Plywood, Hardwood</t>
  </si>
  <si>
    <t>Veneer and Plywood, Softwood</t>
  </si>
  <si>
    <t>Total, Other Wood Fabricated Materials</t>
  </si>
  <si>
    <t>Sash, Door and Other Millwork Products</t>
  </si>
  <si>
    <t>Wooden Box, Coffins and Other wood - End Products</t>
  </si>
  <si>
    <t>Pulp and Paper Products</t>
  </si>
  <si>
    <t>Pulp</t>
  </si>
  <si>
    <t>Wood Pulp, Sulphate</t>
  </si>
  <si>
    <t>Wood Pulp, Sulphite</t>
  </si>
  <si>
    <t>Wood Pulp, Other</t>
  </si>
  <si>
    <t>Newsprint and Other Paper Stock</t>
  </si>
  <si>
    <t>Newsprint and Other Paper for Printing</t>
  </si>
  <si>
    <t>Paperboard and Building Board</t>
  </si>
  <si>
    <t>Other Converted Paper Products</t>
  </si>
  <si>
    <t>Paper Products</t>
  </si>
  <si>
    <t>Boxes, Bags and Other Paper Containers</t>
  </si>
  <si>
    <t>Paper Consumer Products</t>
  </si>
  <si>
    <t>Other Paper Products</t>
  </si>
  <si>
    <t>Total, Pulp and Paper Products</t>
  </si>
  <si>
    <t>Total, Pulp</t>
  </si>
  <si>
    <t>Total, Newsprint and Other Paper Stock</t>
  </si>
  <si>
    <t>Total, Paper Products</t>
  </si>
  <si>
    <t>Total, Wood Product Manufacturing [321]</t>
  </si>
  <si>
    <t>Sawmills and Wood Preservation [3211]</t>
  </si>
  <si>
    <t>Veneer, Plywood and Engineered Wood Product Manufacturing [3212]</t>
  </si>
  <si>
    <t>Other Wood Product Manufacturing [3219]</t>
  </si>
  <si>
    <t>Total, Veneer, Plywood and Engineered Wood Product Manufacturing [3212]</t>
  </si>
  <si>
    <t>Veneer and Plywood Mills [321211, 321212]</t>
  </si>
  <si>
    <t>Structural Wood Product Manufacturing [321215]</t>
  </si>
  <si>
    <t>Particle Board, Fibreboard, and Waferboard Mills [321216, 321217]</t>
  </si>
  <si>
    <t>Total, Other Wood Product Manufacturing [3219]</t>
  </si>
  <si>
    <t>Wood Window and Door Manufacturing [321911]</t>
  </si>
  <si>
    <t>Other Millwork [321919]</t>
  </si>
  <si>
    <t>1992-2000</t>
  </si>
  <si>
    <t>Total, Paper Manufacturing [322]</t>
  </si>
  <si>
    <t>Total, Pulp, Paper and Paperboard Mills [3221]</t>
  </si>
  <si>
    <t>Pulp Mills [32211]</t>
  </si>
  <si>
    <t>Paper Mills [32212]</t>
  </si>
  <si>
    <t>Paper (Except Newsprint) Mills [322121]</t>
  </si>
  <si>
    <t>Newsprint Mills [322122]</t>
  </si>
  <si>
    <t>Paperboard Mills [32213]</t>
  </si>
  <si>
    <t>Total, Converted Paper Product Manufacturing [3222]</t>
  </si>
  <si>
    <t>Paperboard Container Manufacturing [32221]</t>
  </si>
  <si>
    <t>Paper Bag and Coated and Treated Paper Manufacturing [32222]</t>
  </si>
  <si>
    <t>Total Machinery and Equipment</t>
  </si>
  <si>
    <t>Total Domestic and Imported</t>
  </si>
  <si>
    <t>Domestic</t>
  </si>
  <si>
    <t>Imported</t>
  </si>
  <si>
    <t>v41232130</t>
  </si>
  <si>
    <t>v41232131</t>
  </si>
  <si>
    <t>v41232132</t>
  </si>
  <si>
    <t>v41232136</t>
  </si>
  <si>
    <t>v41232137</t>
  </si>
  <si>
    <t>v41232138</t>
  </si>
  <si>
    <t>v41232190</t>
  </si>
  <si>
    <t>v41232191</t>
  </si>
  <si>
    <t>v41232192</t>
  </si>
  <si>
    <t>v41232193</t>
  </si>
  <si>
    <t>v41232194</t>
  </si>
  <si>
    <t>v41232195</t>
  </si>
  <si>
    <t xml:space="preserve">Price Indexes </t>
  </si>
  <si>
    <t>Table 15: Marginal Effective Tax Rate on Capital, Forestry, 1997-2008</t>
  </si>
  <si>
    <t>Source</t>
  </si>
  <si>
    <t>2012: Chen (2007)</t>
  </si>
  <si>
    <t>Rank</t>
  </si>
  <si>
    <t>Decline in METR on capital investment</t>
  </si>
  <si>
    <t>Source: Mintz and Chen (2006)</t>
  </si>
  <si>
    <t>Total Rate of Change</t>
  </si>
  <si>
    <t>Index 1997 = 100</t>
  </si>
  <si>
    <t>Note: Effective tax rates on capital investments incorporate corporate income taxes, sales taxes on capital purchases and other capital-related taxes including asset and net worth taxes, stamp duties on securities, taxes on contributions to equity. Property taxes are not included due to lack of data.</t>
  </si>
  <si>
    <t>Per cent</t>
  </si>
  <si>
    <t>Total Wood</t>
  </si>
  <si>
    <t>Logs and Bolts</t>
  </si>
  <si>
    <t>Pulpwood</t>
  </si>
  <si>
    <t>Hardwood</t>
  </si>
  <si>
    <t>Softwood</t>
  </si>
  <si>
    <t>Note: "x" indicates that data could not be relased for reasons of confidentiality</t>
  </si>
  <si>
    <t>Brazil</t>
  </si>
  <si>
    <t>Korea</t>
  </si>
  <si>
    <t>Suzano</t>
  </si>
  <si>
    <t>Louisiana-Pacific</t>
  </si>
  <si>
    <t>Catalyst</t>
  </si>
  <si>
    <t>Portucel</t>
  </si>
  <si>
    <t>Portugal</t>
  </si>
  <si>
    <t>Klabin</t>
  </si>
  <si>
    <t>Daiken</t>
  </si>
  <si>
    <t>Japan</t>
  </si>
  <si>
    <t>Thailand</t>
  </si>
  <si>
    <t>Taiwan</t>
  </si>
  <si>
    <t>China</t>
  </si>
  <si>
    <t>Tomoku</t>
  </si>
  <si>
    <t>Rayonier</t>
  </si>
  <si>
    <t>Billerud</t>
  </si>
  <si>
    <t>Sveaskog</t>
  </si>
  <si>
    <t>Chile</t>
  </si>
  <si>
    <t>Mexico</t>
  </si>
  <si>
    <t>Spain</t>
  </si>
  <si>
    <t>Austria</t>
  </si>
  <si>
    <t>Schweitzer-Mauduit</t>
  </si>
  <si>
    <t>Interfor</t>
  </si>
  <si>
    <t>India</t>
  </si>
  <si>
    <t>Kimberly-Clark</t>
  </si>
  <si>
    <t>Ireland</t>
  </si>
  <si>
    <t>MeadWestvaco</t>
  </si>
  <si>
    <t>PaperlinX</t>
  </si>
  <si>
    <t>Australia</t>
  </si>
  <si>
    <t>Sappi</t>
  </si>
  <si>
    <t>Sonoco</t>
  </si>
  <si>
    <t>Cascades</t>
  </si>
  <si>
    <t>Rengo</t>
  </si>
  <si>
    <t>CMPC</t>
  </si>
  <si>
    <t>Canfor</t>
  </si>
  <si>
    <t>Holmen</t>
  </si>
  <si>
    <t>Sodra</t>
  </si>
  <si>
    <t>Unicharm</t>
  </si>
  <si>
    <t>Ahlstrom</t>
  </si>
  <si>
    <t>Rock-Tenn</t>
  </si>
  <si>
    <t>Oji Paper</t>
  </si>
  <si>
    <t>International Paper</t>
  </si>
  <si>
    <t>Sales</t>
  </si>
  <si>
    <t>Net Income</t>
  </si>
  <si>
    <t>Sequana Capital</t>
  </si>
  <si>
    <t>Boise Cascade</t>
  </si>
  <si>
    <t>South Africa</t>
  </si>
  <si>
    <t>Norske Skog</t>
  </si>
  <si>
    <t>DS Smith</t>
  </si>
  <si>
    <t>Daio Paper</t>
  </si>
  <si>
    <t>West Fraser Timber</t>
  </si>
  <si>
    <t>Sonae Industria</t>
  </si>
  <si>
    <t>Universal Forest Products</t>
  </si>
  <si>
    <t>Mayr-Melnhof Karton</t>
  </si>
  <si>
    <t>Packaging Corp of America</t>
  </si>
  <si>
    <t>NewPage Corporation</t>
  </si>
  <si>
    <t>The Lecta Group</t>
  </si>
  <si>
    <t>Mitsubishi Paper</t>
  </si>
  <si>
    <t>Shandong Chenming</t>
  </si>
  <si>
    <t>Kimberly-Clark Mexico</t>
  </si>
  <si>
    <t>Siam Pulp &amp; Paper</t>
  </si>
  <si>
    <t>Yuen Foong Yu Paper</t>
  </si>
  <si>
    <t>Hokuetsu Paper</t>
  </si>
  <si>
    <t>Wausau-Mosinee Paper</t>
  </si>
  <si>
    <t>P H Glatfelter</t>
  </si>
  <si>
    <t>Kinnevik (Korsnas)</t>
  </si>
  <si>
    <t>Cheng Loong</t>
  </si>
  <si>
    <t>Mercer International</t>
  </si>
  <si>
    <t>Chuetsu Pulp &amp; Paper</t>
  </si>
  <si>
    <t>Western Forest Products</t>
  </si>
  <si>
    <t>Buckeye Technologies</t>
  </si>
  <si>
    <t>The Pack</t>
  </si>
  <si>
    <r>
      <t>Company Name</t>
    </r>
    <r>
      <rPr>
        <b/>
        <vertAlign val="superscript"/>
        <sz val="11"/>
        <color theme="1"/>
        <rFont val="Calibri"/>
        <family val="2"/>
        <scheme val="minor"/>
      </rPr>
      <t>1</t>
    </r>
  </si>
  <si>
    <t>(millions of current $US)</t>
  </si>
  <si>
    <t>2. Return on Capital Employed is calculated as net income before unusual items, minority interest, and interest expense, on an after tax basis, divided by average total assets less average non-interest bearing current liabilities.</t>
  </si>
  <si>
    <t>Other Notes:</t>
  </si>
  <si>
    <t>The PwC Top 100 results include only comparnies whose forest paper and fibre packaging products business comprise more than 50% of total sales.</t>
  </si>
  <si>
    <t xml:space="preserve">Foreign exchange fluctuations can have a significant impact on the data presented. The PwC survey directly adopted the results of companies that report in US dollars; otherwise, PwC translated income statement. </t>
  </si>
  <si>
    <t>Capital Intensity</t>
  </si>
  <si>
    <t>Less than Post-Secondary Certificate or Diploma</t>
  </si>
  <si>
    <t>Post-Secondary Certificate, Diploma, or Degree</t>
  </si>
  <si>
    <t>Figure for "total business enterprise research and development intramural expenditures" assumed to equal figure for "total business enterprise research and development current expenditures" plus $1 million for capital expenditures.</t>
  </si>
  <si>
    <t>All Industries</t>
  </si>
  <si>
    <t>Wood and Paper</t>
  </si>
  <si>
    <t>Canadian Direct Investment Abroad</t>
  </si>
  <si>
    <t>Foreign Direct Investment in Canada</t>
  </si>
  <si>
    <t>1983-1989</t>
  </si>
  <si>
    <t>Aggregate Wood Products and Paper Manufacturing</t>
  </si>
  <si>
    <t>Old SIC Series</t>
  </si>
  <si>
    <t>New NAICS Series</t>
  </si>
  <si>
    <t>SIC Series Statistics Canada, CANSIM Table 376-0038</t>
  </si>
  <si>
    <t>NAICS Series Statistics Canada CANSIM Table 376-0052, aggregate for the wood products and paper manufacturing subsectors was constructed prior to 1999 using the rate of growth from the SIC series</t>
  </si>
  <si>
    <t>Belgium</t>
  </si>
  <si>
    <t>Czech Republic</t>
  </si>
  <si>
    <t>Denmark</t>
  </si>
  <si>
    <t>Netherlands</t>
  </si>
  <si>
    <t>Poland</t>
  </si>
  <si>
    <t>1987</t>
  </si>
  <si>
    <t>1988</t>
  </si>
  <si>
    <t>1989</t>
  </si>
  <si>
    <t>1990</t>
  </si>
  <si>
    <t>1991</t>
  </si>
  <si>
    <t>1992</t>
  </si>
  <si>
    <t>1993</t>
  </si>
  <si>
    <t>1994</t>
  </si>
  <si>
    <t>1995</t>
  </si>
  <si>
    <t>1996</t>
  </si>
  <si>
    <t>1997</t>
  </si>
  <si>
    <t>1998</t>
  </si>
  <si>
    <t>1999</t>
  </si>
  <si>
    <t>2000</t>
  </si>
  <si>
    <t>2001</t>
  </si>
  <si>
    <t>2002</t>
  </si>
  <si>
    <t>2003</t>
  </si>
  <si>
    <t>2004</t>
  </si>
  <si>
    <t>Note: Geometric depreciation</t>
  </si>
  <si>
    <t>Annual Averages</t>
  </si>
  <si>
    <t>v91308 Canada; Total machinery and equipment; Total domestic and imported *Terminated*</t>
  </si>
  <si>
    <t>v91309 Canada; Total machinery and equipment; Domestic *Terminated*</t>
  </si>
  <si>
    <t>v91337 Canada; Total machinery and equipment; Imported *Terminated*</t>
  </si>
  <si>
    <t>v91338 Canada; Forestry; Total domestic and imported *Terminated*</t>
  </si>
  <si>
    <t>v91339 Canada; Forestry; Domestic *Terminated*</t>
  </si>
  <si>
    <t>v91340 Canada; Forestry; Imported *Terminated*</t>
  </si>
  <si>
    <t>v91349 Canada; Wood products; Total domestic and imported *Terminated*</t>
  </si>
  <si>
    <t>v91350 Canada; Wood products; Domestic *Terminated*</t>
  </si>
  <si>
    <t>v91351 Canada; Wood products; Imported *Terminated*</t>
  </si>
  <si>
    <t>v91355 Canada; Paper and allied products; Total domestic and imported *Terminated*</t>
  </si>
  <si>
    <t>v91356 Canada; Paper and allied products; Domestic *Terminated*</t>
  </si>
  <si>
    <t>v91357 Canada; Paper and allied products; Imported *Terminated*</t>
  </si>
  <si>
    <t>(Index 1986 = 100)</t>
  </si>
  <si>
    <t>1997-2007 Calculated by CSLS from Statistics Canada CANSIM Table 327-0042. Arithmetic mean of quarterly data.</t>
  </si>
  <si>
    <t>1971-1996 Calculated by CSLS from Statistics Canada Table 327-0016.  Arithmetic mean of quarterly data. Growth rates from this series were used to extend the series from CANSIM Table 327-0042 back to 1971. These series should be viewed as indicative only.</t>
  </si>
  <si>
    <t>Wood and Products of Wood and Cork</t>
  </si>
  <si>
    <t>Paper and Paper Products</t>
  </si>
  <si>
    <t>Average 1989-1999</t>
  </si>
  <si>
    <t>Source: Chen and Mintz (2008a)</t>
  </si>
  <si>
    <t>New Zealand</t>
  </si>
  <si>
    <t>1989-2007</t>
  </si>
  <si>
    <t>Source: Appendix Tables 3 and 4</t>
  </si>
  <si>
    <t>Note: Total hours worked divided by total number of jobs divided by 52 weeks.</t>
  </si>
  <si>
    <t>Note: Total compensation for all jobs. Shares for 2005 and 2006 are assumed to equal 2004 share</t>
  </si>
  <si>
    <t>Average Capital Share</t>
  </si>
  <si>
    <t>1. Capital and labour share for 2000-2006 are assumed to be equal to share in 2000-2004, because data were not available on share for years after 2004, due to the lack of current dollar GDP data or constant dollar compensation data.</t>
  </si>
  <si>
    <t>Contribution to Labour Productivity Growth</t>
  </si>
  <si>
    <t>Source: Tables 5, 8d, and 8e.</t>
  </si>
  <si>
    <t>Table 9d: Multifactor Productivity, Paper Manufacturing, Canada, 1981-2006</t>
  </si>
  <si>
    <t>Multifactor Productivity (CSLS Calculations)</t>
  </si>
  <si>
    <t>Table 11e: Educational Attainment of Workers, Forest Products Sector, Canada, per cent, 1990-2007</t>
  </si>
  <si>
    <t>Source: Appendix Tables 1b, 12a, 12b, 12c, and 12d.</t>
  </si>
  <si>
    <t>Table 15a: Marginal Effective Tax Rate on Capital Investment in Canada, per cent, 2008</t>
  </si>
  <si>
    <t>Table 15c: Marginal Effective Tax Rate on Capital, Manufacturing, Canada, by Province, 1997-2006</t>
  </si>
  <si>
    <t>Table 15b: Marginal Effective Tax Rate on Manufacturing Capital, Manufacturing, Selected OECD Countries, 2007</t>
  </si>
  <si>
    <t>Financial Performance of Forest Products Companies</t>
  </si>
  <si>
    <t>Foreign Direct Investment</t>
  </si>
  <si>
    <t>Source: Appendix Tables 1, 1a, 5, 5d, and 4</t>
  </si>
  <si>
    <t>Industrial Aggregate Excluding Unclassified</t>
  </si>
  <si>
    <t>Logging [1133]</t>
  </si>
  <si>
    <t>Support Activities for Forestry [1153]</t>
  </si>
  <si>
    <t>Pulp, Paper and Paperboard mills [3221]</t>
  </si>
  <si>
    <t>v1802965</t>
  </si>
  <si>
    <t>v1802968</t>
  </si>
  <si>
    <t>v1802969</t>
  </si>
  <si>
    <t>v1802970</t>
  </si>
  <si>
    <t>v1803010</t>
  </si>
  <si>
    <t>v1803011</t>
  </si>
  <si>
    <t>v1803013</t>
  </si>
  <si>
    <t>v1803014</t>
  </si>
  <si>
    <t>v1803015</t>
  </si>
  <si>
    <t>v1803016</t>
  </si>
  <si>
    <t>1991-2000</t>
  </si>
  <si>
    <t>Source: Statistics Canada, Survey of Employment, Payroll, and Hours (SEPH) CANSIM Table 281-0033</t>
  </si>
  <si>
    <t>v1697106</t>
  </si>
  <si>
    <t>v1697648</t>
  </si>
  <si>
    <t>v1698160</t>
  </si>
  <si>
    <t>v1717388</t>
  </si>
  <si>
    <t>v1717389</t>
  </si>
  <si>
    <t>v1717390</t>
  </si>
  <si>
    <t>v1717391</t>
  </si>
  <si>
    <t>v1718924</t>
  </si>
  <si>
    <t>v1718925</t>
  </si>
  <si>
    <t>v1718926</t>
  </si>
  <si>
    <t>v1718927</t>
  </si>
  <si>
    <t>v42141713</t>
  </si>
  <si>
    <t>All Employees</t>
  </si>
  <si>
    <t>Forestry, Logging and Support</t>
  </si>
  <si>
    <t>Salaried Employees Paid a Fixed Salary</t>
  </si>
  <si>
    <t>Employees paid by the hour</t>
  </si>
  <si>
    <t>Employees Paid by the Hour</t>
  </si>
  <si>
    <t>Source: Statistics Canada, Survey of Employment, Payroll, and Hours (SEPH) CANSIM Table 281-0024</t>
  </si>
  <si>
    <t>v1713364</t>
  </si>
  <si>
    <t>v1713623</t>
  </si>
  <si>
    <t>v1713853</t>
  </si>
  <si>
    <t>v1714117</t>
  </si>
  <si>
    <t>v1717434</t>
  </si>
  <si>
    <t>v1717435</t>
  </si>
  <si>
    <t>v1717436</t>
  </si>
  <si>
    <t>v1717437</t>
  </si>
  <si>
    <t>v1718970</t>
  </si>
  <si>
    <t>v1718971</t>
  </si>
  <si>
    <t>v1718972</t>
  </si>
  <si>
    <t>v1718973</t>
  </si>
  <si>
    <t xml:space="preserve"> All Employees</t>
  </si>
  <si>
    <t>v1713203</t>
  </si>
  <si>
    <t>v1713204</t>
  </si>
  <si>
    <t>v1713205</t>
  </si>
  <si>
    <t>v1717431</t>
  </si>
  <si>
    <t>v1717432</t>
  </si>
  <si>
    <t>v1718967</t>
  </si>
  <si>
    <t>v1718968</t>
  </si>
  <si>
    <t>v1801429</t>
  </si>
  <si>
    <t>v1801431</t>
  </si>
  <si>
    <t>v1801432</t>
  </si>
  <si>
    <t xml:space="preserve">v1801433 </t>
  </si>
  <si>
    <t>v1801434</t>
  </si>
  <si>
    <t>v1801474</t>
  </si>
  <si>
    <t>v1801475</t>
  </si>
  <si>
    <t>v1801477</t>
  </si>
  <si>
    <t>v1801478</t>
  </si>
  <si>
    <t>v1801479</t>
  </si>
  <si>
    <t>v1801480</t>
  </si>
  <si>
    <t>Source: Statistics Canada, Survey of Employment, Payroll, and Hours (SEPH) CANSIM Table 281-0038</t>
  </si>
  <si>
    <t>Total, Forestry, Logging and Support</t>
  </si>
  <si>
    <t xml:space="preserve">Paper Manufacturing </t>
  </si>
  <si>
    <t>Total, Forestry and Logging [113]</t>
  </si>
  <si>
    <t>Source: Calculated by CSLS from Statistics Canada Survey of Employment Payroll and Hours, see Appendix Tables 3d, 3e, and 3f.</t>
  </si>
  <si>
    <t>Other Employees</t>
  </si>
  <si>
    <t>Note: "Other employees" is calculated by substracting "salaried employees" and "employees paid by the hour" from "all employees." "Other employees" includes employees whose basic remuneration is in the form of commissions, piece rates, mileage allowances, etc.</t>
  </si>
  <si>
    <t>Salaried Employees</t>
  </si>
  <si>
    <t>All Employees (less Other Employees)</t>
  </si>
  <si>
    <t xml:space="preserve">Source: Calculated from Appendix Tables 3e, 3f, 3g, 4e, and 4f. </t>
  </si>
  <si>
    <t>LFS</t>
  </si>
  <si>
    <t>1. Beginning in 2004, the Annual Survey of Manufactures and Logging (ASML) replaces the Annual Survey of Manufactures and the Annual Survey of Forestry. While the ASML covers the same target population as its predecessors, this new survey ushers in a number of conceptual and methodological changes intended to reduce response burden, enhance data quality and streamline survey operations. Two changes have the greatest impact on the comparability of the principal statistics series for manufacturing published in CANSIM tables 301-0003 and 301-0006: some redefinition of the survey content and a change in the coverage for published statistics.</t>
  </si>
  <si>
    <t>2. Financial variables in the Annual Survey of Manufactures and Logging (ASML) survey are defined to adhere to the Statistics Canada Chart of Accounts (COA) classification. The COA is a standard classification based on generally accepted accounting principles. It was developed for reporting information on financial position and performance. As a result, some variables in the ASML are defined differently from those collected in past surveys for manufacturing and new variables have been added. These changes are reflected in a new list of published principal statistics for manufacturing. Of the variables in this list that were published previously, only two are not strictly comparable: the cost of energy and water utility and the cost of materials and supplies. For more details, refer to the notes on the affected variables in CANSIM table 301-0006.</t>
  </si>
  <si>
    <t>3. Beginning with reference year 2004, the principal statistics published for manufacturing cover the activities of all businesses classified as manufacturers in Canada. These data series are not strictly comparable with manufacturing principal statistics published in CANSIM table 301-0003 which cover the activities of businesses with annual sales greater than or equal to $30,000. However, sales of goods manufactured in CANSIM table 301-0006 can be compared with total sales of manufactured goods published previously in CANSIM table 301-0005 for same levels of industry and geography detail.</t>
  </si>
  <si>
    <t>5. For more information or to enquire about concepts, methods or data quality, contact the Dissemination and Frame Services Section, Manufacturing and Energy Division at 613-951-9497, toll free 1-866-873-8789, fax 613-951-9499 or e-mail: manufact@statcan.gc.ca.</t>
  </si>
  <si>
    <t>11. For data prior to 2004, see CANSIM tables 301-0003 and 301-0005.</t>
  </si>
  <si>
    <t>Footnotes to Statistics Canada Table</t>
  </si>
  <si>
    <t>Total revenue (Dollars)</t>
  </si>
  <si>
    <t>Total salaries and wages, direct and indirect labour (Dollars)</t>
  </si>
  <si>
    <t>Total number of employees, direct and indirect labour (Persons)</t>
  </si>
  <si>
    <t>Total expenses (Dollars)</t>
  </si>
  <si>
    <t>Total cost of energy, water utility and vehicle fuel (Dollars)</t>
  </si>
  <si>
    <t>v32865366</t>
  </si>
  <si>
    <t>v32871131</t>
  </si>
  <si>
    <t>v32919832</t>
  </si>
  <si>
    <t>v41553518</t>
  </si>
  <si>
    <t>v41554067</t>
  </si>
  <si>
    <t>v41554724</t>
  </si>
  <si>
    <t>Manufacturing value added (Dollars)</t>
  </si>
  <si>
    <t>Number of establishments (Number)</t>
  </si>
  <si>
    <t>v41552969</t>
  </si>
  <si>
    <t>Number of establishments (Establishments)</t>
  </si>
  <si>
    <t>Cost of fuel and electricity (Dollars)</t>
  </si>
  <si>
    <t xml:space="preserve"> Total employees (Persons)</t>
  </si>
  <si>
    <t>Total salaries and wages (Dollars)</t>
  </si>
  <si>
    <t>Total value added (Dollars)</t>
  </si>
  <si>
    <t>v765691</t>
  </si>
  <si>
    <t>v765759</t>
  </si>
  <si>
    <t>v765810</t>
  </si>
  <si>
    <t>v765861</t>
  </si>
  <si>
    <t>v765878</t>
  </si>
  <si>
    <t>v765929</t>
  </si>
  <si>
    <t>Number of Establishments</t>
  </si>
  <si>
    <r>
      <t xml:space="preserve">Value-Added per Establishment </t>
    </r>
    <r>
      <rPr>
        <sz val="11"/>
        <color theme="1"/>
        <rFont val="Calibri"/>
        <family val="2"/>
        <scheme val="minor"/>
      </rPr>
      <t>(millions of current dollars)</t>
    </r>
  </si>
  <si>
    <t>Number of Employees per Establishment</t>
  </si>
  <si>
    <t>1990-2003: Statistics Canada Annual Survey of Manufactures CANSIM Table 301-0003</t>
  </si>
  <si>
    <t>Total employees (Persons)</t>
  </si>
  <si>
    <t>v766276</t>
  </si>
  <si>
    <t>v766395</t>
  </si>
  <si>
    <t>v766446</t>
  </si>
  <si>
    <t>v766531</t>
  </si>
  <si>
    <t>v766538</t>
  </si>
  <si>
    <t>v766541</t>
  </si>
  <si>
    <t>v766666</t>
  </si>
  <si>
    <t>v766673</t>
  </si>
  <si>
    <t>v766676</t>
  </si>
  <si>
    <t>v32919041</t>
  </si>
  <si>
    <t>v32919053</t>
  </si>
  <si>
    <t>v32919845</t>
  </si>
  <si>
    <t>v41552995</t>
  </si>
  <si>
    <t>v41552996</t>
  </si>
  <si>
    <t>v41553006</t>
  </si>
  <si>
    <t>v41554750</t>
  </si>
  <si>
    <t>v41554751</t>
  </si>
  <si>
    <t>v41554761</t>
  </si>
  <si>
    <t>v41339407</t>
  </si>
  <si>
    <t>v41339450</t>
  </si>
  <si>
    <t>v41339493</t>
  </si>
  <si>
    <t>v41339659</t>
  </si>
  <si>
    <t>v41886119</t>
  </si>
  <si>
    <t>v41886162</t>
  </si>
  <si>
    <t>v41886205</t>
  </si>
  <si>
    <t>v41886248</t>
  </si>
  <si>
    <t>Cost of materials and supplies (Dollars)</t>
  </si>
  <si>
    <t>Value added (Dollars)</t>
  </si>
  <si>
    <t xml:space="preserve">Revenue from logging activities (Dollars) </t>
  </si>
  <si>
    <t>5. This variable covers sales of logs and wood residue, sales of goods manufactured as well as revenue from stumpage sales, repair work, custom work and other sales. These revenue categories were covered by the shipments variable for logging published in CANSIM table 301-0004 (terminated). However, shipments also included a small amount of revenue that may be reported in the category "other revenue" on the new Annual Survey of Manufactures and Logging questionnaire.</t>
  </si>
  <si>
    <t xml:space="preserve">Cost of energy and water utility (Dollars) </t>
  </si>
  <si>
    <t>6. Unlike the cost of fuel and electricity variable published in CANSIM table 301-0004, the cost of energy and water utility variable now excludes vehicle fuel expenses.</t>
  </si>
  <si>
    <t xml:space="preserve">Cost of materials and supplies (Dollars) </t>
  </si>
  <si>
    <t>7. This variable comprises outlays for raw materials, containers and packaging, amount paid out to independent contractors and stumpage fees as well as repair and maintenance expenses. Repair and maintenance expenses cover the cost of the supplies used to operate, repair and maintain buildings and equipment as well as the cost of purchased repair and maintenance services. In the data published up to and including 2003 (CANSIM table 301-0004), cost of materials and supplies excluded purchased repair and maintenance services as well as operating repair and maintenance supplies such as food, tools, commissary or van supplies and camp supplies.</t>
  </si>
  <si>
    <t xml:space="preserve">Number of establishments (Number) </t>
  </si>
  <si>
    <t>10. This variable represents a count of logging locations and is comparable in concept with the variable number of establishments previously published in CANSIM table 301-0004. The count excludes locations which support logging activities (for example, head offices, administrative services).</t>
  </si>
  <si>
    <t xml:space="preserve">Total cost of energy, water utility and vehicle fuel (Dollars) </t>
  </si>
  <si>
    <t>9. This variable represents the sum of cost of vehicle fuel and cost of energy and water utility variables. It can be compared with the cost of fuel and electricity variable previously published in CANSIM table 301-0004.</t>
  </si>
  <si>
    <t xml:space="preserve">Cost of vehicle fuel (Dollars) </t>
  </si>
  <si>
    <t>8. This variable represents expenses for purchased vehicle fuels. It was first collected for reference year 2004.</t>
  </si>
  <si>
    <t>1. Beginning in 2004, the Annual Survey of Manufactures and Logging (ASML) replaces the Annual Survey of Manufactures and the Annual Survey of Forestry. While the ASML covers the same target population as its predecessors, this new survey ushers in a number of conceptual and methodological changes intended to reduce response burden, enhance data quality and streamline survey operations. Two changes have the greatest impact on the comparability of the principal statistics series for logging published in CANSIM table 301-0004 (terminated) and 301-0007: Some redefinition of the survey content and a change in the coverage for published statistics.</t>
  </si>
  <si>
    <t>2. Financial variables in the Annual Survey of Manufactures and Logging (ASML) survey are defined to adhere to the Statistics Canada Chart of Accounts (COA) classification. The COA is a standard classification based on generally accepted accounting principles. It was developed for reporting information on financial position and performance. As a result, some variables in the ASML are defined differently from those collected in past logging surveys and new variables have been added. These changes are reflected in a new list of published principal statistics for logging. Of the variables in this list that were published previously, only three are not strictly comparable: the cost of energy and water utility, the cost of materials and supplies and revenue from logging activities (formerly published as shipments in CANSIM table 301-0004). For more details, refer to the notes on the affected variables in CANSIM table 301-0007.</t>
  </si>
  <si>
    <t>3. Beginning with reference year 2004, the principal statistics published for logging cover the activities of all businesses classified as loggers in Canada. These data series are not strictly comparable with logging principal statistics published in CANSIM table 301-0004 which cover the activities of businesses with annual logging shipments greater than or equal to $30,000.</t>
  </si>
  <si>
    <t>4. For more information or to enquire about concepts, methods or data quality, contact the Dissemination and Frame Services Section, Manufacturing and Energy Division at 613-951-9497, toll free 1-866-873-8789, fax 613-951-9499 or e-mail: manufact@statcan.gc.ca.</t>
  </si>
  <si>
    <t>11. For data prior to 2004, see CANSIM table 301-0004.</t>
  </si>
  <si>
    <t>v1408941</t>
  </si>
  <si>
    <t>v1408945</t>
  </si>
  <si>
    <t>v1408946</t>
  </si>
  <si>
    <t>v1408948</t>
  </si>
  <si>
    <t>v1408951</t>
  </si>
  <si>
    <t>v1408952</t>
  </si>
  <si>
    <t>v1408953</t>
  </si>
  <si>
    <t>v1408955</t>
  </si>
  <si>
    <t>Cost of materials, supplies and goods for resale (Dollars)</t>
  </si>
  <si>
    <t xml:space="preserve"> Total salaries and wages (Dollars)</t>
  </si>
  <si>
    <t>Total number of establishments (Establishments)</t>
  </si>
  <si>
    <t>1990-2003: Statistics Canada Annual Survey of Forestry, CANSIM Table 301-0004</t>
  </si>
  <si>
    <t>3010004 - Logging industries, by North American Industry Classification System (NAICS)</t>
  </si>
  <si>
    <t>1. A number of changes have been made to the Annual Survey of Forestry that may influence the continuity of the series in a limited way. Beginning with reference year 2000, Statistics Canada's Business Register (BR), a central listing of all businesses operating in Canada, has been used to identify in-scope businesses for the forestry survey. In addition, the coverage of the Annual Survey of Forestry was expanded from businesses with logging shipments of greater than or equal to $30,000 to all logging businesses in Canada. Since these changes would have resolved any under-coverage in the logging estimates prior to 2000, they may have partially contributed to the changes observed in principal statistics for logging between 1999 and 2000. However, published statistics for logging continue to cover only businesses with logging shipments of greater than or equal to $30,000.</t>
  </si>
  <si>
    <t>2. Beginning with reference year 2000, data for the Head Offices of manufacturers are no longer included in the survey estimates. This affects the following variables: non-production employees, salaries, total employees, total salaries and wages, cost of materials, supplies and goods for resale, shipments and other revenue, and total value added. In 1999, Head Office activity in logging accounted for less than 1% of the employees of Canadian logging operations; and about 4% of the total shipments and other revenue.</t>
  </si>
  <si>
    <t>3. For more information, or to enquire about the concepts, methods or data quality, contact the Marketing and Dissemination Section, Manufacturing, Construction and Energy Division (613) 951-9497, toll-free 1 866 873-8789, fax (613) 951-9499, e-mail: manufact@statcan.ca.</t>
  </si>
  <si>
    <t>4. For data from 2004 onwards, see CANSIM table 301-0007.</t>
  </si>
  <si>
    <t>Footnotes:</t>
  </si>
  <si>
    <t>3010006 - Principal statistics for manufacturing industries, by North American Industry Classification System (NAICS)</t>
  </si>
  <si>
    <t>6. Unlike the cost of fuel and electricity variable published in CANSIM table 301-0003 which included vehicle fuel expenses the cost of energy and water utility now excludes vehicle fuel expenses.</t>
  </si>
  <si>
    <t>7. In CANSIM table 301-0003, the cost of materials and supplies comprised outlays for raw materials, containers and packaging and work sub-contracted to another business. Starting with reference year 2004, this variable also includes repair and maintenance expenses, which cover the cost of the supplies used to operate, repair and maintain buildings and equipment as well as the cost of purchased repair and maintenance services.</t>
  </si>
  <si>
    <t>10. The number of establishments represents a count of locations which perform manufacturing activities and normally corresponds to a plant, factory or mill. This variable is comparable in concept with the variable number of establishments previously published in CANSIM table 301-0003. It excludes sales offices and warehouses which support manufacturing activities.</t>
  </si>
  <si>
    <t>9. The total cost of energy, water utility and vehicle fuel represents the sum of cost of vehicle fuel and cost of energy and water utility. It can be compared with the Cost of fuel and electricity variable previously published in CANSIM table 301-0003.</t>
  </si>
  <si>
    <t>8. The cost of vehicle fuel represents expenses for purchased vehicle fuels. It was first collected as a separate variable for reference year 2004.</t>
  </si>
  <si>
    <t>3010003 - Annual survey of manufactures (ASM), principal statistics by North American Industry Classification System (NAICS), incorporated businesses with employees having sales of manufactured goods greater than or equal to $30,000</t>
  </si>
  <si>
    <t>1. A number of major conceptual and methodological changes were made to the Annual Survey of Manufactures (ASM) for reference year 2000. The following two changes accounted for just under half of the 15% increase in manufacturing shipments for Canada between 1999 and 2000. These changes included: the use of the Statistics Canada's Business Register (BR) to identify in-scope businesses for the ASM and the expansion in the coverage of the ASM to include all manufacturing activity in Canada.</t>
  </si>
  <si>
    <t>2. The Business Register (BR) is a central listing of all businesses operating in Canada. This tool identified approximately 25,000 incorporated businesses with employees having sales of manufactured goods greater than or equal to $30,000 in manufactured goods that were missing from the Annual Survey of Manufactures (ASM) survey coverage prior to reference year 2000. Since most of these units were relatively small, they accounted for only about 5% of total manufacturing shipments for Canada in 2000. The impact of incorporating these missing units into the ASM varied by industry and province.</t>
  </si>
  <si>
    <t>3. Beginning with reference year 2000, the Annual Survey of Manufactures (ASM) survey coverage increased by an additional 35,000 units to include all incorporated businesses with sales of less than $30,000 in manufactured goods and all unincorporated manufacturers. In 2000, these additional units contributed about 2% to total manufacturing shipments for Canada. The impact of incorporating these additional units into the ASM varied by industry and province.</t>
  </si>
  <si>
    <t>4. Beginning with reference year 2000, data for the Head Offices of manufacturers are no longer included which affects the following variables: administration employees, salaries, total employees, salaries and wages, cost of materials, supplies and goods for resale, value of shipments, and other revenue and total value added. In 1999, Head Office activity accounted for about 3% of the employees of Canadian manufacturers; and about 7% of the total value of shipments and other revenue.</t>
  </si>
  <si>
    <t>6. CANSIM Table 301-0005 provides sales of manufactured goods for incorporated manufacturing businesses that have employees and have sales of manufactured goods greater than or equal to $30,000 as well as for all other manufacturing businesses.</t>
  </si>
  <si>
    <t>9. Prior to 2002, total salaries and wages for tax records were allocated to production workers only. The number of production workers for tax records was calculated by dividing total salaries and wages by the average wage for production workers observed in the data from survey respondents.</t>
  </si>
  <si>
    <t>10. Beginning in 2002, total salaries and wages for tax records are allocated between non-production (total salaries) and production workers (total wages) based on the distribution observed in the data from survey respondents. The number of non-production and production workers are calculated by dividing total salaries and total wages, respectively by the average salaries and average wages observed in the data from survey respondents. This change in methodology will dampen increases in production employment and wages between 2001 and 2002 and enhance increases in non-production employment and salaries over the same period. This change limits the comparability of distributions of total employment and total wages and salaries across production and non-production workers. The impact of this change will vary across manufacturing industries depending on the share of tax records in each industry.</t>
  </si>
  <si>
    <t>11. For more information, or to enquire about the concepts, methods or data quality, contact the Marketing and Dissemination Section, Manufacturing, Construction and Energy Division (613) 951-9497, toll-free 1 866 873-8789, fax (613) 951-9499, e-mail: manufact@statcan.ca.</t>
  </si>
  <si>
    <t>12. For data from 2004 onwards, see CANSIM table 301-0006.</t>
  </si>
  <si>
    <t>Stationery product manufacturing [32223]</t>
  </si>
  <si>
    <t>Other converted paper product manufacturing [32229]</t>
  </si>
  <si>
    <t>v766546</t>
  </si>
  <si>
    <t>v766591</t>
  </si>
  <si>
    <t>v766606</t>
  </si>
  <si>
    <t>v766621</t>
  </si>
  <si>
    <t>v766636</t>
  </si>
  <si>
    <t>v766681</t>
  </si>
  <si>
    <t>v766741</t>
  </si>
  <si>
    <t>v766771</t>
  </si>
  <si>
    <t>v766801</t>
  </si>
  <si>
    <t>v41552997</t>
  </si>
  <si>
    <t>v41553000</t>
  </si>
  <si>
    <t>v41553001</t>
  </si>
  <si>
    <t>v41553002</t>
  </si>
  <si>
    <t>v41553004</t>
  </si>
  <si>
    <t>v41553007</t>
  </si>
  <si>
    <t>v41553011</t>
  </si>
  <si>
    <t>v41553013</t>
  </si>
  <si>
    <t>v41553016</t>
  </si>
  <si>
    <t>Total, Paper Mills [32212]</t>
  </si>
  <si>
    <t>Note: Due to changes in survey design and coverage, a solid line indicates a break. Series before and after a break are not directly comparable.</t>
  </si>
  <si>
    <t xml:space="preserve"> Canada; Total number of jobs (Jobs); Total economy, special aggregation *Terminated*</t>
  </si>
  <si>
    <t xml:space="preserve"> Canada; Total number of jobs (Jobs); Wood industries, M-level aggregation [25] *Terminated*</t>
  </si>
  <si>
    <t xml:space="preserve"> Canada; Total number of jobs (Jobs); Paper and allied products industries, M-level aggregation [27] *Terminated*</t>
  </si>
  <si>
    <t xml:space="preserve"> Canada; Total number of jobs (Jobs); Logging and forestry industries, M-level aggregation [C] *Terminated*</t>
  </si>
  <si>
    <t>v716374</t>
  </si>
  <si>
    <t>v716410</t>
  </si>
  <si>
    <t>v716412</t>
  </si>
  <si>
    <t>v716424</t>
  </si>
  <si>
    <t>Forest Products Sector, total number of jobs</t>
  </si>
  <si>
    <t>Series were extended from 2006 to 2007 using growth rates from the corresponding series from the Labour Force Survey contained in Appendix Table 4c.</t>
  </si>
  <si>
    <t>Note: Series were extended from 2006 to 2007 using growth rates from the corresponding series from the Labour Force Survey contained in Appendix Table 4c.</t>
  </si>
  <si>
    <t>Source: Appendix Tables 11a, 11b, 11c, and 11d.</t>
  </si>
  <si>
    <t>1989-2004</t>
  </si>
  <si>
    <t>Table 9: Multifactor Productivity, All Industries Total Economy, Canada, 1981-2007</t>
  </si>
  <si>
    <t>Table 9a: Multifactor Productivity, Forest Products Sector, Canada, 1981-2007</t>
  </si>
  <si>
    <t>Table 9b: Multifactor Productivity, Forestry and Logging, Canada, 1981-2007</t>
  </si>
  <si>
    <t>Table 9c: Multifactor Productivity, Wood Product Manufacturing, Canada, 1981-2007</t>
  </si>
  <si>
    <t>Note: With the exception of the estimate for "All Industries, Total Economy" 2007 estimates were constructed by extending the Canadian Productivity Accounts series using the growth rates from the corresponding series from the Labour Force Survey from Appendix Table 3b.</t>
  </si>
  <si>
    <t>Source: Statistics Canada Canadian Productivtiy Accounts CANSIM Table 383-0010/09 for 1997-2006. Series for the forest products sector were extended to 1961 using the growth rates from the corresponding series from the Canadian Productivity Accounts Industry KLEMS Database CANSIM Table 383-0022 for the years prior to 1997.  The series for "All Industries, Total Economy" was extended using growth rates from the corresponding series from the terminated CANSIM Table 383-0003.</t>
  </si>
  <si>
    <t>Source: Calculated by CSLS from Statistics Canada Canadian Productivity Accounts: CANSIM Table 383-0010/9 (all industries), CANSIM Table 383-0022 (forest products sector), and CANSIM Table 383-0003</t>
  </si>
  <si>
    <t>Source: Calculated by CSLS from Statistics Canada Canadian Productivity Accounts: CANSIM Table 383-0010/9 and 383-0022.  Forest Products Sector Series from Table 383-0010 were extended back (from 1996) using the growth rates from the corresponding series in Table 383-0022.  All industries, total economy, series was extended back (from 1996) using the growth rates from the corresponding series in Table 383-0003.</t>
  </si>
  <si>
    <t>Appendix Tables 1a and 25e</t>
  </si>
  <si>
    <t>Series may not be comparable between 1999 and 2000 and 2003 and 2004 due to changes in Statistics Canada surveys. See notes for Appendix Table 25e</t>
  </si>
  <si>
    <t>1990-1999</t>
  </si>
  <si>
    <t>2004-2006</t>
  </si>
  <si>
    <t>All Industries, Total Economy (as a Share of All Industries GDP)</t>
  </si>
  <si>
    <t>Average</t>
  </si>
  <si>
    <t>Arithmetic Mean</t>
  </si>
  <si>
    <t>v3871167</t>
  </si>
  <si>
    <t>v29510849</t>
  </si>
  <si>
    <t>v29510854</t>
  </si>
  <si>
    <t>v29510855</t>
  </si>
  <si>
    <t>Forestry, Logging and Support Activities</t>
  </si>
  <si>
    <t>1. This combines the North American Industry Classification System (NAICS) codes 113 and 1153.</t>
  </si>
  <si>
    <r>
      <t>Forestry, Logging and Support Activities</t>
    </r>
    <r>
      <rPr>
        <b/>
        <vertAlign val="superscript"/>
        <sz val="11"/>
        <color theme="1"/>
        <rFont val="Calibri"/>
        <family val="2"/>
        <scheme val="minor"/>
      </rPr>
      <t>1</t>
    </r>
  </si>
  <si>
    <t>v29793132</t>
  </si>
  <si>
    <t>v29793185</t>
  </si>
  <si>
    <t>v29793238</t>
  </si>
  <si>
    <t>v29793291</t>
  </si>
  <si>
    <t>v29793344</t>
  </si>
  <si>
    <t>v3859654</t>
  </si>
  <si>
    <t>Table 12c: Research and Development, Canada, Forestry, Logging and Support Activities for Forestry, 1994-2007</t>
  </si>
  <si>
    <t>Table 12b: Research and Development, Canada, Forest Products Sector, 1994-2007</t>
  </si>
  <si>
    <t>Source: Appendix Tables 1a and 10a</t>
  </si>
  <si>
    <t>Source: Appendix Tables 1a and 10i</t>
  </si>
  <si>
    <t>Mfg,</t>
  </si>
  <si>
    <t>Manufacutring</t>
  </si>
  <si>
    <t>Mfg.</t>
  </si>
  <si>
    <t>v15856871</t>
  </si>
  <si>
    <t>v717063</t>
  </si>
  <si>
    <t>v716841 Canada; Hours worked for all jobs (Hours); Manufacturing industries, S-level aggregation [E] *Terminated*</t>
  </si>
  <si>
    <t>v15856481 Canada; Total economy; Hours worked for all jobs (Hours); Manufacturing [31-33]</t>
  </si>
  <si>
    <t>Source: Statistics Canada CANSIM Table 383-0022</t>
  </si>
  <si>
    <t>v41712988</t>
  </si>
  <si>
    <t>Wood Product Manufacturing*</t>
  </si>
  <si>
    <t>Note: *Calculated as the arithmetic mean of the three components: lumber and timber, veneer and plywood, and other wood fabricated products.</t>
  </si>
  <si>
    <t>v4268292</t>
  </si>
  <si>
    <t>v4268355</t>
  </si>
  <si>
    <t>v4268418</t>
  </si>
  <si>
    <t>v4268481</t>
  </si>
  <si>
    <t>v4268544</t>
  </si>
  <si>
    <t>v4268607</t>
  </si>
  <si>
    <t>v4268670</t>
  </si>
  <si>
    <t>v4268733</t>
  </si>
  <si>
    <t>v4268796</t>
  </si>
  <si>
    <t>v4268859</t>
  </si>
  <si>
    <t>v4268922</t>
  </si>
  <si>
    <t>All Sizes</t>
  </si>
  <si>
    <t>Number of Employees</t>
  </si>
  <si>
    <t>0 to 4</t>
  </si>
  <si>
    <t>5 to 19</t>
  </si>
  <si>
    <t>20 to 49</t>
  </si>
  <si>
    <t>50 to 99</t>
  </si>
  <si>
    <t>100 to 299</t>
  </si>
  <si>
    <t>300 to 499</t>
  </si>
  <si>
    <t>500 and more</t>
  </si>
  <si>
    <t>0 to 49</t>
  </si>
  <si>
    <t>50 to 299</t>
  </si>
  <si>
    <t>300 and more</t>
  </si>
  <si>
    <t>Compound Annual Rate of Growth</t>
  </si>
  <si>
    <t>v229148</t>
  </si>
  <si>
    <t>v229247</t>
  </si>
  <si>
    <t>v229346</t>
  </si>
  <si>
    <t>v229445</t>
  </si>
  <si>
    <t>Wood and Wood products</t>
  </si>
  <si>
    <t>Wood and Paper Products</t>
  </si>
  <si>
    <t>Wood, Wood Products and Paper, integrated operations</t>
  </si>
  <si>
    <t xml:space="preserve"> Total all industries</t>
  </si>
  <si>
    <t>v228657</t>
  </si>
  <si>
    <t>Source: Statistics Canada CANSIM Table 180-0003 and 180-0001</t>
  </si>
  <si>
    <t>1989-03</t>
  </si>
  <si>
    <t>1989-06</t>
  </si>
  <si>
    <t>1989-09</t>
  </si>
  <si>
    <t>1989-12</t>
  </si>
  <si>
    <t>1990-03</t>
  </si>
  <si>
    <t>1990-06</t>
  </si>
  <si>
    <t>1990-09</t>
  </si>
  <si>
    <t>1990-12</t>
  </si>
  <si>
    <t>1991-03</t>
  </si>
  <si>
    <t>1991-06</t>
  </si>
  <si>
    <t>1991-09</t>
  </si>
  <si>
    <t>1991-12</t>
  </si>
  <si>
    <t>1992-03</t>
  </si>
  <si>
    <t>1992-06</t>
  </si>
  <si>
    <t>1992-09</t>
  </si>
  <si>
    <t>1992-12</t>
  </si>
  <si>
    <t>1993-03</t>
  </si>
  <si>
    <t>1993-06</t>
  </si>
  <si>
    <t>1993-09</t>
  </si>
  <si>
    <t>1993-12</t>
  </si>
  <si>
    <t>1994-03</t>
  </si>
  <si>
    <t>1994-06</t>
  </si>
  <si>
    <t>1994-09</t>
  </si>
  <si>
    <t>1994-12</t>
  </si>
  <si>
    <t>1995-03</t>
  </si>
  <si>
    <t>1995-06</t>
  </si>
  <si>
    <t>1995-09</t>
  </si>
  <si>
    <t>1995-12</t>
  </si>
  <si>
    <t>1996-03</t>
  </si>
  <si>
    <t>1996-06</t>
  </si>
  <si>
    <t>1996-09</t>
  </si>
  <si>
    <t>1996-12</t>
  </si>
  <si>
    <t>1997-03</t>
  </si>
  <si>
    <t>1997-09</t>
  </si>
  <si>
    <t>1997-12</t>
  </si>
  <si>
    <t>1998-03</t>
  </si>
  <si>
    <t>1998-06</t>
  </si>
  <si>
    <t>1998-09</t>
  </si>
  <si>
    <t>1998-12</t>
  </si>
  <si>
    <t>1999-03</t>
  </si>
  <si>
    <t>1999-06</t>
  </si>
  <si>
    <t>1999-09</t>
  </si>
  <si>
    <t>1999-12</t>
  </si>
  <si>
    <t>2000-03</t>
  </si>
  <si>
    <t>2000-06</t>
  </si>
  <si>
    <t>2000-09</t>
  </si>
  <si>
    <t>2000-12</t>
  </si>
  <si>
    <t>2001-03</t>
  </si>
  <si>
    <t>2001-06</t>
  </si>
  <si>
    <t>2001-09</t>
  </si>
  <si>
    <t>2001-12</t>
  </si>
  <si>
    <t>2002-03</t>
  </si>
  <si>
    <t>2002-06</t>
  </si>
  <si>
    <t>2002-09</t>
  </si>
  <si>
    <t>2002-12</t>
  </si>
  <si>
    <t>2003-03</t>
  </si>
  <si>
    <t>2003-06</t>
  </si>
  <si>
    <t>2003-09</t>
  </si>
  <si>
    <t>2003-12</t>
  </si>
  <si>
    <t>2004-03</t>
  </si>
  <si>
    <t>2004-06</t>
  </si>
  <si>
    <t>2004-09</t>
  </si>
  <si>
    <t>2004-12</t>
  </si>
  <si>
    <t>2005-03</t>
  </si>
  <si>
    <t>2005-06</t>
  </si>
  <si>
    <t>2005-09</t>
  </si>
  <si>
    <t>2005-12</t>
  </si>
  <si>
    <t>2006-03</t>
  </si>
  <si>
    <t>2006-06</t>
  </si>
  <si>
    <t>2006-09</t>
  </si>
  <si>
    <t>2006-12</t>
  </si>
  <si>
    <t>2007-03</t>
  </si>
  <si>
    <t>2007-06</t>
  </si>
  <si>
    <t>2007-09</t>
  </si>
  <si>
    <t>2007-12</t>
  </si>
  <si>
    <t>v81719</t>
  </si>
  <si>
    <t>USD buys X CAD</t>
  </si>
  <si>
    <t>CAD buys X USD</t>
  </si>
  <si>
    <t>Source: Statistics Canada CANSIM Table 387-0006</t>
  </si>
  <si>
    <t>Lumber</t>
  </si>
  <si>
    <t>Other wood fabricated materials</t>
  </si>
  <si>
    <t>Wood pulp and similar pulp</t>
  </si>
  <si>
    <t>Newsprint paper</t>
  </si>
  <si>
    <t>Other paper and paperboard</t>
  </si>
  <si>
    <t>Source: Statistics Canada CANSIM Table 228-0003</t>
  </si>
  <si>
    <t>Index, 2002=100</t>
  </si>
  <si>
    <t>Index, 1989=100</t>
  </si>
  <si>
    <t>A solid black line indicates a break in a series before and after which data are not directly comparable.</t>
  </si>
  <si>
    <t>Minimum Number of Establishments, per size class</t>
  </si>
  <si>
    <t>Annual Average</t>
  </si>
  <si>
    <t>Establishments</t>
  </si>
  <si>
    <t>Profits</t>
  </si>
  <si>
    <t>Canada-US Exchange Rate</t>
  </si>
  <si>
    <t>1996-2007</t>
  </si>
  <si>
    <t xml:space="preserve">  </t>
  </si>
  <si>
    <t>2000-2008</t>
  </si>
  <si>
    <t>1997-2011</t>
  </si>
  <si>
    <t>1981-2011</t>
  </si>
  <si>
    <t>2000-2011</t>
  </si>
  <si>
    <t>1981-2008</t>
  </si>
  <si>
    <t>Geography: Canada</t>
  </si>
  <si>
    <t>North American: Logging</t>
  </si>
  <si>
    <t>Total expenses (x 1,000)</t>
  </si>
  <si>
    <t>2008-03</t>
  </si>
  <si>
    <t>2008-06</t>
  </si>
  <si>
    <t>2008-09</t>
  </si>
  <si>
    <t>2008-12</t>
  </si>
  <si>
    <t>2009-03</t>
  </si>
  <si>
    <t>2009-06</t>
  </si>
  <si>
    <t>2009-09</t>
  </si>
  <si>
    <t>2009-12</t>
  </si>
  <si>
    <t>2010-03</t>
  </si>
  <si>
    <t>2010-06</t>
  </si>
  <si>
    <t>2010-09</t>
  </si>
  <si>
    <t>2010-12</t>
  </si>
  <si>
    <t>2011-03</t>
  </si>
  <si>
    <t>2011-06</t>
  </si>
  <si>
    <t>2011-09</t>
  </si>
  <si>
    <t>2011-12</t>
  </si>
  <si>
    <t>2012-03</t>
  </si>
  <si>
    <t>2012-06</t>
  </si>
  <si>
    <t>Table 28: Canada-US Exchange Rate, 1989-2012</t>
  </si>
  <si>
    <t>Millions of Chained 2007 Dollars</t>
  </si>
  <si>
    <t>Millions of Constant 2007 Dollars</t>
  </si>
  <si>
    <t>Table 8: Real Capital Stock, Forest Products Sector, Canada, 1961-2012</t>
  </si>
  <si>
    <t>Table 4a: Hours Worked for All Jobs, Canada, Forest Products Sector, Index 2007 = 100, 1961-2012</t>
  </si>
  <si>
    <t>Table 4b: Hours Worked for All Jobs, Canada, Forest Products Sector, As a Share of All Industries, Total Economy, per cent, 1961-2012</t>
  </si>
  <si>
    <t>F</t>
  </si>
  <si>
    <t>Note:"F" means that the data is too unreliable to be published</t>
  </si>
  <si>
    <t>Source: Cansim Table 031-0002</t>
  </si>
  <si>
    <t>0 s</t>
  </si>
  <si>
    <t>2005</t>
  </si>
  <si>
    <t>2006</t>
  </si>
  <si>
    <t>2007</t>
  </si>
  <si>
    <t>2008</t>
  </si>
  <si>
    <t>2009</t>
  </si>
  <si>
    <t>2010</t>
  </si>
  <si>
    <r>
      <t xml:space="preserve">Table 12g: Business Enterprise Expenditures </t>
    </r>
    <r>
      <rPr>
        <b/>
        <sz val="12"/>
        <color theme="1"/>
        <rFont val="Calibri"/>
        <family val="2"/>
        <scheme val="minor"/>
      </rPr>
      <t>in</t>
    </r>
    <r>
      <rPr>
        <b/>
        <sz val="11"/>
        <color theme="1"/>
        <rFont val="Calibri"/>
        <family val="2"/>
        <scheme val="minor"/>
      </rPr>
      <t xml:space="preserve"> Research &amp; Development, Current US Dollars at Purchasing Power Parity, 1987-2010</t>
    </r>
  </si>
  <si>
    <t>Average 2000-2010</t>
  </si>
  <si>
    <t>Table 13a: Present Value of Timber Stocks , Canada and the Provinces, Method II, Millions of Current Dollars, 1961-2011</t>
  </si>
  <si>
    <t>Table 13: Present Value of Timber Stocks , Canada and the Provinces, Method I, Millions of Current Dollars, 1961-2011</t>
  </si>
  <si>
    <t>Table 1: Real Gross Domestic Product in the Forest Products Sector, Canada, millions of chained 2007 dollars, 1997-2012</t>
  </si>
  <si>
    <t>Growth</t>
  </si>
  <si>
    <t>98-99</t>
  </si>
  <si>
    <t>99-00</t>
  </si>
  <si>
    <t>00-01</t>
  </si>
  <si>
    <t>01-02</t>
  </si>
  <si>
    <t>02-03</t>
  </si>
  <si>
    <t>03-04</t>
  </si>
  <si>
    <t>04-05</t>
  </si>
  <si>
    <t>05-06</t>
  </si>
  <si>
    <t>07-08</t>
  </si>
  <si>
    <t>08-09</t>
  </si>
  <si>
    <t>97-98</t>
  </si>
  <si>
    <t>CANSIM TABLE 030</t>
  </si>
  <si>
    <t>06-07</t>
  </si>
  <si>
    <t>Source: Calculated by CSLS from Statistics Canada CANSIM Table 329-0061. Arithmetic mean of monthly data.</t>
  </si>
  <si>
    <t>Table 2f: Industry Price Indexes, Paper Manufacturing, 2002 = 100, 1992-2012</t>
  </si>
  <si>
    <t>Table 2e: Industry Price Indexes, Wood Product Manufacturing, 2002 = 100, 1992-2012</t>
  </si>
  <si>
    <t>Source: Calculated by CSLS from Statistics Canada CANSIM Table 329-0057. Arithmetic mean of monthly data.</t>
  </si>
  <si>
    <t>(millions of constant 2007 dollars)</t>
  </si>
  <si>
    <t>(constant 2007 dollars)</t>
  </si>
  <si>
    <t>90-91</t>
  </si>
  <si>
    <t>91-92</t>
  </si>
  <si>
    <t>92-93</t>
  </si>
  <si>
    <t>93-94</t>
  </si>
  <si>
    <t>94-95</t>
  </si>
  <si>
    <t>95-96</t>
  </si>
  <si>
    <t>96-97</t>
  </si>
  <si>
    <t>81-82</t>
  </si>
  <si>
    <t>82-83</t>
  </si>
  <si>
    <t>83-84</t>
  </si>
  <si>
    <t>84-85</t>
  </si>
  <si>
    <t>85-86</t>
  </si>
  <si>
    <t>86-87</t>
  </si>
  <si>
    <t>88-89</t>
  </si>
  <si>
    <t>89-90</t>
  </si>
  <si>
    <t>87-88</t>
  </si>
  <si>
    <t>2011</t>
  </si>
  <si>
    <t>2012</t>
  </si>
  <si>
    <t>Source: CANSIM Table 379-0031 (2007-2012) linked to CANSIM Table 379-0027 (1981-2006)</t>
  </si>
  <si>
    <t>Source: CANSIM Table 383-0021</t>
  </si>
  <si>
    <t>Table 20: Productivity, Paper Manufacturing Manufacturing (NAICS 322), Canada, 1961-2008</t>
  </si>
  <si>
    <t>Table 18: Productivity, Forestry and Logging (NAICS 113), Canada, 1961-2008</t>
  </si>
  <si>
    <t>Table 18a: Labour Input to Productivity, Forestry and Logging (NAICS 113), Canada, 1961-2008</t>
  </si>
  <si>
    <t>Table 18b: Capital and Intermediate Inputs to Productivity, Forestry and Logging (NAICS 113), Canada, 1961-2008</t>
  </si>
  <si>
    <t>N/A</t>
  </si>
  <si>
    <t>Stora Enso</t>
  </si>
  <si>
    <t>UPM-Kymmene</t>
  </si>
  <si>
    <t>Nippon Paper Group</t>
  </si>
  <si>
    <t>Svenska Cellulosa (SCA)</t>
  </si>
  <si>
    <t xml:space="preserve">Smurfit Kappa </t>
  </si>
  <si>
    <t>Mondi Group</t>
  </si>
  <si>
    <t>Metsaliitto</t>
  </si>
  <si>
    <t>Domtar</t>
  </si>
  <si>
    <t>Resolute Forest Products</t>
  </si>
  <si>
    <t>Graphic Packaging</t>
  </si>
  <si>
    <t>Nine Dragons Paper Holdings</t>
  </si>
  <si>
    <t>Fibria Celulose (VCP &amp; Aracruz)</t>
  </si>
  <si>
    <t>Boise Inc.</t>
  </si>
  <si>
    <t>Clearwater Paper</t>
  </si>
  <si>
    <t>Lee &amp; Man Paper</t>
  </si>
  <si>
    <t>Duratex</t>
  </si>
  <si>
    <t>Tembec</t>
  </si>
  <si>
    <t>Verso Paper Holdings</t>
  </si>
  <si>
    <t>Hansol</t>
  </si>
  <si>
    <t>Shandong Huatai Paper</t>
  </si>
  <si>
    <t>Moelven</t>
  </si>
  <si>
    <t>Heinzel Holding</t>
  </si>
  <si>
    <t>Shan Dong Sun Paper</t>
  </si>
  <si>
    <t>Masisa</t>
  </si>
  <si>
    <t>Norbord</t>
  </si>
  <si>
    <t>KapStone Paper and Packaging</t>
  </si>
  <si>
    <t>Plum Creek Timber</t>
  </si>
  <si>
    <t>Appleton Papers</t>
  </si>
  <si>
    <t>Samling Global</t>
  </si>
  <si>
    <t>Setra Group</t>
  </si>
  <si>
    <t>Corticeira Amorim</t>
  </si>
  <si>
    <t>Exacompta Clairefontaine</t>
  </si>
  <si>
    <t>Gunns</t>
  </si>
  <si>
    <t>UK</t>
  </si>
  <si>
    <t>Hong Kong</t>
  </si>
  <si>
    <t>Asia</t>
  </si>
  <si>
    <t>Ballarpur Industries</t>
  </si>
  <si>
    <t>Austalia</t>
  </si>
  <si>
    <t>All companies have December 31, 2011 year ends except for those listed below:
March 31, 2011: All Japanese companies
April 30, 2011: DS Smith
June 30, 2011: PaperlinX, Ballarpur, Buckeye
September 30, 2011: Sappi, Rock-Tenn</t>
  </si>
  <si>
    <r>
      <t xml:space="preserve">Weyerhaeuser </t>
    </r>
    <r>
      <rPr>
        <sz val="8"/>
        <color theme="1"/>
        <rFont val="Calibri"/>
        <family val="2"/>
        <scheme val="minor"/>
      </rPr>
      <t>2</t>
    </r>
  </si>
  <si>
    <t>2011 and 2010 Sales have been adjusted to exclude
non‑forest, paper and packaging revenue.</t>
  </si>
  <si>
    <t>3. New addition this year.</t>
  </si>
  <si>
    <r>
      <t xml:space="preserve">Altri </t>
    </r>
    <r>
      <rPr>
        <vertAlign val="superscript"/>
        <sz val="11"/>
        <color theme="1"/>
        <rFont val="Calibri"/>
        <family val="2"/>
        <scheme val="minor"/>
      </rPr>
      <t>3</t>
    </r>
  </si>
  <si>
    <r>
      <t>Reno De Medici</t>
    </r>
    <r>
      <rPr>
        <vertAlign val="superscript"/>
        <sz val="11"/>
        <color theme="1"/>
        <rFont val="Calibri"/>
        <family val="2"/>
        <scheme val="minor"/>
      </rPr>
      <t xml:space="preserve"> 3</t>
    </r>
  </si>
  <si>
    <r>
      <t xml:space="preserve">Moorim Group </t>
    </r>
    <r>
      <rPr>
        <vertAlign val="superscript"/>
        <sz val="11"/>
        <color theme="1"/>
        <rFont val="Calibri"/>
        <family val="2"/>
        <scheme val="minor"/>
      </rPr>
      <t>3</t>
    </r>
  </si>
  <si>
    <r>
      <t xml:space="preserve">VPK Packaging </t>
    </r>
    <r>
      <rPr>
        <vertAlign val="superscript"/>
        <sz val="11"/>
        <color theme="1"/>
        <rFont val="Calibri"/>
        <family val="2"/>
        <scheme val="minor"/>
      </rPr>
      <t>3</t>
    </r>
  </si>
  <si>
    <r>
      <t xml:space="preserve">ENCE </t>
    </r>
    <r>
      <rPr>
        <vertAlign val="superscript"/>
        <sz val="11"/>
        <color theme="1"/>
        <rFont val="Calibri"/>
        <family val="2"/>
        <scheme val="minor"/>
      </rPr>
      <t>3</t>
    </r>
  </si>
  <si>
    <r>
      <t xml:space="preserve">Nampak </t>
    </r>
    <r>
      <rPr>
        <vertAlign val="superscript"/>
        <sz val="11"/>
        <color theme="1"/>
        <rFont val="Calibri"/>
        <family val="2"/>
        <scheme val="minor"/>
      </rPr>
      <t>2</t>
    </r>
  </si>
  <si>
    <r>
      <t xml:space="preserve">EUROPAC </t>
    </r>
    <r>
      <rPr>
        <vertAlign val="superscript"/>
        <sz val="11"/>
        <color theme="1"/>
        <rFont val="Calibri"/>
        <family val="2"/>
        <scheme val="minor"/>
      </rPr>
      <t>3</t>
    </r>
  </si>
  <si>
    <r>
      <t xml:space="preserve">Hengan International </t>
    </r>
    <r>
      <rPr>
        <vertAlign val="superscript"/>
        <sz val="11"/>
        <color theme="1"/>
        <rFont val="Calibri"/>
        <family val="2"/>
        <scheme val="minor"/>
      </rPr>
      <t>3</t>
    </r>
  </si>
  <si>
    <r>
      <t xml:space="preserve">Lenzing </t>
    </r>
    <r>
      <rPr>
        <vertAlign val="superscript"/>
        <sz val="11"/>
        <color theme="1"/>
        <rFont val="Calibri"/>
        <family val="2"/>
        <scheme val="minor"/>
      </rPr>
      <t>3</t>
    </r>
  </si>
  <si>
    <r>
      <t xml:space="preserve">Sumitomo Forestry </t>
    </r>
    <r>
      <rPr>
        <vertAlign val="superscript"/>
        <sz val="11"/>
        <color theme="1"/>
        <rFont val="Calibri"/>
        <family val="2"/>
        <scheme val="minor"/>
      </rPr>
      <t>2</t>
    </r>
  </si>
  <si>
    <t>4. Country's head office is used for grouping (i.e Mondi has dual listings and head offices in the UK and South Africa, and Sino Forest’s head office is in Canada, while all its operations are based in China).</t>
  </si>
  <si>
    <r>
      <t>Country</t>
    </r>
    <r>
      <rPr>
        <b/>
        <vertAlign val="superscript"/>
        <sz val="11"/>
        <color theme="1"/>
        <rFont val="Calibri"/>
        <family val="2"/>
        <scheme val="minor"/>
      </rPr>
      <t>4</t>
    </r>
  </si>
  <si>
    <r>
      <t>EBITDA</t>
    </r>
    <r>
      <rPr>
        <b/>
        <vertAlign val="superscript"/>
        <sz val="11"/>
        <color theme="1"/>
        <rFont val="Calibri"/>
        <family val="2"/>
        <scheme val="minor"/>
      </rPr>
      <t>5</t>
    </r>
    <r>
      <rPr>
        <b/>
        <sz val="11"/>
        <color theme="1"/>
        <rFont val="Calibri"/>
        <family val="2"/>
        <scheme val="minor"/>
      </rPr>
      <t xml:space="preserve"> as a % of sales</t>
    </r>
  </si>
  <si>
    <t xml:space="preserve">5. Earnings before Interest, Taxes, Depreciation and Amortisation </t>
  </si>
  <si>
    <t>Table 24: Stock of Foreign Direct Investment, Wood Product and Paper Manufacturing Subsectors, millions of current dollars, 1983-2011</t>
  </si>
  <si>
    <t>Millions of Chained 2007 dollars</t>
  </si>
  <si>
    <t>Table 600: Labour Productivity and Hours Worked, Canada, Forest Products Sector, 1979-2008</t>
  </si>
  <si>
    <t>Table 600a: Value Added, Canada, Forest Products Sector, 1979-2008</t>
  </si>
  <si>
    <t>Table 601: Labour Productivity and Hours Worked, Finland, Forest Products Sector, 1970-2007</t>
  </si>
  <si>
    <t>Table 601a: Value Added, Finland, Forest Products Sector,1970-2007</t>
  </si>
  <si>
    <t>Table 602: Labour Productivity and Hours Worked, France, Forest Products Sector, 1970-2007</t>
  </si>
  <si>
    <t>Table 602a: Value Added, France, Forest Products Sector, 1970-2007</t>
  </si>
  <si>
    <t>Table 603: Labour Productivity and Hours Worked, Germany, Forest Products Sector, 1970-2007</t>
  </si>
  <si>
    <t>Table 603a: Value Added, Germany, Forest Products Sector, 1970-2007</t>
  </si>
  <si>
    <t>Table 604: Labour Productivity and Hours Worked, Italy, Forest Products Sector, 1970-2007</t>
  </si>
  <si>
    <t>Table 604a: Value Added, Italy, Forest Products Sector, 1970-2007</t>
  </si>
  <si>
    <t>Table 606: Labour Productivity and Hours Worked, Sweden, Forest Products Sector, 1970-2007</t>
  </si>
  <si>
    <t>Table 606a: Value Added, Sweden, Forest Products Sector, 1970-2007</t>
  </si>
  <si>
    <t>Table 607: Labour Productivity and Hours Worked, United Kingdom, Forest Products Sector, 1970-2007</t>
  </si>
  <si>
    <t>Table 607a: Value Added, United Kingdom, Forest Products Sector, 1970-2007</t>
  </si>
  <si>
    <t>Table 608: Labour Productivity and Hours Worked, United States, Forest Products Sector, 1970-2007</t>
  </si>
  <si>
    <t>Table 608a: Value Added, United States, Forest Products Sector,1970-2007</t>
  </si>
  <si>
    <t>Table 610: Composition of the Forest Products Sector, Selected OECD Countries, Nominal Value Added as a Share of Nominal Value Added in the Forest Products Sector, per cent, 1970-2007</t>
  </si>
  <si>
    <t>1970-2007</t>
  </si>
  <si>
    <t>Table 1a: Real Gross Domestic Product in the Forest Products Sector, Canada, millions of constant 2007 dollars, 1981-2012</t>
  </si>
  <si>
    <t>Table 2a: Prices Indexes for Forest Products, Canada, 2002 = 100, Paasche Current Weighted, 2002-2011</t>
  </si>
  <si>
    <t>Table 2b: Prices and Volume Indexes for Forest Products International Trade, Canada, 2002 = 100, Laspeyres Fixed Weighted, 2002-2011</t>
  </si>
  <si>
    <t>Table 2c: Price Indexes for Wood Product Manufacturing Products, Canada, Index 1981 = 100, 1981-2012</t>
  </si>
  <si>
    <t>Table 2d: Prices Indexes for Paper Manufacturing Products, Canada, Index 1981 = 100, 1981-2012</t>
  </si>
  <si>
    <t>Table 2g: Machinery and Equipment Price Index, by Industry of Purchase, Forest Products Sector, Index 1981 = 100, 1971-2012</t>
  </si>
  <si>
    <t>Source: Calculated by CSLS from Statistics Canada CANSIM Table 330-0007. Arithmetic mean of quarterly data.</t>
  </si>
  <si>
    <t>Table 2h: Raw Materials Price Index, Wood, 1981 = 100, 1981-2012</t>
  </si>
  <si>
    <t>Table 3: Total Number of Jobs in the Forest Products Sector, Canada, Jobs, 1961-2011</t>
  </si>
  <si>
    <t>Table 3a: Total Number of Jobs in the Forest Products Sector as a Share of Total Jobs in All Industries, Canada, per cent, 1997-2011</t>
  </si>
  <si>
    <t>Table 3d: Employment by Type of Employee, Forestry and Logging, Canada, 1991-2012</t>
  </si>
  <si>
    <t>Note:  1. "Other employees" is calculated by substracting "salaried employees" and "employees paid by the hour" from "all employees." "Other employees" includes employees whose basic remuneration is in the form of commissions, piece rates, mileage allowances, etc.</t>
  </si>
  <si>
    <t>2. "F" means that the data is too unreliable to be published.</t>
  </si>
  <si>
    <t xml:space="preserve">             2. "F" means that the data is too unreliable to be published.</t>
  </si>
  <si>
    <t>Note: 1. "Other employees" is calculated by substracting "salaried employees" and "employees paid by the hour" from "all employees." "Other employees" includes employees whose basic remuneration is in the form of commissions, piece rates, mileage allowances, etc.</t>
  </si>
  <si>
    <t>Table 3g: Employment by Type of Employee, Forest Products Sector, Canada, 1991-2012</t>
  </si>
  <si>
    <t>Table 3f: Employment by Type of Employee, Paper Manufacturing, Canada, 1991-2012</t>
  </si>
  <si>
    <t>Table 3e: Employment by Type of Employee, Wood Product Manufacturing, Canada, 1991-20012</t>
  </si>
  <si>
    <t>Table 4: Hours Worked for All Jobs, Canada, Forest Products Sector, Millions of Hours, 1961-2011</t>
  </si>
  <si>
    <t>Table 4d: Average Weekly Hours per Job, Canada, Forest Products Sector, 1961-2012</t>
  </si>
  <si>
    <t>Note : "F" means that the data is too unreliable to be published</t>
  </si>
  <si>
    <t>Table 4e: Average Weekly Hours for Employees Paid by the Hour, Forest Products Sector, Canada, 1991-2012</t>
  </si>
  <si>
    <t>Table 4f: Standard Work Week for Salaried Employees (paid a fixed salary, excluding overtime), Forest Products Sector, Canada, 1991-2012</t>
  </si>
  <si>
    <t>Table 4g: Hours Worked, Forest Products Sector, Canada, SEPH, 1991-2012</t>
  </si>
  <si>
    <t>Table 5: Labour Productivity, Canada, Forest Products Sector, constant 2007 dollars, 1981-2012</t>
  </si>
  <si>
    <t>Table 5a: Labour Productivity, Canada, Forest Products Sector, Constant 2007 Dollars, Index 2002 = 100, 1981-2012</t>
  </si>
  <si>
    <t>Table 5b: Labour Productivity, Canada, Forest Products Industry, Constant 2007 Dollars, As a Share of All Industries Total, per cent, 1981-2006</t>
  </si>
  <si>
    <t>Table 5c: Labour Productivity (LFS-based), Canada, Forest Products Sector, Constant 2002 Dollars, 1987-2007</t>
  </si>
  <si>
    <t>Table 5d: Labour Productivity, Canada, Forest Products Sector, Chained 2007 dollars, 1981-2012</t>
  </si>
  <si>
    <t>Table 6: Labour Compensation, Canada, Forest Products Sector, Millions of Current Dollars, 1981-2011</t>
  </si>
  <si>
    <t>Table 6a: Labour Share of GDP, Canada, Forest Products Sector, per cent, 1961-2008</t>
  </si>
  <si>
    <t>Table 8a: Capital Stock, Forest Products Sector, Canada, 1961-2012</t>
  </si>
  <si>
    <t>Table 8b: Capital Productivity, Forest Products Sector, Canada, 1981-2012</t>
  </si>
  <si>
    <t>Table 8c: Capital Productivity, Forest Products Sector, Canada, Index 2007 = 100, 1981-2012</t>
  </si>
  <si>
    <t>Table 8d: Capital Share of GDP, Forest Products Sector, Canada, per cent, 1981-2008</t>
  </si>
  <si>
    <t>Table 8e: Capital Intensity, Forest Products Sector, Canada, 1981-2012</t>
  </si>
  <si>
    <t>Table 10: Real Gross Investment, All Components, Forest Products Sector, Canada, Millions of Constant 2007 Dollars, 1961-2012</t>
  </si>
  <si>
    <t>Table 10a: Real Gross Investment, Machinery and Equipment, Forest Products Sector, Canada, Millions of Constant Dollars, 1961-2012</t>
  </si>
  <si>
    <t>Table 10b: Real Gross Investment, Engineering Construction, Forest Products Sector, Canada, Millions of Constant Dollars, 1961-2012</t>
  </si>
  <si>
    <t>Table 10c: Real Gross Investment, Building Construction, Forest Products Sector, Canada, Millions of Constant Dollars, 1961-2012</t>
  </si>
  <si>
    <t>Table 11: Educational Attainment, Number of Workers by Highest Educational Attainment, All Industries, Thousands, 1990-2012</t>
  </si>
  <si>
    <t>Table 12: Research and Development, Canada, All Industries Total, 1994-2012</t>
  </si>
  <si>
    <t>Table 12a: Research and Development, Canada, Manufacturing Total, 1994-2012</t>
  </si>
  <si>
    <t>"F" means that data were not realased by Statistics Canada becayse they are considered to be too unreliable</t>
  </si>
  <si>
    <t>Table 12e: Research and Development, Canada, Paper Manufacturing, 1994-2012</t>
  </si>
  <si>
    <t>Table 12d: Research and Development, Canada, Wood Product Manufacturing, 1994-2012</t>
  </si>
  <si>
    <t>Table 12f: Total Business Enterprise Research and Development Intramural Expenditures, Forest Products Sector, Canada, as a Share of GDP, per cent, 1994-2008</t>
  </si>
  <si>
    <t>Source: OECD STAN Database; STAN R&amp;D Expenditures in Industry (ISIC Rev.3)</t>
  </si>
  <si>
    <t>Table 16: Productivity, Business Sector, Canada, 1961-2011</t>
  </si>
  <si>
    <t>Table 16a: Labour Input to Productivity, Business Sector, Canada, 1961-2011</t>
  </si>
  <si>
    <t>Table 16b: Capital Input to Productivity, Business Sector, Canada, 1961-2011</t>
  </si>
  <si>
    <t>Table 16c: Labour Input to Productivity, Manufacturing, Canada, 1961-2011</t>
  </si>
  <si>
    <t>Table 17: Productivity, Forest Products Sector, Canada, 1961-2008</t>
  </si>
  <si>
    <t>Table 17a: Labour Input to Productivity, Forest Product Sector, Canada, 1961-2008</t>
  </si>
  <si>
    <t>Table 19: Productivity, Wood Product Manufacturing (NAICS 321), Canada, 1961-2008</t>
  </si>
  <si>
    <t>Table 19a: Labour Input to Productivity, Wood Product Manufacturing (NAICS 321), Canada, 1961-2008</t>
  </si>
  <si>
    <t>Table 20a: Labour Input to Productivity, Paper Manufacturing Manufacturing (NAICS 322), Canada, 1961-2008</t>
  </si>
  <si>
    <t>Table 20b: Capital and Intermediate Inputs to Productivity, Paper Manufacturing Manufacturing (NAICS 322), Canada, 1961-2008</t>
  </si>
  <si>
    <t>Table 21: Capacity Utilization Rates, Forest Products Sector, per cent, Canada , 1987-2012</t>
  </si>
  <si>
    <t>Table 22: Sawn Lumber Production and Shipments, Cubic Metres Dry, 1946-2011</t>
  </si>
  <si>
    <t>Table 23: Top 100 Global Forest, Paper &amp; Packaging Industry Companies, by sales, 2011</t>
  </si>
  <si>
    <t>Source: PricewaterhouseCoopers, Global Forest, Paper &amp; Packaging Industry Survey, 2012</t>
  </si>
  <si>
    <t>2004-2011: Statistics Canada Annual Survey of Manufactures and Logging CANSIM Table 301-0006</t>
  </si>
  <si>
    <t>Table 25e: Number of Establishments, Forest Products Sector, Canada, 1990-2010</t>
  </si>
  <si>
    <t>2004-2010: Statistics Canada Annual Survey of Manufactures and Logging CANSIM Table 301-0006</t>
  </si>
  <si>
    <t>Table 25d: Number of Establishments, Paper Manufacturing, Canada, 1990-2010</t>
  </si>
  <si>
    <t>Table 25c: Establishment Size, Paper Manufacturing, Canada, 1990-2010</t>
  </si>
  <si>
    <t>2004-2010: Statistics Canada Annual Survey of Manufactures and Logging, CANSIM Table 301-0006</t>
  </si>
  <si>
    <t>Table 25b: Establishment Size, Wood Product Manufacturing, Canada, 1990-2010</t>
  </si>
  <si>
    <t>Table 25a: Logging Industry (11331), Canada, 1990-2010</t>
  </si>
  <si>
    <t>2004-2010: Statistics Canada Annual Survey of Manufactures and Logging, CANSIM Table 301-0007</t>
  </si>
  <si>
    <t>Table 25f: Real GDP per Establishment, Forest Products Sector, Canada, Millions of Constant 2002 Dollars, 1990-2010</t>
  </si>
  <si>
    <t>Table 26: Employment by Enterprise Size, Forestry, Logging and Support Activities, Canada, 2000-2012</t>
  </si>
  <si>
    <t>Source: Statistics Canada CANSIM Table 228-0059</t>
  </si>
  <si>
    <t>Table 29: Exports, Forest Products, Canada, Millions of Current Current Dollars, 1989-2011 (terminated)</t>
  </si>
  <si>
    <t xml:space="preserve">  Logs, pulpwood, and other forestry products</t>
  </si>
  <si>
    <t xml:space="preserve">  Pulp and paper stock</t>
  </si>
  <si>
    <t xml:space="preserve">   Lumber and other sawmill and millwork products</t>
  </si>
  <si>
    <t xml:space="preserve"> Forestry products</t>
  </si>
  <si>
    <t>1988-2000</t>
  </si>
  <si>
    <t>1988-2012</t>
  </si>
  <si>
    <t>2000-2012</t>
  </si>
  <si>
    <t>Note: Forestry Products is the sum of logs, pulpwood, and other forestry products, pulp and paper stock and lumber and other  sawmill and millwork products. In Cansim Table 228-0059, lumber and other sawmill and millwork products is included under building and packaging materials.</t>
  </si>
  <si>
    <t>  Forestry and logging</t>
  </si>
  <si>
    <t>  Wood product manufacturing</t>
  </si>
  <si>
    <t>  Paper manufacturing</t>
  </si>
  <si>
    <t>Seasonal adjust: Seasonally adjusted at annual rates</t>
  </si>
  <si>
    <t>Prices: 2002 constant prices</t>
  </si>
  <si>
    <t>…</t>
  </si>
  <si>
    <t>Real Value Added calculated by CSLS from EUKLEM Nominal Value Added and Value Added Deflators</t>
  </si>
  <si>
    <t>Source: Calculated by CSLS from CANSIM Table 383-0022 and Table 379-0024</t>
  </si>
  <si>
    <t>The data contained in the Statistics Canada tables are consistent with the data provided in the EUKLEM database</t>
  </si>
  <si>
    <t>Source: Calculated by CSLS from EUKLEM Database, ISIC REV.3, March 2011 update</t>
  </si>
  <si>
    <t>Table 831: Capital Stock and Capital Productivity, Newfoundland and Labrador, Forest Products Sector, 1984-2011</t>
  </si>
  <si>
    <t>Table 832: Capital Stock and Capital Productivity, Prince Edward Island, Forest Products Sector, 1984-2011</t>
  </si>
  <si>
    <t>Table 833: Capital Stock and Capital Productivity, Nova Scotia, Forest Products Sector, 1984-2011</t>
  </si>
  <si>
    <t>Table 834: Capital Stock and Capital Productivity, New Brunswick, Forest Products Sector, 1984-2011</t>
  </si>
  <si>
    <t>Table 835: Capital Stock and Capital Productivity, Quebec, Forest Products Sector, 1984-2011</t>
  </si>
  <si>
    <t>Table 836: Capital Stock and Capital Productivity, Ontario, Forest Products Sector, 1984-2011</t>
  </si>
  <si>
    <t>Table 837: Capital Stock and Capital Productivity, Manitoba, Forest Products Sector, 1984-2011</t>
  </si>
  <si>
    <t>Source: Calculated from US Bureau of Labour Statistics, Industry Productivity and Costs Database</t>
  </si>
  <si>
    <t>Table 905a: Labour Productivity in the Paper Manufacturing Subsector, United States, Index 1987 = 100, 1987-2011</t>
  </si>
  <si>
    <t>Table 905: Labour Productivity in the Wood Products Subsector, United States, Index 1987 = 100, 1987-2011</t>
  </si>
  <si>
    <t>Output Per Job</t>
  </si>
  <si>
    <t>Index, 2005 = 100.0</t>
  </si>
  <si>
    <t>(Index, 2005 = 100)</t>
  </si>
  <si>
    <t>Table 910a: Multifactor Productivity in the Paper Manufacturing Subsector, United States, 1987-2010</t>
  </si>
  <si>
    <t>Table 910: Multifactor Productivity in the Wood Products Subsector, United States, 1987-2010</t>
  </si>
  <si>
    <t>Table 910b: Multifactor Productivity in the Private Business Sector, United States, 1987-2011</t>
  </si>
  <si>
    <t>Table 10e: Nominal Gross Investment, All Components, Forest Products Sector, Canada, Millions of Current Dollars, 1961-2012</t>
  </si>
  <si>
    <t>Table 10f: Nominal Gross Investment, Machinery and Equipment, Forest Products Sector, Canada, Millions of Current Dollars, 1961-2012</t>
  </si>
  <si>
    <t>Table 10g: Nominal Gross Investment, Engineering Construction, Forest Products Sector, Canada, Millions of Current Dollars, 1961-2012</t>
  </si>
  <si>
    <t>Table 10h: Nominal Gross Investment, Building Construction, Forest Products Sector, Canada, Millions of Current Dollars, 1961-2012</t>
  </si>
  <si>
    <t>Table 10i: Nominal Gross Investment, Intellectual Property Products, Forest Products Sector, Canada, Millions of Current Dollars, 1961-2012</t>
  </si>
  <si>
    <t>Table 10j: Real Depreciation, All Components, Forest Products Sector, Canada, Millions of Constant Dollars, 1961-2012</t>
  </si>
  <si>
    <t>Table 10k: Real Depreciation, Machinery and Equipment, Forest Products Sector, Canada, Millions of Constant Dollars, 1961-2012</t>
  </si>
  <si>
    <t>Table 10l: Real Depreciation, Engineering Construction, Forest Products Sector, Canada, Millions of Constant Dollars, 1961-2012</t>
  </si>
  <si>
    <t>Table 10m: Real Depreciation, Building Construction, Forest Products Sector, Canada, Millions of Constant Dollars, 1961-2012</t>
  </si>
  <si>
    <t>Table 10n: Real Depreciation, Intellectual Property Products, Forest Products Sector, Canada, Millions of Constant Dollars, 1961-2012</t>
  </si>
  <si>
    <t>Table 10o: Real Net Investment, All Components, Forest Products Sector, Canada, Millions of Constant Dollars, 1961-2012</t>
  </si>
  <si>
    <t>Table 10p: Real Net Investment, Machinery and Equipment, Forest Products Sector, Canada, Millions of Constant Dollars, 1961-2012</t>
  </si>
  <si>
    <t>Table 10q: Real Net Investment, Engineering Construction, Forest Products Sector, Canada, Millions of Constant Dollars, 1961-2012</t>
  </si>
  <si>
    <t>Table 10r: Real Net Investment, Building Construction, Forest Products Sector, Canada, Millions of Constant Dollars, 1961-2012</t>
  </si>
  <si>
    <t>Table 10s: Real Net Investment, Intellectual Property Products, Forest Products Sector, Canada, Millions of Constant Dollars, 1961-2012</t>
  </si>
  <si>
    <t>Table 10t: Real Gross Investment, Machinery and Equipment, Forest Products Sector, Canada, As a Share of GDP, Constant 2002 Dollars, per cent 1981-2012</t>
  </si>
  <si>
    <t>Table 10u: Real Depreciation, Machinery and Equipment, Forest Products Sector, Canada, As a Share of GDP, Constant 2002 Dollars, per cent 1981-2012</t>
  </si>
  <si>
    <t>Table 10d: Real Gross Investment,  Intellectual Property Products, Forest Products Sector, Canada, Millions of Constant Dollars, 1961-2012</t>
  </si>
  <si>
    <t>Table 5e: Labour Productivity, Canada, Forest Products Sector, Chained 2007 Dollars, Index 2002 = 100, 1981-2012</t>
  </si>
  <si>
    <t>Table 5f: Labour Productivity, Canada, Forest Products Industry, Chained 2007 Dollars, As a Share of All Industries Total, per cent, 1981-2012</t>
  </si>
  <si>
    <t>Table 30: Exports, Forest Products, Canada, Millions of Current Current Dollars, 1988-2011 (new)</t>
  </si>
  <si>
    <t>2. Data in Red comes from Cansim Table 379-0027 and nominal values cannot be compared with the other data, who comes from Cansin Table 379-0027</t>
  </si>
  <si>
    <t>3. Data in Red comes from Cansim Table 379-0027 and nominal values cannot be compared with the other data, who comes from Cansin Table 379-0027</t>
  </si>
  <si>
    <t>(1)</t>
  </si>
  <si>
    <t>(2)</t>
  </si>
  <si>
    <t>(3)</t>
  </si>
  <si>
    <t>(3) = (1)+(2)</t>
  </si>
  <si>
    <t> </t>
  </si>
  <si>
    <t>Table 801: Gross Domestic Product, Newfoundland and Labrador, Forest Products Sector, millions of dollars, 1984-2011</t>
  </si>
  <si>
    <t>Table 802: Gross Domestic Product, Prince Edward Island, Forest Products Sector, millions of dollars, 1984-2011</t>
  </si>
  <si>
    <t>Table 803: Gross Domestic Product, Nova Scotia, Forest Products Sector, millions of dollars, 1984-2011</t>
  </si>
  <si>
    <t>Table 804: Gross Domestic Product, New Brunswick, Forest Products Sector, millions of dollars, 1984-2011</t>
  </si>
  <si>
    <t>Table 805: Gross Domestic Product, Quebec, Forest Products Sector, millions of dollars, 1984-2011</t>
  </si>
  <si>
    <t>Table 807: Gross Domestic Product, Manitoba, Forest Products Sector, millions of dollars, 1984-2011</t>
  </si>
  <si>
    <t>Table 806: Gross Domestic Product, Ontario, Forest Products Sector, millions of dollars, 1984-2011</t>
  </si>
  <si>
    <t>Table 808: Gross Domestic Product, Saskatchewan, Forest Products Sector, millions of dollars, 1984-2011</t>
  </si>
  <si>
    <t>Table 809: Gross Domestic Product, Alberta, Forest Products Sector, millions of dollars, 1984-2011</t>
  </si>
  <si>
    <t>Table 810: Gross Domestic Product, British Columbia, Forest Products Sector, millions of dollars, 1984-2011</t>
  </si>
  <si>
    <t>Table 811: Hours Worked, Newfoundland and Labrador, Forest Products Sector, thousands of hours, 1984-2011</t>
  </si>
  <si>
    <t>Table 812: Hours Worked, Prince Edward Island, Forest Products Sector, thousands of hours, 1984-2011</t>
  </si>
  <si>
    <t>Table 813: Hours Worked, Nova Scotia, Forest Products Sector, thousands of hours, 1984-2011</t>
  </si>
  <si>
    <t>Table 814: Hours Worked, New Brunswick, Forest Products Sector, thousands of hours, 1984-2011</t>
  </si>
  <si>
    <t>Table 815: Hours Worked, Quebec, Forest Products Sector, thousands of hours, 1984-2011</t>
  </si>
  <si>
    <t>Table 816: Hours Worked, Ontario, Forest Products Sector, thousands of hours, 1984-2011</t>
  </si>
  <si>
    <t>Table 817: Hours Worked, Manitoba, Forest Products Sector, thousands of hours, 1984-2011</t>
  </si>
  <si>
    <t>Table 818: Hours Worked, Saskatchewan, Forest Products Sector, thousands of hours, 1984-2011</t>
  </si>
  <si>
    <t>Table 819: Hours Worked, Alberta, Forest Products Sector, thousands of hours, 1997-2011</t>
  </si>
  <si>
    <t>Table 820: Hours Worked, British Columbia, Forest Products Sector, thousands of hours, 1997-2011</t>
  </si>
  <si>
    <t>Table 821: Labour Productivity, Newfoundland and Labrador, Forest Products Sector, chained 2007 dollars per hour worked, 1997-2011</t>
  </si>
  <si>
    <t>Table 822: Labour Productivity, Prince Edward Island, Forest Products Sector, chained 2007 dollars per hour worked, 1997-2011</t>
  </si>
  <si>
    <t>Chained 2007 dollars</t>
  </si>
  <si>
    <t>Table 823: Labour Productivity, Nova Scotia, Forest Products Sector, chained 2007 dollars per hour worked, 1997-2011</t>
  </si>
  <si>
    <t>Table 824: Labour Productivity, New Brunswick, Forest Products Sector, chained 2007 dollars per hour worked, 1997-2011</t>
  </si>
  <si>
    <t>Table 825: Labour Productivity, Quebec, Forest Products Sector, chained 2007 dollars per hour worked, 1997-2011</t>
  </si>
  <si>
    <t>Table 826: Labour Productivity, Ontario, Forest Products Sector, chained 2007 dollars per hour worked, 1997-2011</t>
  </si>
  <si>
    <t>Table 827: Labour Productivity, Manitoba, Forest Products Sector, chained 2007 dollars per hour worked, 1997-2011</t>
  </si>
  <si>
    <t>Table 828: Labour Productivity, Saskatchewan, Forest Products Sector, chained 2007 dollars per hour worked, 1997-2011</t>
  </si>
  <si>
    <t>Table 829: Labour Productivity, Alberta, Forest Products Sector, chained 2007 dollars per hour worked, 1997-2011</t>
  </si>
  <si>
    <t>Table 830: Labour Productivity, British Columbia, Forest Products Sector, chained 2007 dollars per hour worked, 1997-2011</t>
  </si>
  <si>
    <t>1997-2012</t>
  </si>
  <si>
    <t>2000-2010</t>
  </si>
  <si>
    <t>1981-2012</t>
  </si>
  <si>
    <t>1961-2008</t>
  </si>
  <si>
    <t>1989-2012</t>
  </si>
  <si>
    <t>1992-2012</t>
  </si>
  <si>
    <t>1961-2012</t>
  </si>
  <si>
    <t>1961-2011</t>
  </si>
  <si>
    <t>1991-2012</t>
  </si>
  <si>
    <t>2006-2012</t>
  </si>
  <si>
    <t>1991-2011</t>
  </si>
  <si>
    <t>(4) = (1)-(2)-(3)</t>
  </si>
  <si>
    <t>1989-2011</t>
  </si>
  <si>
    <t>2001-2011</t>
  </si>
  <si>
    <t>1997-2001</t>
  </si>
  <si>
    <t>Table 5g: Labour Productivity (LFS-based), Canada, Forest Products Sector, Chained 2007 Dollars, 1997-2007</t>
  </si>
  <si>
    <t>1989-2008</t>
  </si>
  <si>
    <t>1990-2012</t>
  </si>
  <si>
    <t>1994-2012</t>
  </si>
  <si>
    <t>1986-2008</t>
  </si>
  <si>
    <t>Source: Calculated by CSLS from Statistics Canada CANSIM Table 383-0022 (Industry KLEMS Productivity Program Database)</t>
  </si>
  <si>
    <t>1987-2012</t>
  </si>
  <si>
    <t>1983-2011</t>
  </si>
  <si>
    <t>2003-2012</t>
  </si>
  <si>
    <t>Table 27: Operating Profits/Losses, Forest Products Sector, Canada, Millions of Current Dollars, 2000-2011</t>
  </si>
  <si>
    <t>1970-1990</t>
  </si>
  <si>
    <t>1984-2008</t>
  </si>
  <si>
    <t>1984-2012</t>
  </si>
  <si>
    <t>1984-2011</t>
  </si>
  <si>
    <t>All industries, total  Sector</t>
  </si>
  <si>
    <t>1987-2011</t>
  </si>
  <si>
    <t>Table 901b: Nominal Gross Domestic Product (GDP)  as a share of all industries GDP Share of Nominal GDP, Forest Products Sector, United States, 1977-2011</t>
  </si>
  <si>
    <t>n.a.</t>
  </si>
  <si>
    <t>Table 905b: Labour Productivity in the Business Sector, United States, Index 1987 = 100, 1987-2011</t>
  </si>
  <si>
    <t>1987-2010</t>
  </si>
  <si>
    <t>Table 901: Nominal GDP, Forest Products Sector, United States, Billions of current dollars, 1977-2011</t>
  </si>
  <si>
    <t>Table 901a: Real GDP, Forest Products Sector, United States, Billions of chained (2005) dollars, 1987-2011</t>
  </si>
  <si>
    <t>Table 840: Capital Stock and Capital Productivity, British Columbia, Forest Products Sector, 1984-2011</t>
  </si>
  <si>
    <t>Table 839: Capital Stock and Capital Productivity, Alberta, Forest Products Sector, 1984-2011</t>
  </si>
  <si>
    <t>Table 838: Capital Stock and Capital Productivity, Saskatchewan, Forest Products Sector, 1984-2011</t>
  </si>
  <si>
    <t>Table 19c: Sources of Labour Productivity Growth, Wood Product Manufacturing, Canada, 1961-2008</t>
  </si>
  <si>
    <t>Table 20c: Sources of Labour Productivity Growth, Paper Manufacturing, Canada, 1961-2008</t>
  </si>
  <si>
    <t>Table 18c: Sources of Labour Productivity Growth in the Forestry and Logging, Canada, 1961-2008</t>
  </si>
  <si>
    <t>Table 17c: Sources of Labour Productivity Growth in the Forestry and Logging, Canada, 1961-2008</t>
  </si>
  <si>
    <t>Table 17b: Capital Input to Productivity, Forest Products Sector, Canada, 1961-2008</t>
  </si>
  <si>
    <t xml:space="preserve"> Manufacturing</t>
  </si>
  <si>
    <t>Source: Statistics Canada CANSIM Table 379-0029 for 2007 to 2009, linked to CANSIM Table 379-0023 for Manufacutring and the Forest Products Sector and CANSIM Table 379-0024 for "All industries" before 2007.</t>
  </si>
  <si>
    <t>Table 1b: Nominal Gross Domestic Product (GDP) in the Forest Products Sector, Canada, Current Dollars, 1961-2009</t>
  </si>
  <si>
    <t>Prices: Chained (2002) dollars</t>
  </si>
  <si>
    <t>Table 1c: Nominal Gross Domestic Product (GDP) in the Forest Products Sector, Canada,  as a share of all industries GDP, per cent, 1961-2009</t>
  </si>
  <si>
    <t>Table 1d: Implicit Deflators for Gross Domestic Product (GDP) in the Forest Products Sector, Canada, Index 2007 = 100, 1981-2009</t>
  </si>
  <si>
    <t>Table 1e: Real Gross Domestic Product in the Forest Products Sector, Canada, millions of constant 2007 dollars, index 2002 = 100, 1981-2012</t>
  </si>
  <si>
    <t>Table 7: The Contribution of the Forest Products Sector to Aggregate Labour Productivity Growth, Canada, 1981-2008</t>
  </si>
  <si>
    <t>Table 7a: Contribution of All Industries to Aggregate Labour Productivity Growth, Canada, 1986-2008</t>
  </si>
  <si>
    <t>Table 7b: Contribution of the Forest Products Sector to Aggregate Labour Productivity Growth, Canada, 1986-2008</t>
  </si>
  <si>
    <t>Table 7c: Contribution of the Forestry and Logging to Labour Productivity Growth in the Forest Products Sector, Canada, 1986-2008</t>
  </si>
  <si>
    <t>Table 7d: Contribution of the Wood Product Manufacturing to Labour Productivity Growth in the Forest Products Sector, Canada, 1986-2008</t>
  </si>
  <si>
    <t>Table 7e: Contribution of the Paper Manufacturing to Labour Productivity Growth in the Forest Products Sector, Canada, 1986-2008</t>
  </si>
  <si>
    <t>Table 7f: Contribution of the Forestry and Logging to Aggregate Labour Productivity Growth, Canada, 1986-2008</t>
  </si>
  <si>
    <t>Table 7g: Contribution of the Wood Product Manufacturing to Aggregate Labour Productivity Growth, Canada, 1981-2008</t>
  </si>
  <si>
    <t>Table 7h: Contribution of the Paper Manufacturing to Aggregate Labour Productivity Growth, Canada, 1981-2008</t>
  </si>
  <si>
    <t>2004-2008</t>
  </si>
</sst>
</file>

<file path=xl/styles.xml><?xml version="1.0" encoding="utf-8"?>
<styleSheet xmlns="http://schemas.openxmlformats.org/spreadsheetml/2006/main">
  <numFmts count="10">
    <numFmt numFmtId="6" formatCode="&quot;$&quot;#,##0;[Red]\-&quot;$&quot;#,##0"/>
    <numFmt numFmtId="43" formatCode="_-* #,##0.00_-;\-* #,##0.00_-;_-* &quot;-&quot;??_-;_-@_-"/>
    <numFmt numFmtId="164" formatCode="0.000"/>
    <numFmt numFmtId="165" formatCode="0.0"/>
    <numFmt numFmtId="166" formatCode="#,##0.0"/>
    <numFmt numFmtId="167" formatCode="0.0000"/>
    <numFmt numFmtId="168" formatCode="_-* #,##0.0_-;\-* #,##0.0_-;_-* &quot;-&quot;??_-;_-@_-"/>
    <numFmt numFmtId="169" formatCode="0.0%"/>
    <numFmt numFmtId="170" formatCode="_-* #,##0_-;\-* #,##0_-;_-* &quot;-&quot;??_-;_-@_-"/>
    <numFmt numFmtId="171" formatCode="0.000;\-0.000;0.000"/>
  </numFmts>
  <fonts count="3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sz val="10"/>
      <name val="Times New Roman"/>
      <family val="1"/>
    </font>
    <font>
      <sz val="11"/>
      <name val="Calibri"/>
      <family val="2"/>
      <scheme val="minor"/>
    </font>
    <font>
      <vertAlign val="subscript"/>
      <sz val="11"/>
      <color theme="1"/>
      <name val="Calibri"/>
      <family val="2"/>
      <scheme val="minor"/>
    </font>
    <font>
      <vertAlign val="superscript"/>
      <sz val="11"/>
      <color theme="1"/>
      <name val="Calibri"/>
      <family val="2"/>
      <scheme val="minor"/>
    </font>
    <font>
      <b/>
      <vertAlign val="superscript"/>
      <sz val="11"/>
      <color theme="1"/>
      <name val="Calibri"/>
      <family val="2"/>
      <scheme val="minor"/>
    </font>
    <font>
      <i/>
      <sz val="11"/>
      <color theme="1"/>
      <name val="Calibri"/>
      <family val="2"/>
      <scheme val="minor"/>
    </font>
    <font>
      <b/>
      <i/>
      <vertAlign val="superscript"/>
      <sz val="11"/>
      <color theme="1"/>
      <name val="Calibri"/>
      <family val="2"/>
      <scheme val="minor"/>
    </font>
    <font>
      <b/>
      <sz val="14"/>
      <color theme="1"/>
      <name val="Calibri"/>
      <family val="2"/>
      <scheme val="minor"/>
    </font>
    <font>
      <sz val="14"/>
      <color theme="1"/>
      <name val="Calibri"/>
      <family val="2"/>
      <scheme val="minor"/>
    </font>
    <font>
      <b/>
      <sz val="16"/>
      <color theme="1"/>
      <name val="Calibri"/>
      <family val="2"/>
      <scheme val="minor"/>
    </font>
    <font>
      <sz val="16"/>
      <color theme="1"/>
      <name val="Calibri"/>
      <family val="2"/>
      <scheme val="minor"/>
    </font>
    <font>
      <sz val="10"/>
      <color theme="1"/>
      <name val="Arial"/>
      <family val="2"/>
    </font>
    <font>
      <b/>
      <sz val="12"/>
      <color theme="1"/>
      <name val="Calibri"/>
      <family val="2"/>
      <scheme val="minor"/>
    </font>
    <font>
      <u/>
      <sz val="7.7"/>
      <color theme="10"/>
      <name val="Calibri"/>
      <family val="2"/>
    </font>
    <font>
      <sz val="10"/>
      <name val="Courier New"/>
      <family val="3"/>
    </font>
    <font>
      <sz val="12"/>
      <name val="Arial"/>
      <family val="2"/>
    </font>
    <font>
      <sz val="8"/>
      <color theme="1"/>
      <name val="Calibri"/>
      <family val="2"/>
      <scheme val="minor"/>
    </font>
    <font>
      <sz val="11"/>
      <color theme="1"/>
      <name val="Courier New"/>
      <family val="3"/>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medium">
        <color indexed="64"/>
      </bottom>
      <diagonal/>
    </border>
    <border>
      <left style="thin">
        <color indexed="64"/>
      </left>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5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8" fillId="0" borderId="0"/>
    <xf numFmtId="0" fontId="20" fillId="0" borderId="0"/>
    <xf numFmtId="0" fontId="20" fillId="0" borderId="0"/>
    <xf numFmtId="43" fontId="1" fillId="0" borderId="0" applyFont="0" applyFill="0" applyBorder="0" applyAlignment="0" applyProtection="0"/>
    <xf numFmtId="9" fontId="1" fillId="0" borderId="0" applyFont="0" applyFill="0" applyBorder="0" applyAlignment="0" applyProtection="0"/>
    <xf numFmtId="0" fontId="33" fillId="0" borderId="0" applyNumberFormat="0" applyFill="0" applyBorder="0" applyAlignment="0" applyProtection="0">
      <alignment vertical="top"/>
      <protection locked="0"/>
    </xf>
    <xf numFmtId="0" fontId="35" fillId="0" borderId="0"/>
  </cellStyleXfs>
  <cellXfs count="303">
    <xf numFmtId="0" fontId="0" fillId="0" borderId="0" xfId="0"/>
    <xf numFmtId="0" fontId="16" fillId="0" borderId="10" xfId="0" applyFont="1" applyBorder="1" applyAlignment="1">
      <alignment horizontal="center" vertical="center" wrapText="1"/>
    </xf>
    <xf numFmtId="2" fontId="0" fillId="0" borderId="0" xfId="0" applyNumberFormat="1"/>
    <xf numFmtId="165" fontId="0" fillId="0" borderId="0" xfId="0" applyNumberFormat="1"/>
    <xf numFmtId="0" fontId="0" fillId="0" borderId="0" xfId="0"/>
    <xf numFmtId="165" fontId="19" fillId="0" borderId="10" xfId="43" applyNumberFormat="1" applyFont="1" applyBorder="1" applyAlignment="1">
      <alignment horizontal="center" vertical="center" wrapText="1"/>
    </xf>
    <xf numFmtId="165" fontId="19" fillId="0" borderId="10" xfId="43" applyNumberFormat="1" applyFont="1" applyFill="1" applyBorder="1" applyAlignment="1">
      <alignment horizontal="center" vertical="center" wrapText="1"/>
    </xf>
    <xf numFmtId="166" fontId="0" fillId="0" borderId="0" xfId="0" applyNumberFormat="1"/>
    <xf numFmtId="0" fontId="0" fillId="0" borderId="17" xfId="0" applyFill="1" applyBorder="1" applyAlignment="1">
      <alignment horizontal="center" vertical="center" wrapText="1"/>
    </xf>
    <xf numFmtId="0" fontId="0" fillId="0" borderId="0" xfId="0" applyAlignment="1">
      <alignment horizontal="center" vertical="center"/>
    </xf>
    <xf numFmtId="0" fontId="16" fillId="0" borderId="0" xfId="0" applyFont="1" applyAlignment="1"/>
    <xf numFmtId="2" fontId="0" fillId="0" borderId="0" xfId="0" applyNumberFormat="1" applyAlignment="1">
      <alignment horizontal="center"/>
    </xf>
    <xf numFmtId="165" fontId="0" fillId="0" borderId="0" xfId="0" applyNumberFormat="1" applyAlignment="1">
      <alignment horizontal="center" vertical="center"/>
    </xf>
    <xf numFmtId="0" fontId="0" fillId="0" borderId="0" xfId="0"/>
    <xf numFmtId="2" fontId="0" fillId="0" borderId="0" xfId="0" applyNumberFormat="1" applyAlignment="1">
      <alignment horizontal="center" vertical="center"/>
    </xf>
    <xf numFmtId="0" fontId="16" fillId="0" borderId="0" xfId="0" applyFont="1" applyAlignment="1">
      <alignment horizontal="left"/>
    </xf>
    <xf numFmtId="0" fontId="0" fillId="0" borderId="0" xfId="0" applyAlignment="1">
      <alignment horizontal="left" indent="4"/>
    </xf>
    <xf numFmtId="0" fontId="0" fillId="0" borderId="0" xfId="0" applyFont="1" applyAlignment="1">
      <alignment horizontal="left" wrapText="1" indent="1"/>
    </xf>
    <xf numFmtId="0" fontId="0" fillId="0" borderId="0" xfId="0" applyFont="1" applyAlignment="1">
      <alignment horizontal="left" indent="1"/>
    </xf>
    <xf numFmtId="0" fontId="0" fillId="0" borderId="0" xfId="0" applyFont="1" applyAlignment="1">
      <alignment horizontal="left" vertical="top" wrapText="1"/>
    </xf>
    <xf numFmtId="0" fontId="0" fillId="0" borderId="0" xfId="0" applyBorder="1" applyAlignment="1">
      <alignment horizontal="center" vertical="center" wrapText="1"/>
    </xf>
    <xf numFmtId="0" fontId="0" fillId="0" borderId="0" xfId="0" applyFill="1" applyBorder="1" applyAlignment="1">
      <alignment horizontal="right"/>
    </xf>
    <xf numFmtId="0" fontId="0" fillId="0" borderId="0" xfId="0" applyAlignment="1">
      <alignment horizontal="left" indent="2"/>
    </xf>
    <xf numFmtId="0" fontId="0" fillId="0" borderId="0" xfId="0" applyAlignment="1">
      <alignment horizontal="left" indent="1"/>
    </xf>
    <xf numFmtId="0" fontId="16" fillId="0" borderId="10" xfId="0" applyFont="1" applyBorder="1" applyAlignment="1">
      <alignment horizontal="center" vertical="center" wrapText="1"/>
    </xf>
    <xf numFmtId="0" fontId="0" fillId="0" borderId="0" xfId="0"/>
    <xf numFmtId="0" fontId="16" fillId="0" borderId="0" xfId="0" applyFont="1" applyAlignment="1">
      <alignment wrapText="1"/>
    </xf>
    <xf numFmtId="0" fontId="0" fillId="0" borderId="0" xfId="0" applyFont="1" applyAlignment="1">
      <alignment wrapText="1"/>
    </xf>
    <xf numFmtId="165" fontId="0" fillId="0" borderId="0" xfId="0" applyNumberFormat="1" applyFill="1" applyAlignment="1">
      <alignment horizontal="center"/>
    </xf>
    <xf numFmtId="166" fontId="0" fillId="0" borderId="0" xfId="0" applyNumberFormat="1" applyFill="1" applyAlignment="1">
      <alignment horizontal="center" vertical="center"/>
    </xf>
    <xf numFmtId="3" fontId="0" fillId="0" borderId="0" xfId="0" applyNumberFormat="1" applyFill="1" applyAlignment="1">
      <alignment horizontal="center" vertical="center"/>
    </xf>
    <xf numFmtId="165" fontId="0" fillId="0" borderId="0" xfId="0" applyNumberFormat="1" applyFill="1" applyAlignment="1">
      <alignment horizontal="center" vertical="center"/>
    </xf>
    <xf numFmtId="3" fontId="0" fillId="0" borderId="0" xfId="0" applyNumberFormat="1" applyFill="1"/>
    <xf numFmtId="0" fontId="0" fillId="0" borderId="0" xfId="0" applyFont="1" applyAlignment="1">
      <alignment horizontal="left" indent="2"/>
    </xf>
    <xf numFmtId="0" fontId="0" fillId="0" borderId="0" xfId="0"/>
    <xf numFmtId="0" fontId="0" fillId="0" borderId="0" xfId="0"/>
    <xf numFmtId="0" fontId="0" fillId="0" borderId="0" xfId="0" applyAlignment="1">
      <alignment horizontal="center" vertical="center"/>
    </xf>
    <xf numFmtId="0" fontId="0" fillId="0" borderId="10" xfId="0" applyFont="1" applyBorder="1" applyAlignment="1">
      <alignment horizontal="center" vertical="center" wrapText="1"/>
    </xf>
    <xf numFmtId="0" fontId="0" fillId="0" borderId="10" xfId="0" applyBorder="1" applyAlignment="1">
      <alignment horizontal="center" vertical="center" wrapText="1"/>
    </xf>
    <xf numFmtId="0" fontId="16" fillId="0" borderId="0" xfId="0" applyFont="1" applyFill="1"/>
    <xf numFmtId="0" fontId="0" fillId="0" borderId="0" xfId="0" applyFont="1" applyAlignment="1">
      <alignment horizontal="center" vertical="center" wrapText="1"/>
    </xf>
    <xf numFmtId="0" fontId="16" fillId="0" borderId="0" xfId="0" applyFont="1" applyFill="1" applyBorder="1" applyAlignment="1">
      <alignment horizontal="center" vertical="center" wrapText="1"/>
    </xf>
    <xf numFmtId="0" fontId="0" fillId="0" borderId="0" xfId="0"/>
    <xf numFmtId="0" fontId="0" fillId="0" borderId="0" xfId="0"/>
    <xf numFmtId="0" fontId="0" fillId="0" borderId="0" xfId="0" applyFill="1" applyBorder="1"/>
    <xf numFmtId="4" fontId="0" fillId="0" borderId="0" xfId="0" applyNumberFormat="1" applyFont="1" applyBorder="1" applyAlignment="1">
      <alignment horizontal="center" vertical="center" wrapText="1"/>
    </xf>
    <xf numFmtId="2" fontId="0" fillId="0" borderId="0" xfId="0" applyNumberFormat="1" applyFont="1" applyBorder="1" applyAlignment="1">
      <alignment horizontal="center" vertical="center" wrapText="1"/>
    </xf>
    <xf numFmtId="165" fontId="0" fillId="0" borderId="0" xfId="0" applyNumberFormat="1" applyFont="1" applyBorder="1" applyAlignment="1">
      <alignment horizontal="center" vertical="center" wrapText="1"/>
    </xf>
    <xf numFmtId="0" fontId="0" fillId="0" borderId="0" xfId="0" applyAlignment="1">
      <alignment horizontal="left" indent="3"/>
    </xf>
    <xf numFmtId="0" fontId="16" fillId="0" borderId="0" xfId="0" applyNumberFormat="1" applyFont="1" applyFill="1"/>
    <xf numFmtId="4" fontId="0" fillId="0" borderId="0" xfId="0" applyNumberFormat="1" applyFill="1" applyAlignment="1">
      <alignment horizontal="center" vertical="center"/>
    </xf>
    <xf numFmtId="0" fontId="21" fillId="0" borderId="0" xfId="0" applyFont="1" applyFill="1"/>
    <xf numFmtId="0" fontId="0" fillId="0" borderId="0" xfId="0" quotePrefix="1" applyFill="1" applyAlignment="1">
      <alignment horizontal="left" wrapText="1" indent="2"/>
    </xf>
    <xf numFmtId="0" fontId="27" fillId="0" borderId="0" xfId="0" applyFont="1" applyFill="1" applyAlignment="1">
      <alignment horizontal="left" wrapText="1"/>
    </xf>
    <xf numFmtId="0" fontId="0" fillId="0" borderId="0" xfId="0" quotePrefix="1" applyFill="1" applyAlignment="1">
      <alignment horizontal="left" wrapText="1"/>
    </xf>
    <xf numFmtId="0" fontId="16" fillId="0" borderId="0" xfId="0" applyFont="1" applyFill="1" applyAlignment="1">
      <alignment horizontal="left" wrapText="1" indent="1"/>
    </xf>
    <xf numFmtId="3" fontId="0" fillId="0" borderId="0" xfId="0" applyNumberFormat="1" applyFill="1" applyAlignment="1">
      <alignment horizontal="center"/>
    </xf>
    <xf numFmtId="0" fontId="0" fillId="0" borderId="0" xfId="0" applyFill="1" applyAlignment="1">
      <alignment horizontal="center"/>
    </xf>
    <xf numFmtId="166" fontId="0" fillId="0" borderId="0" xfId="0" applyNumberFormat="1" applyFill="1" applyAlignment="1">
      <alignment horizontal="center"/>
    </xf>
    <xf numFmtId="49" fontId="0" fillId="0" borderId="0" xfId="0" applyNumberFormat="1" applyFill="1"/>
    <xf numFmtId="0" fontId="0" fillId="0" borderId="0" xfId="0" applyFont="1" applyFill="1" applyAlignment="1">
      <alignment horizontal="left" vertical="top"/>
    </xf>
    <xf numFmtId="0" fontId="0" fillId="0" borderId="0" xfId="0" applyFill="1" applyAlignment="1">
      <alignment horizontal="left" vertical="top"/>
    </xf>
    <xf numFmtId="0" fontId="0" fillId="0" borderId="0" xfId="0" applyFill="1" applyBorder="1" applyAlignment="1">
      <alignment horizontal="center" vertical="center" wrapText="1"/>
    </xf>
    <xf numFmtId="49" fontId="16" fillId="0" borderId="0" xfId="0" applyNumberFormat="1" applyFont="1" applyFill="1" applyBorder="1" applyAlignment="1">
      <alignment horizontal="center" vertical="center" wrapText="1"/>
    </xf>
    <xf numFmtId="0" fontId="0" fillId="0" borderId="0" xfId="0" applyFill="1"/>
    <xf numFmtId="2" fontId="0" fillId="0" borderId="0" xfId="0" applyNumberFormat="1" applyFill="1" applyAlignment="1">
      <alignment horizontal="center"/>
    </xf>
    <xf numFmtId="0" fontId="16" fillId="0" borderId="0" xfId="0" applyFont="1" applyFill="1"/>
    <xf numFmtId="2" fontId="0" fillId="0" borderId="0" xfId="0" applyNumberFormat="1" applyFill="1" applyAlignment="1">
      <alignment horizontal="center" vertical="center"/>
    </xf>
    <xf numFmtId="0" fontId="0" fillId="0" borderId="0" xfId="0" applyFont="1" applyFill="1" applyAlignment="1">
      <alignment horizontal="left" indent="1"/>
    </xf>
    <xf numFmtId="0" fontId="0" fillId="0" borderId="0" xfId="0" applyFill="1" applyAlignment="1">
      <alignment horizontal="left" indent="1"/>
    </xf>
    <xf numFmtId="0" fontId="0" fillId="0" borderId="0" xfId="0" applyFill="1" applyBorder="1"/>
    <xf numFmtId="0" fontId="16" fillId="0" borderId="0" xfId="0" applyFont="1" applyFill="1" applyAlignment="1">
      <alignment wrapText="1"/>
    </xf>
    <xf numFmtId="0" fontId="16" fillId="0" borderId="10" xfId="0"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Fill="1" applyBorder="1" applyAlignment="1">
      <alignment horizontal="center" vertical="center"/>
    </xf>
    <xf numFmtId="0" fontId="0" fillId="0" borderId="12"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0" xfId="0" applyFill="1" applyAlignment="1">
      <alignment wrapText="1"/>
    </xf>
    <xf numFmtId="0" fontId="0" fillId="0" borderId="0" xfId="0"/>
    <xf numFmtId="0" fontId="0" fillId="0" borderId="0" xfId="0" applyAlignment="1">
      <alignment horizontal="left"/>
    </xf>
    <xf numFmtId="0" fontId="16" fillId="0" borderId="0" xfId="0" applyFont="1"/>
    <xf numFmtId="0" fontId="0" fillId="0" borderId="0" xfId="0" applyAlignment="1">
      <alignment wrapText="1"/>
    </xf>
    <xf numFmtId="0" fontId="0" fillId="0" borderId="11" xfId="0" applyBorder="1" applyAlignment="1">
      <alignment horizontal="center"/>
    </xf>
    <xf numFmtId="0" fontId="16" fillId="0" borderId="10"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10" xfId="0" applyFont="1" applyBorder="1" applyAlignment="1">
      <alignment horizontal="center"/>
    </xf>
    <xf numFmtId="0" fontId="0" fillId="0" borderId="0" xfId="0" applyFont="1" applyFill="1" applyBorder="1"/>
    <xf numFmtId="0" fontId="16" fillId="0" borderId="12"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4" xfId="0" applyFont="1" applyBorder="1" applyAlignment="1">
      <alignment horizontal="center" vertical="center" wrapText="1"/>
    </xf>
    <xf numFmtId="165" fontId="19" fillId="0" borderId="10" xfId="43" applyNumberFormat="1" applyFont="1" applyBorder="1" applyAlignment="1">
      <alignment horizontal="center" vertical="center" wrapText="1"/>
    </xf>
    <xf numFmtId="0" fontId="0" fillId="0" borderId="0" xfId="0" applyFill="1" applyBorder="1"/>
    <xf numFmtId="0" fontId="16" fillId="0" borderId="0" xfId="0" applyFont="1" applyFill="1" applyAlignment="1">
      <alignment wrapText="1"/>
    </xf>
    <xf numFmtId="0" fontId="16" fillId="0" borderId="10" xfId="0" applyFont="1" applyFill="1" applyBorder="1" applyAlignment="1">
      <alignment horizontal="center" vertical="center" wrapText="1"/>
    </xf>
    <xf numFmtId="0" fontId="0" fillId="0" borderId="21" xfId="0" applyFont="1" applyBorder="1" applyAlignment="1">
      <alignment horizontal="center" vertical="center" wrapText="1"/>
    </xf>
    <xf numFmtId="0" fontId="0" fillId="0" borderId="11" xfId="0" applyFill="1" applyBorder="1" applyAlignment="1">
      <alignment horizontal="center"/>
    </xf>
    <xf numFmtId="0" fontId="0" fillId="0" borderId="10"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4" xfId="0" applyFill="1" applyBorder="1" applyAlignment="1">
      <alignment horizontal="center" vertical="center" wrapText="1"/>
    </xf>
    <xf numFmtId="0" fontId="0" fillId="0" borderId="13"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16" xfId="0" applyFill="1" applyBorder="1" applyAlignment="1">
      <alignment horizontal="center" vertical="center" wrapText="1"/>
    </xf>
    <xf numFmtId="0" fontId="0" fillId="0" borderId="10" xfId="0" applyFill="1" applyBorder="1" applyAlignment="1">
      <alignment horizontal="center" vertical="center"/>
    </xf>
    <xf numFmtId="0" fontId="0" fillId="0" borderId="0" xfId="0" applyFill="1" applyAlignment="1">
      <alignment wrapText="1"/>
    </xf>
    <xf numFmtId="0" fontId="0" fillId="0" borderId="12" xfId="0" applyFill="1" applyBorder="1" applyAlignment="1">
      <alignment horizontal="center"/>
    </xf>
    <xf numFmtId="0" fontId="0" fillId="0" borderId="13" xfId="0" applyFill="1" applyBorder="1" applyAlignment="1">
      <alignment horizontal="center"/>
    </xf>
    <xf numFmtId="0" fontId="0" fillId="0" borderId="10" xfId="0" applyFill="1" applyBorder="1" applyAlignment="1">
      <alignment horizontal="center"/>
    </xf>
    <xf numFmtId="0" fontId="16" fillId="0" borderId="0" xfId="0" applyFont="1" applyFill="1"/>
    <xf numFmtId="0" fontId="0" fillId="0" borderId="0" xfId="0" applyFont="1" applyFill="1"/>
    <xf numFmtId="0" fontId="16" fillId="0" borderId="0" xfId="0" applyFont="1" applyFill="1" applyAlignment="1">
      <alignment horizontal="center" vertical="center" wrapText="1"/>
    </xf>
    <xf numFmtId="0" fontId="16" fillId="0" borderId="10" xfId="0" applyFont="1" applyFill="1" applyBorder="1" applyAlignment="1">
      <alignment horizontal="center"/>
    </xf>
    <xf numFmtId="0" fontId="16" fillId="0" borderId="10" xfId="0" applyFont="1" applyFill="1" applyBorder="1" applyAlignment="1">
      <alignment horizontal="center" vertical="center"/>
    </xf>
    <xf numFmtId="0" fontId="16" fillId="0" borderId="0" xfId="0" applyFont="1" applyFill="1" applyAlignment="1">
      <alignment horizontal="center"/>
    </xf>
    <xf numFmtId="0" fontId="16" fillId="0" borderId="0" xfId="0" applyFont="1" applyFill="1" applyAlignment="1">
      <alignment horizontal="center" vertical="center"/>
    </xf>
    <xf numFmtId="165" fontId="0" fillId="0" borderId="0" xfId="0" applyNumberFormat="1" applyFont="1" applyFill="1" applyAlignment="1">
      <alignment horizontal="center" vertical="center"/>
    </xf>
    <xf numFmtId="3" fontId="0" fillId="0" borderId="0" xfId="0" applyNumberFormat="1" applyFont="1" applyFill="1" applyAlignment="1">
      <alignment horizontal="center" vertical="center"/>
    </xf>
    <xf numFmtId="0" fontId="0" fillId="0" borderId="0" xfId="0" applyFill="1" applyAlignment="1">
      <alignment horizontal="center" vertical="center" wrapText="1"/>
    </xf>
    <xf numFmtId="171" fontId="37" fillId="0" borderId="0" xfId="0" applyNumberFormat="1" applyFont="1" applyFill="1"/>
    <xf numFmtId="164" fontId="34" fillId="0" borderId="0" xfId="0" applyNumberFormat="1" applyFont="1" applyFill="1"/>
    <xf numFmtId="169" fontId="34" fillId="0" borderId="0" xfId="47" applyNumberFormat="1" applyFont="1" applyFill="1"/>
    <xf numFmtId="164" fontId="34" fillId="0" borderId="0" xfId="0" applyNumberFormat="1" applyFont="1" applyFill="1" applyAlignment="1">
      <alignment horizontal="right"/>
    </xf>
    <xf numFmtId="164" fontId="34" fillId="0" borderId="0" xfId="49" applyNumberFormat="1" applyFont="1" applyFill="1" applyAlignment="1">
      <alignment horizontal="right" vertical="center"/>
    </xf>
    <xf numFmtId="0" fontId="16" fillId="0" borderId="15" xfId="0" applyFont="1" applyFill="1" applyBorder="1" applyAlignment="1">
      <alignment horizontal="center" vertical="center" wrapText="1"/>
    </xf>
    <xf numFmtId="0" fontId="16" fillId="0" borderId="0" xfId="0" applyFont="1" applyFill="1" applyBorder="1" applyAlignment="1">
      <alignment horizontal="center" vertical="center"/>
    </xf>
    <xf numFmtId="0" fontId="16" fillId="0" borderId="18"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6" fillId="0" borderId="12"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14" xfId="0" applyFont="1" applyFill="1" applyBorder="1" applyAlignment="1">
      <alignment horizontal="center" vertical="center"/>
    </xf>
    <xf numFmtId="0" fontId="0" fillId="0" borderId="0" xfId="0" applyFill="1" applyAlignment="1"/>
    <xf numFmtId="0" fontId="0" fillId="0" borderId="0" xfId="0" applyFill="1" applyAlignment="1">
      <alignment horizontal="left" vertical="top" wrapText="1"/>
    </xf>
    <xf numFmtId="0" fontId="16" fillId="0" borderId="0" xfId="0" applyFont="1" applyFill="1" applyAlignment="1"/>
    <xf numFmtId="0" fontId="33" fillId="0" borderId="0" xfId="48" applyFill="1" applyAlignment="1" applyProtection="1"/>
    <xf numFmtId="166" fontId="0" fillId="0" borderId="0" xfId="0" applyNumberFormat="1" applyFill="1" applyBorder="1" applyAlignment="1">
      <alignment horizontal="center" vertical="center" wrapText="1"/>
    </xf>
    <xf numFmtId="0" fontId="0" fillId="0" borderId="0" xfId="0" applyFill="1" applyAlignment="1">
      <alignment horizontal="center" vertical="center"/>
    </xf>
    <xf numFmtId="0" fontId="0" fillId="0" borderId="14" xfId="0" applyFill="1" applyBorder="1" applyAlignment="1">
      <alignment horizontal="center"/>
    </xf>
    <xf numFmtId="0" fontId="0" fillId="0" borderId="0" xfId="0" applyFill="1"/>
    <xf numFmtId="2" fontId="0" fillId="0" borderId="0" xfId="0" applyNumberFormat="1" applyFill="1"/>
    <xf numFmtId="165" fontId="0" fillId="0" borderId="0" xfId="0" applyNumberFormat="1" applyFill="1"/>
    <xf numFmtId="0" fontId="16" fillId="0" borderId="0" xfId="0" applyFont="1" applyFill="1" applyAlignment="1">
      <alignment horizontal="left" vertical="top" wrapText="1"/>
    </xf>
    <xf numFmtId="2" fontId="0" fillId="0" borderId="0" xfId="0" applyNumberFormat="1" applyFill="1" applyAlignment="1">
      <alignment horizontal="right"/>
    </xf>
    <xf numFmtId="0" fontId="19" fillId="0" borderId="0" xfId="0" applyFont="1" applyFill="1" applyAlignment="1">
      <alignment horizontal="left"/>
    </xf>
    <xf numFmtId="165" fontId="19" fillId="0" borderId="0" xfId="0" applyNumberFormat="1" applyFont="1" applyFill="1"/>
    <xf numFmtId="3" fontId="0" fillId="0" borderId="0" xfId="0" applyNumberFormat="1" applyFill="1" applyAlignment="1">
      <alignment horizontal="right"/>
    </xf>
    <xf numFmtId="0" fontId="0" fillId="0" borderId="0" xfId="0" applyFill="1" applyAlignment="1">
      <alignment horizontal="right"/>
    </xf>
    <xf numFmtId="3" fontId="16" fillId="0" borderId="0" xfId="0" applyNumberFormat="1" applyFont="1" applyFill="1" applyAlignment="1">
      <alignment horizontal="center"/>
    </xf>
    <xf numFmtId="4" fontId="0" fillId="0" borderId="0" xfId="0" applyNumberForma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3" fontId="0" fillId="0" borderId="0" xfId="0" applyNumberFormat="1" applyFill="1" applyBorder="1" applyAlignment="1">
      <alignment horizontal="center" vertical="center" wrapText="1"/>
    </xf>
    <xf numFmtId="165" fontId="0" fillId="0" borderId="0" xfId="0" applyNumberFormat="1" applyFill="1" applyBorder="1" applyAlignment="1">
      <alignment horizontal="center" vertical="center" wrapText="1"/>
    </xf>
    <xf numFmtId="166" fontId="0" fillId="0" borderId="0" xfId="0" applyNumberFormat="1" applyFill="1"/>
    <xf numFmtId="4" fontId="0" fillId="0" borderId="0" xfId="0" applyNumberFormat="1" applyFill="1"/>
    <xf numFmtId="0" fontId="0" fillId="0" borderId="0" xfId="0" applyFill="1" applyAlignment="1">
      <alignment horizontal="center" vertical="center" wrapText="1"/>
    </xf>
    <xf numFmtId="4" fontId="0" fillId="0" borderId="0" xfId="0" applyNumberFormat="1" applyFill="1" applyAlignment="1">
      <alignment horizontal="right"/>
    </xf>
    <xf numFmtId="1" fontId="0" fillId="0" borderId="0" xfId="0" applyNumberFormat="1" applyFill="1" applyAlignment="1">
      <alignment horizontal="center"/>
    </xf>
    <xf numFmtId="0" fontId="0" fillId="0" borderId="0" xfId="0" applyFill="1" applyAlignment="1">
      <alignment horizontal="left"/>
    </xf>
    <xf numFmtId="0" fontId="16" fillId="0" borderId="11" xfId="0" applyFont="1" applyFill="1" applyBorder="1" applyAlignment="1">
      <alignment horizontal="center"/>
    </xf>
    <xf numFmtId="0" fontId="16" fillId="0" borderId="12"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16" fillId="0" borderId="0" xfId="0" applyFont="1" applyFill="1" applyAlignment="1">
      <alignment horizontal="center" wrapText="1"/>
    </xf>
    <xf numFmtId="0" fontId="0" fillId="0" borderId="0" xfId="0" applyFont="1" applyFill="1" applyAlignment="1">
      <alignment horizontal="center" wrapText="1"/>
    </xf>
    <xf numFmtId="0" fontId="0" fillId="0" borderId="0" xfId="0" applyFill="1" applyAlignment="1">
      <alignment horizontal="center" wrapText="1"/>
    </xf>
    <xf numFmtId="0" fontId="16" fillId="0" borderId="10" xfId="0" applyFont="1" applyFill="1" applyBorder="1" applyAlignment="1">
      <alignment horizontal="center" vertical="center"/>
    </xf>
    <xf numFmtId="167" fontId="0" fillId="0" borderId="0" xfId="0" applyNumberFormat="1" applyFill="1" applyAlignment="1">
      <alignment horizontal="center" vertical="center"/>
    </xf>
    <xf numFmtId="0" fontId="0" fillId="0" borderId="0" xfId="0" applyNumberFormat="1" applyFill="1"/>
    <xf numFmtId="0" fontId="0" fillId="0" borderId="0" xfId="0" applyNumberFormat="1" applyFill="1"/>
    <xf numFmtId="0" fontId="0" fillId="0" borderId="0" xfId="0" applyNumberFormat="1" applyFill="1" applyAlignment="1">
      <alignment wrapText="1"/>
    </xf>
    <xf numFmtId="0" fontId="0" fillId="0" borderId="0" xfId="0" applyNumberFormat="1" applyFill="1" applyAlignment="1"/>
    <xf numFmtId="0" fontId="16" fillId="0" borderId="22" xfId="0" applyFont="1" applyFill="1" applyBorder="1"/>
    <xf numFmtId="3" fontId="0" fillId="0" borderId="22" xfId="0" applyNumberFormat="1" applyFill="1" applyBorder="1" applyAlignment="1">
      <alignment horizontal="center"/>
    </xf>
    <xf numFmtId="4" fontId="0" fillId="0" borderId="22" xfId="0" applyNumberFormat="1" applyFill="1" applyBorder="1" applyAlignment="1">
      <alignment horizontal="center"/>
    </xf>
    <xf numFmtId="4" fontId="0" fillId="0" borderId="0" xfId="0" applyNumberFormat="1" applyFill="1" applyBorder="1" applyAlignment="1">
      <alignment horizontal="center"/>
    </xf>
    <xf numFmtId="3" fontId="0" fillId="0" borderId="0" xfId="0" applyNumberFormat="1" applyFill="1" applyBorder="1" applyAlignment="1">
      <alignment horizontal="center"/>
    </xf>
    <xf numFmtId="14" fontId="0" fillId="0" borderId="0" xfId="0" applyNumberFormat="1" applyFill="1"/>
    <xf numFmtId="0" fontId="16" fillId="0" borderId="12" xfId="0" applyFont="1" applyFill="1" applyBorder="1" applyAlignment="1">
      <alignment horizontal="center" vertical="center" wrapText="1"/>
    </xf>
    <xf numFmtId="0" fontId="0" fillId="0" borderId="17" xfId="0" applyFill="1" applyBorder="1"/>
    <xf numFmtId="0" fontId="0" fillId="0" borderId="20" xfId="0" applyFill="1" applyBorder="1"/>
    <xf numFmtId="1" fontId="0" fillId="0" borderId="0" xfId="0" applyNumberFormat="1" applyFill="1" applyAlignment="1">
      <alignment horizontal="center" vertical="center"/>
    </xf>
    <xf numFmtId="3" fontId="0" fillId="0" borderId="17" xfId="0" applyNumberFormat="1" applyFill="1" applyBorder="1" applyAlignment="1">
      <alignment horizontal="center" vertical="center"/>
    </xf>
    <xf numFmtId="3" fontId="0" fillId="0" borderId="0" xfId="0" applyNumberFormat="1" applyFill="1" applyBorder="1" applyAlignment="1">
      <alignment horizontal="center" vertical="center"/>
    </xf>
    <xf numFmtId="1" fontId="0" fillId="0" borderId="0" xfId="0" applyNumberFormat="1" applyFill="1" applyBorder="1" applyAlignment="1">
      <alignment horizontal="center" vertical="center"/>
    </xf>
    <xf numFmtId="3" fontId="0" fillId="0" borderId="22" xfId="0" applyNumberFormat="1" applyFill="1" applyBorder="1" applyAlignment="1">
      <alignment horizontal="center" vertical="center"/>
    </xf>
    <xf numFmtId="1" fontId="0" fillId="0" borderId="22" xfId="0" applyNumberFormat="1" applyFill="1" applyBorder="1" applyAlignment="1">
      <alignment horizontal="center" vertical="center"/>
    </xf>
    <xf numFmtId="3" fontId="0" fillId="0" borderId="23" xfId="0" applyNumberFormat="1" applyFill="1" applyBorder="1" applyAlignment="1">
      <alignment horizontal="center" vertical="center"/>
    </xf>
    <xf numFmtId="0" fontId="16" fillId="0" borderId="0" xfId="0" applyFont="1" applyFill="1" applyBorder="1"/>
    <xf numFmtId="0" fontId="0" fillId="0" borderId="0" xfId="0" applyFont="1" applyFill="1" applyAlignment="1">
      <alignment horizontal="center" vertical="center"/>
    </xf>
    <xf numFmtId="2" fontId="0" fillId="0" borderId="22" xfId="0" applyNumberFormat="1" applyFill="1" applyBorder="1" applyAlignment="1">
      <alignment horizontal="center" vertical="center"/>
    </xf>
    <xf numFmtId="165" fontId="0" fillId="0" borderId="22" xfId="0" applyNumberFormat="1" applyFill="1" applyBorder="1" applyAlignment="1">
      <alignment horizontal="center" vertical="center"/>
    </xf>
    <xf numFmtId="0" fontId="0" fillId="0" borderId="0" xfId="0" applyNumberFormat="1" applyFill="1" applyAlignment="1">
      <alignment horizontal="left" vertical="top" wrapText="1"/>
    </xf>
    <xf numFmtId="1" fontId="16" fillId="0" borderId="0" xfId="0" applyNumberFormat="1" applyFont="1" applyFill="1" applyAlignment="1">
      <alignment horizontal="center"/>
    </xf>
    <xf numFmtId="0" fontId="16" fillId="0" borderId="0" xfId="0" applyFont="1" applyFill="1" applyAlignment="1">
      <alignment horizontal="center" vertical="center" wrapText="1"/>
    </xf>
    <xf numFmtId="0" fontId="16" fillId="0" borderId="12" xfId="0" applyFont="1" applyFill="1" applyBorder="1" applyAlignment="1">
      <alignment horizontal="center" vertical="center"/>
    </xf>
    <xf numFmtId="0" fontId="0" fillId="0" borderId="0" xfId="0" applyFill="1" applyAlignment="1">
      <alignment horizontal="left"/>
    </xf>
    <xf numFmtId="0" fontId="0" fillId="0" borderId="0" xfId="0" applyFill="1" applyAlignment="1">
      <alignment vertical="center"/>
    </xf>
    <xf numFmtId="6" fontId="0" fillId="0" borderId="0" xfId="0" applyNumberFormat="1" applyFill="1" applyAlignment="1">
      <alignment horizontal="center"/>
    </xf>
    <xf numFmtId="6" fontId="0" fillId="0" borderId="0" xfId="0" applyNumberFormat="1" applyFill="1"/>
    <xf numFmtId="10" fontId="0" fillId="0" borderId="0" xfId="0" applyNumberFormat="1" applyFill="1"/>
    <xf numFmtId="0" fontId="31" fillId="0" borderId="0" xfId="0" applyFont="1" applyFill="1" applyAlignment="1">
      <alignment horizontal="left" vertical="top" wrapText="1"/>
    </xf>
    <xf numFmtId="0" fontId="31" fillId="0" borderId="0" xfId="0" applyFont="1" applyFill="1"/>
    <xf numFmtId="0" fontId="31" fillId="0" borderId="0" xfId="0" applyFont="1" applyFill="1" applyAlignment="1">
      <alignment horizontal="left" wrapText="1"/>
    </xf>
    <xf numFmtId="0" fontId="16" fillId="0" borderId="0" xfId="0" applyFont="1" applyFill="1" applyAlignment="1">
      <alignment horizontal="center" vertical="center"/>
    </xf>
    <xf numFmtId="0" fontId="16" fillId="0" borderId="0" xfId="0" applyFont="1" applyFill="1" applyAlignment="1">
      <alignment horizontal="left"/>
    </xf>
    <xf numFmtId="2" fontId="0" fillId="0" borderId="0" xfId="0" applyNumberFormat="1" applyFill="1" applyAlignment="1">
      <alignment horizontal="center" vertical="center" wrapText="1"/>
    </xf>
    <xf numFmtId="165" fontId="0" fillId="0" borderId="0" xfId="0" applyNumberFormat="1" applyFill="1" applyBorder="1"/>
    <xf numFmtId="0" fontId="0" fillId="0" borderId="11" xfId="0" applyFill="1" applyBorder="1" applyAlignment="1">
      <alignment horizontal="center" wrapText="1"/>
    </xf>
    <xf numFmtId="0" fontId="0" fillId="0" borderId="0" xfId="0" applyFill="1" applyBorder="1" applyAlignment="1">
      <alignment horizontal="center" vertical="center" wrapText="1"/>
    </xf>
    <xf numFmtId="0" fontId="0" fillId="0" borderId="20" xfId="0" applyFill="1" applyBorder="1" applyAlignment="1">
      <alignment horizontal="center" vertical="center"/>
    </xf>
    <xf numFmtId="0" fontId="0" fillId="0" borderId="21" xfId="0" applyFill="1" applyBorder="1" applyAlignment="1">
      <alignment horizontal="center" vertical="center"/>
    </xf>
    <xf numFmtId="165" fontId="0" fillId="0" borderId="0" xfId="0" applyNumberFormat="1" applyFill="1" applyBorder="1" applyAlignment="1">
      <alignment horizontal="center" vertical="center"/>
    </xf>
    <xf numFmtId="0" fontId="0" fillId="0" borderId="20" xfId="0" applyFill="1" applyBorder="1" applyAlignment="1">
      <alignment horizontal="center" vertical="center" wrapText="1"/>
    </xf>
    <xf numFmtId="0" fontId="0" fillId="0" borderId="24" xfId="0" applyFill="1" applyBorder="1" applyAlignment="1">
      <alignment horizontal="center" vertical="center" wrapText="1"/>
    </xf>
    <xf numFmtId="0" fontId="0" fillId="0" borderId="25" xfId="0" applyFill="1" applyBorder="1" applyAlignment="1">
      <alignment horizontal="center" vertical="center" wrapText="1"/>
    </xf>
    <xf numFmtId="0" fontId="0" fillId="0" borderId="0" xfId="0" applyFill="1" applyBorder="1" applyAlignment="1">
      <alignment horizontal="center" wrapText="1"/>
    </xf>
    <xf numFmtId="0" fontId="0" fillId="0" borderId="14" xfId="0" applyFill="1" applyBorder="1" applyAlignment="1">
      <alignment horizontal="center" wrapText="1"/>
    </xf>
    <xf numFmtId="0" fontId="16" fillId="0" borderId="10" xfId="0" applyFont="1" applyFill="1" applyBorder="1" applyAlignment="1">
      <alignment horizontal="center"/>
    </xf>
    <xf numFmtId="0" fontId="16" fillId="0" borderId="0" xfId="0" applyFont="1" applyFill="1" applyAlignment="1">
      <alignment horizontal="center"/>
    </xf>
    <xf numFmtId="3" fontId="0" fillId="0" borderId="0" xfId="0" applyNumberFormat="1" applyFont="1" applyFill="1" applyAlignment="1">
      <alignment horizontal="center"/>
    </xf>
    <xf numFmtId="0" fontId="0" fillId="0" borderId="0" xfId="0" applyFont="1" applyFill="1" applyAlignment="1">
      <alignment horizontal="center"/>
    </xf>
    <xf numFmtId="2" fontId="0" fillId="0" borderId="0" xfId="0" applyNumberFormat="1" applyFont="1" applyFill="1" applyAlignment="1">
      <alignment horizontal="center"/>
    </xf>
    <xf numFmtId="0" fontId="0" fillId="0" borderId="10" xfId="0" applyFill="1" applyBorder="1"/>
    <xf numFmtId="0" fontId="0" fillId="0" borderId="12" xfId="0" applyFill="1" applyBorder="1" applyAlignment="1">
      <alignment horizontal="center" vertical="center"/>
    </xf>
    <xf numFmtId="0" fontId="0" fillId="0" borderId="13" xfId="0" applyFill="1" applyBorder="1" applyAlignment="1">
      <alignment horizontal="center" vertical="center"/>
    </xf>
    <xf numFmtId="0" fontId="0" fillId="0" borderId="14" xfId="0" applyFill="1" applyBorder="1" applyAlignment="1">
      <alignment horizontal="center" vertical="center"/>
    </xf>
    <xf numFmtId="2" fontId="0" fillId="0" borderId="0" xfId="0" applyNumberFormat="1" applyFont="1" applyFill="1" applyAlignment="1">
      <alignment horizontal="center" vertical="center"/>
    </xf>
    <xf numFmtId="0" fontId="16" fillId="0" borderId="0" xfId="0" applyFont="1" applyFill="1" applyAlignment="1">
      <alignment horizontal="left" vertical="top"/>
    </xf>
    <xf numFmtId="0" fontId="0" fillId="0" borderId="0" xfId="0" applyFont="1" applyFill="1" applyAlignment="1">
      <alignment horizontal="left" indent="2"/>
    </xf>
    <xf numFmtId="0" fontId="0" fillId="0" borderId="0" xfId="0" applyFill="1" applyAlignment="1">
      <alignment horizontal="left" indent="2"/>
    </xf>
    <xf numFmtId="0" fontId="16" fillId="0" borderId="0" xfId="0" applyFont="1" applyFill="1" applyBorder="1" applyAlignment="1">
      <alignment horizontal="center" vertical="center" wrapText="1"/>
    </xf>
    <xf numFmtId="168" fontId="0" fillId="0" borderId="0" xfId="46" applyNumberFormat="1" applyFont="1" applyFill="1"/>
    <xf numFmtId="0" fontId="0" fillId="0" borderId="0" xfId="0" applyFill="1" applyAlignment="1"/>
    <xf numFmtId="0" fontId="0" fillId="0" borderId="19" xfId="0" applyFill="1" applyBorder="1" applyAlignment="1">
      <alignment horizontal="center"/>
    </xf>
    <xf numFmtId="0" fontId="0" fillId="0" borderId="0" xfId="0" applyFill="1" applyBorder="1" applyAlignment="1">
      <alignment horizontal="center"/>
    </xf>
    <xf numFmtId="0" fontId="0" fillId="0" borderId="19" xfId="0" applyFill="1" applyBorder="1" applyAlignment="1">
      <alignment horizontal="center"/>
    </xf>
    <xf numFmtId="0" fontId="16" fillId="0" borderId="20"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16" fillId="0" borderId="0" xfId="0" applyFont="1" applyFill="1" applyAlignment="1">
      <alignment horizontal="center" vertical="top"/>
    </xf>
    <xf numFmtId="0" fontId="16" fillId="0" borderId="16" xfId="0" applyFont="1" applyFill="1" applyBorder="1" applyAlignment="1">
      <alignment horizontal="center" vertical="center" wrapText="1"/>
    </xf>
    <xf numFmtId="0" fontId="0" fillId="0" borderId="10" xfId="0" applyFont="1" applyFill="1" applyBorder="1" applyAlignment="1">
      <alignment horizontal="center" vertical="center" wrapText="1"/>
    </xf>
    <xf numFmtId="164" fontId="0" fillId="0" borderId="0" xfId="0" applyNumberFormat="1" applyFill="1" applyAlignment="1">
      <alignment horizontal="center" vertical="center"/>
    </xf>
    <xf numFmtId="164" fontId="0" fillId="0" borderId="0" xfId="0" applyNumberFormat="1" applyFill="1"/>
    <xf numFmtId="0" fontId="0" fillId="0" borderId="10" xfId="0" applyFont="1" applyFill="1" applyBorder="1" applyAlignment="1">
      <alignment horizontal="center"/>
    </xf>
    <xf numFmtId="2" fontId="0" fillId="0" borderId="0" xfId="0" applyNumberFormat="1" applyFill="1" applyBorder="1" applyAlignment="1">
      <alignment horizontal="center"/>
    </xf>
    <xf numFmtId="164" fontId="0" fillId="0" borderId="0" xfId="0" applyNumberFormat="1" applyFont="1" applyFill="1" applyBorder="1" applyAlignment="1">
      <alignment horizontal="center"/>
    </xf>
    <xf numFmtId="0" fontId="16" fillId="0" borderId="0" xfId="0" applyFont="1" applyFill="1" applyBorder="1" applyAlignment="1">
      <alignment horizontal="center"/>
    </xf>
    <xf numFmtId="0" fontId="16" fillId="0" borderId="0" xfId="0" applyFont="1" applyFill="1" applyBorder="1" applyAlignment="1">
      <alignment horizontal="center"/>
    </xf>
    <xf numFmtId="0" fontId="16" fillId="0" borderId="12" xfId="0" applyFont="1" applyFill="1" applyBorder="1" applyAlignment="1">
      <alignment horizontal="center"/>
    </xf>
    <xf numFmtId="0" fontId="16" fillId="0" borderId="13" xfId="0" applyFont="1" applyFill="1" applyBorder="1" applyAlignment="1">
      <alignment horizontal="center"/>
    </xf>
    <xf numFmtId="0" fontId="16" fillId="0" borderId="14" xfId="0" applyFont="1" applyFill="1" applyBorder="1" applyAlignment="1">
      <alignment horizontal="center"/>
    </xf>
    <xf numFmtId="2" fontId="0" fillId="0" borderId="0" xfId="0" applyNumberFormat="1" applyFill="1" applyBorder="1" applyAlignment="1">
      <alignment horizontal="center" vertical="center"/>
    </xf>
    <xf numFmtId="2" fontId="0" fillId="0" borderId="0" xfId="0" applyNumberFormat="1" applyFill="1" applyBorder="1" applyAlignment="1">
      <alignment horizontal="center" vertical="center"/>
    </xf>
    <xf numFmtId="2" fontId="0" fillId="0" borderId="12" xfId="0" applyNumberFormat="1" applyFill="1" applyBorder="1" applyAlignment="1">
      <alignment horizontal="center" vertical="center"/>
    </xf>
    <xf numFmtId="2" fontId="0" fillId="0" borderId="13" xfId="0" applyNumberFormat="1" applyFill="1" applyBorder="1" applyAlignment="1">
      <alignment horizontal="center" vertical="center"/>
    </xf>
    <xf numFmtId="2" fontId="0" fillId="0" borderId="14" xfId="0" applyNumberFormat="1" applyFill="1" applyBorder="1" applyAlignment="1">
      <alignment horizontal="center" vertical="center"/>
    </xf>
    <xf numFmtId="0" fontId="0" fillId="0" borderId="0" xfId="0" applyFill="1" applyAlignment="1">
      <alignment horizontal="left" vertical="top"/>
    </xf>
    <xf numFmtId="2" fontId="0" fillId="0" borderId="10" xfId="0" applyNumberFormat="1" applyFill="1" applyBorder="1" applyAlignment="1">
      <alignment horizontal="center" vertical="center"/>
    </xf>
    <xf numFmtId="164" fontId="0" fillId="0" borderId="0" xfId="0" applyNumberFormat="1" applyFill="1" applyAlignment="1">
      <alignment horizontal="center"/>
    </xf>
    <xf numFmtId="0" fontId="16" fillId="0" borderId="0" xfId="0" applyFont="1" applyFill="1" applyAlignment="1">
      <alignment horizontal="left" vertical="top"/>
    </xf>
    <xf numFmtId="0" fontId="0" fillId="0" borderId="0" xfId="0" applyFont="1" applyFill="1" applyAlignment="1">
      <alignment horizontal="right" vertical="top"/>
    </xf>
    <xf numFmtId="167" fontId="0" fillId="0" borderId="0" xfId="0" applyNumberFormat="1" applyFill="1"/>
    <xf numFmtId="170" fontId="0" fillId="0" borderId="0" xfId="46" applyNumberFormat="1" applyFont="1" applyFill="1"/>
    <xf numFmtId="170" fontId="0" fillId="0" borderId="0" xfId="0" applyNumberFormat="1" applyFill="1"/>
    <xf numFmtId="165" fontId="19" fillId="0" borderId="10" xfId="43" applyNumberFormat="1" applyFont="1" applyFill="1" applyBorder="1" applyAlignment="1">
      <alignment horizontal="center" vertical="center" wrapText="1"/>
    </xf>
    <xf numFmtId="4" fontId="0" fillId="0" borderId="0" xfId="0" applyNumberFormat="1" applyFill="1" applyAlignment="1">
      <alignment horizontal="center" vertical="center" wrapText="1"/>
    </xf>
    <xf numFmtId="49" fontId="16" fillId="0" borderId="12" xfId="0" applyNumberFormat="1" applyFont="1" applyFill="1" applyBorder="1" applyAlignment="1">
      <alignment horizontal="center"/>
    </xf>
    <xf numFmtId="49" fontId="16" fillId="0" borderId="13" xfId="0" applyNumberFormat="1" applyFont="1" applyFill="1" applyBorder="1" applyAlignment="1">
      <alignment horizontal="center"/>
    </xf>
    <xf numFmtId="49" fontId="16" fillId="0" borderId="14" xfId="0" applyNumberFormat="1" applyFont="1" applyFill="1" applyBorder="1" applyAlignment="1">
      <alignment horizontal="center"/>
    </xf>
    <xf numFmtId="0" fontId="0" fillId="0" borderId="0" xfId="0" applyFill="1" applyAlignment="1">
      <alignment vertical="top"/>
    </xf>
    <xf numFmtId="1" fontId="0" fillId="0" borderId="0" xfId="0" applyNumberFormat="1" applyFill="1"/>
    <xf numFmtId="0" fontId="21" fillId="0" borderId="0" xfId="42" applyFont="1" applyFill="1" applyAlignment="1">
      <alignment horizontal="left" wrapText="1"/>
    </xf>
    <xf numFmtId="49" fontId="16" fillId="0" borderId="12" xfId="0" applyNumberFormat="1" applyFont="1" applyFill="1" applyBorder="1" applyAlignment="1">
      <alignment horizontal="center" vertical="center" wrapText="1"/>
    </xf>
    <xf numFmtId="49" fontId="16" fillId="0" borderId="13" xfId="0" applyNumberFormat="1" applyFont="1" applyFill="1" applyBorder="1" applyAlignment="1">
      <alignment horizontal="center" vertical="center" wrapText="1"/>
    </xf>
    <xf numFmtId="49" fontId="16" fillId="0" borderId="14" xfId="0" applyNumberFormat="1" applyFont="1" applyFill="1" applyBorder="1" applyAlignment="1">
      <alignment horizontal="center" vertical="center" wrapText="1"/>
    </xf>
    <xf numFmtId="165" fontId="19" fillId="0" borderId="0" xfId="42" applyNumberFormat="1" applyFont="1" applyFill="1"/>
    <xf numFmtId="0" fontId="19" fillId="0" borderId="0" xfId="42" applyFont="1" applyFill="1" applyAlignment="1">
      <alignment horizontal="left"/>
    </xf>
    <xf numFmtId="0" fontId="0" fillId="0" borderId="0" xfId="0" applyFont="1" applyFill="1" applyAlignment="1">
      <alignment wrapText="1"/>
    </xf>
    <xf numFmtId="0" fontId="16" fillId="0" borderId="0" xfId="0" applyFont="1" applyFill="1" applyAlignment="1">
      <alignment vertical="top" wrapText="1"/>
    </xf>
    <xf numFmtId="0" fontId="16" fillId="0" borderId="0" xfId="0" applyFont="1" applyFill="1" applyAlignment="1">
      <alignment vertical="top" wrapText="1"/>
    </xf>
    <xf numFmtId="0" fontId="0" fillId="0" borderId="0" xfId="0" applyFill="1" applyAlignment="1">
      <alignment horizontal="left" vertical="top" wrapText="1"/>
    </xf>
    <xf numFmtId="0" fontId="0" fillId="0" borderId="11" xfId="0" applyFill="1" applyBorder="1" applyAlignment="1">
      <alignment horizontal="center" vertical="center" wrapText="1"/>
    </xf>
    <xf numFmtId="0" fontId="16" fillId="0" borderId="0" xfId="0" applyFont="1" applyFill="1" applyAlignment="1"/>
    <xf numFmtId="0" fontId="0" fillId="0" borderId="21" xfId="0" applyFill="1" applyBorder="1" applyAlignment="1">
      <alignment horizontal="center"/>
    </xf>
    <xf numFmtId="166" fontId="0" fillId="0" borderId="0" xfId="0" applyNumberFormat="1" applyFill="1" applyBorder="1" applyAlignment="1">
      <alignment horizontal="center" vertical="center"/>
    </xf>
    <xf numFmtId="3" fontId="0" fillId="0" borderId="0" xfId="0" applyNumberFormat="1" applyFill="1" applyAlignment="1">
      <alignment horizontal="center" vertical="center"/>
    </xf>
    <xf numFmtId="49" fontId="16" fillId="0" borderId="0" xfId="0" applyNumberFormat="1" applyFont="1" applyFill="1"/>
    <xf numFmtId="169" fontId="0" fillId="0" borderId="0" xfId="47" applyNumberFormat="1" applyFont="1" applyFill="1"/>
    <xf numFmtId="14" fontId="16" fillId="0" borderId="0" xfId="0" applyNumberFormat="1" applyFont="1" applyFill="1"/>
    <xf numFmtId="1" fontId="16" fillId="0" borderId="0" xfId="0" applyNumberFormat="1" applyFont="1" applyFill="1"/>
    <xf numFmtId="49" fontId="21" fillId="0" borderId="0" xfId="0" applyNumberFormat="1" applyFont="1" applyFill="1"/>
    <xf numFmtId="10" fontId="0" fillId="0" borderId="0" xfId="47" applyNumberFormat="1" applyFont="1" applyFill="1"/>
    <xf numFmtId="0" fontId="29" fillId="0" borderId="0" xfId="0" applyFont="1" applyFill="1" applyAlignment="1">
      <alignment wrapText="1"/>
    </xf>
    <xf numFmtId="0" fontId="30" fillId="0" borderId="0" xfId="0" applyFont="1" applyFill="1" applyAlignment="1">
      <alignment wrapText="1"/>
    </xf>
    <xf numFmtId="0" fontId="27" fillId="0" borderId="0" xfId="0" applyFont="1" applyFill="1" applyAlignment="1">
      <alignment wrapText="1"/>
    </xf>
    <xf numFmtId="0" fontId="0" fillId="0" borderId="0" xfId="0" applyFill="1" applyAlignment="1">
      <alignment horizontal="left" wrapText="1" indent="2"/>
    </xf>
    <xf numFmtId="0" fontId="16" fillId="0" borderId="0" xfId="0" applyFont="1" applyFill="1" applyAlignment="1">
      <alignment horizontal="left" indent="1"/>
    </xf>
    <xf numFmtId="0" fontId="0" fillId="0" borderId="0" xfId="0" applyFont="1" applyFill="1" applyAlignment="1">
      <alignment horizontal="left" wrapText="1" indent="2"/>
    </xf>
    <xf numFmtId="0" fontId="0" fillId="0" borderId="0" xfId="0" quotePrefix="1" applyFill="1" applyAlignment="1">
      <alignment horizontal="left" vertical="top" wrapText="1" indent="2"/>
    </xf>
    <xf numFmtId="0" fontId="16" fillId="0" borderId="0" xfId="0" applyFont="1" applyFill="1" applyAlignment="1">
      <alignment horizontal="left" vertical="top" wrapText="1" indent="1"/>
    </xf>
    <xf numFmtId="0" fontId="0" fillId="0" borderId="0" xfId="0" applyFont="1" applyFill="1" applyAlignment="1">
      <alignment horizontal="left" vertical="top" wrapText="1" indent="2"/>
    </xf>
    <xf numFmtId="0" fontId="0" fillId="0" borderId="0" xfId="0" quotePrefix="1" applyFill="1" applyAlignment="1">
      <alignment horizontal="left" wrapText="1" indent="1"/>
    </xf>
    <xf numFmtId="0" fontId="28" fillId="0" borderId="0" xfId="0" applyFont="1" applyFill="1"/>
  </cellXfs>
  <cellStyles count="5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6"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8" builtinId="8"/>
    <cellStyle name="Input" xfId="9" builtinId="20" customBuiltin="1"/>
    <cellStyle name="Linked Cell" xfId="12" builtinId="24" customBuiltin="1"/>
    <cellStyle name="Neutral" xfId="8" builtinId="28" customBuiltin="1"/>
    <cellStyle name="Normal" xfId="0" builtinId="0"/>
    <cellStyle name="Normal 2" xfId="49"/>
    <cellStyle name="Normal 2 2" xfId="44"/>
    <cellStyle name="Normal 2 3" xfId="45"/>
    <cellStyle name="Normal 3" xfId="42"/>
    <cellStyle name="Normal 4" xfId="43"/>
    <cellStyle name="Note" xfId="15" builtinId="10" customBuiltin="1"/>
    <cellStyle name="Output" xfId="10" builtinId="21" customBuiltin="1"/>
    <cellStyle name="Percent" xfId="47" builtinId="5"/>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colors>
    <mruColors>
      <color rgb="FFFF8585"/>
    </mruColors>
  </colors>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11"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calcChain" Target="calcChain.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theme" Target="theme/theme1.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styles" Target="style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sheetPr codeName="Sheet1"/>
  <dimension ref="A1:G27"/>
  <sheetViews>
    <sheetView workbookViewId="0">
      <selection activeCell="B35" sqref="B35"/>
    </sheetView>
  </sheetViews>
  <sheetFormatPr defaultRowHeight="15"/>
  <cols>
    <col min="1" max="1" width="42.7109375" customWidth="1"/>
    <col min="2" max="6" width="8.42578125" customWidth="1"/>
  </cols>
  <sheetData>
    <row r="1" spans="1:7">
      <c r="A1" s="80" t="s">
        <v>1091</v>
      </c>
      <c r="B1" s="80"/>
      <c r="C1" s="80"/>
      <c r="D1" s="80"/>
      <c r="E1" s="80"/>
      <c r="F1" s="80"/>
    </row>
    <row r="2" spans="1:7" ht="30">
      <c r="B2" s="24" t="s">
        <v>1031</v>
      </c>
      <c r="C2" s="24" t="s">
        <v>1032</v>
      </c>
      <c r="D2" s="24" t="s">
        <v>25</v>
      </c>
      <c r="E2" s="24" t="s">
        <v>26</v>
      </c>
      <c r="F2" s="24" t="s">
        <v>662</v>
      </c>
    </row>
    <row r="3" spans="1:7" s="25" customFormat="1">
      <c r="A3" s="10" t="s">
        <v>63</v>
      </c>
      <c r="B3" s="10"/>
      <c r="C3" s="10"/>
      <c r="D3" s="10"/>
      <c r="E3" s="10"/>
      <c r="F3" s="10"/>
    </row>
    <row r="4" spans="1:7" ht="15" customHeight="1">
      <c r="A4" s="17" t="s">
        <v>793</v>
      </c>
      <c r="B4" s="17"/>
      <c r="C4" s="17"/>
      <c r="D4" s="17"/>
      <c r="E4" s="17"/>
      <c r="F4" s="17"/>
    </row>
    <row r="5" spans="1:7">
      <c r="A5" s="33" t="s">
        <v>116</v>
      </c>
      <c r="B5" s="14">
        <f>'18c'!B8</f>
        <v>3.3174834966293476</v>
      </c>
      <c r="C5" s="14">
        <f>'18c'!C8</f>
        <v>2.6517796888446465</v>
      </c>
      <c r="D5" s="14">
        <f>'18c'!D8</f>
        <v>4.3947051418774752</v>
      </c>
      <c r="E5" s="14">
        <f>'18c'!E8</f>
        <v>2.2020891196163017</v>
      </c>
      <c r="F5" s="14">
        <f>'18c'!F8</f>
        <v>5.1738248057880742</v>
      </c>
      <c r="G5" s="2">
        <f>F5-E5</f>
        <v>2.9717356861717725</v>
      </c>
    </row>
    <row r="6" spans="1:7" ht="30">
      <c r="A6" s="17" t="s">
        <v>1085</v>
      </c>
      <c r="B6" s="18"/>
      <c r="C6" s="18"/>
      <c r="D6" s="18"/>
      <c r="E6" s="18"/>
      <c r="F6" s="18"/>
    </row>
    <row r="7" spans="1:7">
      <c r="A7" s="22" t="s">
        <v>113</v>
      </c>
      <c r="B7" s="14">
        <f>'18c'!B14</f>
        <v>2.0140600032527489</v>
      </c>
      <c r="C7" s="14">
        <f>'18c'!C14</f>
        <v>1.3073873902708311</v>
      </c>
      <c r="D7" s="14">
        <f>'18c'!D14</f>
        <v>4.8437924734938242</v>
      </c>
      <c r="E7" s="14">
        <f>'18c'!E14</f>
        <v>1.1904626347162939</v>
      </c>
      <c r="F7" s="14">
        <f>'18c'!F14</f>
        <v>2.4878212318284687</v>
      </c>
      <c r="G7" s="2">
        <f>F7-E7</f>
        <v>1.2973585971121748</v>
      </c>
    </row>
    <row r="8" spans="1:7">
      <c r="A8" s="22" t="s">
        <v>833</v>
      </c>
      <c r="B8" s="14">
        <f>'18c'!B15</f>
        <v>0.29022581724160712</v>
      </c>
      <c r="C8" s="14">
        <f>'18c'!C15</f>
        <v>0.26736963055189034</v>
      </c>
      <c r="D8" s="14">
        <f>'18c'!D15</f>
        <v>0.10040526764480695</v>
      </c>
      <c r="E8" s="14">
        <f>'18c'!E15</f>
        <v>0.26977297529178784</v>
      </c>
      <c r="F8" s="14">
        <f>'18c'!F15</f>
        <v>-1.4373191664397005E-2</v>
      </c>
      <c r="G8" s="2">
        <f>F8-E8</f>
        <v>-0.28414616695618483</v>
      </c>
    </row>
    <row r="9" spans="1:7">
      <c r="A9" s="22" t="s">
        <v>1086</v>
      </c>
      <c r="B9" s="14">
        <f>'18c'!B16</f>
        <v>1.0977526526424952</v>
      </c>
      <c r="C9" s="14">
        <f>'18c'!C16</f>
        <v>1.2719326099890906</v>
      </c>
      <c r="D9" s="14">
        <f>'18c'!D16</f>
        <v>-0.58112632696082445</v>
      </c>
      <c r="E9" s="14">
        <f>'18c'!E16</f>
        <v>0.7144407591027927</v>
      </c>
      <c r="F9" s="14">
        <f>'18c'!F16</f>
        <v>2.6910057784173085</v>
      </c>
      <c r="G9" s="2">
        <f>F9-E9</f>
        <v>1.9765650193145157</v>
      </c>
    </row>
    <row r="10" spans="1:7">
      <c r="A10" s="25"/>
      <c r="B10" s="9"/>
      <c r="C10" s="9"/>
      <c r="D10" s="9"/>
      <c r="E10" s="9"/>
      <c r="F10" s="9"/>
    </row>
    <row r="11" spans="1:7" s="25" customFormat="1">
      <c r="A11" s="26" t="s">
        <v>670</v>
      </c>
      <c r="B11" s="10"/>
      <c r="C11" s="10"/>
      <c r="D11" s="10"/>
      <c r="E11" s="10"/>
      <c r="F11" s="10"/>
    </row>
    <row r="12" spans="1:7">
      <c r="A12" s="27" t="s">
        <v>793</v>
      </c>
      <c r="B12" s="27"/>
      <c r="C12" s="27"/>
      <c r="D12" s="27"/>
      <c r="E12" s="27"/>
      <c r="F12" s="27"/>
    </row>
    <row r="13" spans="1:7">
      <c r="A13" s="33" t="s">
        <v>116</v>
      </c>
      <c r="B13" s="14">
        <f>'19c'!B8</f>
        <v>3.0130368921454931</v>
      </c>
      <c r="C13" s="14">
        <f>'19c'!C8</f>
        <v>3.1731982495676991</v>
      </c>
      <c r="D13" s="14">
        <f>'19c'!D8</f>
        <v>5.5712476985256609</v>
      </c>
      <c r="E13" s="14">
        <f>'19c'!E8</f>
        <v>2.4320317943536951</v>
      </c>
      <c r="F13" s="14">
        <f>'19c'!F8</f>
        <v>6.1238075083990262</v>
      </c>
      <c r="G13" s="2">
        <f>F13-E13</f>
        <v>3.6917757140453311</v>
      </c>
    </row>
    <row r="14" spans="1:7" ht="30">
      <c r="A14" s="19" t="s">
        <v>1085</v>
      </c>
      <c r="B14" s="18"/>
      <c r="C14" s="18"/>
      <c r="D14" s="18"/>
      <c r="E14" s="18"/>
      <c r="F14" s="18"/>
    </row>
    <row r="15" spans="1:7">
      <c r="A15" s="22" t="s">
        <v>113</v>
      </c>
      <c r="B15" s="14">
        <f>'19c'!B14</f>
        <v>1.3337148334585214</v>
      </c>
      <c r="C15" s="14">
        <f>'19c'!C14</f>
        <v>1.6050933956840208</v>
      </c>
      <c r="D15" s="14">
        <f>'19c'!D14</f>
        <v>4.6741987965088549</v>
      </c>
      <c r="E15" s="14">
        <f>'19c'!E14</f>
        <v>1.1553771781955824</v>
      </c>
      <c r="F15" s="14">
        <f>'19c'!F14</f>
        <v>3.7428093492928971</v>
      </c>
      <c r="G15" s="2">
        <f>F15-E15</f>
        <v>2.5874321710973147</v>
      </c>
    </row>
    <row r="16" spans="1:7">
      <c r="A16" s="22" t="s">
        <v>833</v>
      </c>
      <c r="B16" s="14">
        <f>'19c'!B15</f>
        <v>0.68767277473408062</v>
      </c>
      <c r="C16" s="14">
        <f>'19c'!C15</f>
        <v>0.28595618651059251</v>
      </c>
      <c r="D16" s="14">
        <f>'19c'!D15</f>
        <v>0.74293208222985385</v>
      </c>
      <c r="E16" s="14">
        <f>'19c'!E15</f>
        <v>0.20966355085540594</v>
      </c>
      <c r="F16" s="14">
        <f>'19c'!F15</f>
        <v>5.7060737403433683E-2</v>
      </c>
      <c r="G16" s="2">
        <f>F16-E16</f>
        <v>-0.15260281345197227</v>
      </c>
    </row>
    <row r="17" spans="1:7">
      <c r="A17" s="22" t="s">
        <v>1086</v>
      </c>
      <c r="B17" s="14">
        <f>'19c'!B16</f>
        <v>0.858665679518407</v>
      </c>
      <c r="C17" s="14">
        <f>'19c'!C16</f>
        <v>1.2279678116411112</v>
      </c>
      <c r="D17" s="14">
        <f>'19c'!D16</f>
        <v>0.14689341268480424</v>
      </c>
      <c r="E17" s="14">
        <f>'19c'!E16</f>
        <v>0.95941870529446027</v>
      </c>
      <c r="F17" s="14">
        <f>'19c'!F16</f>
        <v>2.400415841386176</v>
      </c>
      <c r="G17" s="2">
        <f>F17-E17</f>
        <v>1.4409971360917158</v>
      </c>
    </row>
    <row r="18" spans="1:7">
      <c r="B18" s="9"/>
      <c r="C18" s="9"/>
      <c r="D18" s="9"/>
      <c r="E18" s="9"/>
      <c r="F18" s="9"/>
    </row>
    <row r="19" spans="1:7" s="25" customFormat="1">
      <c r="A19" s="15" t="s">
        <v>671</v>
      </c>
      <c r="B19" s="15"/>
      <c r="C19" s="15"/>
      <c r="D19" s="15"/>
      <c r="E19" s="15"/>
      <c r="F19" s="15"/>
    </row>
    <row r="20" spans="1:7">
      <c r="A20" s="17" t="s">
        <v>793</v>
      </c>
      <c r="B20" s="18"/>
      <c r="C20" s="18"/>
      <c r="D20" s="18"/>
      <c r="E20" s="18"/>
      <c r="F20" s="18"/>
    </row>
    <row r="21" spans="1:7">
      <c r="A21" s="33" t="s">
        <v>116</v>
      </c>
      <c r="B21" s="14">
        <f>'20c'!B8</f>
        <v>2.1729861384746529</v>
      </c>
      <c r="C21" s="14">
        <f>'20c'!C8</f>
        <v>1.6166448117176158</v>
      </c>
      <c r="D21" s="14">
        <f>'20c'!D8</f>
        <v>2.7760019544520009</v>
      </c>
      <c r="E21" s="14">
        <f>'20c'!E8</f>
        <v>4.0294879217863899</v>
      </c>
      <c r="F21" s="14">
        <f>'20c'!F8</f>
        <v>0.49556509566726081</v>
      </c>
      <c r="G21" s="2">
        <f>F21-E21</f>
        <v>-3.5339228261191291</v>
      </c>
    </row>
    <row r="22" spans="1:7" ht="30">
      <c r="A22" s="17" t="s">
        <v>1085</v>
      </c>
      <c r="B22" s="18"/>
      <c r="C22" s="18"/>
      <c r="D22" s="18"/>
      <c r="E22" s="18"/>
      <c r="F22" s="18"/>
    </row>
    <row r="23" spans="1:7">
      <c r="A23" s="22" t="s">
        <v>113</v>
      </c>
      <c r="B23" s="14">
        <f>'20c'!B14</f>
        <v>0.37957167286559734</v>
      </c>
      <c r="C23" s="14">
        <f>'20c'!C14</f>
        <v>0.16570246944727085</v>
      </c>
      <c r="D23" s="14">
        <f>'20c'!D14</f>
        <v>-0.52110163859562242</v>
      </c>
      <c r="E23" s="14">
        <f>'20c'!E14</f>
        <v>3.2439790237627442</v>
      </c>
      <c r="F23" s="14">
        <f>'20c'!F14</f>
        <v>0.75750627719037844</v>
      </c>
      <c r="G23" s="2">
        <f>F23-E23</f>
        <v>-2.4864727465723657</v>
      </c>
    </row>
    <row r="24" spans="1:7">
      <c r="A24" s="22" t="s">
        <v>833</v>
      </c>
      <c r="B24" s="14">
        <f>'20c'!B15</f>
        <v>0.63252641059431003</v>
      </c>
      <c r="C24" s="14">
        <f>'20c'!C15</f>
        <v>0.5236152605331319</v>
      </c>
      <c r="D24" s="14">
        <f>'20c'!D15</f>
        <v>0.42875816890062579</v>
      </c>
      <c r="E24" s="14">
        <f>'20c'!E15</f>
        <v>0.38201078424552393</v>
      </c>
      <c r="F24" s="14">
        <f>'20c'!F15</f>
        <v>0.52905723080456446</v>
      </c>
      <c r="G24" s="2">
        <f>F24-E24</f>
        <v>0.14704644655904053</v>
      </c>
    </row>
    <row r="25" spans="1:7">
      <c r="A25" s="22" t="s">
        <v>1086</v>
      </c>
      <c r="B25" s="14">
        <f>'20c'!B16</f>
        <v>1.0777070055987399</v>
      </c>
      <c r="C25" s="14">
        <f>'20c'!C16</f>
        <v>0.75149223421396072</v>
      </c>
      <c r="D25" s="14">
        <f>'20c'!D16</f>
        <v>2.4838404733161923</v>
      </c>
      <c r="E25" s="14">
        <f>'20c'!E16</f>
        <v>0.35732120943270868</v>
      </c>
      <c r="F25" s="14">
        <f>'20c'!F16</f>
        <v>-0.75736041165559198</v>
      </c>
      <c r="G25" s="2">
        <f>F25-E25</f>
        <v>-1.1146816210883006</v>
      </c>
    </row>
    <row r="26" spans="1:7">
      <c r="A26" s="78"/>
      <c r="B26" s="78"/>
      <c r="C26" s="78"/>
      <c r="D26" s="78"/>
      <c r="E26" s="78"/>
      <c r="F26" s="78"/>
    </row>
    <row r="27" spans="1:7">
      <c r="A27" s="79" t="s">
        <v>1092</v>
      </c>
      <c r="B27" s="79"/>
      <c r="C27" s="79"/>
      <c r="D27" s="79"/>
      <c r="E27" s="79"/>
      <c r="F27" s="79"/>
    </row>
  </sheetData>
  <mergeCells count="3">
    <mergeCell ref="A26:F26"/>
    <mergeCell ref="A27:F27"/>
    <mergeCell ref="A1:F1"/>
  </mergeCells>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Sheet10"/>
  <dimension ref="A1:U18"/>
  <sheetViews>
    <sheetView view="pageBreakPreview" zoomScale="70" zoomScaleNormal="70" zoomScaleSheetLayoutView="70" workbookViewId="0">
      <selection activeCell="AC38" sqref="AC38"/>
    </sheetView>
  </sheetViews>
  <sheetFormatPr defaultRowHeight="15" outlineLevelRow="1"/>
  <cols>
    <col min="1" max="1" width="9.140625" style="64"/>
    <col min="2" max="2" width="14.5703125" style="64" customWidth="1"/>
    <col min="3" max="3" width="11.28515625" style="64" customWidth="1"/>
    <col min="4" max="4" width="11.7109375" style="64" customWidth="1"/>
    <col min="5" max="5" width="11.28515625" style="64" customWidth="1"/>
    <col min="6" max="6" width="16" style="64" customWidth="1"/>
    <col min="7" max="7" width="10.28515625" style="64" customWidth="1"/>
    <col min="8" max="8" width="12" style="64" customWidth="1"/>
    <col min="9" max="9" width="11.28515625" style="64" customWidth="1"/>
    <col min="10" max="10" width="11" style="64" customWidth="1"/>
    <col min="11" max="11" width="12.28515625" style="64" customWidth="1"/>
    <col min="12" max="12" width="15.28515625" style="64" customWidth="1"/>
    <col min="13" max="13" width="11" style="64" customWidth="1"/>
    <col min="14" max="14" width="12.140625" style="64" customWidth="1"/>
    <col min="15" max="15" width="13.140625" style="64" customWidth="1"/>
    <col min="16" max="17" width="14.5703125" style="64" customWidth="1"/>
    <col min="18" max="18" width="12.42578125" style="64" customWidth="1"/>
    <col min="19" max="19" width="13.140625" style="64" customWidth="1"/>
    <col min="20" max="21" width="13.85546875" style="64" customWidth="1"/>
    <col min="22" max="16384" width="9.140625" style="64"/>
  </cols>
  <sheetData>
    <row r="1" spans="1:21">
      <c r="A1" s="66" t="s">
        <v>1949</v>
      </c>
    </row>
    <row r="2" spans="1:21">
      <c r="B2" s="248" t="s">
        <v>1114</v>
      </c>
      <c r="C2" s="249"/>
      <c r="D2" s="249"/>
      <c r="E2" s="249"/>
      <c r="F2" s="249"/>
      <c r="G2" s="249"/>
      <c r="H2" s="249"/>
      <c r="I2" s="249"/>
      <c r="J2" s="249"/>
      <c r="K2" s="250"/>
      <c r="L2" s="248" t="s">
        <v>1113</v>
      </c>
      <c r="M2" s="249"/>
      <c r="N2" s="249"/>
      <c r="O2" s="249"/>
      <c r="P2" s="249"/>
      <c r="Q2" s="249"/>
      <c r="R2" s="249"/>
      <c r="S2" s="249"/>
      <c r="T2" s="249"/>
      <c r="U2" s="250"/>
    </row>
    <row r="3" spans="1:21">
      <c r="B3" s="248" t="s">
        <v>1117</v>
      </c>
      <c r="C3" s="249"/>
      <c r="D3" s="249"/>
      <c r="E3" s="249"/>
      <c r="F3" s="250"/>
      <c r="G3" s="248" t="s">
        <v>1116</v>
      </c>
      <c r="H3" s="249"/>
      <c r="I3" s="249"/>
      <c r="J3" s="249"/>
      <c r="K3" s="250"/>
      <c r="L3" s="248" t="s">
        <v>1117</v>
      </c>
      <c r="M3" s="249"/>
      <c r="N3" s="249"/>
      <c r="O3" s="249"/>
      <c r="P3" s="250"/>
      <c r="Q3" s="248" t="s">
        <v>1116</v>
      </c>
      <c r="R3" s="249"/>
      <c r="S3" s="249"/>
      <c r="T3" s="249"/>
      <c r="U3" s="250"/>
    </row>
    <row r="4" spans="1:21">
      <c r="B4" s="73" t="s">
        <v>1106</v>
      </c>
      <c r="C4" s="97" t="s">
        <v>1108</v>
      </c>
      <c r="D4" s="97"/>
      <c r="E4" s="97"/>
      <c r="F4" s="97"/>
      <c r="G4" s="73" t="s">
        <v>1106</v>
      </c>
      <c r="H4" s="97" t="s">
        <v>1108</v>
      </c>
      <c r="I4" s="97"/>
      <c r="J4" s="97"/>
      <c r="K4" s="97"/>
      <c r="L4" s="73" t="s">
        <v>1106</v>
      </c>
      <c r="M4" s="97" t="s">
        <v>1108</v>
      </c>
      <c r="N4" s="97"/>
      <c r="O4" s="97"/>
      <c r="P4" s="97"/>
      <c r="Q4" s="73" t="s">
        <v>1106</v>
      </c>
      <c r="R4" s="97" t="s">
        <v>1108</v>
      </c>
      <c r="S4" s="97"/>
      <c r="T4" s="97"/>
      <c r="U4" s="97"/>
    </row>
    <row r="5" spans="1:21" ht="90">
      <c r="B5" s="73" t="s">
        <v>1107</v>
      </c>
      <c r="C5" s="73" t="s">
        <v>1109</v>
      </c>
      <c r="D5" s="73" t="s">
        <v>1110</v>
      </c>
      <c r="E5" s="73" t="s">
        <v>1111</v>
      </c>
      <c r="F5" s="73" t="s">
        <v>1112</v>
      </c>
      <c r="G5" s="73" t="s">
        <v>1107</v>
      </c>
      <c r="H5" s="73" t="s">
        <v>1109</v>
      </c>
      <c r="I5" s="73" t="s">
        <v>1110</v>
      </c>
      <c r="J5" s="73" t="s">
        <v>1111</v>
      </c>
      <c r="K5" s="73" t="s">
        <v>1112</v>
      </c>
      <c r="L5" s="73" t="s">
        <v>1107</v>
      </c>
      <c r="M5" s="73" t="s">
        <v>1109</v>
      </c>
      <c r="N5" s="73" t="s">
        <v>1110</v>
      </c>
      <c r="O5" s="73" t="s">
        <v>1111</v>
      </c>
      <c r="P5" s="73" t="s">
        <v>1112</v>
      </c>
      <c r="Q5" s="73" t="s">
        <v>1107</v>
      </c>
      <c r="R5" s="73" t="s">
        <v>1109</v>
      </c>
      <c r="S5" s="73" t="s">
        <v>1110</v>
      </c>
      <c r="T5" s="73" t="s">
        <v>1111</v>
      </c>
      <c r="U5" s="73" t="s">
        <v>1112</v>
      </c>
    </row>
    <row r="6" spans="1:21" hidden="1" outlineLevel="1">
      <c r="B6" s="62" t="s">
        <v>1118</v>
      </c>
      <c r="C6" s="62" t="s">
        <v>1119</v>
      </c>
      <c r="D6" s="62" t="s">
        <v>1120</v>
      </c>
      <c r="E6" s="62" t="s">
        <v>1121</v>
      </c>
      <c r="F6" s="62" t="s">
        <v>1122</v>
      </c>
      <c r="G6" s="62" t="s">
        <v>1123</v>
      </c>
      <c r="H6" s="62" t="s">
        <v>1124</v>
      </c>
      <c r="I6" s="62" t="s">
        <v>1125</v>
      </c>
      <c r="J6" s="62" t="s">
        <v>1126</v>
      </c>
      <c r="K6" s="62" t="s">
        <v>1127</v>
      </c>
      <c r="L6" s="62" t="s">
        <v>1128</v>
      </c>
      <c r="M6" s="62" t="s">
        <v>1129</v>
      </c>
      <c r="N6" s="62" t="s">
        <v>1130</v>
      </c>
      <c r="O6" s="62" t="s">
        <v>1131</v>
      </c>
      <c r="P6" s="62" t="s">
        <v>1132</v>
      </c>
      <c r="Q6" s="62" t="s">
        <v>1133</v>
      </c>
      <c r="R6" s="62" t="s">
        <v>1134</v>
      </c>
      <c r="S6" s="62" t="s">
        <v>1135</v>
      </c>
      <c r="T6" s="62" t="s">
        <v>1136</v>
      </c>
      <c r="U6" s="62" t="s">
        <v>1137</v>
      </c>
    </row>
    <row r="7" spans="1:21" collapsed="1">
      <c r="A7" s="66">
        <v>2002</v>
      </c>
      <c r="B7" s="31">
        <v>100</v>
      </c>
      <c r="C7" s="31">
        <v>100</v>
      </c>
      <c r="D7" s="31">
        <v>100</v>
      </c>
      <c r="E7" s="31">
        <v>100</v>
      </c>
      <c r="F7" s="31">
        <v>100</v>
      </c>
      <c r="G7" s="31">
        <v>100</v>
      </c>
      <c r="H7" s="31">
        <v>100</v>
      </c>
      <c r="I7" s="31">
        <v>100</v>
      </c>
      <c r="J7" s="31">
        <v>100</v>
      </c>
      <c r="K7" s="31">
        <v>100</v>
      </c>
      <c r="L7" s="31">
        <v>100</v>
      </c>
      <c r="M7" s="31">
        <v>100</v>
      </c>
      <c r="N7" s="31">
        <v>100</v>
      </c>
      <c r="O7" s="31">
        <v>100</v>
      </c>
      <c r="P7" s="31">
        <v>100</v>
      </c>
      <c r="Q7" s="31">
        <v>100</v>
      </c>
      <c r="R7" s="31">
        <v>100</v>
      </c>
      <c r="S7" s="31">
        <v>100</v>
      </c>
      <c r="T7" s="31">
        <v>100</v>
      </c>
      <c r="U7" s="31">
        <v>100</v>
      </c>
    </row>
    <row r="8" spans="1:21">
      <c r="A8" s="66">
        <v>2003</v>
      </c>
      <c r="B8" s="31">
        <v>93.3</v>
      </c>
      <c r="C8" s="31">
        <v>94.4</v>
      </c>
      <c r="D8" s="31">
        <v>94.4</v>
      </c>
      <c r="E8" s="31">
        <v>101</v>
      </c>
      <c r="F8" s="31">
        <v>91.2</v>
      </c>
      <c r="G8" s="31">
        <v>103.5</v>
      </c>
      <c r="H8" s="31">
        <v>97.7</v>
      </c>
      <c r="I8" s="31">
        <v>98.9</v>
      </c>
      <c r="J8" s="31">
        <v>96.2</v>
      </c>
      <c r="K8" s="31">
        <v>96.9</v>
      </c>
      <c r="L8" s="31">
        <v>93.4</v>
      </c>
      <c r="M8" s="31">
        <v>94.7</v>
      </c>
      <c r="N8" s="31">
        <v>94.7</v>
      </c>
      <c r="O8" s="31">
        <v>101</v>
      </c>
      <c r="P8" s="31">
        <v>91.3</v>
      </c>
      <c r="Q8" s="31">
        <v>103.2</v>
      </c>
      <c r="R8" s="31">
        <v>100</v>
      </c>
      <c r="S8" s="31">
        <v>99.1</v>
      </c>
      <c r="T8" s="31">
        <v>105</v>
      </c>
      <c r="U8" s="31">
        <v>98.6</v>
      </c>
    </row>
    <row r="9" spans="1:21">
      <c r="A9" s="66">
        <v>2004</v>
      </c>
      <c r="B9" s="31">
        <v>91.7</v>
      </c>
      <c r="C9" s="31">
        <v>103.1</v>
      </c>
      <c r="D9" s="31">
        <v>111.3</v>
      </c>
      <c r="E9" s="31">
        <v>105.9</v>
      </c>
      <c r="F9" s="31">
        <v>91.5</v>
      </c>
      <c r="G9" s="31">
        <v>112.8</v>
      </c>
      <c r="H9" s="31">
        <v>101.4</v>
      </c>
      <c r="I9" s="31">
        <v>104.3</v>
      </c>
      <c r="J9" s="31">
        <v>96.2</v>
      </c>
      <c r="K9" s="31">
        <v>100.3</v>
      </c>
      <c r="L9" s="31">
        <v>92.2</v>
      </c>
      <c r="M9" s="31">
        <v>100.5</v>
      </c>
      <c r="N9" s="31">
        <v>111.5</v>
      </c>
      <c r="O9" s="31">
        <v>88.1</v>
      </c>
      <c r="P9" s="31">
        <v>91.8</v>
      </c>
      <c r="Q9" s="31">
        <v>112.3</v>
      </c>
      <c r="R9" s="31">
        <v>105.9</v>
      </c>
      <c r="S9" s="31">
        <v>103.9</v>
      </c>
      <c r="T9" s="31">
        <v>119.7</v>
      </c>
      <c r="U9" s="31">
        <v>101.7</v>
      </c>
    </row>
    <row r="10" spans="1:21">
      <c r="A10" s="66">
        <v>2005</v>
      </c>
      <c r="B10" s="31">
        <v>91.2</v>
      </c>
      <c r="C10" s="31">
        <v>97.7</v>
      </c>
      <c r="D10" s="31">
        <v>101.7</v>
      </c>
      <c r="E10" s="31">
        <v>98.5</v>
      </c>
      <c r="F10" s="31">
        <v>92.5</v>
      </c>
      <c r="G10" s="31">
        <v>122.2</v>
      </c>
      <c r="H10" s="31">
        <v>100.7</v>
      </c>
      <c r="I10" s="31">
        <v>105.8</v>
      </c>
      <c r="J10" s="31">
        <v>90.7</v>
      </c>
      <c r="K10" s="31">
        <v>99.4</v>
      </c>
      <c r="L10" s="31">
        <v>92.2</v>
      </c>
      <c r="M10" s="31">
        <v>95.8</v>
      </c>
      <c r="N10" s="31">
        <v>101.9</v>
      </c>
      <c r="O10" s="31">
        <v>84.1</v>
      </c>
      <c r="P10" s="31">
        <v>93.4</v>
      </c>
      <c r="Q10" s="31">
        <v>121</v>
      </c>
      <c r="R10" s="31">
        <v>103.2</v>
      </c>
      <c r="S10" s="31">
        <v>105</v>
      </c>
      <c r="T10" s="31">
        <v>105.9</v>
      </c>
      <c r="U10" s="31">
        <v>99.4</v>
      </c>
    </row>
    <row r="11" spans="1:21">
      <c r="A11" s="66">
        <v>2006</v>
      </c>
      <c r="B11" s="31">
        <v>91.3</v>
      </c>
      <c r="C11" s="31">
        <v>94.6</v>
      </c>
      <c r="D11" s="31">
        <v>93</v>
      </c>
      <c r="E11" s="31">
        <v>101.1</v>
      </c>
      <c r="F11" s="31">
        <v>93.2</v>
      </c>
      <c r="G11" s="31">
        <v>129.6</v>
      </c>
      <c r="H11" s="31">
        <v>95.2</v>
      </c>
      <c r="I11" s="31">
        <v>100.6</v>
      </c>
      <c r="J11" s="31">
        <v>90.9</v>
      </c>
      <c r="K11" s="31">
        <v>90.7</v>
      </c>
      <c r="L11" s="31">
        <v>92.5</v>
      </c>
      <c r="M11" s="31">
        <v>91.3</v>
      </c>
      <c r="N11" s="31">
        <v>93.3</v>
      </c>
      <c r="O11" s="31">
        <v>80.099999999999994</v>
      </c>
      <c r="P11" s="31">
        <v>94.3</v>
      </c>
      <c r="Q11" s="31">
        <v>128.19999999999999</v>
      </c>
      <c r="R11" s="31">
        <v>100.5</v>
      </c>
      <c r="S11" s="31">
        <v>100.2</v>
      </c>
      <c r="T11" s="31">
        <v>117.1</v>
      </c>
      <c r="U11" s="31">
        <v>92.5</v>
      </c>
    </row>
    <row r="12" spans="1:21">
      <c r="A12" s="66">
        <v>2007</v>
      </c>
      <c r="B12" s="31">
        <v>89.5</v>
      </c>
      <c r="C12" s="31">
        <v>91.2</v>
      </c>
      <c r="D12" s="31">
        <v>87.2</v>
      </c>
      <c r="E12" s="31">
        <v>108.8</v>
      </c>
      <c r="F12" s="31">
        <v>87.5</v>
      </c>
      <c r="G12" s="31">
        <v>137.4</v>
      </c>
      <c r="H12" s="31">
        <v>86.5</v>
      </c>
      <c r="I12" s="31">
        <v>84.9</v>
      </c>
      <c r="J12" s="31">
        <v>91.5</v>
      </c>
      <c r="K12" s="31">
        <v>85.9</v>
      </c>
      <c r="L12" s="31">
        <v>91.4</v>
      </c>
      <c r="M12" s="31">
        <v>86.8</v>
      </c>
      <c r="N12" s="31">
        <v>87.6</v>
      </c>
      <c r="O12" s="31">
        <v>81.3</v>
      </c>
      <c r="P12" s="31">
        <v>88.6</v>
      </c>
      <c r="Q12" s="31">
        <v>135.69999999999999</v>
      </c>
      <c r="R12" s="31">
        <v>93.7</v>
      </c>
      <c r="S12" s="31">
        <v>86.1</v>
      </c>
      <c r="T12" s="31">
        <v>125.7</v>
      </c>
      <c r="U12" s="31">
        <v>88</v>
      </c>
    </row>
    <row r="13" spans="1:21">
      <c r="A13" s="66">
        <v>2008</v>
      </c>
      <c r="B13" s="31">
        <v>96.3</v>
      </c>
      <c r="C13" s="31">
        <v>93.1</v>
      </c>
      <c r="D13" s="31">
        <v>84.1</v>
      </c>
      <c r="E13" s="31">
        <v>113.3</v>
      </c>
      <c r="F13" s="31">
        <v>94.2</v>
      </c>
      <c r="G13" s="31">
        <v>137.4</v>
      </c>
      <c r="H13" s="31">
        <v>74.5</v>
      </c>
      <c r="I13" s="31">
        <v>63.3</v>
      </c>
      <c r="J13" s="31">
        <v>86.4</v>
      </c>
      <c r="K13" s="31">
        <v>82.7</v>
      </c>
      <c r="L13" s="31">
        <v>97.2</v>
      </c>
      <c r="M13" s="31">
        <v>87.6</v>
      </c>
      <c r="N13" s="31">
        <v>84.5</v>
      </c>
      <c r="O13" s="31">
        <v>82.1</v>
      </c>
      <c r="P13" s="31">
        <v>94.7</v>
      </c>
      <c r="Q13" s="31">
        <v>136.4</v>
      </c>
      <c r="R13" s="31">
        <v>79.5</v>
      </c>
      <c r="S13" s="31">
        <v>63.5</v>
      </c>
      <c r="T13" s="31">
        <v>115.6</v>
      </c>
      <c r="U13" s="31">
        <v>83.2</v>
      </c>
    </row>
    <row r="14" spans="1:21">
      <c r="A14" s="66">
        <v>2009</v>
      </c>
      <c r="B14" s="31">
        <v>96</v>
      </c>
      <c r="C14" s="31">
        <v>88.7</v>
      </c>
      <c r="D14" s="31">
        <v>79.3</v>
      </c>
      <c r="E14" s="31">
        <v>96.1</v>
      </c>
      <c r="F14" s="31">
        <v>96.8</v>
      </c>
      <c r="G14" s="31">
        <v>114.5</v>
      </c>
      <c r="H14" s="31">
        <v>59.6</v>
      </c>
      <c r="I14" s="31">
        <v>51.7</v>
      </c>
      <c r="J14" s="31">
        <v>73.400000000000006</v>
      </c>
      <c r="K14" s="31">
        <v>62.5</v>
      </c>
      <c r="L14" s="31">
        <v>96.2</v>
      </c>
      <c r="M14" s="31">
        <v>84.5</v>
      </c>
      <c r="N14" s="31">
        <v>79.8</v>
      </c>
      <c r="O14" s="31">
        <v>71.5</v>
      </c>
      <c r="P14" s="31">
        <v>97.5</v>
      </c>
      <c r="Q14" s="31">
        <v>114.3</v>
      </c>
      <c r="R14" s="31">
        <v>65.599999999999994</v>
      </c>
      <c r="S14" s="31">
        <v>53</v>
      </c>
      <c r="T14" s="31">
        <v>98.3</v>
      </c>
      <c r="U14" s="31">
        <v>66.2</v>
      </c>
    </row>
    <row r="15" spans="1:21">
      <c r="A15" s="66">
        <v>2010</v>
      </c>
      <c r="B15" s="31">
        <v>93.2</v>
      </c>
      <c r="C15" s="31">
        <v>90.4</v>
      </c>
      <c r="D15" s="31">
        <v>83.3</v>
      </c>
      <c r="E15" s="31">
        <v>114.1</v>
      </c>
      <c r="F15" s="31">
        <v>87.4</v>
      </c>
      <c r="G15" s="31">
        <v>132.80000000000001</v>
      </c>
      <c r="H15" s="31">
        <v>64.7</v>
      </c>
      <c r="I15" s="31">
        <v>57.3</v>
      </c>
      <c r="J15" s="31">
        <v>86.8</v>
      </c>
      <c r="K15" s="31">
        <v>62.8</v>
      </c>
      <c r="L15" s="31">
        <v>94.1</v>
      </c>
      <c r="M15" s="31">
        <v>85.3</v>
      </c>
      <c r="N15" s="31">
        <v>83.6</v>
      </c>
      <c r="O15" s="31">
        <v>84.5</v>
      </c>
      <c r="P15" s="31">
        <v>88</v>
      </c>
      <c r="Q15" s="31">
        <v>131.9</v>
      </c>
      <c r="R15" s="31">
        <v>71.400000000000006</v>
      </c>
      <c r="S15" s="31">
        <v>58.7</v>
      </c>
      <c r="T15" s="31">
        <v>115.4</v>
      </c>
      <c r="U15" s="31">
        <v>66.7</v>
      </c>
    </row>
    <row r="16" spans="1:21">
      <c r="A16" s="66">
        <v>2011</v>
      </c>
      <c r="B16" s="31">
        <v>96.6</v>
      </c>
      <c r="C16" s="31">
        <v>89.6</v>
      </c>
      <c r="D16" s="31">
        <v>82</v>
      </c>
      <c r="E16" s="31">
        <v>110.1</v>
      </c>
      <c r="F16" s="31">
        <v>88.9</v>
      </c>
      <c r="G16" s="31">
        <v>144.4</v>
      </c>
      <c r="H16" s="31">
        <v>66.5</v>
      </c>
      <c r="I16" s="31">
        <v>61.8</v>
      </c>
      <c r="J16" s="31">
        <v>89.2</v>
      </c>
      <c r="K16" s="31">
        <v>60.9</v>
      </c>
      <c r="L16" s="31">
        <v>98.2</v>
      </c>
      <c r="M16" s="31">
        <v>85.2</v>
      </c>
      <c r="N16" s="31">
        <v>82.4</v>
      </c>
      <c r="O16" s="31">
        <v>83.6</v>
      </c>
      <c r="P16" s="31">
        <v>89.9</v>
      </c>
      <c r="Q16" s="31">
        <v>142.80000000000001</v>
      </c>
      <c r="R16" s="31">
        <v>73.599999999999994</v>
      </c>
      <c r="S16" s="31">
        <v>63.6</v>
      </c>
      <c r="T16" s="31">
        <v>119.1</v>
      </c>
      <c r="U16" s="31">
        <v>64.3</v>
      </c>
    </row>
    <row r="18" spans="1:1">
      <c r="A18" s="64" t="s">
        <v>1115</v>
      </c>
    </row>
  </sheetData>
  <mergeCells count="10">
    <mergeCell ref="R4:U4"/>
    <mergeCell ref="B2:K2"/>
    <mergeCell ref="L2:U2"/>
    <mergeCell ref="G3:K3"/>
    <mergeCell ref="B3:F3"/>
    <mergeCell ref="L3:P3"/>
    <mergeCell ref="Q3:U3"/>
    <mergeCell ref="C4:F4"/>
    <mergeCell ref="M4:P4"/>
    <mergeCell ref="H4:K4"/>
  </mergeCells>
  <pageMargins left="0.7" right="0.7" top="0.75" bottom="0.75" header="0.3" footer="0.3"/>
  <pageSetup scale="46" orientation="landscape" horizontalDpi="0" verticalDpi="0" r:id="rId1"/>
</worksheet>
</file>

<file path=xl/worksheets/sheet100.xml><?xml version="1.0" encoding="utf-8"?>
<worksheet xmlns="http://schemas.openxmlformats.org/spreadsheetml/2006/main" xmlns:r="http://schemas.openxmlformats.org/officeDocument/2006/relationships">
  <sheetPr codeName="Sheet93"/>
  <dimension ref="A1:K59"/>
  <sheetViews>
    <sheetView view="pageBreakPreview" zoomScaleNormal="100" zoomScaleSheetLayoutView="100"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6384" width="9.140625" style="64"/>
  </cols>
  <sheetData>
    <row r="1" spans="1:11" ht="30" customHeight="1">
      <c r="A1" s="93" t="s">
        <v>1824</v>
      </c>
      <c r="B1" s="93"/>
      <c r="C1" s="93"/>
      <c r="D1" s="93"/>
      <c r="E1" s="93"/>
      <c r="F1" s="93"/>
      <c r="G1" s="93"/>
      <c r="H1" s="93"/>
      <c r="I1" s="93"/>
      <c r="J1" s="93"/>
      <c r="K1" s="93"/>
    </row>
    <row r="2" spans="1:11">
      <c r="B2" s="165" t="s">
        <v>696</v>
      </c>
      <c r="C2" s="165" t="s">
        <v>697</v>
      </c>
      <c r="D2" s="165" t="s">
        <v>698</v>
      </c>
      <c r="E2" s="165" t="s">
        <v>699</v>
      </c>
      <c r="F2" s="165" t="s">
        <v>700</v>
      </c>
      <c r="G2" s="165" t="s">
        <v>701</v>
      </c>
      <c r="H2" s="165" t="s">
        <v>702</v>
      </c>
      <c r="I2" s="165" t="s">
        <v>703</v>
      </c>
      <c r="J2" s="165" t="s">
        <v>704</v>
      </c>
      <c r="K2" s="165" t="s">
        <v>705</v>
      </c>
    </row>
    <row r="3" spans="1:11" hidden="1" outlineLevel="1"/>
    <row r="4" spans="1:11" collapsed="1">
      <c r="A4" s="66">
        <v>1961</v>
      </c>
      <c r="B4" s="56">
        <v>11940.4</v>
      </c>
      <c r="C4" s="56">
        <v>470</v>
      </c>
      <c r="D4" s="56">
        <v>0</v>
      </c>
      <c r="E4" s="56">
        <v>637.9</v>
      </c>
      <c r="F4" s="56">
        <v>3848.1</v>
      </c>
      <c r="G4" s="56">
        <v>2850.2</v>
      </c>
      <c r="H4" s="56">
        <v>41.3</v>
      </c>
      <c r="I4" s="56">
        <v>0</v>
      </c>
      <c r="J4" s="56">
        <v>14.3</v>
      </c>
      <c r="K4" s="56">
        <v>4078.5</v>
      </c>
    </row>
    <row r="5" spans="1:11">
      <c r="A5" s="66">
        <v>1962</v>
      </c>
      <c r="B5" s="56">
        <v>12887.2</v>
      </c>
      <c r="C5" s="56">
        <v>426.7</v>
      </c>
      <c r="D5" s="56">
        <v>2.9</v>
      </c>
      <c r="E5" s="56">
        <v>566.4</v>
      </c>
      <c r="F5" s="56">
        <v>4052.3</v>
      </c>
      <c r="G5" s="56">
        <v>3060</v>
      </c>
      <c r="H5" s="56">
        <v>30.4</v>
      </c>
      <c r="I5" s="56">
        <v>0</v>
      </c>
      <c r="J5" s="56">
        <v>21.1</v>
      </c>
      <c r="K5" s="56">
        <v>4727.3999999999996</v>
      </c>
    </row>
    <row r="6" spans="1:11">
      <c r="A6" s="66">
        <v>1963</v>
      </c>
      <c r="B6" s="56">
        <v>13707.7</v>
      </c>
      <c r="C6" s="56">
        <v>418.5</v>
      </c>
      <c r="D6" s="56">
        <v>43.2</v>
      </c>
      <c r="E6" s="56">
        <v>584</v>
      </c>
      <c r="F6" s="56">
        <v>4148.2</v>
      </c>
      <c r="G6" s="56">
        <v>3175.2</v>
      </c>
      <c r="H6" s="56">
        <v>41.7</v>
      </c>
      <c r="I6" s="56">
        <v>7.2</v>
      </c>
      <c r="J6" s="56">
        <v>86.2</v>
      </c>
      <c r="K6" s="56">
        <v>5203.3999999999996</v>
      </c>
    </row>
    <row r="7" spans="1:11">
      <c r="A7" s="66">
        <v>1964</v>
      </c>
      <c r="B7" s="56">
        <v>14661.9</v>
      </c>
      <c r="C7" s="56">
        <v>414.4</v>
      </c>
      <c r="D7" s="56">
        <v>86.6</v>
      </c>
      <c r="E7" s="56">
        <v>660</v>
      </c>
      <c r="F7" s="56">
        <v>4321.8999999999996</v>
      </c>
      <c r="G7" s="56">
        <v>3298.6</v>
      </c>
      <c r="H7" s="56">
        <v>59.1</v>
      </c>
      <c r="I7" s="56">
        <v>10.4</v>
      </c>
      <c r="J7" s="56">
        <v>110.6</v>
      </c>
      <c r="K7" s="56">
        <v>5700.3</v>
      </c>
    </row>
    <row r="8" spans="1:11">
      <c r="A8" s="66">
        <v>1965</v>
      </c>
      <c r="B8" s="56">
        <v>15187.9</v>
      </c>
      <c r="C8" s="56">
        <v>409.1</v>
      </c>
      <c r="D8" s="56">
        <v>99.8</v>
      </c>
      <c r="E8" s="56">
        <v>662.2</v>
      </c>
      <c r="F8" s="56">
        <v>4473.2</v>
      </c>
      <c r="G8" s="56">
        <v>3362.3</v>
      </c>
      <c r="H8" s="56">
        <v>66.5</v>
      </c>
      <c r="I8" s="56">
        <v>13.4</v>
      </c>
      <c r="J8" s="56">
        <v>116.8</v>
      </c>
      <c r="K8" s="56">
        <v>5984.6</v>
      </c>
    </row>
    <row r="9" spans="1:11">
      <c r="A9" s="66">
        <v>1966</v>
      </c>
      <c r="B9" s="56">
        <v>16194.8</v>
      </c>
      <c r="C9" s="56">
        <v>399.4</v>
      </c>
      <c r="D9" s="56">
        <v>126.8</v>
      </c>
      <c r="E9" s="56">
        <v>669.2</v>
      </c>
      <c r="F9" s="56">
        <v>4763.7</v>
      </c>
      <c r="G9" s="56">
        <v>3571.1</v>
      </c>
      <c r="H9" s="56">
        <v>73.599999999999994</v>
      </c>
      <c r="I9" s="56">
        <v>14.8</v>
      </c>
      <c r="J9" s="56">
        <v>141.30000000000001</v>
      </c>
      <c r="K9" s="56">
        <v>6434.8</v>
      </c>
    </row>
    <row r="10" spans="1:11">
      <c r="A10" s="66">
        <v>1967</v>
      </c>
      <c r="B10" s="56">
        <v>15610.2</v>
      </c>
      <c r="C10" s="56">
        <v>355.9</v>
      </c>
      <c r="D10" s="56">
        <v>126.3</v>
      </c>
      <c r="E10" s="56">
        <v>638.5</v>
      </c>
      <c r="F10" s="56">
        <v>4814.8</v>
      </c>
      <c r="G10" s="56">
        <v>3563.4</v>
      </c>
      <c r="H10" s="56">
        <v>79.7</v>
      </c>
      <c r="I10" s="56">
        <v>5.8</v>
      </c>
      <c r="J10" s="56">
        <v>167.6</v>
      </c>
      <c r="K10" s="56">
        <v>6558.7</v>
      </c>
    </row>
    <row r="11" spans="1:11">
      <c r="A11" s="66">
        <v>1968</v>
      </c>
      <c r="B11" s="56">
        <v>17527.7</v>
      </c>
      <c r="C11" s="56">
        <v>290.10000000000002</v>
      </c>
      <c r="D11" s="56">
        <v>134.9</v>
      </c>
      <c r="E11" s="56">
        <v>608.6</v>
      </c>
      <c r="F11" s="56">
        <v>4801.6000000000004</v>
      </c>
      <c r="G11" s="56">
        <v>3505.4</v>
      </c>
      <c r="H11" s="56">
        <v>73.599999999999994</v>
      </c>
      <c r="I11" s="56">
        <v>0</v>
      </c>
      <c r="J11" s="56">
        <v>157.19999999999999</v>
      </c>
      <c r="K11" s="56">
        <v>7308.3</v>
      </c>
    </row>
    <row r="12" spans="1:11">
      <c r="A12" s="66">
        <v>1969</v>
      </c>
      <c r="B12" s="56">
        <v>19224.099999999999</v>
      </c>
      <c r="C12" s="56">
        <v>224.9</v>
      </c>
      <c r="D12" s="56">
        <v>165.5</v>
      </c>
      <c r="E12" s="56">
        <v>539.4</v>
      </c>
      <c r="F12" s="56">
        <v>4850.1000000000004</v>
      </c>
      <c r="G12" s="56">
        <v>3529.5</v>
      </c>
      <c r="H12" s="56">
        <v>69</v>
      </c>
      <c r="I12" s="56">
        <v>3.2</v>
      </c>
      <c r="J12" s="56">
        <v>162.69999999999999</v>
      </c>
      <c r="K12" s="56">
        <v>8075.4</v>
      </c>
    </row>
    <row r="13" spans="1:11">
      <c r="A13" s="66">
        <v>1970</v>
      </c>
      <c r="B13" s="56">
        <v>18378.3</v>
      </c>
      <c r="C13" s="56">
        <v>150.9</v>
      </c>
      <c r="D13" s="56">
        <v>181.2</v>
      </c>
      <c r="E13" s="56">
        <v>467.7</v>
      </c>
      <c r="F13" s="56">
        <v>4793.7</v>
      </c>
      <c r="G13" s="56">
        <v>3447.6</v>
      </c>
      <c r="H13" s="56">
        <v>35.5</v>
      </c>
      <c r="I13" s="56">
        <v>31.1</v>
      </c>
      <c r="J13" s="56">
        <v>175.7</v>
      </c>
      <c r="K13" s="56">
        <v>7796.9</v>
      </c>
    </row>
    <row r="14" spans="1:11">
      <c r="A14" s="66">
        <v>1971</v>
      </c>
      <c r="B14" s="56">
        <v>17757.2</v>
      </c>
      <c r="C14" s="56">
        <v>44.8</v>
      </c>
      <c r="D14" s="56">
        <v>148.4</v>
      </c>
      <c r="E14" s="56">
        <v>296.5</v>
      </c>
      <c r="F14" s="56">
        <v>4583.1000000000004</v>
      </c>
      <c r="G14" s="56">
        <v>3232.8</v>
      </c>
      <c r="H14" s="56">
        <v>5.8</v>
      </c>
      <c r="I14" s="56">
        <v>26.8</v>
      </c>
      <c r="J14" s="56">
        <v>204.8</v>
      </c>
      <c r="K14" s="56">
        <v>7840.8</v>
      </c>
    </row>
    <row r="15" spans="1:11">
      <c r="A15" s="66">
        <v>1972</v>
      </c>
      <c r="B15" s="56">
        <v>19623.599999999999</v>
      </c>
      <c r="C15" s="56">
        <v>0</v>
      </c>
      <c r="D15" s="56">
        <v>165.9</v>
      </c>
      <c r="E15" s="56">
        <v>265.2</v>
      </c>
      <c r="F15" s="56">
        <v>4892.6000000000004</v>
      </c>
      <c r="G15" s="56">
        <v>3271.7</v>
      </c>
      <c r="H15" s="56">
        <v>0</v>
      </c>
      <c r="I15" s="56">
        <v>48</v>
      </c>
      <c r="J15" s="56">
        <v>261.2</v>
      </c>
      <c r="K15" s="56">
        <v>9133.7000000000007</v>
      </c>
    </row>
    <row r="16" spans="1:11">
      <c r="A16" s="66">
        <v>1973</v>
      </c>
      <c r="B16" s="56">
        <v>24804.1</v>
      </c>
      <c r="C16" s="56">
        <v>0</v>
      </c>
      <c r="D16" s="56">
        <v>266.8</v>
      </c>
      <c r="E16" s="56">
        <v>437.9</v>
      </c>
      <c r="F16" s="56">
        <v>5799.3</v>
      </c>
      <c r="G16" s="56">
        <v>3881.2</v>
      </c>
      <c r="H16" s="56">
        <v>0</v>
      </c>
      <c r="I16" s="56">
        <v>155.6</v>
      </c>
      <c r="J16" s="56">
        <v>363</v>
      </c>
      <c r="K16" s="56">
        <v>12005.3</v>
      </c>
    </row>
    <row r="17" spans="1:11">
      <c r="A17" s="66">
        <v>1974</v>
      </c>
      <c r="B17" s="56">
        <v>31849.3</v>
      </c>
      <c r="C17" s="56">
        <v>209.7</v>
      </c>
      <c r="D17" s="56">
        <v>502.3</v>
      </c>
      <c r="E17" s="56">
        <v>1153.2</v>
      </c>
      <c r="F17" s="56">
        <v>7742.3</v>
      </c>
      <c r="G17" s="56">
        <v>5469.9</v>
      </c>
      <c r="H17" s="56">
        <v>0</v>
      </c>
      <c r="I17" s="56">
        <v>240.6</v>
      </c>
      <c r="J17" s="56">
        <v>479.6</v>
      </c>
      <c r="K17" s="56">
        <v>13875.5</v>
      </c>
    </row>
    <row r="18" spans="1:11">
      <c r="A18" s="66">
        <v>1975</v>
      </c>
      <c r="B18" s="56">
        <v>35839</v>
      </c>
      <c r="C18" s="56">
        <v>266</v>
      </c>
      <c r="D18" s="56">
        <v>748.9</v>
      </c>
      <c r="E18" s="56">
        <v>1617.8</v>
      </c>
      <c r="F18" s="56">
        <v>8888.4</v>
      </c>
      <c r="G18" s="56">
        <v>6020.1</v>
      </c>
      <c r="H18" s="56">
        <v>73</v>
      </c>
      <c r="I18" s="56">
        <v>280.89999999999998</v>
      </c>
      <c r="J18" s="56">
        <v>533.79999999999995</v>
      </c>
      <c r="K18" s="56">
        <v>15039.4</v>
      </c>
    </row>
    <row r="19" spans="1:11">
      <c r="A19" s="66">
        <v>1976</v>
      </c>
      <c r="B19" s="56">
        <v>41340.1</v>
      </c>
      <c r="C19" s="56">
        <v>287.8</v>
      </c>
      <c r="D19" s="56">
        <v>991.1</v>
      </c>
      <c r="E19" s="56">
        <v>1974.7</v>
      </c>
      <c r="F19" s="56">
        <v>9909.7999999999993</v>
      </c>
      <c r="G19" s="56">
        <v>6305.5</v>
      </c>
      <c r="H19" s="56">
        <v>103.6</v>
      </c>
      <c r="I19" s="56">
        <v>345.2</v>
      </c>
      <c r="J19" s="56">
        <v>567</v>
      </c>
      <c r="K19" s="56">
        <v>18201</v>
      </c>
    </row>
    <row r="20" spans="1:11">
      <c r="A20" s="66">
        <v>1977</v>
      </c>
      <c r="B20" s="56">
        <v>46316</v>
      </c>
      <c r="C20" s="56">
        <v>575.5</v>
      </c>
      <c r="D20" s="56">
        <v>1220.9000000000001</v>
      </c>
      <c r="E20" s="56">
        <v>2133</v>
      </c>
      <c r="F20" s="56">
        <v>11193.5</v>
      </c>
      <c r="G20" s="56">
        <v>6850.4</v>
      </c>
      <c r="H20" s="56">
        <v>93</v>
      </c>
      <c r="I20" s="56">
        <v>361.3</v>
      </c>
      <c r="J20" s="56">
        <v>577.6</v>
      </c>
      <c r="K20" s="56">
        <v>20536.3</v>
      </c>
    </row>
    <row r="21" spans="1:11">
      <c r="A21" s="66">
        <v>1978</v>
      </c>
      <c r="B21" s="56">
        <v>51208.800000000003</v>
      </c>
      <c r="C21" s="56">
        <v>867.2</v>
      </c>
      <c r="D21" s="56">
        <v>1348.8</v>
      </c>
      <c r="E21" s="56">
        <v>2071.5</v>
      </c>
      <c r="F21" s="56">
        <v>13215.9</v>
      </c>
      <c r="G21" s="56">
        <v>7150.9</v>
      </c>
      <c r="H21" s="56">
        <v>89.2</v>
      </c>
      <c r="I21" s="56">
        <v>377.1</v>
      </c>
      <c r="J21" s="56">
        <v>636.9</v>
      </c>
      <c r="K21" s="56">
        <v>22700.1</v>
      </c>
    </row>
    <row r="22" spans="1:11">
      <c r="A22" s="66">
        <v>1979</v>
      </c>
      <c r="B22" s="56">
        <v>60327</v>
      </c>
      <c r="C22" s="56">
        <v>1004.1</v>
      </c>
      <c r="D22" s="56">
        <v>1444.6</v>
      </c>
      <c r="E22" s="56">
        <v>1805.8</v>
      </c>
      <c r="F22" s="56">
        <v>15651.6</v>
      </c>
      <c r="G22" s="56">
        <v>7450.3</v>
      </c>
      <c r="H22" s="56">
        <v>92.4</v>
      </c>
      <c r="I22" s="56">
        <v>468.3</v>
      </c>
      <c r="J22" s="56">
        <v>670</v>
      </c>
      <c r="K22" s="56">
        <v>29043.8</v>
      </c>
    </row>
    <row r="23" spans="1:11">
      <c r="A23" s="66">
        <v>1980</v>
      </c>
      <c r="B23" s="56">
        <v>71302.5</v>
      </c>
      <c r="C23" s="56">
        <v>1265.9000000000001</v>
      </c>
      <c r="D23" s="56">
        <v>1725.5</v>
      </c>
      <c r="E23" s="56">
        <v>2226.5</v>
      </c>
      <c r="F23" s="56">
        <v>19106.7</v>
      </c>
      <c r="G23" s="56">
        <v>9458.2999999999993</v>
      </c>
      <c r="H23" s="56">
        <v>92.2</v>
      </c>
      <c r="I23" s="56">
        <v>560.4</v>
      </c>
      <c r="J23" s="56">
        <v>610.20000000000005</v>
      </c>
      <c r="K23" s="56">
        <v>33742.300000000003</v>
      </c>
    </row>
    <row r="24" spans="1:11">
      <c r="A24" s="66">
        <v>1981</v>
      </c>
      <c r="B24" s="56">
        <v>75656.2</v>
      </c>
      <c r="C24" s="56">
        <v>1666.9</v>
      </c>
      <c r="D24" s="56">
        <v>2106.5</v>
      </c>
      <c r="E24" s="56">
        <v>2485.5</v>
      </c>
      <c r="F24" s="56">
        <v>23063.5</v>
      </c>
      <c r="G24" s="56">
        <v>11432.3</v>
      </c>
      <c r="H24" s="56">
        <v>135.9</v>
      </c>
      <c r="I24" s="56">
        <v>617.70000000000005</v>
      </c>
      <c r="J24" s="56">
        <v>497.3</v>
      </c>
      <c r="K24" s="56">
        <v>31847.7</v>
      </c>
    </row>
    <row r="25" spans="1:11">
      <c r="A25" s="66">
        <v>1982</v>
      </c>
      <c r="B25" s="56">
        <v>70369.3</v>
      </c>
      <c r="C25" s="56">
        <v>1607</v>
      </c>
      <c r="D25" s="56">
        <v>2084.4</v>
      </c>
      <c r="E25" s="56">
        <v>2081.1</v>
      </c>
      <c r="F25" s="56">
        <v>24271.3</v>
      </c>
      <c r="G25" s="56">
        <v>11445.5</v>
      </c>
      <c r="H25" s="56">
        <v>172</v>
      </c>
      <c r="I25" s="56">
        <v>532.29999999999995</v>
      </c>
      <c r="J25" s="56">
        <v>267.2</v>
      </c>
      <c r="K25" s="56">
        <v>26511.4</v>
      </c>
    </row>
    <row r="26" spans="1:11">
      <c r="A26" s="66">
        <v>1983</v>
      </c>
      <c r="B26" s="56">
        <v>64776.7</v>
      </c>
      <c r="C26" s="56">
        <v>1075.3</v>
      </c>
      <c r="D26" s="56">
        <v>1871.2</v>
      </c>
      <c r="E26" s="56">
        <v>1855</v>
      </c>
      <c r="F26" s="56">
        <v>23577.9</v>
      </c>
      <c r="G26" s="56">
        <v>11464.4</v>
      </c>
      <c r="H26" s="56">
        <v>91.5</v>
      </c>
      <c r="I26" s="56">
        <v>337.8</v>
      </c>
      <c r="J26" s="56">
        <v>91.8</v>
      </c>
      <c r="K26" s="56">
        <v>22841.4</v>
      </c>
    </row>
    <row r="27" spans="1:11">
      <c r="A27" s="66">
        <v>1984</v>
      </c>
      <c r="B27" s="56">
        <v>57568.4</v>
      </c>
      <c r="C27" s="56">
        <v>706</v>
      </c>
      <c r="D27" s="56">
        <v>1854.2</v>
      </c>
      <c r="E27" s="56">
        <v>1739.9</v>
      </c>
      <c r="F27" s="56">
        <v>23569.3</v>
      </c>
      <c r="G27" s="56">
        <v>11843.6</v>
      </c>
      <c r="H27" s="56">
        <v>42.3</v>
      </c>
      <c r="I27" s="56">
        <v>195.8</v>
      </c>
      <c r="J27" s="56">
        <v>17.3</v>
      </c>
      <c r="K27" s="56">
        <v>15880.5</v>
      </c>
    </row>
    <row r="28" spans="1:11">
      <c r="A28" s="66">
        <v>1985</v>
      </c>
      <c r="B28" s="56">
        <v>52736.6</v>
      </c>
      <c r="C28" s="56">
        <v>374.2</v>
      </c>
      <c r="D28" s="56">
        <v>1725.3</v>
      </c>
      <c r="E28" s="56">
        <v>1184</v>
      </c>
      <c r="F28" s="56">
        <v>23767.9</v>
      </c>
      <c r="G28" s="56">
        <v>11417.9</v>
      </c>
      <c r="H28" s="56">
        <v>0</v>
      </c>
      <c r="I28" s="56">
        <v>7.8</v>
      </c>
      <c r="J28" s="56">
        <v>0</v>
      </c>
      <c r="K28" s="56">
        <v>12847.2</v>
      </c>
    </row>
    <row r="29" spans="1:11">
      <c r="A29" s="66">
        <v>1986</v>
      </c>
      <c r="B29" s="56">
        <v>60805.4</v>
      </c>
      <c r="C29" s="56">
        <v>0</v>
      </c>
      <c r="D29" s="56">
        <v>1686.9</v>
      </c>
      <c r="E29" s="56">
        <v>1531.9</v>
      </c>
      <c r="F29" s="56">
        <v>24912.7</v>
      </c>
      <c r="G29" s="56">
        <v>12435.5</v>
      </c>
      <c r="H29" s="56">
        <v>24.8</v>
      </c>
      <c r="I29" s="56">
        <v>94.1</v>
      </c>
      <c r="J29" s="56">
        <v>45.8</v>
      </c>
      <c r="K29" s="56">
        <v>18838.3</v>
      </c>
    </row>
    <row r="30" spans="1:11">
      <c r="A30" s="66">
        <v>1987</v>
      </c>
      <c r="B30" s="56">
        <v>89012.3</v>
      </c>
      <c r="C30" s="56">
        <v>0</v>
      </c>
      <c r="D30" s="56">
        <v>2290</v>
      </c>
      <c r="E30" s="56">
        <v>3960.5</v>
      </c>
      <c r="F30" s="56">
        <v>29573.1</v>
      </c>
      <c r="G30" s="56">
        <v>16760</v>
      </c>
      <c r="H30" s="56">
        <v>179.6</v>
      </c>
      <c r="I30" s="56">
        <v>586</v>
      </c>
      <c r="J30" s="56">
        <v>528.29999999999995</v>
      </c>
      <c r="K30" s="56">
        <v>34957.199999999997</v>
      </c>
    </row>
    <row r="31" spans="1:11">
      <c r="A31" s="66">
        <v>1988</v>
      </c>
      <c r="B31" s="56">
        <v>120006.5</v>
      </c>
      <c r="C31" s="56">
        <v>617.9</v>
      </c>
      <c r="D31" s="56">
        <v>3352.9</v>
      </c>
      <c r="E31" s="56">
        <v>6743.8</v>
      </c>
      <c r="F31" s="56">
        <v>36882.1</v>
      </c>
      <c r="G31" s="56">
        <v>22362.7</v>
      </c>
      <c r="H31" s="56">
        <v>476.9</v>
      </c>
      <c r="I31" s="56">
        <v>924.7</v>
      </c>
      <c r="J31" s="56">
        <v>1002.6</v>
      </c>
      <c r="K31" s="56">
        <v>48787.3</v>
      </c>
    </row>
    <row r="32" spans="1:11">
      <c r="A32" s="66">
        <v>1989</v>
      </c>
      <c r="B32" s="56">
        <v>140337.29999999999</v>
      </c>
      <c r="C32" s="56">
        <v>800.1</v>
      </c>
      <c r="D32" s="56">
        <v>4074.7</v>
      </c>
      <c r="E32" s="56">
        <v>8544</v>
      </c>
      <c r="F32" s="56">
        <v>39558</v>
      </c>
      <c r="G32" s="56">
        <v>25904.3</v>
      </c>
      <c r="H32" s="56">
        <v>616.70000000000005</v>
      </c>
      <c r="I32" s="56">
        <v>1096.9000000000001</v>
      </c>
      <c r="J32" s="56">
        <v>858.5</v>
      </c>
      <c r="K32" s="56">
        <v>61373.1</v>
      </c>
    </row>
    <row r="33" spans="1:11">
      <c r="A33" s="66">
        <v>1990</v>
      </c>
      <c r="B33" s="56">
        <v>147369.70000000001</v>
      </c>
      <c r="C33" s="56">
        <v>834.7</v>
      </c>
      <c r="D33" s="56">
        <v>4298.1000000000004</v>
      </c>
      <c r="E33" s="56">
        <v>9481.7999999999993</v>
      </c>
      <c r="F33" s="56">
        <v>38544.1</v>
      </c>
      <c r="G33" s="56">
        <v>27588.1</v>
      </c>
      <c r="H33" s="56">
        <v>656.5</v>
      </c>
      <c r="I33" s="56">
        <v>1452.8</v>
      </c>
      <c r="J33" s="56">
        <v>948.4</v>
      </c>
      <c r="K33" s="56">
        <v>66741.7</v>
      </c>
    </row>
    <row r="34" spans="1:11">
      <c r="A34" s="66">
        <v>1991</v>
      </c>
      <c r="B34" s="56">
        <v>132049.29999999999</v>
      </c>
      <c r="C34" s="56">
        <v>772</v>
      </c>
      <c r="D34" s="56">
        <v>3813.4</v>
      </c>
      <c r="E34" s="56">
        <v>8868.6</v>
      </c>
      <c r="F34" s="56">
        <v>33886.6</v>
      </c>
      <c r="G34" s="56">
        <v>23894.1</v>
      </c>
      <c r="H34" s="56">
        <v>476.5</v>
      </c>
      <c r="I34" s="56">
        <v>934.9</v>
      </c>
      <c r="J34" s="56">
        <v>591.70000000000005</v>
      </c>
      <c r="K34" s="56">
        <v>62590.400000000001</v>
      </c>
    </row>
    <row r="35" spans="1:11">
      <c r="A35" s="66">
        <v>1992</v>
      </c>
      <c r="B35" s="56">
        <v>108879.8</v>
      </c>
      <c r="C35" s="56">
        <v>533.9</v>
      </c>
      <c r="D35" s="56">
        <v>3256.6</v>
      </c>
      <c r="E35" s="56">
        <v>6989.6</v>
      </c>
      <c r="F35" s="56">
        <v>27251.8</v>
      </c>
      <c r="G35" s="56">
        <v>20464.8</v>
      </c>
      <c r="H35" s="56">
        <v>339.5</v>
      </c>
      <c r="I35" s="56">
        <v>165.1</v>
      </c>
      <c r="J35" s="56">
        <v>96.1</v>
      </c>
      <c r="K35" s="56">
        <v>53469.4</v>
      </c>
    </row>
    <row r="36" spans="1:11">
      <c r="A36" s="66">
        <v>1993</v>
      </c>
      <c r="B36" s="56">
        <v>89322.8</v>
      </c>
      <c r="C36" s="56">
        <v>188.2</v>
      </c>
      <c r="D36" s="56">
        <v>2353.6</v>
      </c>
      <c r="E36" s="56">
        <v>4757.3</v>
      </c>
      <c r="F36" s="56">
        <v>21821.8</v>
      </c>
      <c r="G36" s="56">
        <v>15646.4</v>
      </c>
      <c r="H36" s="56">
        <v>252.1</v>
      </c>
      <c r="I36" s="56">
        <v>0</v>
      </c>
      <c r="J36" s="56">
        <v>0</v>
      </c>
      <c r="K36" s="56">
        <v>48730</v>
      </c>
    </row>
    <row r="37" spans="1:11">
      <c r="A37" s="66">
        <v>1994</v>
      </c>
      <c r="B37" s="56">
        <v>96739</v>
      </c>
      <c r="C37" s="56">
        <v>422.5</v>
      </c>
      <c r="D37" s="56">
        <v>2007.8</v>
      </c>
      <c r="E37" s="56">
        <v>4767.5</v>
      </c>
      <c r="F37" s="56">
        <v>24357.9</v>
      </c>
      <c r="G37" s="56">
        <v>14775.2</v>
      </c>
      <c r="H37" s="56">
        <v>295.8</v>
      </c>
      <c r="I37" s="56">
        <v>0</v>
      </c>
      <c r="J37" s="56">
        <v>2263</v>
      </c>
      <c r="K37" s="56">
        <v>52769.3</v>
      </c>
    </row>
    <row r="38" spans="1:11">
      <c r="A38" s="66">
        <v>1995</v>
      </c>
      <c r="B38" s="56">
        <v>144236</v>
      </c>
      <c r="C38" s="56">
        <v>1571.3</v>
      </c>
      <c r="D38" s="56">
        <v>3337</v>
      </c>
      <c r="E38" s="56">
        <v>9169.4</v>
      </c>
      <c r="F38" s="56">
        <v>39695.199999999997</v>
      </c>
      <c r="G38" s="56">
        <v>21989.1</v>
      </c>
      <c r="H38" s="56">
        <v>841</v>
      </c>
      <c r="I38" s="56">
        <v>400.4</v>
      </c>
      <c r="J38" s="56">
        <v>7024.2</v>
      </c>
      <c r="K38" s="56">
        <v>65328.2</v>
      </c>
    </row>
    <row r="39" spans="1:11">
      <c r="A39" s="66">
        <v>1996</v>
      </c>
      <c r="B39" s="56">
        <v>188543.2</v>
      </c>
      <c r="C39" s="56">
        <v>2722.1</v>
      </c>
      <c r="D39" s="56">
        <v>4156</v>
      </c>
      <c r="E39" s="56">
        <v>12491.7</v>
      </c>
      <c r="F39" s="56">
        <v>53451.3</v>
      </c>
      <c r="G39" s="56">
        <v>31515.9</v>
      </c>
      <c r="H39" s="56">
        <v>1337.5</v>
      </c>
      <c r="I39" s="56">
        <v>1149.5999999999999</v>
      </c>
      <c r="J39" s="56">
        <v>10210.1</v>
      </c>
      <c r="K39" s="56">
        <v>78388.3</v>
      </c>
    </row>
    <row r="40" spans="1:11">
      <c r="A40" s="66">
        <v>1997</v>
      </c>
      <c r="B40" s="56">
        <v>225830.7</v>
      </c>
      <c r="C40" s="56">
        <v>3560.4</v>
      </c>
      <c r="D40" s="56">
        <v>4313.7</v>
      </c>
      <c r="E40" s="56">
        <v>13937.7</v>
      </c>
      <c r="F40" s="56">
        <v>66705.5</v>
      </c>
      <c r="G40" s="56">
        <v>38484.300000000003</v>
      </c>
      <c r="H40" s="56">
        <v>1632.1</v>
      </c>
      <c r="I40" s="56">
        <v>2138.4</v>
      </c>
      <c r="J40" s="56">
        <v>12945.1</v>
      </c>
      <c r="K40" s="56">
        <v>89735.4</v>
      </c>
    </row>
    <row r="41" spans="1:11">
      <c r="A41" s="66">
        <v>1998</v>
      </c>
      <c r="B41" s="56">
        <v>247107.4</v>
      </c>
      <c r="C41" s="56" t="s">
        <v>1778</v>
      </c>
      <c r="D41" s="56" t="s">
        <v>1778</v>
      </c>
      <c r="E41" s="56" t="s">
        <v>1778</v>
      </c>
      <c r="F41" s="56" t="s">
        <v>1778</v>
      </c>
      <c r="G41" s="56" t="s">
        <v>1778</v>
      </c>
      <c r="H41" s="56" t="s">
        <v>1778</v>
      </c>
      <c r="I41" s="56" t="s">
        <v>1778</v>
      </c>
      <c r="J41" s="56" t="s">
        <v>1778</v>
      </c>
      <c r="K41" s="56" t="s">
        <v>1778</v>
      </c>
    </row>
    <row r="42" spans="1:11">
      <c r="A42" s="66">
        <v>1999</v>
      </c>
      <c r="B42" s="56">
        <v>256136</v>
      </c>
      <c r="C42" s="56" t="s">
        <v>1778</v>
      </c>
      <c r="D42" s="56" t="s">
        <v>1778</v>
      </c>
      <c r="E42" s="56" t="s">
        <v>1778</v>
      </c>
      <c r="F42" s="56" t="s">
        <v>1778</v>
      </c>
      <c r="G42" s="56" t="s">
        <v>1778</v>
      </c>
      <c r="H42" s="56" t="s">
        <v>1778</v>
      </c>
      <c r="I42" s="56" t="s">
        <v>1778</v>
      </c>
      <c r="J42" s="56" t="s">
        <v>1778</v>
      </c>
      <c r="K42" s="56" t="s">
        <v>1778</v>
      </c>
    </row>
    <row r="43" spans="1:11">
      <c r="A43" s="66">
        <v>2000</v>
      </c>
      <c r="B43" s="56">
        <v>258028.1</v>
      </c>
      <c r="C43" s="56" t="s">
        <v>1778</v>
      </c>
      <c r="D43" s="56" t="s">
        <v>1778</v>
      </c>
      <c r="E43" s="56" t="s">
        <v>1778</v>
      </c>
      <c r="F43" s="56" t="s">
        <v>1778</v>
      </c>
      <c r="G43" s="56" t="s">
        <v>1778</v>
      </c>
      <c r="H43" s="56" t="s">
        <v>1778</v>
      </c>
      <c r="I43" s="56" t="s">
        <v>1778</v>
      </c>
      <c r="J43" s="56" t="s">
        <v>1778</v>
      </c>
      <c r="K43" s="56" t="s">
        <v>1778</v>
      </c>
    </row>
    <row r="44" spans="1:11">
      <c r="A44" s="66">
        <v>2001</v>
      </c>
      <c r="B44" s="56">
        <v>267112.7</v>
      </c>
      <c r="C44" s="56" t="s">
        <v>1778</v>
      </c>
      <c r="D44" s="56" t="s">
        <v>1778</v>
      </c>
      <c r="E44" s="56" t="s">
        <v>1778</v>
      </c>
      <c r="F44" s="56" t="s">
        <v>1778</v>
      </c>
      <c r="G44" s="56" t="s">
        <v>1778</v>
      </c>
      <c r="H44" s="56" t="s">
        <v>1778</v>
      </c>
      <c r="I44" s="56" t="s">
        <v>1778</v>
      </c>
      <c r="J44" s="56" t="s">
        <v>1778</v>
      </c>
      <c r="K44" s="56" t="s">
        <v>1778</v>
      </c>
    </row>
    <row r="45" spans="1:11">
      <c r="A45" s="66">
        <v>2002</v>
      </c>
      <c r="B45" s="56">
        <v>270854.59999999998</v>
      </c>
      <c r="C45" s="56" t="s">
        <v>1778</v>
      </c>
      <c r="D45" s="56" t="s">
        <v>1778</v>
      </c>
      <c r="E45" s="56" t="s">
        <v>1778</v>
      </c>
      <c r="F45" s="56" t="s">
        <v>1778</v>
      </c>
      <c r="G45" s="56" t="s">
        <v>1778</v>
      </c>
      <c r="H45" s="56" t="s">
        <v>1778</v>
      </c>
      <c r="I45" s="56" t="s">
        <v>1778</v>
      </c>
      <c r="J45" s="56" t="s">
        <v>1778</v>
      </c>
      <c r="K45" s="56" t="s">
        <v>1778</v>
      </c>
    </row>
    <row r="46" spans="1:11">
      <c r="A46" s="66">
        <v>2003</v>
      </c>
      <c r="B46" s="56">
        <v>266507.90000000002</v>
      </c>
      <c r="C46" s="56" t="s">
        <v>1778</v>
      </c>
      <c r="D46" s="56" t="s">
        <v>1778</v>
      </c>
      <c r="E46" s="56" t="s">
        <v>1778</v>
      </c>
      <c r="F46" s="56" t="s">
        <v>1778</v>
      </c>
      <c r="G46" s="56" t="s">
        <v>1778</v>
      </c>
      <c r="H46" s="56" t="s">
        <v>1778</v>
      </c>
      <c r="I46" s="56" t="s">
        <v>1778</v>
      </c>
      <c r="J46" s="56" t="s">
        <v>1778</v>
      </c>
      <c r="K46" s="56" t="s">
        <v>1778</v>
      </c>
    </row>
    <row r="47" spans="1:11">
      <c r="A47" s="66">
        <v>2004</v>
      </c>
      <c r="B47" s="56">
        <v>282528.59999999998</v>
      </c>
      <c r="C47" s="56" t="s">
        <v>1778</v>
      </c>
      <c r="D47" s="56" t="s">
        <v>1778</v>
      </c>
      <c r="E47" s="56" t="s">
        <v>1778</v>
      </c>
      <c r="F47" s="56" t="s">
        <v>1778</v>
      </c>
      <c r="G47" s="56" t="s">
        <v>1778</v>
      </c>
      <c r="H47" s="56" t="s">
        <v>1778</v>
      </c>
      <c r="I47" s="56" t="s">
        <v>1778</v>
      </c>
      <c r="J47" s="56" t="s">
        <v>1778</v>
      </c>
      <c r="K47" s="56" t="s">
        <v>1778</v>
      </c>
    </row>
    <row r="48" spans="1:11">
      <c r="A48" s="66">
        <v>2005</v>
      </c>
      <c r="B48" s="56">
        <v>256050.5</v>
      </c>
      <c r="C48" s="56" t="s">
        <v>1778</v>
      </c>
      <c r="D48" s="56" t="s">
        <v>1778</v>
      </c>
      <c r="E48" s="56" t="s">
        <v>1778</v>
      </c>
      <c r="F48" s="56" t="s">
        <v>1778</v>
      </c>
      <c r="G48" s="56" t="s">
        <v>1778</v>
      </c>
      <c r="H48" s="56" t="s">
        <v>1778</v>
      </c>
      <c r="I48" s="56" t="s">
        <v>1778</v>
      </c>
      <c r="J48" s="56" t="s">
        <v>1778</v>
      </c>
      <c r="K48" s="56" t="s">
        <v>1778</v>
      </c>
    </row>
    <row r="49" spans="1:11">
      <c r="A49" s="66">
        <v>2006</v>
      </c>
      <c r="B49" s="56">
        <v>239909.7</v>
      </c>
      <c r="C49" s="56" t="s">
        <v>1778</v>
      </c>
      <c r="D49" s="56" t="s">
        <v>1778</v>
      </c>
      <c r="E49" s="56" t="s">
        <v>1778</v>
      </c>
      <c r="F49" s="56" t="s">
        <v>1778</v>
      </c>
      <c r="G49" s="56" t="s">
        <v>1778</v>
      </c>
      <c r="H49" s="56" t="s">
        <v>1778</v>
      </c>
      <c r="I49" s="56" t="s">
        <v>1778</v>
      </c>
      <c r="J49" s="56" t="s">
        <v>1778</v>
      </c>
      <c r="K49" s="56" t="s">
        <v>1778</v>
      </c>
    </row>
    <row r="50" spans="1:11">
      <c r="A50" s="66">
        <v>2007</v>
      </c>
      <c r="B50" s="56">
        <v>220840.9</v>
      </c>
      <c r="C50" s="56" t="s">
        <v>1778</v>
      </c>
      <c r="D50" s="56" t="s">
        <v>1778</v>
      </c>
      <c r="E50" s="56" t="s">
        <v>1778</v>
      </c>
      <c r="F50" s="56" t="s">
        <v>1778</v>
      </c>
      <c r="G50" s="56" t="s">
        <v>1778</v>
      </c>
      <c r="H50" s="56" t="s">
        <v>1778</v>
      </c>
      <c r="I50" s="56" t="s">
        <v>1778</v>
      </c>
      <c r="J50" s="56" t="s">
        <v>1778</v>
      </c>
      <c r="K50" s="56" t="s">
        <v>1778</v>
      </c>
    </row>
    <row r="51" spans="1:11">
      <c r="A51" s="66">
        <v>2008</v>
      </c>
      <c r="B51" s="56">
        <v>209637.9</v>
      </c>
      <c r="C51" s="56" t="s">
        <v>1778</v>
      </c>
      <c r="D51" s="56" t="s">
        <v>1778</v>
      </c>
      <c r="E51" s="56" t="s">
        <v>1778</v>
      </c>
      <c r="F51" s="56" t="s">
        <v>1778</v>
      </c>
      <c r="G51" s="56" t="s">
        <v>1778</v>
      </c>
      <c r="H51" s="56" t="s">
        <v>1778</v>
      </c>
      <c r="I51" s="56" t="s">
        <v>1778</v>
      </c>
      <c r="J51" s="56" t="s">
        <v>1778</v>
      </c>
      <c r="K51" s="56" t="s">
        <v>1778</v>
      </c>
    </row>
    <row r="52" spans="1:11">
      <c r="A52" s="66">
        <v>2009</v>
      </c>
      <c r="B52" s="56">
        <v>166157.6</v>
      </c>
      <c r="C52" s="56" t="s">
        <v>1778</v>
      </c>
      <c r="D52" s="56" t="s">
        <v>1778</v>
      </c>
      <c r="E52" s="56" t="s">
        <v>1778</v>
      </c>
      <c r="F52" s="56" t="s">
        <v>1778</v>
      </c>
      <c r="G52" s="56" t="s">
        <v>1778</v>
      </c>
      <c r="H52" s="56" t="s">
        <v>1778</v>
      </c>
      <c r="I52" s="56" t="s">
        <v>1778</v>
      </c>
      <c r="J52" s="56" t="s">
        <v>1778</v>
      </c>
      <c r="K52" s="56" t="s">
        <v>1778</v>
      </c>
    </row>
    <row r="53" spans="1:11">
      <c r="A53" s="66">
        <v>2010</v>
      </c>
      <c r="B53" s="56">
        <v>144829.70000000001</v>
      </c>
      <c r="C53" s="56" t="s">
        <v>1778</v>
      </c>
      <c r="D53" s="56" t="s">
        <v>1778</v>
      </c>
      <c r="E53" s="56" t="s">
        <v>1778</v>
      </c>
      <c r="F53" s="56" t="s">
        <v>1778</v>
      </c>
      <c r="G53" s="56" t="s">
        <v>1778</v>
      </c>
      <c r="H53" s="56" t="s">
        <v>1778</v>
      </c>
      <c r="I53" s="56" t="s">
        <v>1778</v>
      </c>
      <c r="J53" s="56" t="s">
        <v>1778</v>
      </c>
      <c r="K53" s="56" t="s">
        <v>1778</v>
      </c>
    </row>
    <row r="54" spans="1:11">
      <c r="A54" s="66">
        <v>2011</v>
      </c>
      <c r="B54" s="56">
        <v>127705.7</v>
      </c>
      <c r="C54" s="56" t="s">
        <v>1778</v>
      </c>
      <c r="D54" s="56" t="s">
        <v>1778</v>
      </c>
      <c r="E54" s="56" t="s">
        <v>1778</v>
      </c>
      <c r="F54" s="56" t="s">
        <v>1778</v>
      </c>
      <c r="G54" s="56" t="s">
        <v>1778</v>
      </c>
      <c r="H54" s="56" t="s">
        <v>1778</v>
      </c>
      <c r="I54" s="56" t="s">
        <v>1778</v>
      </c>
      <c r="J54" s="56" t="s">
        <v>1778</v>
      </c>
      <c r="K54" s="56" t="s">
        <v>1778</v>
      </c>
    </row>
    <row r="56" spans="1:11">
      <c r="A56" s="137" t="s">
        <v>706</v>
      </c>
      <c r="B56" s="137"/>
      <c r="C56" s="137"/>
      <c r="D56" s="137"/>
      <c r="E56" s="137"/>
      <c r="F56" s="137"/>
      <c r="G56" s="137"/>
      <c r="H56" s="137"/>
      <c r="I56" s="137"/>
      <c r="J56" s="137"/>
      <c r="K56" s="137"/>
    </row>
    <row r="57" spans="1:11">
      <c r="A57" s="137" t="s">
        <v>708</v>
      </c>
      <c r="B57" s="137"/>
      <c r="C57" s="137"/>
      <c r="D57" s="137"/>
      <c r="E57" s="137"/>
      <c r="F57" s="137"/>
      <c r="G57" s="137"/>
      <c r="H57" s="137"/>
      <c r="I57" s="137"/>
      <c r="J57" s="137"/>
      <c r="K57" s="137"/>
    </row>
    <row r="58" spans="1:11" ht="60" customHeight="1">
      <c r="A58" s="104" t="s">
        <v>707</v>
      </c>
      <c r="B58" s="104"/>
      <c r="C58" s="104"/>
      <c r="D58" s="104"/>
      <c r="E58" s="104"/>
      <c r="F58" s="104"/>
      <c r="G58" s="104"/>
      <c r="H58" s="104"/>
      <c r="I58" s="104"/>
      <c r="J58" s="104"/>
      <c r="K58" s="104"/>
    </row>
    <row r="59" spans="1:11">
      <c r="A59" s="137" t="s">
        <v>710</v>
      </c>
      <c r="B59" s="137"/>
      <c r="C59" s="137"/>
      <c r="D59" s="137"/>
      <c r="E59" s="137"/>
      <c r="F59" s="137"/>
      <c r="G59" s="137"/>
      <c r="H59" s="137"/>
      <c r="I59" s="137"/>
      <c r="J59" s="137"/>
      <c r="K59" s="137"/>
    </row>
  </sheetData>
  <mergeCells count="5">
    <mergeCell ref="A1:K1"/>
    <mergeCell ref="A56:K56"/>
    <mergeCell ref="A58:K58"/>
    <mergeCell ref="A57:K57"/>
    <mergeCell ref="A59:K59"/>
  </mergeCells>
  <pageMargins left="0.7" right="0.7" top="0.75" bottom="0.75" header="0.3" footer="0.3"/>
  <pageSetup scale="75" orientation="portrait" horizontalDpi="0" verticalDpi="0" r:id="rId1"/>
</worksheet>
</file>

<file path=xl/worksheets/sheet101.xml><?xml version="1.0" encoding="utf-8"?>
<worksheet xmlns="http://schemas.openxmlformats.org/spreadsheetml/2006/main" xmlns:r="http://schemas.openxmlformats.org/officeDocument/2006/relationships">
  <sheetPr codeName="Sheet94"/>
  <dimension ref="A1:K59"/>
  <sheetViews>
    <sheetView view="pageBreakPreview" zoomScaleNormal="100" zoomScaleSheetLayoutView="100"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6384" width="9.140625" style="64"/>
  </cols>
  <sheetData>
    <row r="1" spans="1:11" ht="30" customHeight="1">
      <c r="A1" s="93" t="s">
        <v>1823</v>
      </c>
      <c r="B1" s="93"/>
      <c r="C1" s="93"/>
      <c r="D1" s="93"/>
      <c r="E1" s="93"/>
      <c r="F1" s="93"/>
      <c r="G1" s="93"/>
      <c r="H1" s="93"/>
      <c r="I1" s="93"/>
      <c r="J1" s="93"/>
      <c r="K1" s="93"/>
    </row>
    <row r="2" spans="1:11">
      <c r="B2" s="165" t="s">
        <v>696</v>
      </c>
      <c r="C2" s="165" t="s">
        <v>697</v>
      </c>
      <c r="D2" s="165" t="s">
        <v>698</v>
      </c>
      <c r="E2" s="165" t="s">
        <v>699</v>
      </c>
      <c r="F2" s="165" t="s">
        <v>700</v>
      </c>
      <c r="G2" s="165" t="s">
        <v>701</v>
      </c>
      <c r="H2" s="165" t="s">
        <v>702</v>
      </c>
      <c r="I2" s="165" t="s">
        <v>703</v>
      </c>
      <c r="J2" s="165" t="s">
        <v>704</v>
      </c>
      <c r="K2" s="165" t="s">
        <v>705</v>
      </c>
    </row>
    <row r="3" spans="1:11" hidden="1" outlineLevel="1"/>
    <row r="4" spans="1:11" collapsed="1">
      <c r="A4" s="66">
        <v>1961</v>
      </c>
      <c r="B4" s="56">
        <v>14339.2</v>
      </c>
      <c r="C4" s="56">
        <v>539.1</v>
      </c>
      <c r="D4" s="56">
        <v>76.599999999999994</v>
      </c>
      <c r="E4" s="56">
        <v>783.8</v>
      </c>
      <c r="F4" s="56">
        <v>4480.5</v>
      </c>
      <c r="G4" s="56">
        <v>3326.9</v>
      </c>
      <c r="H4" s="56">
        <v>69.5</v>
      </c>
      <c r="I4" s="56">
        <v>0.4</v>
      </c>
      <c r="J4" s="56">
        <v>92.7</v>
      </c>
      <c r="K4" s="56">
        <v>4969.7</v>
      </c>
    </row>
    <row r="5" spans="1:11">
      <c r="A5" s="66">
        <v>1962</v>
      </c>
      <c r="B5" s="56">
        <v>15337.5</v>
      </c>
      <c r="C5" s="56">
        <v>497.9</v>
      </c>
      <c r="D5" s="56">
        <v>92.2</v>
      </c>
      <c r="E5" s="56">
        <v>713</v>
      </c>
      <c r="F5" s="56">
        <v>4684.7</v>
      </c>
      <c r="G5" s="56">
        <v>3544.5</v>
      </c>
      <c r="H5" s="56">
        <v>58.6</v>
      </c>
      <c r="I5" s="56">
        <v>6.6</v>
      </c>
      <c r="J5" s="56">
        <v>99.5</v>
      </c>
      <c r="K5" s="56">
        <v>5640.5</v>
      </c>
    </row>
    <row r="6" spans="1:11">
      <c r="A6" s="66">
        <v>1963</v>
      </c>
      <c r="B6" s="56">
        <v>16193.8</v>
      </c>
      <c r="C6" s="56">
        <v>492.1</v>
      </c>
      <c r="D6" s="56">
        <v>131.9</v>
      </c>
      <c r="E6" s="56">
        <v>729.2</v>
      </c>
      <c r="F6" s="56">
        <v>4784.3999999999996</v>
      </c>
      <c r="G6" s="56">
        <v>3662.7</v>
      </c>
      <c r="H6" s="56">
        <v>69.5</v>
      </c>
      <c r="I6" s="56">
        <v>23.9</v>
      </c>
      <c r="J6" s="56">
        <v>163.69999999999999</v>
      </c>
      <c r="K6" s="56">
        <v>6136.5</v>
      </c>
    </row>
    <row r="7" spans="1:11">
      <c r="A7" s="66">
        <v>1964</v>
      </c>
      <c r="B7" s="56">
        <v>17190.3</v>
      </c>
      <c r="C7" s="56">
        <v>489.9</v>
      </c>
      <c r="D7" s="56">
        <v>174.5</v>
      </c>
      <c r="E7" s="56">
        <v>805.1</v>
      </c>
      <c r="F7" s="56">
        <v>4967.5</v>
      </c>
      <c r="G7" s="56">
        <v>3791</v>
      </c>
      <c r="H7" s="56">
        <v>86.3</v>
      </c>
      <c r="I7" s="56">
        <v>26.7</v>
      </c>
      <c r="J7" s="56">
        <v>187.2</v>
      </c>
      <c r="K7" s="56">
        <v>6662.1</v>
      </c>
    </row>
    <row r="8" spans="1:11">
      <c r="A8" s="66">
        <v>1965</v>
      </c>
      <c r="B8" s="56">
        <v>17801.7</v>
      </c>
      <c r="C8" s="56">
        <v>487.2</v>
      </c>
      <c r="D8" s="56">
        <v>187.1</v>
      </c>
      <c r="E8" s="56">
        <v>813.7</v>
      </c>
      <c r="F8" s="56">
        <v>5139.3</v>
      </c>
      <c r="G8" s="56">
        <v>3867.5</v>
      </c>
      <c r="H8" s="56">
        <v>93.2</v>
      </c>
      <c r="I8" s="56">
        <v>29.4</v>
      </c>
      <c r="J8" s="56">
        <v>192.8</v>
      </c>
      <c r="K8" s="56">
        <v>6991.5</v>
      </c>
    </row>
    <row r="9" spans="1:11">
      <c r="A9" s="66">
        <v>1966</v>
      </c>
      <c r="B9" s="56">
        <v>19001.7</v>
      </c>
      <c r="C9" s="56">
        <v>482.8</v>
      </c>
      <c r="D9" s="56">
        <v>214.8</v>
      </c>
      <c r="E9" s="56">
        <v>831.6</v>
      </c>
      <c r="F9" s="56">
        <v>5470.4</v>
      </c>
      <c r="G9" s="56">
        <v>4110</v>
      </c>
      <c r="H9" s="56">
        <v>99.6</v>
      </c>
      <c r="I9" s="56">
        <v>30.5</v>
      </c>
      <c r="J9" s="56">
        <v>216.3</v>
      </c>
      <c r="K9" s="56">
        <v>7545.9</v>
      </c>
    </row>
    <row r="10" spans="1:11">
      <c r="A10" s="66">
        <v>1967</v>
      </c>
      <c r="B10" s="56">
        <v>19504.5</v>
      </c>
      <c r="C10" s="56">
        <v>446.6</v>
      </c>
      <c r="D10" s="56">
        <v>222.9</v>
      </c>
      <c r="E10" s="56">
        <v>814.3</v>
      </c>
      <c r="F10" s="56">
        <v>5582.6</v>
      </c>
      <c r="G10" s="56">
        <v>4143.8</v>
      </c>
      <c r="H10" s="56">
        <v>104.8</v>
      </c>
      <c r="I10" s="56">
        <v>23.5</v>
      </c>
      <c r="J10" s="56">
        <v>241.4</v>
      </c>
      <c r="K10" s="56">
        <v>7819.9</v>
      </c>
    </row>
    <row r="11" spans="1:11">
      <c r="A11" s="66">
        <v>1968</v>
      </c>
      <c r="B11" s="56">
        <v>21443.8</v>
      </c>
      <c r="C11" s="56">
        <v>389.4</v>
      </c>
      <c r="D11" s="56">
        <v>246</v>
      </c>
      <c r="E11" s="56">
        <v>798.7</v>
      </c>
      <c r="F11" s="56">
        <v>5647</v>
      </c>
      <c r="G11" s="56">
        <v>4130.6000000000004</v>
      </c>
      <c r="H11" s="56">
        <v>97.9</v>
      </c>
      <c r="I11" s="56">
        <v>12.3</v>
      </c>
      <c r="J11" s="56">
        <v>230.3</v>
      </c>
      <c r="K11" s="56">
        <v>8734.9</v>
      </c>
    </row>
    <row r="12" spans="1:11">
      <c r="A12" s="66">
        <v>1969</v>
      </c>
      <c r="B12" s="56">
        <v>23260.6</v>
      </c>
      <c r="C12" s="56">
        <v>332.3</v>
      </c>
      <c r="D12" s="56">
        <v>290.8</v>
      </c>
      <c r="E12" s="56">
        <v>743.6</v>
      </c>
      <c r="F12" s="56">
        <v>5773.4</v>
      </c>
      <c r="G12" s="56">
        <v>4192.1000000000004</v>
      </c>
      <c r="H12" s="56">
        <v>93</v>
      </c>
      <c r="I12" s="56">
        <v>44.3</v>
      </c>
      <c r="J12" s="56">
        <v>235.4</v>
      </c>
      <c r="K12" s="56">
        <v>9656.7999999999993</v>
      </c>
    </row>
    <row r="13" spans="1:11">
      <c r="A13" s="66">
        <v>1970</v>
      </c>
      <c r="B13" s="56">
        <v>22606.6</v>
      </c>
      <c r="C13" s="56">
        <v>265</v>
      </c>
      <c r="D13" s="56">
        <v>324.39999999999998</v>
      </c>
      <c r="E13" s="56">
        <v>693.4</v>
      </c>
      <c r="F13" s="56">
        <v>5798.5</v>
      </c>
      <c r="G13" s="56">
        <v>4146.8999999999996</v>
      </c>
      <c r="H13" s="56">
        <v>63.1</v>
      </c>
      <c r="I13" s="56">
        <v>85.5</v>
      </c>
      <c r="J13" s="56">
        <v>248.1</v>
      </c>
      <c r="K13" s="56">
        <v>9545.7000000000007</v>
      </c>
    </row>
    <row r="14" spans="1:11">
      <c r="A14" s="66">
        <v>1971</v>
      </c>
      <c r="B14" s="56">
        <v>22193.4</v>
      </c>
      <c r="C14" s="56">
        <v>167.2</v>
      </c>
      <c r="D14" s="56">
        <v>318.89999999999998</v>
      </c>
      <c r="E14" s="56">
        <v>558.5</v>
      </c>
      <c r="F14" s="56">
        <v>5661.1</v>
      </c>
      <c r="G14" s="56">
        <v>3963.1</v>
      </c>
      <c r="H14" s="56">
        <v>47.6</v>
      </c>
      <c r="I14" s="56">
        <v>95.5</v>
      </c>
      <c r="J14" s="56">
        <v>277</v>
      </c>
      <c r="K14" s="56">
        <v>9751.5</v>
      </c>
    </row>
    <row r="15" spans="1:11">
      <c r="A15" s="66">
        <v>1972</v>
      </c>
      <c r="B15" s="56">
        <v>24403</v>
      </c>
      <c r="C15" s="56">
        <v>127.4</v>
      </c>
      <c r="D15" s="56">
        <v>363.8</v>
      </c>
      <c r="E15" s="56">
        <v>574.9</v>
      </c>
      <c r="F15" s="56">
        <v>6028.8</v>
      </c>
      <c r="G15" s="56">
        <v>4035.6</v>
      </c>
      <c r="H15" s="56">
        <v>17.7</v>
      </c>
      <c r="I15" s="56">
        <v>130.5</v>
      </c>
      <c r="J15" s="56">
        <v>340</v>
      </c>
      <c r="K15" s="56">
        <v>11211.7</v>
      </c>
    </row>
    <row r="16" spans="1:11">
      <c r="A16" s="66">
        <v>1973</v>
      </c>
      <c r="B16" s="56">
        <v>30063.8</v>
      </c>
      <c r="C16" s="56">
        <v>155.30000000000001</v>
      </c>
      <c r="D16" s="56">
        <v>488.7</v>
      </c>
      <c r="E16" s="56">
        <v>803.5</v>
      </c>
      <c r="F16" s="56">
        <v>6994.5</v>
      </c>
      <c r="G16" s="56">
        <v>4685.3</v>
      </c>
      <c r="H16" s="56">
        <v>44.8</v>
      </c>
      <c r="I16" s="56">
        <v>244.1</v>
      </c>
      <c r="J16" s="56">
        <v>462.1</v>
      </c>
      <c r="K16" s="56">
        <v>14276.4</v>
      </c>
    </row>
    <row r="17" spans="1:11">
      <c r="A17" s="66">
        <v>1974</v>
      </c>
      <c r="B17" s="56">
        <v>37821.1</v>
      </c>
      <c r="C17" s="56">
        <v>396.3</v>
      </c>
      <c r="D17" s="56">
        <v>752</v>
      </c>
      <c r="E17" s="56">
        <v>1579.4</v>
      </c>
      <c r="F17" s="56">
        <v>9037.1</v>
      </c>
      <c r="G17" s="56">
        <v>6338.9</v>
      </c>
      <c r="H17" s="56">
        <v>90.3</v>
      </c>
      <c r="I17" s="56">
        <v>334.4</v>
      </c>
      <c r="J17" s="56">
        <v>615.6</v>
      </c>
      <c r="K17" s="56">
        <v>16395.7</v>
      </c>
    </row>
    <row r="18" spans="1:11">
      <c r="A18" s="66">
        <v>1975</v>
      </c>
      <c r="B18" s="56">
        <v>42638.7</v>
      </c>
      <c r="C18" s="56">
        <v>487.5</v>
      </c>
      <c r="D18" s="56">
        <v>1031.0999999999999</v>
      </c>
      <c r="E18" s="56">
        <v>2105.1999999999998</v>
      </c>
      <c r="F18" s="56">
        <v>10352.799999999999</v>
      </c>
      <c r="G18" s="56">
        <v>6996</v>
      </c>
      <c r="H18" s="56">
        <v>182.2</v>
      </c>
      <c r="I18" s="56">
        <v>383.8</v>
      </c>
      <c r="J18" s="56">
        <v>716.4</v>
      </c>
      <c r="K18" s="56">
        <v>17887.3</v>
      </c>
    </row>
    <row r="19" spans="1:11">
      <c r="A19" s="66">
        <v>1976</v>
      </c>
      <c r="B19" s="56">
        <v>48993.2</v>
      </c>
      <c r="C19" s="56">
        <v>545.5</v>
      </c>
      <c r="D19" s="56">
        <v>1298.4000000000001</v>
      </c>
      <c r="E19" s="56">
        <v>2515.4</v>
      </c>
      <c r="F19" s="56">
        <v>11593.5</v>
      </c>
      <c r="G19" s="56">
        <v>7420.9</v>
      </c>
      <c r="H19" s="56">
        <v>222.1</v>
      </c>
      <c r="I19" s="56">
        <v>459.9</v>
      </c>
      <c r="J19" s="56">
        <v>803.4</v>
      </c>
      <c r="K19" s="56">
        <v>21391.9</v>
      </c>
    </row>
    <row r="20" spans="1:11">
      <c r="A20" s="66">
        <v>1977</v>
      </c>
      <c r="B20" s="56">
        <v>54925.5</v>
      </c>
      <c r="C20" s="56">
        <v>861.7</v>
      </c>
      <c r="D20" s="56">
        <v>1546.1</v>
      </c>
      <c r="E20" s="56">
        <v>2719.8</v>
      </c>
      <c r="F20" s="56">
        <v>13129.5</v>
      </c>
      <c r="G20" s="56">
        <v>8141.8</v>
      </c>
      <c r="H20" s="56">
        <v>219.9</v>
      </c>
      <c r="I20" s="56">
        <v>492.9</v>
      </c>
      <c r="J20" s="56">
        <v>869.3</v>
      </c>
      <c r="K20" s="56">
        <v>24048.5</v>
      </c>
    </row>
    <row r="21" spans="1:11">
      <c r="A21" s="66">
        <v>1978</v>
      </c>
      <c r="B21" s="56">
        <v>60834.3</v>
      </c>
      <c r="C21" s="56">
        <v>1176.5999999999999</v>
      </c>
      <c r="D21" s="56">
        <v>1690.5</v>
      </c>
      <c r="E21" s="56">
        <v>2705.9</v>
      </c>
      <c r="F21" s="56">
        <v>15416.4</v>
      </c>
      <c r="G21" s="56">
        <v>8647.6</v>
      </c>
      <c r="H21" s="56">
        <v>223</v>
      </c>
      <c r="I21" s="56">
        <v>526.29999999999995</v>
      </c>
      <c r="J21" s="56">
        <v>976.9</v>
      </c>
      <c r="K21" s="56">
        <v>26541.599999999999</v>
      </c>
    </row>
    <row r="22" spans="1:11">
      <c r="A22" s="66">
        <v>1979</v>
      </c>
      <c r="B22" s="56">
        <v>70932.800000000003</v>
      </c>
      <c r="C22" s="56">
        <v>1333.2</v>
      </c>
      <c r="D22" s="56">
        <v>1800.7</v>
      </c>
      <c r="E22" s="56">
        <v>2497</v>
      </c>
      <c r="F22" s="56">
        <v>18115.7</v>
      </c>
      <c r="G22" s="56">
        <v>9151.9</v>
      </c>
      <c r="H22" s="56">
        <v>232.3</v>
      </c>
      <c r="I22" s="56">
        <v>634.5</v>
      </c>
      <c r="J22" s="56">
        <v>1055</v>
      </c>
      <c r="K22" s="56">
        <v>33236.6</v>
      </c>
    </row>
    <row r="23" spans="1:11">
      <c r="A23" s="66">
        <v>1980</v>
      </c>
      <c r="B23" s="56">
        <v>83075.7</v>
      </c>
      <c r="C23" s="56">
        <v>1615</v>
      </c>
      <c r="D23" s="56">
        <v>2092.3000000000002</v>
      </c>
      <c r="E23" s="56">
        <v>2977.4</v>
      </c>
      <c r="F23" s="56">
        <v>21807.8</v>
      </c>
      <c r="G23" s="56">
        <v>11357.3</v>
      </c>
      <c r="H23" s="56">
        <v>236.1</v>
      </c>
      <c r="I23" s="56">
        <v>741.6</v>
      </c>
      <c r="J23" s="56">
        <v>1046.0999999999999</v>
      </c>
      <c r="K23" s="56">
        <v>38280.9</v>
      </c>
    </row>
    <row r="24" spans="1:11">
      <c r="A24" s="66">
        <v>1981</v>
      </c>
      <c r="B24" s="56">
        <v>89035.199999999997</v>
      </c>
      <c r="C24" s="56">
        <v>2049.1999999999998</v>
      </c>
      <c r="D24" s="56">
        <v>2483.1999999999998</v>
      </c>
      <c r="E24" s="56">
        <v>3294.7</v>
      </c>
      <c r="F24" s="56">
        <v>26022.799999999999</v>
      </c>
      <c r="G24" s="56">
        <v>13538.9</v>
      </c>
      <c r="H24" s="56">
        <v>282.60000000000002</v>
      </c>
      <c r="I24" s="56">
        <v>811.9</v>
      </c>
      <c r="J24" s="56">
        <v>986.9</v>
      </c>
      <c r="K24" s="56">
        <v>36854.9</v>
      </c>
    </row>
    <row r="25" spans="1:11">
      <c r="A25" s="66">
        <v>1982</v>
      </c>
      <c r="B25" s="56">
        <v>85496.8</v>
      </c>
      <c r="C25" s="56">
        <v>2031.8</v>
      </c>
      <c r="D25" s="56">
        <v>2476.6</v>
      </c>
      <c r="E25" s="56">
        <v>2970.9</v>
      </c>
      <c r="F25" s="56">
        <v>27544.400000000001</v>
      </c>
      <c r="G25" s="56">
        <v>13833.7</v>
      </c>
      <c r="H25" s="56">
        <v>321.60000000000002</v>
      </c>
      <c r="I25" s="56">
        <v>735.8</v>
      </c>
      <c r="J25" s="56">
        <v>817</v>
      </c>
      <c r="K25" s="56">
        <v>32162</v>
      </c>
    </row>
    <row r="26" spans="1:11">
      <c r="A26" s="66">
        <v>1983</v>
      </c>
      <c r="B26" s="56">
        <v>81383.199999999997</v>
      </c>
      <c r="C26" s="56">
        <v>1548.7</v>
      </c>
      <c r="D26" s="56">
        <v>2287.8000000000002</v>
      </c>
      <c r="E26" s="56">
        <v>2870.3</v>
      </c>
      <c r="F26" s="56">
        <v>27226.3</v>
      </c>
      <c r="G26" s="56">
        <v>14199.1</v>
      </c>
      <c r="H26" s="56">
        <v>244.5</v>
      </c>
      <c r="I26" s="56">
        <v>549.4</v>
      </c>
      <c r="J26" s="56">
        <v>703.2</v>
      </c>
      <c r="K26" s="56">
        <v>29149.3</v>
      </c>
    </row>
    <row r="27" spans="1:11">
      <c r="A27" s="66">
        <v>1984</v>
      </c>
      <c r="B27" s="56">
        <v>75424.899999999994</v>
      </c>
      <c r="C27" s="56">
        <v>1222.8</v>
      </c>
      <c r="D27" s="56">
        <v>2297.5</v>
      </c>
      <c r="E27" s="56">
        <v>2885.7</v>
      </c>
      <c r="F27" s="56">
        <v>27582.2</v>
      </c>
      <c r="G27" s="56">
        <v>14917.3</v>
      </c>
      <c r="H27" s="56">
        <v>197.4</v>
      </c>
      <c r="I27" s="56">
        <v>412.1</v>
      </c>
      <c r="J27" s="56">
        <v>677.8</v>
      </c>
      <c r="K27" s="56">
        <v>22707.1</v>
      </c>
    </row>
    <row r="28" spans="1:11">
      <c r="A28" s="66">
        <v>1985</v>
      </c>
      <c r="B28" s="56">
        <v>71610.5</v>
      </c>
      <c r="C28" s="56">
        <v>919.3</v>
      </c>
      <c r="D28" s="56">
        <v>2191.6999999999998</v>
      </c>
      <c r="E28" s="56">
        <v>2442.6</v>
      </c>
      <c r="F28" s="56">
        <v>28130.7</v>
      </c>
      <c r="G28" s="56">
        <v>14807.2</v>
      </c>
      <c r="H28" s="56">
        <v>157.4</v>
      </c>
      <c r="I28" s="56">
        <v>223.7</v>
      </c>
      <c r="J28" s="56">
        <v>685.3</v>
      </c>
      <c r="K28" s="56">
        <v>20061.2</v>
      </c>
    </row>
    <row r="29" spans="1:11">
      <c r="A29" s="66">
        <v>1986</v>
      </c>
      <c r="B29" s="56">
        <v>80271.7</v>
      </c>
      <c r="C29" s="56">
        <v>526.79999999999995</v>
      </c>
      <c r="D29" s="56">
        <v>2178.9</v>
      </c>
      <c r="E29" s="56">
        <v>2877.2</v>
      </c>
      <c r="F29" s="56">
        <v>29603.4</v>
      </c>
      <c r="G29" s="56">
        <v>16120.3</v>
      </c>
      <c r="H29" s="56">
        <v>192.4</v>
      </c>
      <c r="I29" s="56">
        <v>304.2</v>
      </c>
      <c r="J29" s="56">
        <v>754.5</v>
      </c>
      <c r="K29" s="56">
        <v>26198.7</v>
      </c>
    </row>
    <row r="30" spans="1:11">
      <c r="A30" s="66">
        <v>1987</v>
      </c>
      <c r="B30" s="56">
        <v>108952.4</v>
      </c>
      <c r="C30" s="56">
        <v>545.20000000000005</v>
      </c>
      <c r="D30" s="56">
        <v>2807.2</v>
      </c>
      <c r="E30" s="56">
        <v>5368.4</v>
      </c>
      <c r="F30" s="56">
        <v>34757.699999999997</v>
      </c>
      <c r="G30" s="56">
        <v>20622.5</v>
      </c>
      <c r="H30" s="56">
        <v>353</v>
      </c>
      <c r="I30" s="56">
        <v>803.3</v>
      </c>
      <c r="J30" s="56">
        <v>1262.0999999999999</v>
      </c>
      <c r="K30" s="56">
        <v>42242.400000000001</v>
      </c>
    </row>
    <row r="31" spans="1:11">
      <c r="A31" s="66">
        <v>1988</v>
      </c>
      <c r="B31" s="56">
        <v>140900.70000000001</v>
      </c>
      <c r="C31" s="56">
        <v>1238.0999999999999</v>
      </c>
      <c r="D31" s="56">
        <v>3895.2</v>
      </c>
      <c r="E31" s="56">
        <v>8177.4</v>
      </c>
      <c r="F31" s="56">
        <v>42559.3</v>
      </c>
      <c r="G31" s="56">
        <v>26345.1</v>
      </c>
      <c r="H31" s="56">
        <v>655.7</v>
      </c>
      <c r="I31" s="56">
        <v>1175.3</v>
      </c>
      <c r="J31" s="56">
        <v>1846.2</v>
      </c>
      <c r="K31" s="56">
        <v>56096.3</v>
      </c>
    </row>
    <row r="32" spans="1:11">
      <c r="A32" s="66">
        <v>1989</v>
      </c>
      <c r="B32" s="56">
        <v>162914.5</v>
      </c>
      <c r="C32" s="56">
        <v>1451.1</v>
      </c>
      <c r="D32" s="56">
        <v>4661.8999999999996</v>
      </c>
      <c r="E32" s="56">
        <v>10005.9</v>
      </c>
      <c r="F32" s="56">
        <v>45897.4</v>
      </c>
      <c r="G32" s="56">
        <v>30125.3</v>
      </c>
      <c r="H32" s="56">
        <v>802.5</v>
      </c>
      <c r="I32" s="56">
        <v>1394</v>
      </c>
      <c r="J32" s="56">
        <v>1979.4</v>
      </c>
      <c r="K32" s="56">
        <v>69030.7</v>
      </c>
    </row>
    <row r="33" spans="1:11">
      <c r="A33" s="66">
        <v>1990</v>
      </c>
      <c r="B33" s="56">
        <v>171945.1</v>
      </c>
      <c r="C33" s="56">
        <v>1517.7</v>
      </c>
      <c r="D33" s="56">
        <v>4929.6000000000004</v>
      </c>
      <c r="E33" s="56">
        <v>10976</v>
      </c>
      <c r="F33" s="56">
        <v>45629.1</v>
      </c>
      <c r="G33" s="56">
        <v>32097.5</v>
      </c>
      <c r="H33" s="56">
        <v>846.9</v>
      </c>
      <c r="I33" s="56">
        <v>1830.9</v>
      </c>
      <c r="J33" s="56">
        <v>2437.6999999999998</v>
      </c>
      <c r="K33" s="56">
        <v>75038.8</v>
      </c>
    </row>
    <row r="34" spans="1:11">
      <c r="A34" s="66">
        <v>1991</v>
      </c>
      <c r="B34" s="56">
        <v>158430.6</v>
      </c>
      <c r="C34" s="56">
        <v>1462.9</v>
      </c>
      <c r="D34" s="56">
        <v>4474.3999999999996</v>
      </c>
      <c r="E34" s="56">
        <v>10405.1</v>
      </c>
      <c r="F34" s="56">
        <v>41653.1</v>
      </c>
      <c r="G34" s="56">
        <v>28661.9</v>
      </c>
      <c r="H34" s="56">
        <v>661.6</v>
      </c>
      <c r="I34" s="56">
        <v>1424.3</v>
      </c>
      <c r="J34" s="56">
        <v>2477.6</v>
      </c>
      <c r="K34" s="56">
        <v>71598.100000000006</v>
      </c>
    </row>
    <row r="35" spans="1:11">
      <c r="A35" s="66">
        <v>1992</v>
      </c>
      <c r="B35" s="56">
        <v>136942</v>
      </c>
      <c r="C35" s="56">
        <v>1212.7</v>
      </c>
      <c r="D35" s="56">
        <v>3938.5</v>
      </c>
      <c r="E35" s="56">
        <v>8557.4</v>
      </c>
      <c r="F35" s="56">
        <v>35442.5</v>
      </c>
      <c r="G35" s="56">
        <v>25432.9</v>
      </c>
      <c r="H35" s="56">
        <v>520</v>
      </c>
      <c r="I35" s="56">
        <v>752</v>
      </c>
      <c r="J35" s="56">
        <v>2472.1</v>
      </c>
      <c r="K35" s="56">
        <v>63246</v>
      </c>
    </row>
    <row r="36" spans="1:11">
      <c r="A36" s="66">
        <v>1993</v>
      </c>
      <c r="B36" s="56">
        <v>118715.2</v>
      </c>
      <c r="C36" s="56">
        <v>843.2</v>
      </c>
      <c r="D36" s="56">
        <v>3041.3</v>
      </c>
      <c r="E36" s="56">
        <v>6332.4</v>
      </c>
      <c r="F36" s="56">
        <v>30321.4</v>
      </c>
      <c r="G36" s="56">
        <v>20740.599999999999</v>
      </c>
      <c r="H36" s="56">
        <v>428.3</v>
      </c>
      <c r="I36" s="56">
        <v>260.60000000000002</v>
      </c>
      <c r="J36" s="56">
        <v>2844.1</v>
      </c>
      <c r="K36" s="56">
        <v>59160.2</v>
      </c>
    </row>
    <row r="37" spans="1:11">
      <c r="A37" s="66">
        <v>1994</v>
      </c>
      <c r="B37" s="56">
        <v>126876.7</v>
      </c>
      <c r="C37" s="56">
        <v>1047.2</v>
      </c>
      <c r="D37" s="56">
        <v>2679.6</v>
      </c>
      <c r="E37" s="56">
        <v>6330.2</v>
      </c>
      <c r="F37" s="56">
        <v>33056.400000000001</v>
      </c>
      <c r="G37" s="56">
        <v>19932.2</v>
      </c>
      <c r="H37" s="56">
        <v>471.1</v>
      </c>
      <c r="I37" s="56">
        <v>248.6</v>
      </c>
      <c r="J37" s="56">
        <v>5482.5</v>
      </c>
      <c r="K37" s="56">
        <v>63671.4</v>
      </c>
    </row>
    <row r="38" spans="1:11">
      <c r="A38" s="66">
        <v>1995</v>
      </c>
      <c r="B38" s="56">
        <v>175049</v>
      </c>
      <c r="C38" s="56">
        <v>2173.8000000000002</v>
      </c>
      <c r="D38" s="56">
        <v>4001.6</v>
      </c>
      <c r="E38" s="56">
        <v>10751.2</v>
      </c>
      <c r="F38" s="56">
        <v>48585.7</v>
      </c>
      <c r="G38" s="56">
        <v>27294.9</v>
      </c>
      <c r="H38" s="56">
        <v>1042.3</v>
      </c>
      <c r="I38" s="56">
        <v>1156.5999999999999</v>
      </c>
      <c r="J38" s="56">
        <v>10569.1</v>
      </c>
      <c r="K38" s="56">
        <v>76477.2</v>
      </c>
    </row>
    <row r="39" spans="1:11">
      <c r="A39" s="66">
        <v>1996</v>
      </c>
      <c r="B39" s="56">
        <v>220226</v>
      </c>
      <c r="C39" s="56">
        <v>3315.6</v>
      </c>
      <c r="D39" s="56">
        <v>4848</v>
      </c>
      <c r="E39" s="56">
        <v>14143.2</v>
      </c>
      <c r="F39" s="56">
        <v>62596.2</v>
      </c>
      <c r="G39" s="56">
        <v>37016.9</v>
      </c>
      <c r="H39" s="56">
        <v>1575.4</v>
      </c>
      <c r="I39" s="56">
        <v>1913.1</v>
      </c>
      <c r="J39" s="56">
        <v>14031.5</v>
      </c>
      <c r="K39" s="56">
        <v>89736.8</v>
      </c>
    </row>
    <row r="40" spans="1:11">
      <c r="A40" s="66">
        <v>1997</v>
      </c>
      <c r="B40" s="56">
        <v>258434.2</v>
      </c>
      <c r="C40" s="56">
        <v>4150</v>
      </c>
      <c r="D40" s="56">
        <v>5132.8999999999996</v>
      </c>
      <c r="E40" s="56">
        <v>15672.3</v>
      </c>
      <c r="F40" s="56">
        <v>76168.5</v>
      </c>
      <c r="G40" s="56">
        <v>44217.3</v>
      </c>
      <c r="H40" s="56">
        <v>1921.3</v>
      </c>
      <c r="I40" s="56">
        <v>2905.4</v>
      </c>
      <c r="J40" s="56">
        <v>16913.099999999999</v>
      </c>
      <c r="K40" s="56">
        <v>101178.7</v>
      </c>
    </row>
    <row r="41" spans="1:11">
      <c r="A41" s="66">
        <v>1998</v>
      </c>
      <c r="B41" s="56">
        <v>280522.5</v>
      </c>
      <c r="C41" s="56" t="s">
        <v>1778</v>
      </c>
      <c r="D41" s="56" t="s">
        <v>1778</v>
      </c>
      <c r="E41" s="56" t="s">
        <v>1778</v>
      </c>
      <c r="F41" s="56" t="s">
        <v>1778</v>
      </c>
      <c r="G41" s="56" t="s">
        <v>1778</v>
      </c>
      <c r="H41" s="56" t="s">
        <v>1778</v>
      </c>
      <c r="I41" s="56" t="s">
        <v>1778</v>
      </c>
      <c r="J41" s="56" t="s">
        <v>1778</v>
      </c>
      <c r="K41" s="56" t="s">
        <v>1778</v>
      </c>
    </row>
    <row r="42" spans="1:11">
      <c r="A42" s="66">
        <v>1999</v>
      </c>
      <c r="B42" s="56">
        <v>289951.2</v>
      </c>
      <c r="C42" s="56" t="s">
        <v>1778</v>
      </c>
      <c r="D42" s="56" t="s">
        <v>1778</v>
      </c>
      <c r="E42" s="56" t="s">
        <v>1778</v>
      </c>
      <c r="F42" s="56" t="s">
        <v>1778</v>
      </c>
      <c r="G42" s="56" t="s">
        <v>1778</v>
      </c>
      <c r="H42" s="56" t="s">
        <v>1778</v>
      </c>
      <c r="I42" s="56" t="s">
        <v>1778</v>
      </c>
      <c r="J42" s="56" t="s">
        <v>1778</v>
      </c>
      <c r="K42" s="56" t="s">
        <v>1778</v>
      </c>
    </row>
    <row r="43" spans="1:11">
      <c r="A43" s="66">
        <v>2000</v>
      </c>
      <c r="B43" s="56">
        <v>291770.90000000002</v>
      </c>
      <c r="C43" s="56" t="s">
        <v>1778</v>
      </c>
      <c r="D43" s="56" t="s">
        <v>1778</v>
      </c>
      <c r="E43" s="56" t="s">
        <v>1778</v>
      </c>
      <c r="F43" s="56" t="s">
        <v>1778</v>
      </c>
      <c r="G43" s="56" t="s">
        <v>1778</v>
      </c>
      <c r="H43" s="56" t="s">
        <v>1778</v>
      </c>
      <c r="I43" s="56" t="s">
        <v>1778</v>
      </c>
      <c r="J43" s="56" t="s">
        <v>1778</v>
      </c>
      <c r="K43" s="56" t="s">
        <v>1778</v>
      </c>
    </row>
    <row r="44" spans="1:11">
      <c r="A44" s="66">
        <v>2001</v>
      </c>
      <c r="B44" s="56">
        <v>300445.3</v>
      </c>
      <c r="C44" s="56" t="s">
        <v>1778</v>
      </c>
      <c r="D44" s="56" t="s">
        <v>1778</v>
      </c>
      <c r="E44" s="56" t="s">
        <v>1778</v>
      </c>
      <c r="F44" s="56" t="s">
        <v>1778</v>
      </c>
      <c r="G44" s="56" t="s">
        <v>1778</v>
      </c>
      <c r="H44" s="56" t="s">
        <v>1778</v>
      </c>
      <c r="I44" s="56" t="s">
        <v>1778</v>
      </c>
      <c r="J44" s="56" t="s">
        <v>1778</v>
      </c>
      <c r="K44" s="56" t="s">
        <v>1778</v>
      </c>
    </row>
    <row r="45" spans="1:11">
      <c r="A45" s="66">
        <v>2002</v>
      </c>
      <c r="B45" s="56">
        <v>303277.90000000002</v>
      </c>
      <c r="C45" s="56" t="s">
        <v>1778</v>
      </c>
      <c r="D45" s="56" t="s">
        <v>1778</v>
      </c>
      <c r="E45" s="56" t="s">
        <v>1778</v>
      </c>
      <c r="F45" s="56" t="s">
        <v>1778</v>
      </c>
      <c r="G45" s="56" t="s">
        <v>1778</v>
      </c>
      <c r="H45" s="56" t="s">
        <v>1778</v>
      </c>
      <c r="I45" s="56" t="s">
        <v>1778</v>
      </c>
      <c r="J45" s="56" t="s">
        <v>1778</v>
      </c>
      <c r="K45" s="56" t="s">
        <v>1778</v>
      </c>
    </row>
    <row r="46" spans="1:11">
      <c r="A46" s="66">
        <v>2003</v>
      </c>
      <c r="B46" s="56">
        <v>297474.2</v>
      </c>
      <c r="C46" s="56" t="s">
        <v>1778</v>
      </c>
      <c r="D46" s="56" t="s">
        <v>1778</v>
      </c>
      <c r="E46" s="56" t="s">
        <v>1778</v>
      </c>
      <c r="F46" s="56" t="s">
        <v>1778</v>
      </c>
      <c r="G46" s="56" t="s">
        <v>1778</v>
      </c>
      <c r="H46" s="56" t="s">
        <v>1778</v>
      </c>
      <c r="I46" s="56" t="s">
        <v>1778</v>
      </c>
      <c r="J46" s="56" t="s">
        <v>1778</v>
      </c>
      <c r="K46" s="56" t="s">
        <v>1778</v>
      </c>
    </row>
    <row r="47" spans="1:11">
      <c r="A47" s="66">
        <v>2004</v>
      </c>
      <c r="B47" s="56">
        <v>311770.90000000002</v>
      </c>
      <c r="C47" s="56" t="s">
        <v>1778</v>
      </c>
      <c r="D47" s="56" t="s">
        <v>1778</v>
      </c>
      <c r="E47" s="56" t="s">
        <v>1778</v>
      </c>
      <c r="F47" s="56" t="s">
        <v>1778</v>
      </c>
      <c r="G47" s="56" t="s">
        <v>1778</v>
      </c>
      <c r="H47" s="56" t="s">
        <v>1778</v>
      </c>
      <c r="I47" s="56" t="s">
        <v>1778</v>
      </c>
      <c r="J47" s="56" t="s">
        <v>1778</v>
      </c>
      <c r="K47" s="56" t="s">
        <v>1778</v>
      </c>
    </row>
    <row r="48" spans="1:11">
      <c r="A48" s="66">
        <v>2005</v>
      </c>
      <c r="B48" s="56">
        <v>283571.7</v>
      </c>
      <c r="C48" s="56" t="s">
        <v>1778</v>
      </c>
      <c r="D48" s="56" t="s">
        <v>1778</v>
      </c>
      <c r="E48" s="56" t="s">
        <v>1778</v>
      </c>
      <c r="F48" s="56" t="s">
        <v>1778</v>
      </c>
      <c r="G48" s="56" t="s">
        <v>1778</v>
      </c>
      <c r="H48" s="56" t="s">
        <v>1778</v>
      </c>
      <c r="I48" s="56" t="s">
        <v>1778</v>
      </c>
      <c r="J48" s="56" t="s">
        <v>1778</v>
      </c>
      <c r="K48" s="56" t="s">
        <v>1778</v>
      </c>
    </row>
    <row r="49" spans="1:11">
      <c r="A49" s="66">
        <v>2006</v>
      </c>
      <c r="B49" s="56">
        <v>265747.09999999998</v>
      </c>
      <c r="C49" s="56" t="s">
        <v>1778</v>
      </c>
      <c r="D49" s="56" t="s">
        <v>1778</v>
      </c>
      <c r="E49" s="56" t="s">
        <v>1778</v>
      </c>
      <c r="F49" s="56" t="s">
        <v>1778</v>
      </c>
      <c r="G49" s="56" t="s">
        <v>1778</v>
      </c>
      <c r="H49" s="56" t="s">
        <v>1778</v>
      </c>
      <c r="I49" s="56" t="s">
        <v>1778</v>
      </c>
      <c r="J49" s="56" t="s">
        <v>1778</v>
      </c>
      <c r="K49" s="56" t="s">
        <v>1778</v>
      </c>
    </row>
    <row r="50" spans="1:11">
      <c r="A50" s="66">
        <v>2007</v>
      </c>
      <c r="B50" s="56">
        <v>245186.8</v>
      </c>
      <c r="C50" s="56" t="s">
        <v>1778</v>
      </c>
      <c r="D50" s="56" t="s">
        <v>1778</v>
      </c>
      <c r="E50" s="56" t="s">
        <v>1778</v>
      </c>
      <c r="F50" s="56" t="s">
        <v>1778</v>
      </c>
      <c r="G50" s="56" t="s">
        <v>1778</v>
      </c>
      <c r="H50" s="56" t="s">
        <v>1778</v>
      </c>
      <c r="I50" s="56" t="s">
        <v>1778</v>
      </c>
      <c r="J50" s="56" t="s">
        <v>1778</v>
      </c>
      <c r="K50" s="56" t="s">
        <v>1778</v>
      </c>
    </row>
    <row r="51" spans="1:11">
      <c r="A51" s="66">
        <v>2008</v>
      </c>
      <c r="B51" s="56">
        <v>233004.5</v>
      </c>
      <c r="C51" s="56" t="s">
        <v>1778</v>
      </c>
      <c r="D51" s="56" t="s">
        <v>1778</v>
      </c>
      <c r="E51" s="56" t="s">
        <v>1778</v>
      </c>
      <c r="F51" s="56" t="s">
        <v>1778</v>
      </c>
      <c r="G51" s="56" t="s">
        <v>1778</v>
      </c>
      <c r="H51" s="56" t="s">
        <v>1778</v>
      </c>
      <c r="I51" s="56" t="s">
        <v>1778</v>
      </c>
      <c r="J51" s="56" t="s">
        <v>1778</v>
      </c>
      <c r="K51" s="56" t="s">
        <v>1778</v>
      </c>
    </row>
    <row r="52" spans="1:11">
      <c r="A52" s="66">
        <v>2009</v>
      </c>
      <c r="B52" s="56">
        <v>188523.1</v>
      </c>
      <c r="C52" s="56" t="s">
        <v>1778</v>
      </c>
      <c r="D52" s="56" t="s">
        <v>1778</v>
      </c>
      <c r="E52" s="56" t="s">
        <v>1778</v>
      </c>
      <c r="F52" s="56" t="s">
        <v>1778</v>
      </c>
      <c r="G52" s="56" t="s">
        <v>1778</v>
      </c>
      <c r="H52" s="56" t="s">
        <v>1778</v>
      </c>
      <c r="I52" s="56" t="s">
        <v>1778</v>
      </c>
      <c r="J52" s="56" t="s">
        <v>1778</v>
      </c>
      <c r="K52" s="56" t="s">
        <v>1778</v>
      </c>
    </row>
    <row r="53" spans="1:11">
      <c r="A53" s="66">
        <v>2010</v>
      </c>
      <c r="B53" s="56">
        <v>165922.9</v>
      </c>
      <c r="C53" s="56" t="s">
        <v>1778</v>
      </c>
      <c r="D53" s="56" t="s">
        <v>1778</v>
      </c>
      <c r="E53" s="56" t="s">
        <v>1778</v>
      </c>
      <c r="F53" s="56" t="s">
        <v>1778</v>
      </c>
      <c r="G53" s="56" t="s">
        <v>1778</v>
      </c>
      <c r="H53" s="56" t="s">
        <v>1778</v>
      </c>
      <c r="I53" s="56" t="s">
        <v>1778</v>
      </c>
      <c r="J53" s="56" t="s">
        <v>1778</v>
      </c>
      <c r="K53" s="56" t="s">
        <v>1778</v>
      </c>
    </row>
    <row r="54" spans="1:11">
      <c r="A54" s="66">
        <v>2011</v>
      </c>
      <c r="B54" s="56">
        <v>147513.29999999999</v>
      </c>
      <c r="C54" s="56" t="s">
        <v>1778</v>
      </c>
      <c r="D54" s="56" t="s">
        <v>1778</v>
      </c>
      <c r="E54" s="56" t="s">
        <v>1778</v>
      </c>
      <c r="F54" s="56" t="s">
        <v>1778</v>
      </c>
      <c r="G54" s="56" t="s">
        <v>1778</v>
      </c>
      <c r="H54" s="56" t="s">
        <v>1778</v>
      </c>
      <c r="I54" s="56" t="s">
        <v>1778</v>
      </c>
      <c r="J54" s="56" t="s">
        <v>1778</v>
      </c>
      <c r="K54" s="56" t="s">
        <v>1778</v>
      </c>
    </row>
    <row r="56" spans="1:11">
      <c r="A56" s="137" t="s">
        <v>706</v>
      </c>
      <c r="B56" s="137"/>
      <c r="C56" s="137"/>
      <c r="D56" s="137"/>
      <c r="E56" s="137"/>
      <c r="F56" s="137"/>
      <c r="G56" s="137"/>
      <c r="H56" s="137"/>
      <c r="I56" s="137"/>
      <c r="J56" s="137"/>
      <c r="K56" s="137"/>
    </row>
    <row r="57" spans="1:11">
      <c r="A57" s="137" t="s">
        <v>708</v>
      </c>
      <c r="B57" s="137"/>
      <c r="C57" s="137"/>
      <c r="D57" s="137"/>
      <c r="E57" s="137"/>
      <c r="F57" s="137"/>
      <c r="G57" s="137"/>
      <c r="H57" s="137"/>
      <c r="I57" s="137"/>
      <c r="J57" s="137"/>
      <c r="K57" s="137"/>
    </row>
    <row r="58" spans="1:11" ht="60" customHeight="1">
      <c r="A58" s="104" t="s">
        <v>709</v>
      </c>
      <c r="B58" s="104"/>
      <c r="C58" s="104"/>
      <c r="D58" s="104"/>
      <c r="E58" s="104"/>
      <c r="F58" s="104"/>
      <c r="G58" s="104"/>
      <c r="H58" s="104"/>
      <c r="I58" s="104"/>
      <c r="J58" s="104"/>
      <c r="K58" s="104"/>
    </row>
    <row r="59" spans="1:11">
      <c r="A59" s="137" t="s">
        <v>710</v>
      </c>
      <c r="B59" s="137"/>
      <c r="C59" s="137"/>
      <c r="D59" s="137"/>
      <c r="E59" s="137"/>
      <c r="F59" s="137"/>
      <c r="G59" s="137"/>
      <c r="H59" s="137"/>
      <c r="I59" s="137"/>
      <c r="J59" s="137"/>
      <c r="K59" s="137"/>
    </row>
  </sheetData>
  <mergeCells count="5">
    <mergeCell ref="A1:K1"/>
    <mergeCell ref="A56:K56"/>
    <mergeCell ref="A57:K57"/>
    <mergeCell ref="A58:K58"/>
    <mergeCell ref="A59:K59"/>
  </mergeCells>
  <pageMargins left="0.7" right="0.7" top="0.75" bottom="0.75" header="0.3" footer="0.3"/>
  <pageSetup scale="75" orientation="portrait" horizontalDpi="0" verticalDpi="0" r:id="rId1"/>
</worksheet>
</file>

<file path=xl/worksheets/sheet102.xml><?xml version="1.0" encoding="utf-8"?>
<worksheet xmlns="http://schemas.openxmlformats.org/spreadsheetml/2006/main" xmlns:r="http://schemas.openxmlformats.org/officeDocument/2006/relationships">
  <sheetPr codeName="Sheet95"/>
  <dimension ref="A1:Q50"/>
  <sheetViews>
    <sheetView view="pageBreakPreview" zoomScaleNormal="100" zoomScaleSheetLayoutView="100"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9.140625" style="64"/>
    <col min="2" max="6" width="10.42578125" style="64" customWidth="1"/>
    <col min="7" max="7" width="12.85546875" style="64" customWidth="1"/>
    <col min="8" max="8" width="10.42578125" style="64" customWidth="1"/>
    <col min="9" max="9" width="9.140625" style="64"/>
    <col min="10" max="16" width="0" style="64" hidden="1" customWidth="1" outlineLevel="1"/>
    <col min="17" max="17" width="9.140625" style="64" collapsed="1"/>
    <col min="18" max="16384" width="9.140625" style="64"/>
  </cols>
  <sheetData>
    <row r="1" spans="1:16">
      <c r="A1" s="108" t="s">
        <v>725</v>
      </c>
      <c r="B1" s="108"/>
      <c r="C1" s="108"/>
      <c r="D1" s="108"/>
      <c r="E1" s="108"/>
      <c r="F1" s="108"/>
      <c r="G1" s="108"/>
      <c r="H1" s="108"/>
    </row>
    <row r="2" spans="1:16" ht="30">
      <c r="B2" s="72" t="s">
        <v>726</v>
      </c>
      <c r="C2" s="72" t="s">
        <v>719</v>
      </c>
      <c r="D2" s="72" t="s">
        <v>720</v>
      </c>
      <c r="E2" s="72" t="s">
        <v>721</v>
      </c>
      <c r="F2" s="72" t="s">
        <v>722</v>
      </c>
      <c r="G2" s="72" t="s">
        <v>723</v>
      </c>
      <c r="H2" s="72" t="s">
        <v>727</v>
      </c>
      <c r="J2" s="64" t="s">
        <v>718</v>
      </c>
      <c r="K2" s="64" t="s">
        <v>719</v>
      </c>
      <c r="L2" s="64" t="s">
        <v>720</v>
      </c>
      <c r="M2" s="64" t="s">
        <v>721</v>
      </c>
      <c r="N2" s="64" t="s">
        <v>722</v>
      </c>
      <c r="O2" s="64" t="s">
        <v>723</v>
      </c>
      <c r="P2" s="64" t="s">
        <v>724</v>
      </c>
    </row>
    <row r="3" spans="1:16" ht="15" hidden="1" customHeight="1" outlineLevel="1">
      <c r="J3" s="64" t="s">
        <v>711</v>
      </c>
      <c r="K3" s="64" t="s">
        <v>712</v>
      </c>
      <c r="L3" s="64" t="s">
        <v>713</v>
      </c>
      <c r="M3" s="64" t="s">
        <v>714</v>
      </c>
      <c r="N3" s="64" t="s">
        <v>715</v>
      </c>
      <c r="O3" s="64" t="s">
        <v>716</v>
      </c>
      <c r="P3" s="64" t="s">
        <v>717</v>
      </c>
    </row>
    <row r="4" spans="1:16" collapsed="1">
      <c r="A4" s="66">
        <v>1961</v>
      </c>
      <c r="B4" s="56">
        <f>J4/1000000</f>
        <v>14696.652700000001</v>
      </c>
      <c r="C4" s="56">
        <f t="shared" ref="C4:H4" si="0">K4/1000000</f>
        <v>92.186800000000005</v>
      </c>
      <c r="D4" s="56">
        <f t="shared" si="0"/>
        <v>63.587800000000001</v>
      </c>
      <c r="E4" s="56">
        <f t="shared" si="0"/>
        <v>42.002899999999997</v>
      </c>
      <c r="F4" s="56">
        <f t="shared" si="0"/>
        <v>2.7656000000000001</v>
      </c>
      <c r="G4" s="56">
        <f t="shared" si="0"/>
        <v>141.8965</v>
      </c>
      <c r="H4" s="56">
        <f t="shared" si="0"/>
        <v>14638.006100000001</v>
      </c>
      <c r="J4" s="64">
        <v>14696652700</v>
      </c>
      <c r="K4" s="64">
        <v>92186800</v>
      </c>
      <c r="L4" s="64">
        <v>63587800</v>
      </c>
      <c r="M4" s="64">
        <v>42002900</v>
      </c>
      <c r="N4" s="64">
        <v>2765600</v>
      </c>
      <c r="O4" s="64">
        <v>141896500</v>
      </c>
      <c r="P4" s="64">
        <v>14638006100</v>
      </c>
    </row>
    <row r="5" spans="1:16">
      <c r="A5" s="66">
        <v>1962</v>
      </c>
      <c r="B5" s="56">
        <f t="shared" ref="B5:B46" si="1">J5/1000000</f>
        <v>14638.006100000001</v>
      </c>
      <c r="C5" s="56">
        <f t="shared" ref="C5:C46" si="2">K5/1000000</f>
        <v>95.516900000000007</v>
      </c>
      <c r="D5" s="56">
        <f t="shared" ref="D5:D46" si="3">L5/1000000</f>
        <v>6.4775</v>
      </c>
      <c r="E5" s="56">
        <f t="shared" ref="E5:E46" si="4">M5/1000000</f>
        <v>42.5304</v>
      </c>
      <c r="F5" s="56">
        <f t="shared" ref="F5:F46" si="5">N5/1000000</f>
        <v>2.8654999999999999</v>
      </c>
      <c r="G5" s="56">
        <f t="shared" ref="G5:G46" si="6">O5/1000000</f>
        <v>141.15430000000001</v>
      </c>
      <c r="H5" s="56">
        <f t="shared" ref="H5:H46" si="7">P5/1000000</f>
        <v>14631.7701</v>
      </c>
      <c r="J5" s="64">
        <v>14638006100</v>
      </c>
      <c r="K5" s="64">
        <v>95516900</v>
      </c>
      <c r="L5" s="64">
        <v>6477500</v>
      </c>
      <c r="M5" s="64">
        <v>42530400</v>
      </c>
      <c r="N5" s="64">
        <v>2865500</v>
      </c>
      <c r="O5" s="64">
        <v>141154300</v>
      </c>
      <c r="P5" s="64">
        <v>14631770100</v>
      </c>
    </row>
    <row r="6" spans="1:16">
      <c r="A6" s="66">
        <v>1963</v>
      </c>
      <c r="B6" s="56">
        <f t="shared" si="1"/>
        <v>14631.7701</v>
      </c>
      <c r="C6" s="56">
        <f t="shared" si="2"/>
        <v>98.413200000000003</v>
      </c>
      <c r="D6" s="56">
        <f t="shared" si="3"/>
        <v>0</v>
      </c>
      <c r="E6" s="56">
        <f t="shared" si="4"/>
        <v>43.037500000000001</v>
      </c>
      <c r="F6" s="56">
        <f t="shared" si="5"/>
        <v>2.9523999999999999</v>
      </c>
      <c r="G6" s="56">
        <f t="shared" si="6"/>
        <v>140.53819999999999</v>
      </c>
      <c r="H6" s="56">
        <f t="shared" si="7"/>
        <v>14627.905199999999</v>
      </c>
      <c r="J6" s="64">
        <v>14631770100</v>
      </c>
      <c r="K6" s="64">
        <v>98413200</v>
      </c>
      <c r="M6" s="64">
        <v>43037500</v>
      </c>
      <c r="N6" s="64">
        <v>2952400</v>
      </c>
      <c r="O6" s="64">
        <v>140538200</v>
      </c>
      <c r="P6" s="64">
        <v>14627905200</v>
      </c>
    </row>
    <row r="7" spans="1:16">
      <c r="A7" s="66">
        <v>1964</v>
      </c>
      <c r="B7" s="56">
        <f t="shared" si="1"/>
        <v>14627.905199999999</v>
      </c>
      <c r="C7" s="56">
        <f t="shared" si="2"/>
        <v>101.41759999999999</v>
      </c>
      <c r="D7" s="56">
        <f t="shared" si="3"/>
        <v>12.8552</v>
      </c>
      <c r="E7" s="56">
        <f t="shared" si="4"/>
        <v>43.491</v>
      </c>
      <c r="F7" s="56">
        <f t="shared" si="5"/>
        <v>3.0425</v>
      </c>
      <c r="G7" s="56">
        <f t="shared" si="6"/>
        <v>139.7757</v>
      </c>
      <c r="H7" s="56">
        <f t="shared" si="7"/>
        <v>14606.874599999999</v>
      </c>
      <c r="J7" s="64">
        <v>14627905200</v>
      </c>
      <c r="K7" s="64">
        <v>101417600</v>
      </c>
      <c r="L7" s="64">
        <v>12855200</v>
      </c>
      <c r="M7" s="64">
        <v>43491000</v>
      </c>
      <c r="N7" s="64">
        <v>3042500</v>
      </c>
      <c r="O7" s="64">
        <v>139775700</v>
      </c>
      <c r="P7" s="64">
        <v>14606874600</v>
      </c>
    </row>
    <row r="8" spans="1:16">
      <c r="A8" s="66">
        <v>1965</v>
      </c>
      <c r="B8" s="56">
        <f t="shared" si="1"/>
        <v>14606.874599999999</v>
      </c>
      <c r="C8" s="56">
        <f t="shared" si="2"/>
        <v>102.2666</v>
      </c>
      <c r="D8" s="56">
        <f t="shared" si="3"/>
        <v>0</v>
      </c>
      <c r="E8" s="56">
        <f t="shared" si="4"/>
        <v>43.9604</v>
      </c>
      <c r="F8" s="56">
        <f t="shared" si="5"/>
        <v>3.0680000000000001</v>
      </c>
      <c r="G8" s="56">
        <f t="shared" si="6"/>
        <v>139.58070000000001</v>
      </c>
      <c r="H8" s="56">
        <f t="shared" si="7"/>
        <v>14597.1603</v>
      </c>
      <c r="J8" s="64">
        <v>14606874600</v>
      </c>
      <c r="K8" s="64">
        <v>102266600</v>
      </c>
      <c r="M8" s="64">
        <v>43960400</v>
      </c>
      <c r="N8" s="64">
        <v>3068000</v>
      </c>
      <c r="O8" s="64">
        <v>139580700</v>
      </c>
      <c r="P8" s="64">
        <v>14597160300</v>
      </c>
    </row>
    <row r="9" spans="1:16">
      <c r="A9" s="66">
        <v>1966</v>
      </c>
      <c r="B9" s="56">
        <f t="shared" si="1"/>
        <v>14597.1603</v>
      </c>
      <c r="C9" s="56">
        <f t="shared" si="2"/>
        <v>107.5748</v>
      </c>
      <c r="D9" s="56">
        <f t="shared" si="3"/>
        <v>5.1063000000000001</v>
      </c>
      <c r="E9" s="56">
        <f t="shared" si="4"/>
        <v>44.357900000000001</v>
      </c>
      <c r="F9" s="56">
        <f t="shared" si="5"/>
        <v>3.2271999999999998</v>
      </c>
      <c r="G9" s="56">
        <f t="shared" si="6"/>
        <v>162.75640000000001</v>
      </c>
      <c r="H9" s="56">
        <f t="shared" si="7"/>
        <v>14599.6505</v>
      </c>
      <c r="J9" s="64">
        <v>14597160300</v>
      </c>
      <c r="K9" s="64">
        <v>107574800</v>
      </c>
      <c r="L9" s="64">
        <v>5106300</v>
      </c>
      <c r="M9" s="64">
        <v>44357900</v>
      </c>
      <c r="N9" s="64">
        <v>3227200</v>
      </c>
      <c r="O9" s="64">
        <v>162756400</v>
      </c>
      <c r="P9" s="64">
        <v>14599650500</v>
      </c>
    </row>
    <row r="10" spans="1:16">
      <c r="A10" s="66">
        <v>1967</v>
      </c>
      <c r="B10" s="56">
        <f t="shared" si="1"/>
        <v>14599.6505</v>
      </c>
      <c r="C10" s="56">
        <f t="shared" si="2"/>
        <v>106.37739999999999</v>
      </c>
      <c r="D10" s="56">
        <f t="shared" si="3"/>
        <v>15.293799999999999</v>
      </c>
      <c r="E10" s="56">
        <f t="shared" si="4"/>
        <v>44.700899999999997</v>
      </c>
      <c r="F10" s="56">
        <f t="shared" si="5"/>
        <v>3.1913</v>
      </c>
      <c r="G10" s="56">
        <f t="shared" si="6"/>
        <v>153.24289999999999</v>
      </c>
      <c r="H10" s="56">
        <f t="shared" si="7"/>
        <v>14583.329900000001</v>
      </c>
      <c r="J10" s="64">
        <v>14599650500</v>
      </c>
      <c r="K10" s="64">
        <v>106377400</v>
      </c>
      <c r="L10" s="64">
        <v>15293800</v>
      </c>
      <c r="M10" s="64">
        <v>44700900</v>
      </c>
      <c r="N10" s="64">
        <v>3191300</v>
      </c>
      <c r="O10" s="64">
        <v>153242900</v>
      </c>
      <c r="P10" s="64">
        <v>14583329900</v>
      </c>
    </row>
    <row r="11" spans="1:16">
      <c r="A11" s="66">
        <v>1968</v>
      </c>
      <c r="B11" s="56">
        <f t="shared" si="1"/>
        <v>14583.329900000001</v>
      </c>
      <c r="C11" s="56">
        <f t="shared" si="2"/>
        <v>111.2216</v>
      </c>
      <c r="D11" s="56">
        <f t="shared" si="3"/>
        <v>0</v>
      </c>
      <c r="E11" s="56">
        <f t="shared" si="4"/>
        <v>45.053699999999999</v>
      </c>
      <c r="F11" s="56">
        <f t="shared" si="5"/>
        <v>3.3365999999999998</v>
      </c>
      <c r="G11" s="56">
        <f t="shared" si="6"/>
        <v>152.32550000000001</v>
      </c>
      <c r="H11" s="56">
        <f t="shared" si="7"/>
        <v>14576.0435</v>
      </c>
      <c r="J11" s="64">
        <v>14583329900</v>
      </c>
      <c r="K11" s="64">
        <v>111221600</v>
      </c>
      <c r="M11" s="64">
        <v>45053700</v>
      </c>
      <c r="N11" s="64">
        <v>3336600</v>
      </c>
      <c r="O11" s="64">
        <v>152325500</v>
      </c>
      <c r="P11" s="64">
        <v>14576043500</v>
      </c>
    </row>
    <row r="12" spans="1:16">
      <c r="A12" s="66">
        <v>1969</v>
      </c>
      <c r="B12" s="56">
        <f t="shared" si="1"/>
        <v>14576.0435</v>
      </c>
      <c r="C12" s="56">
        <f t="shared" si="2"/>
        <v>120.2135</v>
      </c>
      <c r="D12" s="56">
        <f t="shared" si="3"/>
        <v>22.891200000000001</v>
      </c>
      <c r="E12" s="56">
        <f t="shared" si="4"/>
        <v>45.277099999999997</v>
      </c>
      <c r="F12" s="56">
        <f t="shared" si="5"/>
        <v>3.6063999999999998</v>
      </c>
      <c r="G12" s="56">
        <f t="shared" si="6"/>
        <v>155.41739999999999</v>
      </c>
      <c r="H12" s="56">
        <f t="shared" si="7"/>
        <v>14539.4727</v>
      </c>
      <c r="J12" s="64">
        <v>14576043500</v>
      </c>
      <c r="K12" s="64">
        <v>120213500</v>
      </c>
      <c r="L12" s="64">
        <v>22891200</v>
      </c>
      <c r="M12" s="64">
        <v>45277100</v>
      </c>
      <c r="N12" s="64">
        <v>3606400</v>
      </c>
      <c r="O12" s="64">
        <v>155417400</v>
      </c>
      <c r="P12" s="64">
        <v>14539472700</v>
      </c>
    </row>
    <row r="13" spans="1:16">
      <c r="A13" s="66">
        <v>1970</v>
      </c>
      <c r="B13" s="56">
        <f t="shared" si="1"/>
        <v>14539.4727</v>
      </c>
      <c r="C13" s="56">
        <f t="shared" si="2"/>
        <v>120.12</v>
      </c>
      <c r="D13" s="56">
        <f t="shared" si="3"/>
        <v>23.708300000000001</v>
      </c>
      <c r="E13" s="56">
        <f t="shared" si="4"/>
        <v>45.497599999999998</v>
      </c>
      <c r="F13" s="56">
        <f t="shared" si="5"/>
        <v>3.6036000000000001</v>
      </c>
      <c r="G13" s="56">
        <f t="shared" si="6"/>
        <v>152.3938</v>
      </c>
      <c r="H13" s="56">
        <f t="shared" si="7"/>
        <v>14498.937</v>
      </c>
      <c r="J13" s="64">
        <v>14539472700</v>
      </c>
      <c r="K13" s="64">
        <v>120120000</v>
      </c>
      <c r="L13" s="64">
        <v>23708300</v>
      </c>
      <c r="M13" s="64">
        <v>45497600</v>
      </c>
      <c r="N13" s="64">
        <v>3603600</v>
      </c>
      <c r="O13" s="64">
        <v>152393800</v>
      </c>
      <c r="P13" s="64">
        <v>14498937000</v>
      </c>
    </row>
    <row r="14" spans="1:16">
      <c r="A14" s="66">
        <v>1971</v>
      </c>
      <c r="B14" s="56">
        <f t="shared" si="1"/>
        <v>14498.937</v>
      </c>
      <c r="C14" s="56">
        <f t="shared" si="2"/>
        <v>118.05200000000001</v>
      </c>
      <c r="D14" s="56">
        <f t="shared" si="3"/>
        <v>27.602599999999999</v>
      </c>
      <c r="E14" s="56">
        <f t="shared" si="4"/>
        <v>45.716700000000003</v>
      </c>
      <c r="F14" s="56">
        <f t="shared" si="5"/>
        <v>3.5415999999999999</v>
      </c>
      <c r="G14" s="56">
        <f t="shared" si="6"/>
        <v>154.83070000000001</v>
      </c>
      <c r="H14" s="56">
        <f t="shared" si="7"/>
        <v>14458.8549</v>
      </c>
      <c r="J14" s="64">
        <v>14498937000</v>
      </c>
      <c r="K14" s="64">
        <v>118052000</v>
      </c>
      <c r="L14" s="64">
        <v>27602600</v>
      </c>
      <c r="M14" s="64">
        <v>45716700</v>
      </c>
      <c r="N14" s="64">
        <v>3541600</v>
      </c>
      <c r="O14" s="64">
        <v>154830700</v>
      </c>
      <c r="P14" s="64">
        <v>14458854900</v>
      </c>
    </row>
    <row r="15" spans="1:16">
      <c r="A15" s="66">
        <v>1972</v>
      </c>
      <c r="B15" s="56">
        <f t="shared" si="1"/>
        <v>14458.8549</v>
      </c>
      <c r="C15" s="56">
        <f t="shared" si="2"/>
        <v>122.261</v>
      </c>
      <c r="D15" s="56">
        <f t="shared" si="3"/>
        <v>12.1303</v>
      </c>
      <c r="E15" s="56">
        <f t="shared" si="4"/>
        <v>45.940399999999997</v>
      </c>
      <c r="F15" s="56">
        <f t="shared" si="5"/>
        <v>3.6678000000000002</v>
      </c>
      <c r="G15" s="56">
        <f t="shared" si="6"/>
        <v>156.74170000000001</v>
      </c>
      <c r="H15" s="56">
        <f t="shared" si="7"/>
        <v>14431.597</v>
      </c>
      <c r="J15" s="64">
        <v>14458854900</v>
      </c>
      <c r="K15" s="64">
        <v>122261000</v>
      </c>
      <c r="L15" s="64">
        <v>12130300</v>
      </c>
      <c r="M15" s="64">
        <v>45940400</v>
      </c>
      <c r="N15" s="64">
        <v>3667800</v>
      </c>
      <c r="O15" s="64">
        <v>156741700</v>
      </c>
      <c r="P15" s="64">
        <v>14431597000</v>
      </c>
    </row>
    <row r="16" spans="1:16">
      <c r="A16" s="66">
        <v>1973</v>
      </c>
      <c r="B16" s="56">
        <f t="shared" si="1"/>
        <v>14431.597</v>
      </c>
      <c r="C16" s="56">
        <f t="shared" si="2"/>
        <v>142.72900000000001</v>
      </c>
      <c r="D16" s="56">
        <f t="shared" si="3"/>
        <v>2.7749999999999999</v>
      </c>
      <c r="E16" s="56">
        <f t="shared" si="4"/>
        <v>46.050199999999997</v>
      </c>
      <c r="F16" s="56">
        <f t="shared" si="5"/>
        <v>4.2819000000000003</v>
      </c>
      <c r="G16" s="56">
        <f t="shared" si="6"/>
        <v>151.7791</v>
      </c>
      <c r="H16" s="56">
        <f t="shared" si="7"/>
        <v>14387.5401</v>
      </c>
      <c r="J16" s="64">
        <v>14431597000</v>
      </c>
      <c r="K16" s="64">
        <v>142729000</v>
      </c>
      <c r="L16" s="64">
        <v>2775000</v>
      </c>
      <c r="M16" s="64">
        <v>46050200</v>
      </c>
      <c r="N16" s="64">
        <v>4281900</v>
      </c>
      <c r="O16" s="64">
        <v>151779100</v>
      </c>
      <c r="P16" s="64">
        <v>14387540100</v>
      </c>
    </row>
    <row r="17" spans="1:16">
      <c r="A17" s="66">
        <v>1974</v>
      </c>
      <c r="B17" s="56">
        <f t="shared" si="1"/>
        <v>14387.5401</v>
      </c>
      <c r="C17" s="56">
        <f t="shared" si="2"/>
        <v>135.77799999999999</v>
      </c>
      <c r="D17" s="56">
        <f t="shared" si="3"/>
        <v>19.708600000000001</v>
      </c>
      <c r="E17" s="56">
        <f t="shared" si="4"/>
        <v>46.075899999999997</v>
      </c>
      <c r="F17" s="56">
        <f t="shared" si="5"/>
        <v>4.0732999999999997</v>
      </c>
      <c r="G17" s="56">
        <f t="shared" si="6"/>
        <v>157.1524</v>
      </c>
      <c r="H17" s="56">
        <f t="shared" si="7"/>
        <v>14339.0566</v>
      </c>
      <c r="J17" s="64">
        <v>14387540100</v>
      </c>
      <c r="K17" s="64">
        <v>135778000</v>
      </c>
      <c r="L17" s="64">
        <v>19708600</v>
      </c>
      <c r="M17" s="64">
        <v>46075900</v>
      </c>
      <c r="N17" s="64">
        <v>4073300</v>
      </c>
      <c r="O17" s="64">
        <v>157152400</v>
      </c>
      <c r="P17" s="64">
        <v>14339056600</v>
      </c>
    </row>
    <row r="18" spans="1:16">
      <c r="A18" s="66">
        <v>1975</v>
      </c>
      <c r="B18" s="56">
        <f t="shared" si="1"/>
        <v>14339.0566</v>
      </c>
      <c r="C18" s="56">
        <f t="shared" si="2"/>
        <v>113.193</v>
      </c>
      <c r="D18" s="56">
        <f t="shared" si="3"/>
        <v>3.3788999999999998</v>
      </c>
      <c r="E18" s="56">
        <f t="shared" si="4"/>
        <v>46.356999999999999</v>
      </c>
      <c r="F18" s="56">
        <f t="shared" si="5"/>
        <v>3.3957999999999999</v>
      </c>
      <c r="G18" s="56">
        <f t="shared" si="6"/>
        <v>165.23769999999999</v>
      </c>
      <c r="H18" s="56">
        <f t="shared" si="7"/>
        <v>14337.9697</v>
      </c>
      <c r="J18" s="64">
        <v>14339056600</v>
      </c>
      <c r="K18" s="64">
        <v>113193000</v>
      </c>
      <c r="L18" s="64">
        <v>3378900</v>
      </c>
      <c r="M18" s="64">
        <v>46357000</v>
      </c>
      <c r="N18" s="64">
        <v>3395800</v>
      </c>
      <c r="O18" s="64">
        <v>165237700</v>
      </c>
      <c r="P18" s="64">
        <v>14337969700</v>
      </c>
    </row>
    <row r="19" spans="1:16">
      <c r="A19" s="66">
        <v>1976</v>
      </c>
      <c r="B19" s="56">
        <f t="shared" si="1"/>
        <v>14337.9697</v>
      </c>
      <c r="C19" s="56">
        <f t="shared" si="2"/>
        <v>137.345</v>
      </c>
      <c r="D19" s="56">
        <f t="shared" si="3"/>
        <v>17.966100000000001</v>
      </c>
      <c r="E19" s="56">
        <f t="shared" si="4"/>
        <v>46.463000000000001</v>
      </c>
      <c r="F19" s="56">
        <f t="shared" si="5"/>
        <v>4.1204000000000001</v>
      </c>
      <c r="G19" s="56">
        <f t="shared" si="6"/>
        <v>160.80779999999999</v>
      </c>
      <c r="H19" s="56">
        <f t="shared" si="7"/>
        <v>14292.883099999999</v>
      </c>
      <c r="J19" s="64">
        <v>14337969700</v>
      </c>
      <c r="K19" s="64">
        <v>137345000</v>
      </c>
      <c r="L19" s="64">
        <v>17966100</v>
      </c>
      <c r="M19" s="64">
        <v>46463000</v>
      </c>
      <c r="N19" s="64">
        <v>4120400</v>
      </c>
      <c r="O19" s="64">
        <v>160807800</v>
      </c>
      <c r="P19" s="64">
        <v>14292883100</v>
      </c>
    </row>
    <row r="20" spans="1:16">
      <c r="A20" s="66">
        <v>1977</v>
      </c>
      <c r="B20" s="56">
        <f t="shared" si="1"/>
        <v>14292.883099999999</v>
      </c>
      <c r="C20" s="56">
        <f t="shared" si="2"/>
        <v>143.446</v>
      </c>
      <c r="D20" s="56">
        <f t="shared" si="3"/>
        <v>15.0555</v>
      </c>
      <c r="E20" s="56">
        <f t="shared" si="4"/>
        <v>46.5366</v>
      </c>
      <c r="F20" s="56">
        <f t="shared" si="5"/>
        <v>4.3033999999999999</v>
      </c>
      <c r="G20" s="56">
        <f t="shared" si="6"/>
        <v>158.8338</v>
      </c>
      <c r="H20" s="56">
        <f t="shared" si="7"/>
        <v>14242.3755</v>
      </c>
      <c r="J20" s="64">
        <v>14292883100</v>
      </c>
      <c r="K20" s="64">
        <v>143446000</v>
      </c>
      <c r="L20" s="64">
        <v>15055500</v>
      </c>
      <c r="M20" s="64">
        <v>46536600</v>
      </c>
      <c r="N20" s="64">
        <v>4303400</v>
      </c>
      <c r="O20" s="64">
        <v>158833800</v>
      </c>
      <c r="P20" s="64">
        <v>14242375500</v>
      </c>
    </row>
    <row r="21" spans="1:16">
      <c r="A21" s="66">
        <v>1978</v>
      </c>
      <c r="B21" s="56">
        <f t="shared" si="1"/>
        <v>14242.3755</v>
      </c>
      <c r="C21" s="56">
        <f t="shared" si="2"/>
        <v>154.03399999999999</v>
      </c>
      <c r="D21" s="56">
        <f t="shared" si="3"/>
        <v>3.6669999999999998</v>
      </c>
      <c r="E21" s="56">
        <f t="shared" si="4"/>
        <v>46.566299999999998</v>
      </c>
      <c r="F21" s="56">
        <f t="shared" si="5"/>
        <v>4.6210000000000004</v>
      </c>
      <c r="G21" s="56">
        <f t="shared" si="6"/>
        <v>157.98560000000001</v>
      </c>
      <c r="H21" s="56">
        <f t="shared" si="7"/>
        <v>14191.4727</v>
      </c>
      <c r="J21" s="64">
        <v>14242375500</v>
      </c>
      <c r="K21" s="64">
        <v>154034000</v>
      </c>
      <c r="L21" s="64">
        <v>3667000</v>
      </c>
      <c r="M21" s="64">
        <v>46566300</v>
      </c>
      <c r="N21" s="64">
        <v>4621000</v>
      </c>
      <c r="O21" s="64">
        <v>157985600</v>
      </c>
      <c r="P21" s="64">
        <v>14191472700</v>
      </c>
    </row>
    <row r="22" spans="1:16">
      <c r="A22" s="66">
        <v>1979</v>
      </c>
      <c r="B22" s="56">
        <f t="shared" si="1"/>
        <v>14191.4727</v>
      </c>
      <c r="C22" s="56">
        <f t="shared" si="2"/>
        <v>159.75</v>
      </c>
      <c r="D22" s="56">
        <f t="shared" si="3"/>
        <v>9.1132000000000009</v>
      </c>
      <c r="E22" s="56">
        <f t="shared" si="4"/>
        <v>46.571899999999999</v>
      </c>
      <c r="F22" s="56">
        <f t="shared" si="5"/>
        <v>4.7925000000000004</v>
      </c>
      <c r="G22" s="56">
        <f t="shared" si="6"/>
        <v>160.85599999999999</v>
      </c>
      <c r="H22" s="56">
        <f t="shared" si="7"/>
        <v>14132.1011</v>
      </c>
      <c r="J22" s="64">
        <v>14191472700</v>
      </c>
      <c r="K22" s="64">
        <v>159750000</v>
      </c>
      <c r="L22" s="64">
        <v>9113200</v>
      </c>
      <c r="M22" s="64">
        <v>46571900</v>
      </c>
      <c r="N22" s="64">
        <v>4792500</v>
      </c>
      <c r="O22" s="64">
        <v>160856000</v>
      </c>
      <c r="P22" s="64">
        <v>14132101100</v>
      </c>
    </row>
    <row r="23" spans="1:16">
      <c r="A23" s="66">
        <v>1980</v>
      </c>
      <c r="B23" s="56">
        <f t="shared" si="1"/>
        <v>14132.1011</v>
      </c>
      <c r="C23" s="56">
        <f t="shared" si="2"/>
        <v>152.90799999999999</v>
      </c>
      <c r="D23" s="56">
        <f t="shared" si="3"/>
        <v>49.755000000000003</v>
      </c>
      <c r="E23" s="56">
        <f t="shared" si="4"/>
        <v>46.515099999999997</v>
      </c>
      <c r="F23" s="56">
        <f t="shared" si="5"/>
        <v>4.5872000000000002</v>
      </c>
      <c r="G23" s="56">
        <f t="shared" si="6"/>
        <v>156.61150000000001</v>
      </c>
      <c r="H23" s="56">
        <f t="shared" si="7"/>
        <v>14034.9473</v>
      </c>
      <c r="J23" s="64">
        <v>14132101100</v>
      </c>
      <c r="K23" s="64">
        <v>152908000</v>
      </c>
      <c r="L23" s="64">
        <v>49755000</v>
      </c>
      <c r="M23" s="64">
        <v>46515100</v>
      </c>
      <c r="N23" s="64">
        <v>4587200</v>
      </c>
      <c r="O23" s="64">
        <v>156611500</v>
      </c>
      <c r="P23" s="64">
        <v>14034947300</v>
      </c>
    </row>
    <row r="24" spans="1:16">
      <c r="A24" s="66">
        <v>1981</v>
      </c>
      <c r="B24" s="56">
        <f t="shared" si="1"/>
        <v>14034.9473</v>
      </c>
      <c r="C24" s="56">
        <f t="shared" si="2"/>
        <v>142.56200000000001</v>
      </c>
      <c r="D24" s="56">
        <f t="shared" si="3"/>
        <v>51.859699999999997</v>
      </c>
      <c r="E24" s="56">
        <f t="shared" si="4"/>
        <v>45.9495</v>
      </c>
      <c r="F24" s="56">
        <f t="shared" si="5"/>
        <v>4.2769000000000004</v>
      </c>
      <c r="G24" s="56">
        <f t="shared" si="6"/>
        <v>162.4308</v>
      </c>
      <c r="H24" s="56">
        <f t="shared" si="7"/>
        <v>13952.73</v>
      </c>
      <c r="J24" s="64">
        <v>14034947300</v>
      </c>
      <c r="K24" s="64">
        <v>142562000</v>
      </c>
      <c r="L24" s="64">
        <v>51859700</v>
      </c>
      <c r="M24" s="64">
        <v>45949500</v>
      </c>
      <c r="N24" s="64">
        <v>4276900</v>
      </c>
      <c r="O24" s="64">
        <v>162430800</v>
      </c>
      <c r="P24" s="64">
        <v>13952730000</v>
      </c>
    </row>
    <row r="25" spans="1:16">
      <c r="A25" s="66">
        <v>1982</v>
      </c>
      <c r="B25" s="56">
        <f t="shared" si="1"/>
        <v>13952.73</v>
      </c>
      <c r="C25" s="56">
        <f t="shared" si="2"/>
        <v>125.34699999999999</v>
      </c>
      <c r="D25" s="56">
        <f t="shared" si="3"/>
        <v>50.512300000000003</v>
      </c>
      <c r="E25" s="56">
        <f t="shared" si="4"/>
        <v>45.479399999999998</v>
      </c>
      <c r="F25" s="56">
        <f t="shared" si="5"/>
        <v>3.7604000000000002</v>
      </c>
      <c r="G25" s="56">
        <f t="shared" si="6"/>
        <v>167.1979</v>
      </c>
      <c r="H25" s="56">
        <f t="shared" si="7"/>
        <v>13894.828799999999</v>
      </c>
      <c r="J25" s="64">
        <v>13952730000</v>
      </c>
      <c r="K25" s="64">
        <v>125347000</v>
      </c>
      <c r="L25" s="64">
        <v>50512300</v>
      </c>
      <c r="M25" s="64">
        <v>45479400</v>
      </c>
      <c r="N25" s="64">
        <v>3760400</v>
      </c>
      <c r="O25" s="64">
        <v>167197900</v>
      </c>
      <c r="P25" s="64">
        <v>13894828800</v>
      </c>
    </row>
    <row r="26" spans="1:16">
      <c r="A26" s="66">
        <v>1983</v>
      </c>
      <c r="B26" s="56">
        <f t="shared" si="1"/>
        <v>13894.828799999999</v>
      </c>
      <c r="C26" s="56">
        <f t="shared" si="2"/>
        <v>154.08199999999999</v>
      </c>
      <c r="D26" s="56">
        <f t="shared" si="3"/>
        <v>16.226099999999999</v>
      </c>
      <c r="E26" s="56">
        <f t="shared" si="4"/>
        <v>44.881100000000004</v>
      </c>
      <c r="F26" s="56">
        <f t="shared" si="5"/>
        <v>4.6224999999999996</v>
      </c>
      <c r="G26" s="56">
        <f t="shared" si="6"/>
        <v>162.0592</v>
      </c>
      <c r="H26" s="56">
        <f t="shared" si="7"/>
        <v>13837.0764</v>
      </c>
      <c r="J26" s="64">
        <v>13894828800</v>
      </c>
      <c r="K26" s="64">
        <v>154082000</v>
      </c>
      <c r="L26" s="64">
        <v>16226100</v>
      </c>
      <c r="M26" s="64">
        <v>44881100</v>
      </c>
      <c r="N26" s="64">
        <v>4622500</v>
      </c>
      <c r="O26" s="64">
        <v>162059200</v>
      </c>
      <c r="P26" s="64">
        <v>13837076400</v>
      </c>
    </row>
    <row r="27" spans="1:16">
      <c r="A27" s="66">
        <v>1984</v>
      </c>
      <c r="B27" s="56">
        <f t="shared" si="1"/>
        <v>13837.0764</v>
      </c>
      <c r="C27" s="56">
        <f t="shared" si="2"/>
        <v>165.726</v>
      </c>
      <c r="D27" s="56">
        <f t="shared" si="3"/>
        <v>5.6612</v>
      </c>
      <c r="E27" s="56">
        <f t="shared" si="4"/>
        <v>44.292400000000001</v>
      </c>
      <c r="F27" s="56">
        <f t="shared" si="5"/>
        <v>4.9718</v>
      </c>
      <c r="G27" s="56">
        <f t="shared" si="6"/>
        <v>163.0504</v>
      </c>
      <c r="H27" s="56">
        <f t="shared" si="7"/>
        <v>13779.475399999999</v>
      </c>
      <c r="J27" s="64">
        <v>13837076400</v>
      </c>
      <c r="K27" s="64">
        <v>165726000</v>
      </c>
      <c r="L27" s="64">
        <v>5661200</v>
      </c>
      <c r="M27" s="64">
        <v>44292400</v>
      </c>
      <c r="N27" s="64">
        <v>4971800</v>
      </c>
      <c r="O27" s="64">
        <v>163050400</v>
      </c>
      <c r="P27" s="64">
        <v>13779475400</v>
      </c>
    </row>
    <row r="28" spans="1:16">
      <c r="A28" s="66">
        <v>1985</v>
      </c>
      <c r="B28" s="56">
        <f t="shared" si="1"/>
        <v>13779.475399999999</v>
      </c>
      <c r="C28" s="56">
        <f t="shared" si="2"/>
        <v>166.59399999999999</v>
      </c>
      <c r="D28" s="56">
        <f t="shared" si="3"/>
        <v>7.6219999999999999</v>
      </c>
      <c r="E28" s="56">
        <f t="shared" si="4"/>
        <v>43.735599999999998</v>
      </c>
      <c r="F28" s="56">
        <f t="shared" si="5"/>
        <v>4.9977999999999998</v>
      </c>
      <c r="G28" s="56">
        <f t="shared" si="6"/>
        <v>169.6516</v>
      </c>
      <c r="H28" s="56">
        <f t="shared" si="7"/>
        <v>13726.1777</v>
      </c>
      <c r="J28" s="64">
        <v>13779475400</v>
      </c>
      <c r="K28" s="64">
        <v>166594000</v>
      </c>
      <c r="L28" s="64">
        <v>7622000</v>
      </c>
      <c r="M28" s="64">
        <v>43735600</v>
      </c>
      <c r="N28" s="64">
        <v>4997800</v>
      </c>
      <c r="O28" s="64">
        <v>169651600</v>
      </c>
      <c r="P28" s="64">
        <v>13726177700</v>
      </c>
    </row>
    <row r="29" spans="1:16">
      <c r="A29" s="66">
        <v>1986</v>
      </c>
      <c r="B29" s="56">
        <f t="shared" si="1"/>
        <v>13726.1777</v>
      </c>
      <c r="C29" s="56">
        <f t="shared" si="2"/>
        <v>175.06299999999999</v>
      </c>
      <c r="D29" s="56">
        <f t="shared" si="3"/>
        <v>13.2719</v>
      </c>
      <c r="E29" s="56">
        <f t="shared" si="4"/>
        <v>43.1357</v>
      </c>
      <c r="F29" s="56">
        <f t="shared" si="5"/>
        <v>5.2519</v>
      </c>
      <c r="G29" s="56">
        <f t="shared" si="6"/>
        <v>168.83080000000001</v>
      </c>
      <c r="H29" s="56">
        <f t="shared" si="7"/>
        <v>13658.286</v>
      </c>
      <c r="J29" s="64">
        <v>13726177700</v>
      </c>
      <c r="K29" s="64">
        <v>175063000</v>
      </c>
      <c r="L29" s="64">
        <v>13271900</v>
      </c>
      <c r="M29" s="64">
        <v>43135700</v>
      </c>
      <c r="N29" s="64">
        <v>5251900</v>
      </c>
      <c r="O29" s="64">
        <v>168830800</v>
      </c>
      <c r="P29" s="64">
        <v>13658286000</v>
      </c>
    </row>
    <row r="30" spans="1:16">
      <c r="A30" s="66">
        <v>1987</v>
      </c>
      <c r="B30" s="56">
        <f t="shared" si="1"/>
        <v>13658.286</v>
      </c>
      <c r="C30" s="56">
        <f t="shared" si="2"/>
        <v>189.31800000000001</v>
      </c>
      <c r="D30" s="56">
        <f t="shared" si="3"/>
        <v>11.3451</v>
      </c>
      <c r="E30" s="56">
        <f t="shared" si="4"/>
        <v>42.510199999999998</v>
      </c>
      <c r="F30" s="56">
        <f t="shared" si="5"/>
        <v>5.6795</v>
      </c>
      <c r="G30" s="56">
        <f t="shared" si="6"/>
        <v>162.81469999999999</v>
      </c>
      <c r="H30" s="56">
        <f t="shared" si="7"/>
        <v>13572.2479</v>
      </c>
      <c r="J30" s="64">
        <v>13658286000</v>
      </c>
      <c r="K30" s="64">
        <v>189318000</v>
      </c>
      <c r="L30" s="64">
        <v>11345100</v>
      </c>
      <c r="M30" s="64">
        <v>42510200</v>
      </c>
      <c r="N30" s="64">
        <v>5679500</v>
      </c>
      <c r="O30" s="64">
        <v>162814700</v>
      </c>
      <c r="P30" s="64">
        <v>13572247900</v>
      </c>
    </row>
    <row r="31" spans="1:16">
      <c r="A31" s="66">
        <v>1988</v>
      </c>
      <c r="B31" s="56">
        <f t="shared" si="1"/>
        <v>13572.2479</v>
      </c>
      <c r="C31" s="56">
        <f t="shared" si="2"/>
        <v>188.0189</v>
      </c>
      <c r="D31" s="56">
        <f t="shared" si="3"/>
        <v>14.510400000000001</v>
      </c>
      <c r="E31" s="56">
        <f t="shared" si="4"/>
        <v>41.893700000000003</v>
      </c>
      <c r="F31" s="56">
        <f t="shared" si="5"/>
        <v>5.6406000000000001</v>
      </c>
      <c r="G31" s="56">
        <f t="shared" si="6"/>
        <v>165.14429999999999</v>
      </c>
      <c r="H31" s="56">
        <f t="shared" si="7"/>
        <v>13487.3285</v>
      </c>
      <c r="J31" s="64">
        <v>13572247900</v>
      </c>
      <c r="K31" s="64">
        <v>188018900</v>
      </c>
      <c r="L31" s="64">
        <v>14510400</v>
      </c>
      <c r="M31" s="64">
        <v>41893700</v>
      </c>
      <c r="N31" s="64">
        <v>5640600</v>
      </c>
      <c r="O31" s="64">
        <v>165144300</v>
      </c>
      <c r="P31" s="64">
        <v>13487328500</v>
      </c>
    </row>
    <row r="32" spans="1:16">
      <c r="A32" s="66">
        <v>1989</v>
      </c>
      <c r="B32" s="56">
        <f t="shared" si="1"/>
        <v>13487.3285</v>
      </c>
      <c r="C32" s="56">
        <f t="shared" si="2"/>
        <v>184.1927</v>
      </c>
      <c r="D32" s="56">
        <f t="shared" si="3"/>
        <v>98.162199999999999</v>
      </c>
      <c r="E32" s="56">
        <f t="shared" si="4"/>
        <v>41.144599999999997</v>
      </c>
      <c r="F32" s="56">
        <f t="shared" si="5"/>
        <v>5.5258000000000003</v>
      </c>
      <c r="G32" s="56">
        <f t="shared" si="6"/>
        <v>164.34800000000001</v>
      </c>
      <c r="H32" s="56">
        <f t="shared" si="7"/>
        <v>13322.6513</v>
      </c>
      <c r="J32" s="64">
        <v>13487328500</v>
      </c>
      <c r="K32" s="64">
        <v>184192700</v>
      </c>
      <c r="L32" s="64">
        <v>98162200</v>
      </c>
      <c r="M32" s="64">
        <v>41144600</v>
      </c>
      <c r="N32" s="64">
        <v>5525800</v>
      </c>
      <c r="O32" s="64">
        <v>164348000</v>
      </c>
      <c r="P32" s="64">
        <v>13322651300</v>
      </c>
    </row>
    <row r="33" spans="1:16">
      <c r="A33" s="66">
        <v>1990</v>
      </c>
      <c r="B33" s="56">
        <f t="shared" si="1"/>
        <v>13321.6749</v>
      </c>
      <c r="C33" s="56">
        <f t="shared" si="2"/>
        <v>157.07220000000001</v>
      </c>
      <c r="D33" s="56">
        <f t="shared" si="3"/>
        <v>13.305899999999999</v>
      </c>
      <c r="E33" s="56">
        <f t="shared" si="4"/>
        <v>41.106499999999997</v>
      </c>
      <c r="F33" s="56">
        <f t="shared" si="5"/>
        <v>4.7122000000000002</v>
      </c>
      <c r="G33" s="56">
        <f t="shared" si="6"/>
        <v>170.72989999999999</v>
      </c>
      <c r="H33" s="56">
        <f t="shared" si="7"/>
        <v>13276.208000000001</v>
      </c>
      <c r="J33" s="64">
        <v>13321674900</v>
      </c>
      <c r="K33" s="64">
        <v>157072200</v>
      </c>
      <c r="L33" s="64">
        <v>13305900</v>
      </c>
      <c r="M33" s="64">
        <v>41106500</v>
      </c>
      <c r="N33" s="64">
        <v>4712200</v>
      </c>
      <c r="O33" s="64">
        <v>170729900</v>
      </c>
      <c r="P33" s="64">
        <v>13276208000</v>
      </c>
    </row>
    <row r="34" spans="1:16">
      <c r="A34" s="66">
        <v>1991</v>
      </c>
      <c r="B34" s="56">
        <f t="shared" si="1"/>
        <v>13276.208000000001</v>
      </c>
      <c r="C34" s="56">
        <f t="shared" si="2"/>
        <v>156.99789999999999</v>
      </c>
      <c r="D34" s="56">
        <f t="shared" si="3"/>
        <v>24.839500000000001</v>
      </c>
      <c r="E34" s="56">
        <f t="shared" si="4"/>
        <v>40.708799999999997</v>
      </c>
      <c r="F34" s="56">
        <f t="shared" si="5"/>
        <v>4.7099000000000002</v>
      </c>
      <c r="G34" s="56">
        <f t="shared" si="6"/>
        <v>175.59309999999999</v>
      </c>
      <c r="H34" s="56">
        <f t="shared" si="7"/>
        <v>13224.545</v>
      </c>
      <c r="J34" s="64">
        <v>13276208000</v>
      </c>
      <c r="K34" s="64">
        <v>156997900</v>
      </c>
      <c r="L34" s="64">
        <v>24839500</v>
      </c>
      <c r="M34" s="64">
        <v>40708800</v>
      </c>
      <c r="N34" s="64">
        <v>4709900</v>
      </c>
      <c r="O34" s="64">
        <v>175593100</v>
      </c>
      <c r="P34" s="64">
        <v>13224545000</v>
      </c>
    </row>
    <row r="35" spans="1:16">
      <c r="A35" s="66">
        <v>1992</v>
      </c>
      <c r="B35" s="56">
        <f t="shared" si="1"/>
        <v>13224.545</v>
      </c>
      <c r="C35" s="56">
        <f t="shared" si="2"/>
        <v>165.74359999999999</v>
      </c>
      <c r="D35" s="56">
        <f t="shared" si="3"/>
        <v>3.8984000000000001</v>
      </c>
      <c r="E35" s="56">
        <f t="shared" si="4"/>
        <v>40.367699999999999</v>
      </c>
      <c r="F35" s="56">
        <f t="shared" si="5"/>
        <v>4.9722999999999997</v>
      </c>
      <c r="G35" s="56">
        <f t="shared" si="6"/>
        <v>174.547</v>
      </c>
      <c r="H35" s="56">
        <f t="shared" si="7"/>
        <v>13184.11</v>
      </c>
      <c r="J35" s="64">
        <v>13224545000</v>
      </c>
      <c r="K35" s="64">
        <v>165743600</v>
      </c>
      <c r="L35" s="64">
        <v>3898400</v>
      </c>
      <c r="M35" s="64">
        <v>40367700</v>
      </c>
      <c r="N35" s="64">
        <v>4972300</v>
      </c>
      <c r="O35" s="64">
        <v>174547000</v>
      </c>
      <c r="P35" s="64">
        <v>13184110000</v>
      </c>
    </row>
    <row r="36" spans="1:16">
      <c r="A36" s="66">
        <v>1993</v>
      </c>
      <c r="B36" s="56">
        <f t="shared" si="1"/>
        <v>13184.11</v>
      </c>
      <c r="C36" s="56">
        <f t="shared" si="2"/>
        <v>171.2294</v>
      </c>
      <c r="D36" s="56">
        <f t="shared" si="3"/>
        <v>16.7879</v>
      </c>
      <c r="E36" s="56">
        <f t="shared" si="4"/>
        <v>39.974400000000003</v>
      </c>
      <c r="F36" s="56">
        <f t="shared" si="5"/>
        <v>5.1368999999999998</v>
      </c>
      <c r="G36" s="56">
        <f t="shared" si="6"/>
        <v>176.04900000000001</v>
      </c>
      <c r="H36" s="56">
        <f t="shared" si="7"/>
        <v>13127.0304</v>
      </c>
      <c r="J36" s="64">
        <v>13184110000</v>
      </c>
      <c r="K36" s="64">
        <v>171229400</v>
      </c>
      <c r="L36" s="64">
        <v>16787900</v>
      </c>
      <c r="M36" s="64">
        <v>39974400</v>
      </c>
      <c r="N36" s="64">
        <v>5136900</v>
      </c>
      <c r="O36" s="64">
        <v>176049000</v>
      </c>
      <c r="P36" s="64">
        <v>13127030400</v>
      </c>
    </row>
    <row r="37" spans="1:16">
      <c r="A37" s="66">
        <v>1994</v>
      </c>
      <c r="B37" s="56">
        <f t="shared" si="1"/>
        <v>13127.0304</v>
      </c>
      <c r="C37" s="56">
        <f t="shared" si="2"/>
        <v>177.67910000000001</v>
      </c>
      <c r="D37" s="56">
        <f t="shared" si="3"/>
        <v>6.0510999999999999</v>
      </c>
      <c r="E37" s="56">
        <f t="shared" si="4"/>
        <v>39.5657</v>
      </c>
      <c r="F37" s="56">
        <f t="shared" si="5"/>
        <v>5.3304</v>
      </c>
      <c r="G37" s="56">
        <f t="shared" si="6"/>
        <v>201.5788</v>
      </c>
      <c r="H37" s="56">
        <f t="shared" si="7"/>
        <v>13099.983</v>
      </c>
      <c r="J37" s="64">
        <v>13127030400</v>
      </c>
      <c r="K37" s="64">
        <v>177679100</v>
      </c>
      <c r="L37" s="64">
        <v>6051100</v>
      </c>
      <c r="M37" s="64">
        <v>39565700</v>
      </c>
      <c r="N37" s="64">
        <v>5330400</v>
      </c>
      <c r="O37" s="64">
        <v>201578800</v>
      </c>
      <c r="P37" s="64">
        <v>13099983000</v>
      </c>
    </row>
    <row r="38" spans="1:16">
      <c r="A38" s="66">
        <v>1995</v>
      </c>
      <c r="B38" s="56">
        <f t="shared" si="1"/>
        <v>13099.983</v>
      </c>
      <c r="C38" s="56">
        <f t="shared" si="2"/>
        <v>181.69880000000001</v>
      </c>
      <c r="D38" s="56">
        <f t="shared" si="3"/>
        <v>43.761299999999999</v>
      </c>
      <c r="E38" s="56">
        <f t="shared" si="4"/>
        <v>39.111499999999999</v>
      </c>
      <c r="F38" s="56">
        <f t="shared" si="5"/>
        <v>5.4509999999999996</v>
      </c>
      <c r="G38" s="56">
        <f t="shared" si="6"/>
        <v>171.37139999999999</v>
      </c>
      <c r="H38" s="56">
        <f t="shared" si="7"/>
        <v>13001.331899999999</v>
      </c>
      <c r="J38" s="64">
        <v>13099983000</v>
      </c>
      <c r="K38" s="64">
        <v>181698800</v>
      </c>
      <c r="L38" s="64">
        <v>43761300</v>
      </c>
      <c r="M38" s="64">
        <v>39111500</v>
      </c>
      <c r="N38" s="64">
        <v>5451000</v>
      </c>
      <c r="O38" s="64">
        <v>171371400</v>
      </c>
      <c r="P38" s="64">
        <v>13001331900</v>
      </c>
    </row>
    <row r="39" spans="1:16">
      <c r="A39" s="66">
        <v>1996</v>
      </c>
      <c r="B39" s="56">
        <f t="shared" si="1"/>
        <v>13001.331899999999</v>
      </c>
      <c r="C39" s="56">
        <f t="shared" si="2"/>
        <v>176.2868</v>
      </c>
      <c r="D39" s="56">
        <f t="shared" si="3"/>
        <v>23.670300000000001</v>
      </c>
      <c r="E39" s="56">
        <f t="shared" si="4"/>
        <v>38.671700000000001</v>
      </c>
      <c r="F39" s="56">
        <f t="shared" si="5"/>
        <v>5.2885999999999997</v>
      </c>
      <c r="G39" s="56">
        <f t="shared" si="6"/>
        <v>176.60429999999999</v>
      </c>
      <c r="H39" s="56">
        <f t="shared" si="7"/>
        <v>12934.0188</v>
      </c>
      <c r="J39" s="64">
        <v>13001331900</v>
      </c>
      <c r="K39" s="64">
        <v>176286800</v>
      </c>
      <c r="L39" s="64">
        <v>23670300</v>
      </c>
      <c r="M39" s="64">
        <v>38671700</v>
      </c>
      <c r="N39" s="64">
        <v>5288600</v>
      </c>
      <c r="O39" s="64">
        <v>176604300</v>
      </c>
      <c r="P39" s="64">
        <v>12934018800</v>
      </c>
    </row>
    <row r="40" spans="1:16">
      <c r="A40" s="66">
        <v>1997</v>
      </c>
      <c r="B40" s="56">
        <f t="shared" si="1"/>
        <v>12934.0188</v>
      </c>
      <c r="C40" s="56">
        <f t="shared" si="2"/>
        <v>180.85919999999999</v>
      </c>
      <c r="D40" s="56">
        <f t="shared" si="3"/>
        <v>6.5149999999999997</v>
      </c>
      <c r="E40" s="56">
        <f t="shared" si="4"/>
        <v>38.295400000000001</v>
      </c>
      <c r="F40" s="56">
        <f t="shared" si="5"/>
        <v>5.4257999999999997</v>
      </c>
      <c r="G40" s="56">
        <f t="shared" si="6"/>
        <v>171.59389999999999</v>
      </c>
      <c r="H40" s="56">
        <f t="shared" si="7"/>
        <v>12874.517400000001</v>
      </c>
      <c r="J40" s="64">
        <v>12934018800</v>
      </c>
      <c r="K40" s="64">
        <v>180859200</v>
      </c>
      <c r="L40" s="64">
        <v>6515000</v>
      </c>
      <c r="M40" s="64">
        <v>38295400</v>
      </c>
      <c r="N40" s="64">
        <v>5425800</v>
      </c>
      <c r="O40" s="64">
        <v>171593900</v>
      </c>
      <c r="P40" s="64">
        <v>12874517400</v>
      </c>
    </row>
    <row r="41" spans="1:16">
      <c r="A41" s="66">
        <v>1998</v>
      </c>
      <c r="B41" s="56">
        <f t="shared" si="1"/>
        <v>12874.517400000001</v>
      </c>
      <c r="C41" s="56">
        <f t="shared" si="2"/>
        <v>169.46860000000001</v>
      </c>
      <c r="D41" s="56">
        <f t="shared" si="3"/>
        <v>14.4238</v>
      </c>
      <c r="E41" s="56">
        <f t="shared" si="4"/>
        <v>37.9163</v>
      </c>
      <c r="F41" s="56">
        <f t="shared" si="5"/>
        <v>5.0841000000000003</v>
      </c>
      <c r="G41" s="56">
        <f t="shared" si="6"/>
        <v>179.1789</v>
      </c>
      <c r="H41" s="56">
        <f t="shared" si="7"/>
        <v>12826.8035</v>
      </c>
      <c r="J41" s="64">
        <v>12874517400</v>
      </c>
      <c r="K41" s="64">
        <v>169468600</v>
      </c>
      <c r="L41" s="64">
        <v>14423800</v>
      </c>
      <c r="M41" s="64">
        <v>37916300</v>
      </c>
      <c r="N41" s="64">
        <v>5084100</v>
      </c>
      <c r="O41" s="64">
        <v>179178900</v>
      </c>
      <c r="P41" s="64">
        <v>12826803500</v>
      </c>
    </row>
    <row r="42" spans="1:16">
      <c r="A42" s="66">
        <v>1999</v>
      </c>
      <c r="B42" s="56">
        <f t="shared" si="1"/>
        <v>12826.8035</v>
      </c>
      <c r="C42" s="56">
        <f t="shared" si="2"/>
        <v>185.81100000000001</v>
      </c>
      <c r="D42" s="56">
        <f t="shared" si="3"/>
        <v>6.9721000000000002</v>
      </c>
      <c r="E42" s="56">
        <f t="shared" si="4"/>
        <v>37.593200000000003</v>
      </c>
      <c r="F42" s="56">
        <f t="shared" si="5"/>
        <v>5.5743</v>
      </c>
      <c r="G42" s="56">
        <f t="shared" si="6"/>
        <v>174.8245</v>
      </c>
      <c r="H42" s="56">
        <f t="shared" si="7"/>
        <v>12765.6774</v>
      </c>
      <c r="J42" s="64">
        <v>12826803500</v>
      </c>
      <c r="K42" s="64">
        <v>185811000</v>
      </c>
      <c r="L42" s="64">
        <v>6972100</v>
      </c>
      <c r="M42" s="64">
        <v>37593200</v>
      </c>
      <c r="N42" s="64">
        <v>5574300</v>
      </c>
      <c r="O42" s="64">
        <v>174824500</v>
      </c>
      <c r="P42" s="64">
        <v>12765677400</v>
      </c>
    </row>
    <row r="43" spans="1:16">
      <c r="A43" s="66">
        <v>2000</v>
      </c>
      <c r="B43" s="56">
        <f t="shared" si="1"/>
        <v>12765.6774</v>
      </c>
      <c r="C43" s="56">
        <f t="shared" si="2"/>
        <v>183.96600000000001</v>
      </c>
      <c r="D43" s="56">
        <f t="shared" si="3"/>
        <v>0.115</v>
      </c>
      <c r="E43" s="56">
        <f t="shared" si="4"/>
        <v>37.1997</v>
      </c>
      <c r="F43" s="56">
        <f t="shared" si="5"/>
        <v>5.5190000000000001</v>
      </c>
      <c r="G43" s="56">
        <f t="shared" si="6"/>
        <v>187.27090000000001</v>
      </c>
      <c r="H43" s="56">
        <f t="shared" si="7"/>
        <v>12726.1487</v>
      </c>
      <c r="J43" s="64">
        <v>12765677400</v>
      </c>
      <c r="K43" s="64">
        <v>183966000</v>
      </c>
      <c r="L43" s="64">
        <v>115000</v>
      </c>
      <c r="M43" s="64">
        <v>37199700</v>
      </c>
      <c r="N43" s="64">
        <v>5519000</v>
      </c>
      <c r="O43" s="64">
        <v>187270900</v>
      </c>
      <c r="P43" s="64">
        <v>12726148700</v>
      </c>
    </row>
    <row r="44" spans="1:16">
      <c r="A44" s="66">
        <v>2001</v>
      </c>
      <c r="B44" s="56">
        <f t="shared" si="1"/>
        <v>12704.996300000001</v>
      </c>
      <c r="C44" s="56">
        <f t="shared" si="2"/>
        <v>168.75909999999999</v>
      </c>
      <c r="D44" s="56">
        <f t="shared" si="3"/>
        <v>4.1689999999999996</v>
      </c>
      <c r="E44" s="56">
        <f t="shared" si="4"/>
        <v>36.770299999999999</v>
      </c>
      <c r="F44" s="56">
        <f t="shared" si="5"/>
        <v>5.0629</v>
      </c>
      <c r="G44" s="56">
        <f t="shared" si="6"/>
        <v>190.65360000000001</v>
      </c>
      <c r="H44" s="56">
        <f t="shared" si="7"/>
        <v>12680.888499999999</v>
      </c>
      <c r="J44" s="64">
        <v>12704996300</v>
      </c>
      <c r="K44" s="64">
        <v>168759100</v>
      </c>
      <c r="L44" s="64">
        <v>4169000</v>
      </c>
      <c r="M44" s="64">
        <v>36770300</v>
      </c>
      <c r="N44" s="64">
        <v>5062900</v>
      </c>
      <c r="O44" s="64">
        <v>190653600</v>
      </c>
      <c r="P44" s="64">
        <v>12680888500</v>
      </c>
    </row>
    <row r="45" spans="1:16">
      <c r="A45" s="66">
        <v>2002</v>
      </c>
      <c r="B45" s="56">
        <f t="shared" si="1"/>
        <v>12680.888499999999</v>
      </c>
      <c r="C45" s="56">
        <f t="shared" si="2"/>
        <v>173.27160000000001</v>
      </c>
      <c r="D45" s="56">
        <f t="shared" si="3"/>
        <v>33.356999999999999</v>
      </c>
      <c r="E45" s="56">
        <f t="shared" si="4"/>
        <v>40.023600000000002</v>
      </c>
      <c r="F45" s="56">
        <f t="shared" si="5"/>
        <v>5.1981000000000002</v>
      </c>
      <c r="G45" s="56">
        <f t="shared" si="6"/>
        <v>189.6148</v>
      </c>
      <c r="H45" s="56">
        <f t="shared" si="7"/>
        <v>12618.652899999999</v>
      </c>
      <c r="J45" s="64">
        <v>12680888500</v>
      </c>
      <c r="K45" s="64">
        <v>173271600</v>
      </c>
      <c r="L45" s="64">
        <v>33357000</v>
      </c>
      <c r="M45" s="64">
        <v>40023600</v>
      </c>
      <c r="N45" s="64">
        <v>5198100</v>
      </c>
      <c r="O45" s="64">
        <v>189614800</v>
      </c>
      <c r="P45" s="64">
        <v>12618652900</v>
      </c>
    </row>
    <row r="46" spans="1:16">
      <c r="A46" s="66">
        <v>2003</v>
      </c>
      <c r="B46" s="56">
        <f t="shared" si="1"/>
        <v>12618.652899999999</v>
      </c>
      <c r="C46" s="56">
        <f t="shared" si="2"/>
        <v>120.3625</v>
      </c>
      <c r="D46" s="56">
        <f t="shared" si="3"/>
        <v>2.6757</v>
      </c>
      <c r="E46" s="56">
        <f t="shared" si="4"/>
        <v>43.077199999999998</v>
      </c>
      <c r="F46" s="56">
        <f t="shared" si="5"/>
        <v>3.6109</v>
      </c>
      <c r="G46" s="56">
        <f t="shared" si="6"/>
        <v>198.13120000000001</v>
      </c>
      <c r="H46" s="56">
        <f t="shared" si="7"/>
        <v>12647.0579</v>
      </c>
      <c r="J46" s="64">
        <v>12618652900</v>
      </c>
      <c r="K46" s="64">
        <v>120362500</v>
      </c>
      <c r="L46" s="64">
        <v>2675700</v>
      </c>
      <c r="M46" s="64">
        <v>43077200</v>
      </c>
      <c r="N46" s="64">
        <v>3610900</v>
      </c>
      <c r="O46" s="64">
        <v>198131200</v>
      </c>
      <c r="P46" s="64">
        <v>12647057900</v>
      </c>
    </row>
    <row r="48" spans="1:16">
      <c r="A48" s="137" t="s">
        <v>728</v>
      </c>
      <c r="B48" s="137"/>
      <c r="C48" s="137"/>
      <c r="D48" s="137"/>
      <c r="E48" s="137"/>
      <c r="F48" s="137"/>
      <c r="G48" s="137"/>
      <c r="H48" s="137"/>
    </row>
    <row r="49" spans="1:8">
      <c r="A49" s="137" t="s">
        <v>62</v>
      </c>
      <c r="B49" s="137"/>
      <c r="C49" s="137"/>
      <c r="D49" s="137"/>
      <c r="E49" s="137"/>
      <c r="F49" s="137"/>
      <c r="G49" s="137"/>
      <c r="H49" s="137"/>
    </row>
    <row r="50" spans="1:8">
      <c r="A50" s="137" t="s">
        <v>729</v>
      </c>
      <c r="B50" s="137"/>
      <c r="C50" s="137"/>
      <c r="D50" s="137"/>
      <c r="E50" s="137"/>
      <c r="F50" s="137"/>
      <c r="G50" s="137"/>
      <c r="H50" s="137"/>
    </row>
  </sheetData>
  <mergeCells count="4">
    <mergeCell ref="A1:H1"/>
    <mergeCell ref="A48:H48"/>
    <mergeCell ref="A49:H49"/>
    <mergeCell ref="A50:H50"/>
  </mergeCells>
  <pageMargins left="0.7" right="0.7" top="0.75" bottom="0.75" header="0.3" footer="0.3"/>
  <pageSetup scale="94" orientation="portrait" horizontalDpi="0" verticalDpi="0" r:id="rId1"/>
</worksheet>
</file>

<file path=xl/worksheets/sheet103.xml><?xml version="1.0" encoding="utf-8"?>
<worksheet xmlns="http://schemas.openxmlformats.org/spreadsheetml/2006/main" xmlns:r="http://schemas.openxmlformats.org/officeDocument/2006/relationships">
  <sheetPr codeName="Sheet96"/>
  <dimension ref="A1:S50"/>
  <sheetViews>
    <sheetView view="pageBreakPreview" zoomScaleNormal="100" zoomScaleSheetLayoutView="100"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9.140625" style="64"/>
    <col min="2" max="2" width="14.85546875" style="64" customWidth="1"/>
    <col min="3" max="6" width="10.42578125" style="64" customWidth="1"/>
    <col min="7" max="7" width="12.85546875" style="64" customWidth="1"/>
    <col min="8" max="9" width="15.42578125" style="64" customWidth="1"/>
    <col min="10" max="10" width="9.140625" style="64"/>
    <col min="11" max="18" width="0" style="64" hidden="1" customWidth="1" outlineLevel="1"/>
    <col min="19" max="19" width="9.140625" style="64" collapsed="1"/>
    <col min="20" max="16384" width="9.140625" style="64"/>
  </cols>
  <sheetData>
    <row r="1" spans="1:18">
      <c r="A1" s="108" t="s">
        <v>742</v>
      </c>
      <c r="B1" s="108"/>
      <c r="C1" s="108"/>
      <c r="D1" s="108"/>
      <c r="E1" s="108"/>
      <c r="F1" s="108"/>
      <c r="G1" s="108"/>
      <c r="H1" s="108"/>
      <c r="I1" s="108"/>
    </row>
    <row r="2" spans="1:18" ht="90">
      <c r="B2" s="72" t="s">
        <v>731</v>
      </c>
      <c r="C2" s="72" t="s">
        <v>719</v>
      </c>
      <c r="D2" s="72" t="s">
        <v>720</v>
      </c>
      <c r="E2" s="72" t="s">
        <v>721</v>
      </c>
      <c r="F2" s="72" t="s">
        <v>722</v>
      </c>
      <c r="G2" s="72" t="s">
        <v>723</v>
      </c>
      <c r="H2" s="72" t="s">
        <v>732</v>
      </c>
      <c r="I2" s="72" t="s">
        <v>733</v>
      </c>
      <c r="K2" s="110" t="s">
        <v>731</v>
      </c>
      <c r="L2" s="110" t="s">
        <v>719</v>
      </c>
      <c r="M2" s="110" t="s">
        <v>720</v>
      </c>
      <c r="N2" s="110" t="s">
        <v>721</v>
      </c>
      <c r="O2" s="110" t="s">
        <v>722</v>
      </c>
      <c r="P2" s="110" t="s">
        <v>723</v>
      </c>
      <c r="Q2" s="110" t="s">
        <v>732</v>
      </c>
      <c r="R2" s="110" t="s">
        <v>733</v>
      </c>
    </row>
    <row r="3" spans="1:18" hidden="1" outlineLevel="1">
      <c r="B3" s="135"/>
      <c r="C3" s="135"/>
      <c r="D3" s="135"/>
      <c r="E3" s="135"/>
      <c r="F3" s="135"/>
      <c r="G3" s="135"/>
      <c r="H3" s="135"/>
      <c r="I3" s="135"/>
      <c r="K3" s="135" t="s">
        <v>734</v>
      </c>
      <c r="L3" s="135" t="s">
        <v>735</v>
      </c>
      <c r="M3" s="135" t="s">
        <v>736</v>
      </c>
      <c r="N3" s="135" t="s">
        <v>737</v>
      </c>
      <c r="O3" s="135" t="s">
        <v>738</v>
      </c>
      <c r="P3" s="135" t="s">
        <v>739</v>
      </c>
      <c r="Q3" s="135" t="s">
        <v>740</v>
      </c>
      <c r="R3" s="135" t="s">
        <v>741</v>
      </c>
    </row>
    <row r="4" spans="1:18" collapsed="1">
      <c r="A4" s="66">
        <v>1961</v>
      </c>
      <c r="B4" s="30">
        <f>K4/1000</f>
        <v>124513.8</v>
      </c>
      <c r="C4" s="30">
        <f t="shared" ref="C4:I4" si="0">L4/1000</f>
        <v>773.2</v>
      </c>
      <c r="D4" s="30">
        <f t="shared" si="0"/>
        <v>598.70000000000005</v>
      </c>
      <c r="E4" s="30">
        <f t="shared" si="0"/>
        <v>271.39999999999998</v>
      </c>
      <c r="F4" s="30">
        <f t="shared" si="0"/>
        <v>23.2</v>
      </c>
      <c r="G4" s="30">
        <f t="shared" si="0"/>
        <v>1711.5</v>
      </c>
      <c r="H4" s="30">
        <f t="shared" si="0"/>
        <v>124558.8</v>
      </c>
      <c r="I4" s="30">
        <f t="shared" si="0"/>
        <v>15115.2</v>
      </c>
      <c r="K4" s="30">
        <v>124513800</v>
      </c>
      <c r="L4" s="30">
        <v>773200</v>
      </c>
      <c r="M4" s="30">
        <v>598700</v>
      </c>
      <c r="N4" s="30">
        <v>271400</v>
      </c>
      <c r="O4" s="30">
        <v>23200</v>
      </c>
      <c r="P4" s="30">
        <v>1711500</v>
      </c>
      <c r="Q4" s="30">
        <v>124558800</v>
      </c>
      <c r="R4" s="30">
        <v>15115200</v>
      </c>
    </row>
    <row r="5" spans="1:18">
      <c r="A5" s="66">
        <v>1962</v>
      </c>
      <c r="B5" s="30">
        <f t="shared" ref="B5:B46" si="1">K5/1000</f>
        <v>124558.8</v>
      </c>
      <c r="C5" s="30">
        <f t="shared" ref="C5:C46" si="2">L5/1000</f>
        <v>759.7</v>
      </c>
      <c r="D5" s="30">
        <f t="shared" ref="D5:D46" si="3">M5/1000</f>
        <v>67.7</v>
      </c>
      <c r="E5" s="30">
        <f t="shared" ref="E5:E46" si="4">N5/1000</f>
        <v>272.39999999999998</v>
      </c>
      <c r="F5" s="30">
        <f t="shared" ref="F5:F46" si="5">O5/1000</f>
        <v>22.8</v>
      </c>
      <c r="G5" s="30">
        <f t="shared" ref="G5:G46" si="6">P5/1000</f>
        <v>1167.8</v>
      </c>
      <c r="H5" s="30">
        <f t="shared" ref="H5:H46" si="7">Q5/1000</f>
        <v>124604</v>
      </c>
      <c r="I5" s="30">
        <f t="shared" ref="I5:I46" si="8">R5/1000</f>
        <v>15047.3</v>
      </c>
      <c r="K5" s="30">
        <v>124558800</v>
      </c>
      <c r="L5" s="30">
        <v>759700</v>
      </c>
      <c r="M5" s="30">
        <v>67700</v>
      </c>
      <c r="N5" s="30">
        <v>272400</v>
      </c>
      <c r="O5" s="30">
        <v>22800</v>
      </c>
      <c r="P5" s="30">
        <v>1167800</v>
      </c>
      <c r="Q5" s="30">
        <v>124604000</v>
      </c>
      <c r="R5" s="30">
        <v>15047300</v>
      </c>
    </row>
    <row r="6" spans="1:18">
      <c r="A6" s="66">
        <v>1963</v>
      </c>
      <c r="B6" s="30">
        <f t="shared" si="1"/>
        <v>124604</v>
      </c>
      <c r="C6" s="30">
        <f t="shared" si="2"/>
        <v>787.1</v>
      </c>
      <c r="D6" s="30">
        <f t="shared" si="3"/>
        <v>0</v>
      </c>
      <c r="E6" s="30">
        <f t="shared" si="4"/>
        <v>273.3</v>
      </c>
      <c r="F6" s="30">
        <f t="shared" si="5"/>
        <v>23.6</v>
      </c>
      <c r="G6" s="30">
        <f t="shared" si="6"/>
        <v>1127.8</v>
      </c>
      <c r="H6" s="30">
        <f t="shared" si="7"/>
        <v>124647.7</v>
      </c>
      <c r="I6" s="30">
        <f t="shared" si="8"/>
        <v>14979.9</v>
      </c>
      <c r="K6" s="30">
        <v>124604000</v>
      </c>
      <c r="L6" s="30">
        <v>787100</v>
      </c>
      <c r="M6" s="30"/>
      <c r="N6" s="30">
        <v>273300</v>
      </c>
      <c r="O6" s="30">
        <v>23600</v>
      </c>
      <c r="P6" s="30">
        <v>1127800</v>
      </c>
      <c r="Q6" s="30">
        <v>124647700</v>
      </c>
      <c r="R6" s="30">
        <v>14979900</v>
      </c>
    </row>
    <row r="7" spans="1:18">
      <c r="A7" s="66">
        <v>1964</v>
      </c>
      <c r="B7" s="30">
        <f t="shared" si="1"/>
        <v>124647.7</v>
      </c>
      <c r="C7" s="30">
        <f t="shared" si="2"/>
        <v>815.4</v>
      </c>
      <c r="D7" s="30">
        <f t="shared" si="3"/>
        <v>139.80000000000001</v>
      </c>
      <c r="E7" s="30">
        <f t="shared" si="4"/>
        <v>273.5</v>
      </c>
      <c r="F7" s="30">
        <f t="shared" si="5"/>
        <v>24.4</v>
      </c>
      <c r="G7" s="30">
        <f t="shared" si="6"/>
        <v>1295.4000000000001</v>
      </c>
      <c r="H7" s="30">
        <f t="shared" si="7"/>
        <v>124690</v>
      </c>
      <c r="I7" s="30">
        <f t="shared" si="8"/>
        <v>14913.2</v>
      </c>
      <c r="K7" s="30">
        <v>124647700</v>
      </c>
      <c r="L7" s="30">
        <v>815400</v>
      </c>
      <c r="M7" s="30">
        <v>139800</v>
      </c>
      <c r="N7" s="30">
        <v>273500</v>
      </c>
      <c r="O7" s="30">
        <v>24400</v>
      </c>
      <c r="P7" s="30">
        <v>1295400</v>
      </c>
      <c r="Q7" s="30">
        <v>124690000</v>
      </c>
      <c r="R7" s="30">
        <v>14913200</v>
      </c>
    </row>
    <row r="8" spans="1:18">
      <c r="A8" s="66">
        <v>1965</v>
      </c>
      <c r="B8" s="30">
        <f t="shared" si="1"/>
        <v>124690</v>
      </c>
      <c r="C8" s="30">
        <f t="shared" si="2"/>
        <v>817.7</v>
      </c>
      <c r="D8" s="30">
        <f t="shared" si="3"/>
        <v>0</v>
      </c>
      <c r="E8" s="30">
        <f t="shared" si="4"/>
        <v>274.10000000000002</v>
      </c>
      <c r="F8" s="30">
        <f t="shared" si="5"/>
        <v>24.5</v>
      </c>
      <c r="G8" s="30">
        <f t="shared" si="6"/>
        <v>1158.2</v>
      </c>
      <c r="H8" s="30">
        <f t="shared" si="7"/>
        <v>124731.9</v>
      </c>
      <c r="I8" s="30">
        <f t="shared" si="8"/>
        <v>14846.8</v>
      </c>
      <c r="K8" s="30">
        <v>124690000</v>
      </c>
      <c r="L8" s="30">
        <v>817700</v>
      </c>
      <c r="M8" s="30"/>
      <c r="N8" s="30">
        <v>274100</v>
      </c>
      <c r="O8" s="30">
        <v>24500</v>
      </c>
      <c r="P8" s="30">
        <v>1158200</v>
      </c>
      <c r="Q8" s="30">
        <v>124731900</v>
      </c>
      <c r="R8" s="30">
        <v>14846800</v>
      </c>
    </row>
    <row r="9" spans="1:18">
      <c r="A9" s="66">
        <v>1966</v>
      </c>
      <c r="B9" s="30">
        <f t="shared" si="1"/>
        <v>124731.9</v>
      </c>
      <c r="C9" s="30">
        <f t="shared" si="2"/>
        <v>856.1</v>
      </c>
      <c r="D9" s="30">
        <f t="shared" si="3"/>
        <v>42.8</v>
      </c>
      <c r="E9" s="30">
        <f t="shared" si="4"/>
        <v>274.7</v>
      </c>
      <c r="F9" s="30">
        <f t="shared" si="5"/>
        <v>25.7</v>
      </c>
      <c r="G9" s="30">
        <f t="shared" si="6"/>
        <v>1239.3</v>
      </c>
      <c r="H9" s="30">
        <f t="shared" si="7"/>
        <v>124771.9</v>
      </c>
      <c r="I9" s="30">
        <f t="shared" si="8"/>
        <v>14781.1</v>
      </c>
      <c r="K9" s="30">
        <v>124731900</v>
      </c>
      <c r="L9" s="30">
        <v>856100</v>
      </c>
      <c r="M9" s="30">
        <v>42800</v>
      </c>
      <c r="N9" s="30">
        <v>274700</v>
      </c>
      <c r="O9" s="30">
        <v>25700</v>
      </c>
      <c r="P9" s="30">
        <v>1239300</v>
      </c>
      <c r="Q9" s="30">
        <v>124771900</v>
      </c>
      <c r="R9" s="30">
        <v>14781100</v>
      </c>
    </row>
    <row r="10" spans="1:18">
      <c r="A10" s="66">
        <v>1967</v>
      </c>
      <c r="B10" s="30">
        <f t="shared" si="1"/>
        <v>124771.9</v>
      </c>
      <c r="C10" s="30">
        <f t="shared" si="2"/>
        <v>847.2</v>
      </c>
      <c r="D10" s="30">
        <f t="shared" si="3"/>
        <v>134.80000000000001</v>
      </c>
      <c r="E10" s="30">
        <f t="shared" si="4"/>
        <v>274.7</v>
      </c>
      <c r="F10" s="30">
        <f t="shared" si="5"/>
        <v>25.4</v>
      </c>
      <c r="G10" s="30">
        <f t="shared" si="6"/>
        <v>1322.1</v>
      </c>
      <c r="H10" s="30">
        <f t="shared" si="7"/>
        <v>124811.9</v>
      </c>
      <c r="I10" s="30">
        <f t="shared" si="8"/>
        <v>14715.7</v>
      </c>
      <c r="K10" s="30">
        <v>124771900</v>
      </c>
      <c r="L10" s="30">
        <v>847200</v>
      </c>
      <c r="M10" s="30">
        <v>134800</v>
      </c>
      <c r="N10" s="30">
        <v>274700</v>
      </c>
      <c r="O10" s="30">
        <v>25400</v>
      </c>
      <c r="P10" s="30">
        <v>1322100</v>
      </c>
      <c r="Q10" s="30">
        <v>124811900</v>
      </c>
      <c r="R10" s="30">
        <v>14715700</v>
      </c>
    </row>
    <row r="11" spans="1:18">
      <c r="A11" s="66">
        <v>1968</v>
      </c>
      <c r="B11" s="30">
        <f t="shared" si="1"/>
        <v>124811.9</v>
      </c>
      <c r="C11" s="30">
        <f t="shared" si="2"/>
        <v>877.4</v>
      </c>
      <c r="D11" s="30">
        <f t="shared" si="3"/>
        <v>0</v>
      </c>
      <c r="E11" s="30">
        <f t="shared" si="4"/>
        <v>275</v>
      </c>
      <c r="F11" s="30">
        <f t="shared" si="5"/>
        <v>26.3</v>
      </c>
      <c r="G11" s="30">
        <f t="shared" si="6"/>
        <v>1217.2</v>
      </c>
      <c r="H11" s="30">
        <f t="shared" si="7"/>
        <v>124850.4</v>
      </c>
      <c r="I11" s="30">
        <f t="shared" si="8"/>
        <v>14650.9</v>
      </c>
      <c r="K11" s="30">
        <v>124811900</v>
      </c>
      <c r="L11" s="30">
        <v>877400</v>
      </c>
      <c r="M11" s="30"/>
      <c r="N11" s="30">
        <v>275000</v>
      </c>
      <c r="O11" s="30">
        <v>26300</v>
      </c>
      <c r="P11" s="30">
        <v>1217200</v>
      </c>
      <c r="Q11" s="30">
        <v>124850400</v>
      </c>
      <c r="R11" s="30">
        <v>14650900</v>
      </c>
    </row>
    <row r="12" spans="1:18">
      <c r="A12" s="66">
        <v>1969</v>
      </c>
      <c r="B12" s="30">
        <f t="shared" si="1"/>
        <v>124850.4</v>
      </c>
      <c r="C12" s="30">
        <f t="shared" si="2"/>
        <v>932.7</v>
      </c>
      <c r="D12" s="30">
        <f t="shared" si="3"/>
        <v>181</v>
      </c>
      <c r="E12" s="30">
        <f t="shared" si="4"/>
        <v>274.89999999999998</v>
      </c>
      <c r="F12" s="30">
        <f t="shared" si="5"/>
        <v>28</v>
      </c>
      <c r="G12" s="30">
        <f t="shared" si="6"/>
        <v>1452.5</v>
      </c>
      <c r="H12" s="30">
        <f t="shared" si="7"/>
        <v>124886.3</v>
      </c>
      <c r="I12" s="30">
        <f t="shared" si="8"/>
        <v>14586.9</v>
      </c>
      <c r="K12" s="30">
        <v>124850400</v>
      </c>
      <c r="L12" s="30">
        <v>932700</v>
      </c>
      <c r="M12" s="30">
        <v>181000</v>
      </c>
      <c r="N12" s="30">
        <v>274900</v>
      </c>
      <c r="O12" s="30">
        <v>28000</v>
      </c>
      <c r="P12" s="30">
        <v>1452500</v>
      </c>
      <c r="Q12" s="30">
        <v>124886300</v>
      </c>
      <c r="R12" s="30">
        <v>14586900</v>
      </c>
    </row>
    <row r="13" spans="1:18">
      <c r="A13" s="66">
        <v>1970</v>
      </c>
      <c r="B13" s="30">
        <f t="shared" si="1"/>
        <v>124886.3</v>
      </c>
      <c r="C13" s="30">
        <f t="shared" si="2"/>
        <v>921.7</v>
      </c>
      <c r="D13" s="30">
        <f t="shared" si="3"/>
        <v>225.7</v>
      </c>
      <c r="E13" s="30">
        <f t="shared" si="4"/>
        <v>274.10000000000002</v>
      </c>
      <c r="F13" s="30">
        <f t="shared" si="5"/>
        <v>27.6</v>
      </c>
      <c r="G13" s="30">
        <f t="shared" si="6"/>
        <v>1485.2</v>
      </c>
      <c r="H13" s="30">
        <f t="shared" si="7"/>
        <v>124922.4</v>
      </c>
      <c r="I13" s="30">
        <f t="shared" si="8"/>
        <v>14523.2</v>
      </c>
      <c r="K13" s="30">
        <v>124886300</v>
      </c>
      <c r="L13" s="30">
        <v>921700</v>
      </c>
      <c r="M13" s="30">
        <v>225700</v>
      </c>
      <c r="N13" s="30">
        <v>274100</v>
      </c>
      <c r="O13" s="30">
        <v>27600</v>
      </c>
      <c r="P13" s="30">
        <v>1485200</v>
      </c>
      <c r="Q13" s="30">
        <v>124922400</v>
      </c>
      <c r="R13" s="30">
        <v>14523200</v>
      </c>
    </row>
    <row r="14" spans="1:18">
      <c r="A14" s="66">
        <v>1971</v>
      </c>
      <c r="B14" s="30">
        <f t="shared" si="1"/>
        <v>124922.4</v>
      </c>
      <c r="C14" s="30">
        <f t="shared" si="2"/>
        <v>885.2</v>
      </c>
      <c r="D14" s="30">
        <f t="shared" si="3"/>
        <v>236.2</v>
      </c>
      <c r="E14" s="30">
        <f t="shared" si="4"/>
        <v>273.5</v>
      </c>
      <c r="F14" s="30">
        <f t="shared" si="5"/>
        <v>26.5</v>
      </c>
      <c r="G14" s="30">
        <f t="shared" si="6"/>
        <v>1458.7</v>
      </c>
      <c r="H14" s="30">
        <f t="shared" si="7"/>
        <v>124959.6</v>
      </c>
      <c r="I14" s="30">
        <f t="shared" si="8"/>
        <v>14459.4</v>
      </c>
      <c r="K14" s="30">
        <v>124922400</v>
      </c>
      <c r="L14" s="30">
        <v>885200</v>
      </c>
      <c r="M14" s="30">
        <v>236200</v>
      </c>
      <c r="N14" s="30">
        <v>273500</v>
      </c>
      <c r="O14" s="30">
        <v>26500</v>
      </c>
      <c r="P14" s="30">
        <v>1458700</v>
      </c>
      <c r="Q14" s="30">
        <v>124959600</v>
      </c>
      <c r="R14" s="30">
        <v>14459400</v>
      </c>
    </row>
    <row r="15" spans="1:18">
      <c r="A15" s="66">
        <v>1972</v>
      </c>
      <c r="B15" s="30">
        <f t="shared" si="1"/>
        <v>124959.6</v>
      </c>
      <c r="C15" s="30">
        <f t="shared" si="2"/>
        <v>919.8</v>
      </c>
      <c r="D15" s="30">
        <f t="shared" si="3"/>
        <v>126.8</v>
      </c>
      <c r="E15" s="30">
        <f t="shared" si="4"/>
        <v>273.7</v>
      </c>
      <c r="F15" s="30">
        <f t="shared" si="5"/>
        <v>27.6</v>
      </c>
      <c r="G15" s="30">
        <f t="shared" si="6"/>
        <v>1383.4</v>
      </c>
      <c r="H15" s="30">
        <f t="shared" si="7"/>
        <v>124995.1</v>
      </c>
      <c r="I15" s="30">
        <f t="shared" si="8"/>
        <v>14396.3</v>
      </c>
      <c r="K15" s="30">
        <v>124959600</v>
      </c>
      <c r="L15" s="30">
        <v>919800</v>
      </c>
      <c r="M15" s="30">
        <v>126800</v>
      </c>
      <c r="N15" s="30">
        <v>273700</v>
      </c>
      <c r="O15" s="30">
        <v>27600</v>
      </c>
      <c r="P15" s="30">
        <v>1383400</v>
      </c>
      <c r="Q15" s="30">
        <v>124995100</v>
      </c>
      <c r="R15" s="30">
        <v>14396300</v>
      </c>
    </row>
    <row r="16" spans="1:18">
      <c r="A16" s="66">
        <v>1973</v>
      </c>
      <c r="B16" s="30">
        <f t="shared" si="1"/>
        <v>124995.1</v>
      </c>
      <c r="C16" s="30">
        <f t="shared" si="2"/>
        <v>1049.3</v>
      </c>
      <c r="D16" s="30">
        <f t="shared" si="3"/>
        <v>19.600000000000001</v>
      </c>
      <c r="E16" s="30">
        <f t="shared" si="4"/>
        <v>273.89999999999998</v>
      </c>
      <c r="F16" s="30">
        <f t="shared" si="5"/>
        <v>31.5</v>
      </c>
      <c r="G16" s="30">
        <f t="shared" si="6"/>
        <v>1404.3</v>
      </c>
      <c r="H16" s="30">
        <f t="shared" si="7"/>
        <v>125025.1</v>
      </c>
      <c r="I16" s="30">
        <f t="shared" si="8"/>
        <v>14334.9</v>
      </c>
      <c r="K16" s="30">
        <v>124995100</v>
      </c>
      <c r="L16" s="30">
        <v>1049300</v>
      </c>
      <c r="M16" s="30">
        <v>19600</v>
      </c>
      <c r="N16" s="30">
        <v>273900</v>
      </c>
      <c r="O16" s="30">
        <v>31500</v>
      </c>
      <c r="P16" s="30">
        <v>1404300</v>
      </c>
      <c r="Q16" s="30">
        <v>125025100</v>
      </c>
      <c r="R16" s="30">
        <v>14334900</v>
      </c>
    </row>
    <row r="17" spans="1:18">
      <c r="A17" s="66">
        <v>1974</v>
      </c>
      <c r="B17" s="30">
        <f t="shared" si="1"/>
        <v>125025.1</v>
      </c>
      <c r="C17" s="30">
        <f t="shared" si="2"/>
        <v>1040.2</v>
      </c>
      <c r="D17" s="30">
        <f t="shared" si="3"/>
        <v>218.4</v>
      </c>
      <c r="E17" s="30">
        <f t="shared" si="4"/>
        <v>272.89999999999998</v>
      </c>
      <c r="F17" s="30">
        <f t="shared" si="5"/>
        <v>31.2</v>
      </c>
      <c r="G17" s="30">
        <f t="shared" si="6"/>
        <v>1592.8</v>
      </c>
      <c r="H17" s="30">
        <f t="shared" si="7"/>
        <v>125055.2</v>
      </c>
      <c r="I17" s="30">
        <f t="shared" si="8"/>
        <v>14273.6</v>
      </c>
      <c r="K17" s="30">
        <v>125025100</v>
      </c>
      <c r="L17" s="30">
        <v>1040200</v>
      </c>
      <c r="M17" s="30">
        <v>218400</v>
      </c>
      <c r="N17" s="30">
        <v>272900</v>
      </c>
      <c r="O17" s="30">
        <v>31200</v>
      </c>
      <c r="P17" s="30">
        <v>1592800</v>
      </c>
      <c r="Q17" s="30">
        <v>125055200</v>
      </c>
      <c r="R17" s="30">
        <v>14273600</v>
      </c>
    </row>
    <row r="18" spans="1:18">
      <c r="A18" s="66">
        <v>1975</v>
      </c>
      <c r="B18" s="30">
        <f t="shared" si="1"/>
        <v>125055.2</v>
      </c>
      <c r="C18" s="30">
        <f t="shared" si="2"/>
        <v>863.1</v>
      </c>
      <c r="D18" s="30">
        <f t="shared" si="3"/>
        <v>34.5</v>
      </c>
      <c r="E18" s="30">
        <f t="shared" si="4"/>
        <v>272.10000000000002</v>
      </c>
      <c r="F18" s="30">
        <f t="shared" si="5"/>
        <v>25.9</v>
      </c>
      <c r="G18" s="30">
        <f t="shared" si="6"/>
        <v>1232.4000000000001</v>
      </c>
      <c r="H18" s="30">
        <f t="shared" si="7"/>
        <v>125092</v>
      </c>
      <c r="I18" s="30">
        <f t="shared" si="8"/>
        <v>14210.9</v>
      </c>
      <c r="K18" s="30">
        <v>125055200</v>
      </c>
      <c r="L18" s="30">
        <v>863100</v>
      </c>
      <c r="M18" s="30">
        <v>34500</v>
      </c>
      <c r="N18" s="30">
        <v>272100</v>
      </c>
      <c r="O18" s="30">
        <v>25900</v>
      </c>
      <c r="P18" s="30">
        <v>1232400</v>
      </c>
      <c r="Q18" s="30">
        <v>125092000</v>
      </c>
      <c r="R18" s="30">
        <v>14210900</v>
      </c>
    </row>
    <row r="19" spans="1:18">
      <c r="A19" s="66">
        <v>1976</v>
      </c>
      <c r="B19" s="30">
        <f t="shared" si="1"/>
        <v>125092</v>
      </c>
      <c r="C19" s="30">
        <f t="shared" si="2"/>
        <v>996.1</v>
      </c>
      <c r="D19" s="30">
        <f t="shared" si="3"/>
        <v>196.4</v>
      </c>
      <c r="E19" s="30">
        <f t="shared" si="4"/>
        <v>272.2</v>
      </c>
      <c r="F19" s="30">
        <f t="shared" si="5"/>
        <v>29.9</v>
      </c>
      <c r="G19" s="30">
        <f t="shared" si="6"/>
        <v>1525.8</v>
      </c>
      <c r="H19" s="30">
        <f t="shared" si="7"/>
        <v>125123.2</v>
      </c>
      <c r="I19" s="30">
        <f t="shared" si="8"/>
        <v>14149.8</v>
      </c>
      <c r="K19" s="30">
        <v>125092000</v>
      </c>
      <c r="L19" s="30">
        <v>996100</v>
      </c>
      <c r="M19" s="30">
        <v>196400</v>
      </c>
      <c r="N19" s="30">
        <v>272200</v>
      </c>
      <c r="O19" s="30">
        <v>29900</v>
      </c>
      <c r="P19" s="30">
        <v>1525800</v>
      </c>
      <c r="Q19" s="30">
        <v>125123200</v>
      </c>
      <c r="R19" s="30">
        <v>14149800</v>
      </c>
    </row>
    <row r="20" spans="1:18">
      <c r="A20" s="66">
        <v>1977</v>
      </c>
      <c r="B20" s="30">
        <f t="shared" si="1"/>
        <v>125123.2</v>
      </c>
      <c r="C20" s="30">
        <f t="shared" si="2"/>
        <v>1050.3</v>
      </c>
      <c r="D20" s="30">
        <f t="shared" si="3"/>
        <v>158.1</v>
      </c>
      <c r="E20" s="30">
        <f t="shared" si="4"/>
        <v>272.10000000000002</v>
      </c>
      <c r="F20" s="30">
        <f t="shared" si="5"/>
        <v>31.5</v>
      </c>
      <c r="G20" s="30">
        <f t="shared" si="6"/>
        <v>1540.8</v>
      </c>
      <c r="H20" s="30">
        <f t="shared" si="7"/>
        <v>125151.9</v>
      </c>
      <c r="I20" s="30">
        <f t="shared" si="8"/>
        <v>14089.5</v>
      </c>
      <c r="K20" s="30">
        <v>125123200</v>
      </c>
      <c r="L20" s="30">
        <v>1050300</v>
      </c>
      <c r="M20" s="30">
        <v>158100</v>
      </c>
      <c r="N20" s="30">
        <v>272100</v>
      </c>
      <c r="O20" s="30">
        <v>31500</v>
      </c>
      <c r="P20" s="30">
        <v>1540800</v>
      </c>
      <c r="Q20" s="30">
        <v>125151900</v>
      </c>
      <c r="R20" s="30">
        <v>14089500</v>
      </c>
    </row>
    <row r="21" spans="1:18">
      <c r="A21" s="66">
        <v>1978</v>
      </c>
      <c r="B21" s="30">
        <f t="shared" si="1"/>
        <v>125151.9</v>
      </c>
      <c r="C21" s="30">
        <f t="shared" si="2"/>
        <v>1129.3</v>
      </c>
      <c r="D21" s="30">
        <f t="shared" si="3"/>
        <v>22.4</v>
      </c>
      <c r="E21" s="30">
        <f t="shared" si="4"/>
        <v>272</v>
      </c>
      <c r="F21" s="30">
        <f t="shared" si="5"/>
        <v>33.799999999999997</v>
      </c>
      <c r="G21" s="30">
        <f t="shared" si="6"/>
        <v>1482.8</v>
      </c>
      <c r="H21" s="30">
        <f t="shared" si="7"/>
        <v>125177.2</v>
      </c>
      <c r="I21" s="30">
        <f t="shared" si="8"/>
        <v>14030.4</v>
      </c>
      <c r="K21" s="30">
        <v>125151900</v>
      </c>
      <c r="L21" s="30">
        <v>1129300</v>
      </c>
      <c r="M21" s="30">
        <v>22400</v>
      </c>
      <c r="N21" s="30">
        <v>272000</v>
      </c>
      <c r="O21" s="30">
        <v>33800</v>
      </c>
      <c r="P21" s="30">
        <v>1482800</v>
      </c>
      <c r="Q21" s="30">
        <v>125177200</v>
      </c>
      <c r="R21" s="30">
        <v>14030400</v>
      </c>
    </row>
    <row r="22" spans="1:18">
      <c r="A22" s="66">
        <v>1979</v>
      </c>
      <c r="B22" s="30">
        <f t="shared" si="1"/>
        <v>125177.2</v>
      </c>
      <c r="C22" s="30">
        <f t="shared" si="2"/>
        <v>1178.8</v>
      </c>
      <c r="D22" s="30">
        <f t="shared" si="3"/>
        <v>81.099999999999994</v>
      </c>
      <c r="E22" s="30">
        <f t="shared" si="4"/>
        <v>271.3</v>
      </c>
      <c r="F22" s="30">
        <f t="shared" si="5"/>
        <v>35.299999999999997</v>
      </c>
      <c r="G22" s="30">
        <f t="shared" si="6"/>
        <v>1589.6</v>
      </c>
      <c r="H22" s="30">
        <f t="shared" si="7"/>
        <v>125200.2</v>
      </c>
      <c r="I22" s="30">
        <f t="shared" si="8"/>
        <v>13972</v>
      </c>
      <c r="K22" s="30">
        <v>125177200</v>
      </c>
      <c r="L22" s="30">
        <v>1178800</v>
      </c>
      <c r="M22" s="30">
        <v>81100</v>
      </c>
      <c r="N22" s="30">
        <v>271300</v>
      </c>
      <c r="O22" s="30">
        <v>35300</v>
      </c>
      <c r="P22" s="30">
        <v>1589600</v>
      </c>
      <c r="Q22" s="30">
        <v>125200200</v>
      </c>
      <c r="R22" s="30">
        <v>13972000</v>
      </c>
    </row>
    <row r="23" spans="1:18">
      <c r="A23" s="66">
        <v>1980</v>
      </c>
      <c r="B23" s="30">
        <f t="shared" si="1"/>
        <v>125200.2</v>
      </c>
      <c r="C23" s="30">
        <f t="shared" si="2"/>
        <v>1120.4000000000001</v>
      </c>
      <c r="D23" s="30">
        <f t="shared" si="3"/>
        <v>482.8</v>
      </c>
      <c r="E23" s="30">
        <f t="shared" si="4"/>
        <v>270</v>
      </c>
      <c r="F23" s="30">
        <f t="shared" si="5"/>
        <v>33.6</v>
      </c>
      <c r="G23" s="30">
        <f t="shared" si="6"/>
        <v>1931.8</v>
      </c>
      <c r="H23" s="30">
        <f t="shared" si="7"/>
        <v>125225.3</v>
      </c>
      <c r="I23" s="30">
        <f t="shared" si="8"/>
        <v>13913.3</v>
      </c>
      <c r="K23" s="30">
        <v>125200200</v>
      </c>
      <c r="L23" s="30">
        <v>1120400</v>
      </c>
      <c r="M23" s="30">
        <v>482800</v>
      </c>
      <c r="N23" s="30">
        <v>270000</v>
      </c>
      <c r="O23" s="30">
        <v>33600</v>
      </c>
      <c r="P23" s="30">
        <v>1931800</v>
      </c>
      <c r="Q23" s="30">
        <v>125225300</v>
      </c>
      <c r="R23" s="30">
        <v>13913300</v>
      </c>
    </row>
    <row r="24" spans="1:18">
      <c r="A24" s="66">
        <v>1981</v>
      </c>
      <c r="B24" s="30">
        <f t="shared" si="1"/>
        <v>125225.3</v>
      </c>
      <c r="C24" s="30">
        <f t="shared" si="2"/>
        <v>1089</v>
      </c>
      <c r="D24" s="30">
        <f t="shared" si="3"/>
        <v>451.5</v>
      </c>
      <c r="E24" s="30">
        <f t="shared" si="4"/>
        <v>269.3</v>
      </c>
      <c r="F24" s="30">
        <f t="shared" si="5"/>
        <v>32.6</v>
      </c>
      <c r="G24" s="30">
        <f t="shared" si="6"/>
        <v>1868.5</v>
      </c>
      <c r="H24" s="30">
        <f t="shared" si="7"/>
        <v>125251.3</v>
      </c>
      <c r="I24" s="30">
        <f t="shared" si="8"/>
        <v>13854.7</v>
      </c>
      <c r="K24" s="30">
        <v>125225300</v>
      </c>
      <c r="L24" s="30">
        <v>1089000</v>
      </c>
      <c r="M24" s="30">
        <v>451500</v>
      </c>
      <c r="N24" s="30">
        <v>269300</v>
      </c>
      <c r="O24" s="30">
        <v>32600</v>
      </c>
      <c r="P24" s="30">
        <v>1868500</v>
      </c>
      <c r="Q24" s="30">
        <v>125251300</v>
      </c>
      <c r="R24" s="30">
        <v>13854700</v>
      </c>
    </row>
    <row r="25" spans="1:18">
      <c r="A25" s="66">
        <v>1982</v>
      </c>
      <c r="B25" s="30">
        <f t="shared" si="1"/>
        <v>125251.3</v>
      </c>
      <c r="C25" s="30">
        <f t="shared" si="2"/>
        <v>939.1</v>
      </c>
      <c r="D25" s="30">
        <f t="shared" si="3"/>
        <v>373.2</v>
      </c>
      <c r="E25" s="30">
        <f t="shared" si="4"/>
        <v>256.5</v>
      </c>
      <c r="F25" s="30">
        <f t="shared" si="5"/>
        <v>28.1</v>
      </c>
      <c r="G25" s="30">
        <f t="shared" si="6"/>
        <v>1631.5</v>
      </c>
      <c r="H25" s="30">
        <f t="shared" si="7"/>
        <v>125283</v>
      </c>
      <c r="I25" s="30">
        <f t="shared" si="8"/>
        <v>13794.8</v>
      </c>
      <c r="K25" s="30">
        <v>125251300</v>
      </c>
      <c r="L25" s="30">
        <v>939100</v>
      </c>
      <c r="M25" s="30">
        <v>373200</v>
      </c>
      <c r="N25" s="30">
        <v>256500</v>
      </c>
      <c r="O25" s="30">
        <v>28100</v>
      </c>
      <c r="P25" s="30">
        <v>1631500</v>
      </c>
      <c r="Q25" s="30">
        <v>125283000</v>
      </c>
      <c r="R25" s="30">
        <v>13794800</v>
      </c>
    </row>
    <row r="26" spans="1:18">
      <c r="A26" s="66">
        <v>1983</v>
      </c>
      <c r="B26" s="30">
        <f t="shared" si="1"/>
        <v>125283</v>
      </c>
      <c r="C26" s="30">
        <f t="shared" si="2"/>
        <v>1136.7</v>
      </c>
      <c r="D26" s="30">
        <f t="shared" si="3"/>
        <v>176.5</v>
      </c>
      <c r="E26" s="30">
        <f t="shared" si="4"/>
        <v>245.2</v>
      </c>
      <c r="F26" s="30">
        <f t="shared" si="5"/>
        <v>34.1</v>
      </c>
      <c r="G26" s="30">
        <f t="shared" si="6"/>
        <v>1616</v>
      </c>
      <c r="H26" s="30">
        <f t="shared" si="7"/>
        <v>125306.5</v>
      </c>
      <c r="I26" s="30">
        <f t="shared" si="8"/>
        <v>13737.2</v>
      </c>
      <c r="K26" s="30">
        <v>125283000</v>
      </c>
      <c r="L26" s="30">
        <v>1136700</v>
      </c>
      <c r="M26" s="30">
        <v>176500</v>
      </c>
      <c r="N26" s="30">
        <v>245200</v>
      </c>
      <c r="O26" s="30">
        <v>34100</v>
      </c>
      <c r="P26" s="30">
        <v>1616000</v>
      </c>
      <c r="Q26" s="30">
        <v>125306500</v>
      </c>
      <c r="R26" s="30">
        <v>13737200</v>
      </c>
    </row>
    <row r="27" spans="1:18">
      <c r="A27" s="66">
        <v>1984</v>
      </c>
      <c r="B27" s="30">
        <f t="shared" si="1"/>
        <v>125306.5</v>
      </c>
      <c r="C27" s="30">
        <f t="shared" si="2"/>
        <v>1233.0999999999999</v>
      </c>
      <c r="D27" s="30">
        <f t="shared" si="3"/>
        <v>51.8</v>
      </c>
      <c r="E27" s="30">
        <f t="shared" si="4"/>
        <v>233.7</v>
      </c>
      <c r="F27" s="30">
        <f t="shared" si="5"/>
        <v>37</v>
      </c>
      <c r="G27" s="30">
        <f t="shared" si="6"/>
        <v>1574.9</v>
      </c>
      <c r="H27" s="30">
        <f t="shared" si="7"/>
        <v>125325.9</v>
      </c>
      <c r="I27" s="30">
        <f t="shared" si="8"/>
        <v>13680.8</v>
      </c>
      <c r="K27" s="30">
        <v>125306500</v>
      </c>
      <c r="L27" s="30">
        <v>1233100</v>
      </c>
      <c r="M27" s="30">
        <v>51800</v>
      </c>
      <c r="N27" s="30">
        <v>233700</v>
      </c>
      <c r="O27" s="30">
        <v>37000</v>
      </c>
      <c r="P27" s="30">
        <v>1574900</v>
      </c>
      <c r="Q27" s="30">
        <v>125325900</v>
      </c>
      <c r="R27" s="30">
        <v>13680800</v>
      </c>
    </row>
    <row r="28" spans="1:18">
      <c r="A28" s="66">
        <v>1985</v>
      </c>
      <c r="B28" s="30">
        <f t="shared" si="1"/>
        <v>125325.9</v>
      </c>
      <c r="C28" s="30">
        <f t="shared" si="2"/>
        <v>1225.0999999999999</v>
      </c>
      <c r="D28" s="30">
        <f t="shared" si="3"/>
        <v>62.8</v>
      </c>
      <c r="E28" s="30">
        <f t="shared" si="4"/>
        <v>222.4</v>
      </c>
      <c r="F28" s="30">
        <f t="shared" si="5"/>
        <v>36.700000000000003</v>
      </c>
      <c r="G28" s="30">
        <f t="shared" si="6"/>
        <v>1566.5</v>
      </c>
      <c r="H28" s="30">
        <f t="shared" si="7"/>
        <v>125345.3</v>
      </c>
      <c r="I28" s="30">
        <f t="shared" si="8"/>
        <v>13624.7</v>
      </c>
      <c r="K28" s="30">
        <v>125325900</v>
      </c>
      <c r="L28" s="30">
        <v>1225100</v>
      </c>
      <c r="M28" s="30">
        <v>62800</v>
      </c>
      <c r="N28" s="30">
        <v>222400</v>
      </c>
      <c r="O28" s="30">
        <v>36700</v>
      </c>
      <c r="P28" s="30">
        <v>1566500</v>
      </c>
      <c r="Q28" s="30">
        <v>125345300</v>
      </c>
      <c r="R28" s="30">
        <v>13624700</v>
      </c>
    </row>
    <row r="29" spans="1:18">
      <c r="A29" s="66">
        <v>1986</v>
      </c>
      <c r="B29" s="30">
        <f t="shared" si="1"/>
        <v>125345.3</v>
      </c>
      <c r="C29" s="30">
        <f t="shared" si="2"/>
        <v>1301.3</v>
      </c>
      <c r="D29" s="30">
        <f t="shared" si="3"/>
        <v>158.4</v>
      </c>
      <c r="E29" s="30">
        <f t="shared" si="4"/>
        <v>211.8</v>
      </c>
      <c r="F29" s="30">
        <f t="shared" si="5"/>
        <v>39</v>
      </c>
      <c r="G29" s="30">
        <f t="shared" si="6"/>
        <v>1726.7</v>
      </c>
      <c r="H29" s="30">
        <f t="shared" si="7"/>
        <v>125361.3</v>
      </c>
      <c r="I29" s="30">
        <f t="shared" si="8"/>
        <v>13569.6</v>
      </c>
      <c r="K29" s="30">
        <v>125345300</v>
      </c>
      <c r="L29" s="30">
        <v>1301300</v>
      </c>
      <c r="M29" s="30">
        <v>158400</v>
      </c>
      <c r="N29" s="30">
        <v>211800</v>
      </c>
      <c r="O29" s="30">
        <v>39000</v>
      </c>
      <c r="P29" s="30">
        <v>1726700</v>
      </c>
      <c r="Q29" s="30">
        <v>125361300</v>
      </c>
      <c r="R29" s="30">
        <v>13569600</v>
      </c>
    </row>
    <row r="30" spans="1:18">
      <c r="A30" s="66">
        <v>1987</v>
      </c>
      <c r="B30" s="30">
        <f t="shared" si="1"/>
        <v>125361.3</v>
      </c>
      <c r="C30" s="30">
        <f t="shared" si="2"/>
        <v>1374.6</v>
      </c>
      <c r="D30" s="30">
        <f t="shared" si="3"/>
        <v>111.3</v>
      </c>
      <c r="E30" s="30">
        <f t="shared" si="4"/>
        <v>201.7</v>
      </c>
      <c r="F30" s="30">
        <f t="shared" si="5"/>
        <v>41.2</v>
      </c>
      <c r="G30" s="30">
        <f t="shared" si="6"/>
        <v>1741.7</v>
      </c>
      <c r="H30" s="30">
        <f t="shared" si="7"/>
        <v>125374.2</v>
      </c>
      <c r="I30" s="30">
        <f t="shared" si="8"/>
        <v>13515.5</v>
      </c>
      <c r="K30" s="30">
        <v>125361300</v>
      </c>
      <c r="L30" s="30">
        <v>1374600</v>
      </c>
      <c r="M30" s="30">
        <v>111300</v>
      </c>
      <c r="N30" s="30">
        <v>201700</v>
      </c>
      <c r="O30" s="30">
        <v>41200</v>
      </c>
      <c r="P30" s="30">
        <v>1741700</v>
      </c>
      <c r="Q30" s="30">
        <v>125374200</v>
      </c>
      <c r="R30" s="30">
        <v>13515500</v>
      </c>
    </row>
    <row r="31" spans="1:18">
      <c r="A31" s="66">
        <v>1988</v>
      </c>
      <c r="B31" s="30">
        <f t="shared" si="1"/>
        <v>125374.2</v>
      </c>
      <c r="C31" s="30">
        <f t="shared" si="2"/>
        <v>1373.3</v>
      </c>
      <c r="D31" s="30">
        <f t="shared" si="3"/>
        <v>179.3</v>
      </c>
      <c r="E31" s="30">
        <f t="shared" si="4"/>
        <v>191.9</v>
      </c>
      <c r="F31" s="30">
        <f t="shared" si="5"/>
        <v>41.2</v>
      </c>
      <c r="G31" s="30">
        <f t="shared" si="6"/>
        <v>1798.4</v>
      </c>
      <c r="H31" s="30">
        <f t="shared" si="7"/>
        <v>125386.8</v>
      </c>
      <c r="I31" s="30">
        <f t="shared" si="8"/>
        <v>13461.6</v>
      </c>
      <c r="K31" s="30">
        <v>125374200</v>
      </c>
      <c r="L31" s="30">
        <v>1373300</v>
      </c>
      <c r="M31" s="30">
        <v>179300</v>
      </c>
      <c r="N31" s="30">
        <v>191900</v>
      </c>
      <c r="O31" s="30">
        <v>41200</v>
      </c>
      <c r="P31" s="30">
        <v>1798400</v>
      </c>
      <c r="Q31" s="30">
        <v>125386800</v>
      </c>
      <c r="R31" s="30">
        <v>13461600</v>
      </c>
    </row>
    <row r="32" spans="1:18">
      <c r="A32" s="66">
        <v>1989</v>
      </c>
      <c r="B32" s="30">
        <f t="shared" si="1"/>
        <v>125386.8</v>
      </c>
      <c r="C32" s="30">
        <f t="shared" si="2"/>
        <v>1318.9</v>
      </c>
      <c r="D32" s="30">
        <f t="shared" si="3"/>
        <v>1228.8</v>
      </c>
      <c r="E32" s="30">
        <f t="shared" si="4"/>
        <v>181.4</v>
      </c>
      <c r="F32" s="30">
        <f t="shared" si="5"/>
        <v>39.5</v>
      </c>
      <c r="G32" s="30">
        <f t="shared" si="6"/>
        <v>2783.2</v>
      </c>
      <c r="H32" s="30">
        <f t="shared" si="7"/>
        <v>125401.4</v>
      </c>
      <c r="I32" s="30">
        <f t="shared" si="8"/>
        <v>13407.5</v>
      </c>
      <c r="K32" s="30">
        <v>125386800</v>
      </c>
      <c r="L32" s="30">
        <v>1318900</v>
      </c>
      <c r="M32" s="30">
        <v>1228800</v>
      </c>
      <c r="N32" s="30">
        <v>181400</v>
      </c>
      <c r="O32" s="30">
        <v>39500</v>
      </c>
      <c r="P32" s="30">
        <v>2783200</v>
      </c>
      <c r="Q32" s="30">
        <v>125401400</v>
      </c>
      <c r="R32" s="30">
        <v>13407500</v>
      </c>
    </row>
    <row r="33" spans="1:18">
      <c r="A33" s="66">
        <v>1990</v>
      </c>
      <c r="B33" s="30">
        <f t="shared" si="1"/>
        <v>125401.5</v>
      </c>
      <c r="C33" s="30">
        <f t="shared" si="2"/>
        <v>1111</v>
      </c>
      <c r="D33" s="30">
        <f t="shared" si="3"/>
        <v>126.7</v>
      </c>
      <c r="E33" s="30">
        <f t="shared" si="4"/>
        <v>173.3</v>
      </c>
      <c r="F33" s="30">
        <f t="shared" si="5"/>
        <v>33.299999999999997</v>
      </c>
      <c r="G33" s="30">
        <f t="shared" si="6"/>
        <v>1466.9</v>
      </c>
      <c r="H33" s="30">
        <f t="shared" si="7"/>
        <v>125424.1</v>
      </c>
      <c r="I33" s="30">
        <f t="shared" si="8"/>
        <v>13351.6</v>
      </c>
      <c r="K33" s="30">
        <v>125401500</v>
      </c>
      <c r="L33" s="30">
        <v>1111000</v>
      </c>
      <c r="M33" s="30">
        <v>126700</v>
      </c>
      <c r="N33" s="30">
        <v>173300</v>
      </c>
      <c r="O33" s="30">
        <v>33300</v>
      </c>
      <c r="P33" s="30">
        <v>1466900</v>
      </c>
      <c r="Q33" s="30">
        <v>125424100</v>
      </c>
      <c r="R33" s="30">
        <v>13351600</v>
      </c>
    </row>
    <row r="34" spans="1:18">
      <c r="A34" s="66">
        <v>1991</v>
      </c>
      <c r="B34" s="30">
        <f t="shared" si="1"/>
        <v>125424.1</v>
      </c>
      <c r="C34" s="30">
        <f t="shared" si="2"/>
        <v>1103.3</v>
      </c>
      <c r="D34" s="30">
        <f t="shared" si="3"/>
        <v>296</v>
      </c>
      <c r="E34" s="30">
        <f t="shared" si="4"/>
        <v>166.5</v>
      </c>
      <c r="F34" s="30">
        <f t="shared" si="5"/>
        <v>33.1</v>
      </c>
      <c r="G34" s="30">
        <f t="shared" si="6"/>
        <v>1621.5</v>
      </c>
      <c r="H34" s="30">
        <f t="shared" si="7"/>
        <v>125446.7</v>
      </c>
      <c r="I34" s="30">
        <f t="shared" si="8"/>
        <v>13295.8</v>
      </c>
      <c r="K34" s="30">
        <v>125424100</v>
      </c>
      <c r="L34" s="30">
        <v>1103300</v>
      </c>
      <c r="M34" s="30">
        <v>296000</v>
      </c>
      <c r="N34" s="30">
        <v>166500</v>
      </c>
      <c r="O34" s="30">
        <v>33100</v>
      </c>
      <c r="P34" s="30">
        <v>1621500</v>
      </c>
      <c r="Q34" s="30">
        <v>125446700</v>
      </c>
      <c r="R34" s="30">
        <v>13295800</v>
      </c>
    </row>
    <row r="35" spans="1:18">
      <c r="A35" s="66">
        <v>1992</v>
      </c>
      <c r="B35" s="30">
        <f t="shared" si="1"/>
        <v>125446.7</v>
      </c>
      <c r="C35" s="30">
        <f t="shared" si="2"/>
        <v>1160.0999999999999</v>
      </c>
      <c r="D35" s="30">
        <f t="shared" si="3"/>
        <v>38.799999999999997</v>
      </c>
      <c r="E35" s="30">
        <f t="shared" si="4"/>
        <v>160.6</v>
      </c>
      <c r="F35" s="30">
        <f t="shared" si="5"/>
        <v>34.799999999999997</v>
      </c>
      <c r="G35" s="30">
        <f t="shared" si="6"/>
        <v>1414.3</v>
      </c>
      <c r="H35" s="30">
        <f t="shared" si="7"/>
        <v>125466.8</v>
      </c>
      <c r="I35" s="30">
        <f t="shared" si="8"/>
        <v>13241</v>
      </c>
      <c r="K35" s="30">
        <v>125446700</v>
      </c>
      <c r="L35" s="30">
        <v>1160100</v>
      </c>
      <c r="M35" s="30">
        <v>38800</v>
      </c>
      <c r="N35" s="30">
        <v>160600</v>
      </c>
      <c r="O35" s="30">
        <v>34800</v>
      </c>
      <c r="P35" s="30">
        <v>1414300</v>
      </c>
      <c r="Q35" s="30">
        <v>125466800</v>
      </c>
      <c r="R35" s="30">
        <v>13241000</v>
      </c>
    </row>
    <row r="36" spans="1:18">
      <c r="A36" s="66">
        <v>1993</v>
      </c>
      <c r="B36" s="30">
        <f t="shared" si="1"/>
        <v>125466.8</v>
      </c>
      <c r="C36" s="30">
        <f t="shared" si="2"/>
        <v>1218.5</v>
      </c>
      <c r="D36" s="30">
        <f t="shared" si="3"/>
        <v>189</v>
      </c>
      <c r="E36" s="30">
        <f t="shared" si="4"/>
        <v>154.69999999999999</v>
      </c>
      <c r="F36" s="30">
        <f t="shared" si="5"/>
        <v>36.6</v>
      </c>
      <c r="G36" s="30">
        <f t="shared" si="6"/>
        <v>1616.2</v>
      </c>
      <c r="H36" s="30">
        <f t="shared" si="7"/>
        <v>125484.3</v>
      </c>
      <c r="I36" s="30">
        <f t="shared" si="8"/>
        <v>13186.9</v>
      </c>
      <c r="K36" s="30">
        <v>125466800</v>
      </c>
      <c r="L36" s="30">
        <v>1218500</v>
      </c>
      <c r="M36" s="30">
        <v>189000</v>
      </c>
      <c r="N36" s="30">
        <v>154700</v>
      </c>
      <c r="O36" s="30">
        <v>36600</v>
      </c>
      <c r="P36" s="30">
        <v>1616200</v>
      </c>
      <c r="Q36" s="30">
        <v>125484300</v>
      </c>
      <c r="R36" s="30">
        <v>13186900</v>
      </c>
    </row>
    <row r="37" spans="1:18">
      <c r="A37" s="66">
        <v>1994</v>
      </c>
      <c r="B37" s="30">
        <f t="shared" si="1"/>
        <v>125484.3</v>
      </c>
      <c r="C37" s="30">
        <f t="shared" si="2"/>
        <v>1283.7</v>
      </c>
      <c r="D37" s="30">
        <f t="shared" si="3"/>
        <v>56.6</v>
      </c>
      <c r="E37" s="30">
        <f t="shared" si="4"/>
        <v>149</v>
      </c>
      <c r="F37" s="30">
        <f t="shared" si="5"/>
        <v>38.5</v>
      </c>
      <c r="G37" s="30">
        <f t="shared" si="6"/>
        <v>1542.4</v>
      </c>
      <c r="H37" s="30">
        <f t="shared" si="7"/>
        <v>125498.9</v>
      </c>
      <c r="I37" s="30">
        <f t="shared" si="8"/>
        <v>13133.8</v>
      </c>
      <c r="K37" s="30">
        <v>125484300</v>
      </c>
      <c r="L37" s="30">
        <v>1283700</v>
      </c>
      <c r="M37" s="30">
        <v>56600</v>
      </c>
      <c r="N37" s="30">
        <v>149000</v>
      </c>
      <c r="O37" s="30">
        <v>38500</v>
      </c>
      <c r="P37" s="30">
        <v>1542400</v>
      </c>
      <c r="Q37" s="30">
        <v>125498900</v>
      </c>
      <c r="R37" s="30">
        <v>13133800</v>
      </c>
    </row>
    <row r="38" spans="1:18">
      <c r="A38" s="66">
        <v>1995</v>
      </c>
      <c r="B38" s="30">
        <f t="shared" si="1"/>
        <v>125498.9</v>
      </c>
      <c r="C38" s="30">
        <f t="shared" si="2"/>
        <v>1323.2</v>
      </c>
      <c r="D38" s="30">
        <f t="shared" si="3"/>
        <v>491</v>
      </c>
      <c r="E38" s="30">
        <f t="shared" si="4"/>
        <v>143.30000000000001</v>
      </c>
      <c r="F38" s="30">
        <f t="shared" si="5"/>
        <v>39.700000000000003</v>
      </c>
      <c r="G38" s="30">
        <f t="shared" si="6"/>
        <v>2010</v>
      </c>
      <c r="H38" s="30">
        <f t="shared" si="7"/>
        <v>125511.6</v>
      </c>
      <c r="I38" s="30">
        <f t="shared" si="8"/>
        <v>13081.4</v>
      </c>
      <c r="K38" s="30">
        <v>125498900</v>
      </c>
      <c r="L38" s="30">
        <v>1323200</v>
      </c>
      <c r="M38" s="30">
        <v>491000</v>
      </c>
      <c r="N38" s="30">
        <v>143300</v>
      </c>
      <c r="O38" s="30">
        <v>39700</v>
      </c>
      <c r="P38" s="30">
        <v>2010000</v>
      </c>
      <c r="Q38" s="30">
        <v>125511600</v>
      </c>
      <c r="R38" s="30">
        <v>13081400</v>
      </c>
    </row>
    <row r="39" spans="1:18">
      <c r="A39" s="66">
        <v>1996</v>
      </c>
      <c r="B39" s="30">
        <f t="shared" si="1"/>
        <v>125511.6</v>
      </c>
      <c r="C39" s="30">
        <f t="shared" si="2"/>
        <v>1283.4000000000001</v>
      </c>
      <c r="D39" s="30">
        <f t="shared" si="3"/>
        <v>316.8</v>
      </c>
      <c r="E39" s="30">
        <f t="shared" si="4"/>
        <v>137.9</v>
      </c>
      <c r="F39" s="30">
        <f t="shared" si="5"/>
        <v>38.5</v>
      </c>
      <c r="G39" s="30">
        <f t="shared" si="6"/>
        <v>1790.7</v>
      </c>
      <c r="H39" s="30">
        <f t="shared" si="7"/>
        <v>125525.7</v>
      </c>
      <c r="I39" s="30">
        <f t="shared" si="8"/>
        <v>13028.8</v>
      </c>
      <c r="K39" s="30">
        <v>125511600</v>
      </c>
      <c r="L39" s="30">
        <v>1283400</v>
      </c>
      <c r="M39" s="30">
        <v>316800</v>
      </c>
      <c r="N39" s="30">
        <v>137900</v>
      </c>
      <c r="O39" s="30">
        <v>38500</v>
      </c>
      <c r="P39" s="30">
        <v>1790700</v>
      </c>
      <c r="Q39" s="30">
        <v>125525700</v>
      </c>
      <c r="R39" s="30">
        <v>13028800</v>
      </c>
    </row>
    <row r="40" spans="1:18">
      <c r="A40" s="66">
        <v>1997</v>
      </c>
      <c r="B40" s="30">
        <f t="shared" si="1"/>
        <v>125525.7</v>
      </c>
      <c r="C40" s="30">
        <f t="shared" si="2"/>
        <v>1342.7</v>
      </c>
      <c r="D40" s="30">
        <f t="shared" si="3"/>
        <v>88.3</v>
      </c>
      <c r="E40" s="30">
        <f t="shared" si="4"/>
        <v>133.30000000000001</v>
      </c>
      <c r="F40" s="30">
        <f t="shared" si="5"/>
        <v>40.299999999999997</v>
      </c>
      <c r="G40" s="30">
        <f t="shared" si="6"/>
        <v>1616</v>
      </c>
      <c r="H40" s="30">
        <f t="shared" si="7"/>
        <v>125537.1</v>
      </c>
      <c r="I40" s="30">
        <f t="shared" si="8"/>
        <v>12977.1</v>
      </c>
      <c r="K40" s="30">
        <v>125525700</v>
      </c>
      <c r="L40" s="30">
        <v>1342700</v>
      </c>
      <c r="M40" s="30">
        <v>88300</v>
      </c>
      <c r="N40" s="30">
        <v>133300</v>
      </c>
      <c r="O40" s="30">
        <v>40300</v>
      </c>
      <c r="P40" s="30">
        <v>1616000</v>
      </c>
      <c r="Q40" s="30">
        <v>125537100</v>
      </c>
      <c r="R40" s="30">
        <v>12977100</v>
      </c>
    </row>
    <row r="41" spans="1:18">
      <c r="A41" s="66">
        <v>1998</v>
      </c>
      <c r="B41" s="30">
        <f t="shared" si="1"/>
        <v>125537.1</v>
      </c>
      <c r="C41" s="30">
        <f t="shared" si="2"/>
        <v>1266.5999999999999</v>
      </c>
      <c r="D41" s="30">
        <f t="shared" si="3"/>
        <v>138.9</v>
      </c>
      <c r="E41" s="30">
        <f t="shared" si="4"/>
        <v>128.80000000000001</v>
      </c>
      <c r="F41" s="30">
        <f t="shared" si="5"/>
        <v>38</v>
      </c>
      <c r="G41" s="30">
        <f t="shared" si="6"/>
        <v>1586.5</v>
      </c>
      <c r="H41" s="30">
        <f t="shared" si="7"/>
        <v>125551.3</v>
      </c>
      <c r="I41" s="30">
        <f t="shared" si="8"/>
        <v>12924.9</v>
      </c>
      <c r="K41" s="30">
        <v>125537100</v>
      </c>
      <c r="L41" s="30">
        <v>1266600</v>
      </c>
      <c r="M41" s="30">
        <v>138900</v>
      </c>
      <c r="N41" s="30">
        <v>128800</v>
      </c>
      <c r="O41" s="30">
        <v>38000</v>
      </c>
      <c r="P41" s="30">
        <v>1586500</v>
      </c>
      <c r="Q41" s="30">
        <v>125551300</v>
      </c>
      <c r="R41" s="30">
        <v>12924900</v>
      </c>
    </row>
    <row r="42" spans="1:18">
      <c r="A42" s="66">
        <v>1999</v>
      </c>
      <c r="B42" s="30">
        <f t="shared" si="1"/>
        <v>125551.3</v>
      </c>
      <c r="C42" s="30">
        <f t="shared" si="2"/>
        <v>1364.4</v>
      </c>
      <c r="D42" s="30">
        <f t="shared" si="3"/>
        <v>96.1</v>
      </c>
      <c r="E42" s="30">
        <f t="shared" si="4"/>
        <v>124.8</v>
      </c>
      <c r="F42" s="30">
        <f t="shared" si="5"/>
        <v>40.9</v>
      </c>
      <c r="G42" s="30">
        <f t="shared" si="6"/>
        <v>1636.2</v>
      </c>
      <c r="H42" s="30">
        <f t="shared" si="7"/>
        <v>125561.4</v>
      </c>
      <c r="I42" s="30">
        <f t="shared" si="8"/>
        <v>12873.9</v>
      </c>
      <c r="K42" s="30">
        <v>125551300</v>
      </c>
      <c r="L42" s="30">
        <v>1364400</v>
      </c>
      <c r="M42" s="30">
        <v>96100</v>
      </c>
      <c r="N42" s="30">
        <v>124800</v>
      </c>
      <c r="O42" s="30">
        <v>40900</v>
      </c>
      <c r="P42" s="30">
        <v>1636200</v>
      </c>
      <c r="Q42" s="30">
        <v>125561400</v>
      </c>
      <c r="R42" s="30">
        <v>12873900</v>
      </c>
    </row>
    <row r="43" spans="1:18">
      <c r="A43" s="66">
        <v>2000</v>
      </c>
      <c r="B43" s="30">
        <f t="shared" si="1"/>
        <v>125561.4</v>
      </c>
      <c r="C43" s="30">
        <f t="shared" si="2"/>
        <v>1359.9</v>
      </c>
      <c r="D43" s="30">
        <f t="shared" si="3"/>
        <v>1.1000000000000001</v>
      </c>
      <c r="E43" s="30">
        <f t="shared" si="4"/>
        <v>120.9</v>
      </c>
      <c r="F43" s="30">
        <f t="shared" si="5"/>
        <v>40.799999999999997</v>
      </c>
      <c r="G43" s="30">
        <f t="shared" si="6"/>
        <v>1532.6</v>
      </c>
      <c r="H43" s="30">
        <f t="shared" si="7"/>
        <v>125571.4</v>
      </c>
      <c r="I43" s="30">
        <f t="shared" si="8"/>
        <v>12823.1</v>
      </c>
      <c r="K43" s="30">
        <v>125561400</v>
      </c>
      <c r="L43" s="30">
        <v>1359900</v>
      </c>
      <c r="M43" s="30">
        <v>1100</v>
      </c>
      <c r="N43" s="30">
        <v>120900</v>
      </c>
      <c r="O43" s="30">
        <v>40800</v>
      </c>
      <c r="P43" s="30">
        <v>1532600</v>
      </c>
      <c r="Q43" s="30">
        <v>125571400</v>
      </c>
      <c r="R43" s="30">
        <v>12823100</v>
      </c>
    </row>
    <row r="44" spans="1:18">
      <c r="A44" s="66">
        <v>2001</v>
      </c>
      <c r="B44" s="30">
        <f t="shared" si="1"/>
        <v>125567.2</v>
      </c>
      <c r="C44" s="30">
        <f t="shared" si="2"/>
        <v>1237</v>
      </c>
      <c r="D44" s="30">
        <f t="shared" si="3"/>
        <v>36.1</v>
      </c>
      <c r="E44" s="30">
        <f t="shared" si="4"/>
        <v>117.2</v>
      </c>
      <c r="F44" s="30">
        <f t="shared" si="5"/>
        <v>37.1</v>
      </c>
      <c r="G44" s="30">
        <f t="shared" si="6"/>
        <v>1442</v>
      </c>
      <c r="H44" s="30">
        <f t="shared" si="7"/>
        <v>125581.9</v>
      </c>
      <c r="I44" s="30">
        <f t="shared" si="8"/>
        <v>12772.3</v>
      </c>
      <c r="K44" s="30">
        <v>125567200</v>
      </c>
      <c r="L44" s="30">
        <v>1237000</v>
      </c>
      <c r="M44" s="30">
        <v>36100</v>
      </c>
      <c r="N44" s="30">
        <v>117200</v>
      </c>
      <c r="O44" s="30">
        <v>37100</v>
      </c>
      <c r="P44" s="30">
        <v>1442000</v>
      </c>
      <c r="Q44" s="30">
        <v>125581900</v>
      </c>
      <c r="R44" s="30">
        <v>12772300</v>
      </c>
    </row>
    <row r="45" spans="1:18">
      <c r="A45" s="66">
        <v>2002</v>
      </c>
      <c r="B45" s="30">
        <f t="shared" si="1"/>
        <v>125581.9</v>
      </c>
      <c r="C45" s="30">
        <f t="shared" si="2"/>
        <v>1261.2</v>
      </c>
      <c r="D45" s="30">
        <f t="shared" si="3"/>
        <v>376.4</v>
      </c>
      <c r="E45" s="30">
        <f t="shared" si="4"/>
        <v>123.4</v>
      </c>
      <c r="F45" s="30">
        <f t="shared" si="5"/>
        <v>38</v>
      </c>
      <c r="G45" s="30">
        <f t="shared" si="6"/>
        <v>1812.3</v>
      </c>
      <c r="H45" s="30">
        <f t="shared" si="7"/>
        <v>125595.3</v>
      </c>
      <c r="I45" s="30">
        <f t="shared" si="8"/>
        <v>12721.2</v>
      </c>
      <c r="K45" s="30">
        <v>125581900</v>
      </c>
      <c r="L45" s="30">
        <v>1261200</v>
      </c>
      <c r="M45" s="30">
        <v>376400</v>
      </c>
      <c r="N45" s="30">
        <v>123400</v>
      </c>
      <c r="O45" s="30">
        <v>38000</v>
      </c>
      <c r="P45" s="30">
        <v>1812300</v>
      </c>
      <c r="Q45" s="30">
        <v>125595300</v>
      </c>
      <c r="R45" s="30">
        <v>12721200</v>
      </c>
    </row>
    <row r="46" spans="1:18">
      <c r="A46" s="66">
        <v>2003</v>
      </c>
      <c r="B46" s="30">
        <f t="shared" si="1"/>
        <v>125595.3</v>
      </c>
      <c r="C46" s="30">
        <f t="shared" si="2"/>
        <v>777.5</v>
      </c>
      <c r="D46" s="30">
        <f t="shared" si="3"/>
        <v>36.4</v>
      </c>
      <c r="E46" s="30">
        <f t="shared" si="4"/>
        <v>129.4</v>
      </c>
      <c r="F46" s="30">
        <f t="shared" si="5"/>
        <v>23.4</v>
      </c>
      <c r="G46" s="30">
        <f t="shared" si="6"/>
        <v>999.1</v>
      </c>
      <c r="H46" s="30">
        <f t="shared" si="7"/>
        <v>125627.7</v>
      </c>
      <c r="I46" s="30">
        <f t="shared" si="8"/>
        <v>12665.4</v>
      </c>
      <c r="K46" s="30">
        <v>125595300</v>
      </c>
      <c r="L46" s="30">
        <v>777500</v>
      </c>
      <c r="M46" s="30">
        <v>36400</v>
      </c>
      <c r="N46" s="30">
        <v>129400</v>
      </c>
      <c r="O46" s="30">
        <v>23400</v>
      </c>
      <c r="P46" s="30">
        <v>999100</v>
      </c>
      <c r="Q46" s="30">
        <v>125627700</v>
      </c>
      <c r="R46" s="30">
        <v>12665400</v>
      </c>
    </row>
    <row r="48" spans="1:18">
      <c r="A48" s="137" t="s">
        <v>730</v>
      </c>
      <c r="B48" s="137"/>
      <c r="C48" s="137"/>
      <c r="D48" s="137"/>
      <c r="E48" s="137"/>
      <c r="F48" s="137"/>
      <c r="G48" s="137"/>
      <c r="H48" s="137"/>
      <c r="I48" s="137"/>
    </row>
    <row r="49" spans="1:9">
      <c r="A49" s="137" t="s">
        <v>62</v>
      </c>
      <c r="B49" s="137"/>
      <c r="C49" s="137"/>
      <c r="D49" s="137"/>
      <c r="E49" s="137"/>
      <c r="F49" s="137"/>
      <c r="G49" s="137"/>
      <c r="H49" s="137"/>
      <c r="I49" s="137"/>
    </row>
    <row r="50" spans="1:9">
      <c r="A50" s="137" t="s">
        <v>729</v>
      </c>
      <c r="B50" s="137"/>
      <c r="C50" s="137"/>
      <c r="D50" s="137"/>
      <c r="E50" s="137"/>
      <c r="F50" s="137"/>
      <c r="G50" s="137"/>
      <c r="H50" s="137"/>
      <c r="I50" s="137"/>
    </row>
  </sheetData>
  <mergeCells count="4">
    <mergeCell ref="A48:I48"/>
    <mergeCell ref="A49:I49"/>
    <mergeCell ref="A50:I50"/>
    <mergeCell ref="A1:I1"/>
  </mergeCells>
  <pageMargins left="0.7" right="0.7" top="0.75" bottom="0.75" header="0.3" footer="0.3"/>
  <pageSetup scale="82" orientation="portrait" horizontalDpi="0" verticalDpi="0" r:id="rId1"/>
</worksheet>
</file>

<file path=xl/worksheets/sheet104.xml><?xml version="1.0" encoding="utf-8"?>
<worksheet xmlns="http://schemas.openxmlformats.org/spreadsheetml/2006/main" xmlns:r="http://schemas.openxmlformats.org/officeDocument/2006/relationships">
  <sheetPr codeName="Sheet97"/>
  <dimension ref="A1:L24"/>
  <sheetViews>
    <sheetView view="pageBreakPreview" zoomScaleNormal="100" zoomScaleSheetLayoutView="100" workbookViewId="0">
      <selection activeCell="AC38" sqref="AC38"/>
    </sheetView>
  </sheetViews>
  <sheetFormatPr defaultRowHeight="15"/>
  <cols>
    <col min="1" max="16384" width="9.140625" style="64"/>
  </cols>
  <sheetData>
    <row r="1" spans="1:12">
      <c r="A1" s="66" t="s">
        <v>1210</v>
      </c>
    </row>
    <row r="3" spans="1:12">
      <c r="B3" s="217" t="s">
        <v>696</v>
      </c>
      <c r="C3" s="217" t="s">
        <v>697</v>
      </c>
      <c r="D3" s="217" t="s">
        <v>743</v>
      </c>
      <c r="E3" s="217" t="s">
        <v>698</v>
      </c>
      <c r="F3" s="217" t="s">
        <v>699</v>
      </c>
      <c r="G3" s="217" t="s">
        <v>700</v>
      </c>
      <c r="H3" s="217" t="s">
        <v>701</v>
      </c>
      <c r="I3" s="217" t="s">
        <v>702</v>
      </c>
      <c r="J3" s="217" t="s">
        <v>703</v>
      </c>
      <c r="K3" s="217" t="s">
        <v>704</v>
      </c>
      <c r="L3" s="217" t="s">
        <v>705</v>
      </c>
    </row>
    <row r="4" spans="1:12">
      <c r="A4" s="66">
        <v>1997</v>
      </c>
      <c r="B4" s="28">
        <v>31.6</v>
      </c>
      <c r="C4" s="28">
        <v>-17.399999999999999</v>
      </c>
      <c r="D4" s="28">
        <v>-63.8</v>
      </c>
      <c r="E4" s="28">
        <v>-18.600000000000001</v>
      </c>
      <c r="F4" s="28">
        <v>12</v>
      </c>
      <c r="G4" s="28">
        <v>23</v>
      </c>
      <c r="H4" s="28">
        <v>38.200000000000003</v>
      </c>
      <c r="I4" s="28">
        <v>21.9</v>
      </c>
      <c r="J4" s="28">
        <v>20.399999999999999</v>
      </c>
      <c r="K4" s="28">
        <v>33.9</v>
      </c>
      <c r="L4" s="28">
        <v>39.799999999999997</v>
      </c>
    </row>
    <row r="5" spans="1:12">
      <c r="A5" s="66">
        <v>1998</v>
      </c>
      <c r="B5" s="28">
        <v>31.7</v>
      </c>
      <c r="C5" s="28">
        <v>-17.399999999999999</v>
      </c>
      <c r="D5" s="28">
        <v>-63.8</v>
      </c>
      <c r="E5" s="28">
        <v>-18.600000000000001</v>
      </c>
      <c r="F5" s="28">
        <v>12</v>
      </c>
      <c r="G5" s="28">
        <v>23</v>
      </c>
      <c r="H5" s="28">
        <v>38.200000000000003</v>
      </c>
      <c r="I5" s="28">
        <v>21.9</v>
      </c>
      <c r="J5" s="28">
        <v>22</v>
      </c>
      <c r="K5" s="28">
        <v>33.9</v>
      </c>
      <c r="L5" s="28">
        <v>39.799999999999997</v>
      </c>
    </row>
    <row r="6" spans="1:12">
      <c r="A6" s="66">
        <v>1999</v>
      </c>
      <c r="B6" s="28">
        <v>31.7</v>
      </c>
      <c r="C6" s="28">
        <v>-17.399999999999999</v>
      </c>
      <c r="D6" s="28">
        <v>-63.8</v>
      </c>
      <c r="E6" s="28">
        <v>-18.600000000000001</v>
      </c>
      <c r="F6" s="28">
        <v>12</v>
      </c>
      <c r="G6" s="28">
        <v>23</v>
      </c>
      <c r="H6" s="28">
        <v>38.200000000000003</v>
      </c>
      <c r="I6" s="28">
        <v>21.9</v>
      </c>
      <c r="J6" s="28">
        <v>24.4</v>
      </c>
      <c r="K6" s="28">
        <v>33.9</v>
      </c>
      <c r="L6" s="28">
        <v>39.799999999999997</v>
      </c>
    </row>
    <row r="7" spans="1:12">
      <c r="A7" s="66">
        <v>2000</v>
      </c>
      <c r="B7" s="28">
        <v>31.7</v>
      </c>
      <c r="C7" s="28">
        <v>-17.399999999999999</v>
      </c>
      <c r="D7" s="28">
        <v>-63.8</v>
      </c>
      <c r="E7" s="28">
        <v>-18.600000000000001</v>
      </c>
      <c r="F7" s="28">
        <v>12</v>
      </c>
      <c r="G7" s="28">
        <v>22.9</v>
      </c>
      <c r="H7" s="28">
        <v>38.200000000000003</v>
      </c>
      <c r="I7" s="28">
        <v>21.9</v>
      </c>
      <c r="J7" s="28">
        <v>25.1</v>
      </c>
      <c r="K7" s="28">
        <v>33.9</v>
      </c>
      <c r="L7" s="28">
        <v>39.799999999999997</v>
      </c>
    </row>
    <row r="8" spans="1:12">
      <c r="A8" s="66">
        <v>2001</v>
      </c>
      <c r="B8" s="28">
        <v>31.4</v>
      </c>
      <c r="C8" s="28">
        <v>-17.7</v>
      </c>
      <c r="D8" s="28">
        <v>-64.3</v>
      </c>
      <c r="E8" s="28">
        <v>-18.8</v>
      </c>
      <c r="F8" s="28">
        <v>10.199999999999999</v>
      </c>
      <c r="G8" s="28">
        <v>22.8</v>
      </c>
      <c r="H8" s="28">
        <v>38</v>
      </c>
      <c r="I8" s="28">
        <v>21.7</v>
      </c>
      <c r="J8" s="28">
        <v>25</v>
      </c>
      <c r="K8" s="28">
        <v>32.4</v>
      </c>
      <c r="L8" s="28">
        <v>39.700000000000003</v>
      </c>
    </row>
    <row r="9" spans="1:12">
      <c r="A9" s="66">
        <v>2002</v>
      </c>
      <c r="B9" s="28">
        <v>29.6</v>
      </c>
      <c r="C9" s="28">
        <v>-18.100000000000001</v>
      </c>
      <c r="D9" s="28">
        <v>-65.2</v>
      </c>
      <c r="E9" s="28">
        <v>-19.2</v>
      </c>
      <c r="F9" s="28">
        <v>8.6</v>
      </c>
      <c r="G9" s="28">
        <v>22.6</v>
      </c>
      <c r="H9" s="28">
        <v>37.1</v>
      </c>
      <c r="I9" s="28">
        <v>20.8</v>
      </c>
      <c r="J9" s="28">
        <v>24.8</v>
      </c>
      <c r="K9" s="28">
        <v>31.5</v>
      </c>
      <c r="L9" s="28">
        <v>36.4</v>
      </c>
    </row>
    <row r="10" spans="1:12">
      <c r="A10" s="66">
        <v>2003</v>
      </c>
      <c r="B10" s="28">
        <v>32.299999999999997</v>
      </c>
      <c r="C10" s="28">
        <v>-18.600000000000001</v>
      </c>
      <c r="D10" s="28">
        <v>-66.2</v>
      </c>
      <c r="E10" s="28">
        <v>8</v>
      </c>
      <c r="F10" s="28">
        <v>4.5</v>
      </c>
      <c r="G10" s="28">
        <v>35.9</v>
      </c>
      <c r="H10" s="28">
        <v>36.9</v>
      </c>
      <c r="I10" s="28">
        <v>19.8</v>
      </c>
      <c r="J10" s="28">
        <v>24.6</v>
      </c>
      <c r="K10" s="28">
        <v>30.8</v>
      </c>
      <c r="L10" s="28">
        <v>35.1</v>
      </c>
    </row>
    <row r="11" spans="1:12">
      <c r="A11" s="66">
        <v>2004</v>
      </c>
      <c r="B11" s="28">
        <v>32</v>
      </c>
      <c r="C11" s="28">
        <v>-20.100000000000001</v>
      </c>
      <c r="D11" s="28">
        <v>-69.3</v>
      </c>
      <c r="E11" s="28">
        <v>7.7</v>
      </c>
      <c r="F11" s="28">
        <v>3.4</v>
      </c>
      <c r="G11" s="28">
        <v>35.4</v>
      </c>
      <c r="H11" s="28">
        <v>37.1</v>
      </c>
      <c r="I11" s="28">
        <v>18.2</v>
      </c>
      <c r="J11" s="28">
        <v>34.9</v>
      </c>
      <c r="K11" s="28">
        <v>29.5</v>
      </c>
      <c r="L11" s="28">
        <v>34.5</v>
      </c>
    </row>
    <row r="12" spans="1:12">
      <c r="A12" s="66">
        <v>2005</v>
      </c>
      <c r="B12" s="28">
        <v>31.5</v>
      </c>
      <c r="C12" s="28">
        <v>-20.9</v>
      </c>
      <c r="D12" s="28">
        <v>-47.9</v>
      </c>
      <c r="E12" s="28">
        <v>7</v>
      </c>
      <c r="F12" s="28">
        <v>2.7</v>
      </c>
      <c r="G12" s="28">
        <v>35.1</v>
      </c>
      <c r="H12" s="28">
        <v>36.9</v>
      </c>
      <c r="I12" s="28">
        <v>17.100000000000001</v>
      </c>
      <c r="J12" s="28">
        <v>34</v>
      </c>
      <c r="K12" s="28">
        <v>28.9</v>
      </c>
      <c r="L12" s="28">
        <v>33.6</v>
      </c>
    </row>
    <row r="13" spans="1:12">
      <c r="A13" s="66">
        <v>2006</v>
      </c>
      <c r="B13" s="28">
        <v>27</v>
      </c>
      <c r="C13" s="28">
        <v>-25.5</v>
      </c>
      <c r="D13" s="28">
        <v>-47.3</v>
      </c>
      <c r="E13" s="28">
        <v>3.6</v>
      </c>
      <c r="F13" s="28">
        <v>-1.6</v>
      </c>
      <c r="G13" s="28">
        <v>24.1</v>
      </c>
      <c r="H13" s="28">
        <v>35.5</v>
      </c>
      <c r="I13" s="28">
        <v>14.1</v>
      </c>
      <c r="J13" s="28">
        <v>28.4</v>
      </c>
      <c r="K13" s="28">
        <v>26.2</v>
      </c>
      <c r="L13" s="28">
        <v>31.4</v>
      </c>
    </row>
    <row r="15" spans="1:12">
      <c r="A15" s="64" t="s">
        <v>1214</v>
      </c>
    </row>
    <row r="16" spans="1:12">
      <c r="B16" s="31">
        <f>(B13-B4)/B4*100</f>
        <v>-14.556962025316459</v>
      </c>
      <c r="C16" s="31">
        <f t="shared" ref="C16:L16" si="0">(C13-C4)/C4*100</f>
        <v>46.551724137931046</v>
      </c>
      <c r="D16" s="31">
        <f t="shared" si="0"/>
        <v>-25.862068965517242</v>
      </c>
      <c r="E16" s="31">
        <f t="shared" si="0"/>
        <v>-119.35483870967742</v>
      </c>
      <c r="F16" s="31">
        <f t="shared" si="0"/>
        <v>-113.33333333333333</v>
      </c>
      <c r="G16" s="31">
        <f t="shared" si="0"/>
        <v>4.7826086956521801</v>
      </c>
      <c r="H16" s="31">
        <f t="shared" si="0"/>
        <v>-7.0680628272251385</v>
      </c>
      <c r="I16" s="31">
        <f t="shared" si="0"/>
        <v>-35.61643835616438</v>
      </c>
      <c r="J16" s="31">
        <f t="shared" si="0"/>
        <v>39.215686274509807</v>
      </c>
      <c r="K16" s="31">
        <f t="shared" si="0"/>
        <v>-22.713864306784657</v>
      </c>
      <c r="L16" s="31">
        <f t="shared" si="0"/>
        <v>-21.105527638190953</v>
      </c>
    </row>
    <row r="17" spans="1:7">
      <c r="A17" s="60" t="s">
        <v>1211</v>
      </c>
    </row>
    <row r="18" spans="1:7">
      <c r="A18" s="61" t="s">
        <v>1212</v>
      </c>
    </row>
    <row r="24" spans="1:7">
      <c r="B24" s="218"/>
      <c r="C24" s="218"/>
      <c r="D24" s="218"/>
      <c r="E24" s="218"/>
      <c r="F24" s="218"/>
      <c r="G24" s="218"/>
    </row>
  </sheetData>
  <pageMargins left="0.7" right="0.7" top="0.75" bottom="0.75" header="0.3" footer="0.3"/>
  <pageSetup orientation="landscape" horizontalDpi="0" verticalDpi="0" r:id="rId1"/>
</worksheet>
</file>

<file path=xl/worksheets/sheet105.xml><?xml version="1.0" encoding="utf-8"?>
<worksheet xmlns="http://schemas.openxmlformats.org/spreadsheetml/2006/main" xmlns:r="http://schemas.openxmlformats.org/officeDocument/2006/relationships">
  <sheetPr codeName="Sheet98"/>
  <dimension ref="A1:L15"/>
  <sheetViews>
    <sheetView view="pageBreakPreview" zoomScaleNormal="100" zoomScaleSheetLayoutView="100" workbookViewId="0">
      <selection activeCell="AC38" sqref="AC38"/>
    </sheetView>
  </sheetViews>
  <sheetFormatPr defaultRowHeight="15"/>
  <cols>
    <col min="1" max="1" width="19" style="64" customWidth="1"/>
    <col min="2" max="9" width="9.85546875" style="64" customWidth="1"/>
    <col min="10" max="10" width="14.28515625" style="64" customWidth="1"/>
    <col min="11" max="12" width="9.85546875" style="64" customWidth="1"/>
    <col min="13" max="16384" width="9.140625" style="64"/>
  </cols>
  <sheetData>
    <row r="1" spans="1:12">
      <c r="A1" s="108" t="s">
        <v>1375</v>
      </c>
      <c r="B1" s="108"/>
      <c r="C1" s="108"/>
      <c r="D1" s="108"/>
      <c r="E1" s="108"/>
      <c r="F1" s="108"/>
      <c r="G1" s="108"/>
      <c r="H1" s="108"/>
      <c r="I1" s="108"/>
      <c r="J1" s="108"/>
      <c r="K1" s="108"/>
      <c r="L1" s="108"/>
    </row>
    <row r="2" spans="1:12" ht="45">
      <c r="B2" s="72" t="s">
        <v>696</v>
      </c>
      <c r="C2" s="72" t="s">
        <v>945</v>
      </c>
      <c r="D2" s="72" t="s">
        <v>946</v>
      </c>
      <c r="E2" s="72" t="s">
        <v>947</v>
      </c>
      <c r="F2" s="72" t="s">
        <v>852</v>
      </c>
      <c r="G2" s="72" t="s">
        <v>853</v>
      </c>
      <c r="H2" s="72" t="s">
        <v>854</v>
      </c>
      <c r="I2" s="72" t="s">
        <v>948</v>
      </c>
      <c r="J2" s="72" t="s">
        <v>949</v>
      </c>
      <c r="K2" s="72" t="s">
        <v>855</v>
      </c>
      <c r="L2" s="72" t="s">
        <v>856</v>
      </c>
    </row>
    <row r="3" spans="1:12">
      <c r="A3" s="64" t="s">
        <v>522</v>
      </c>
      <c r="B3" s="31">
        <v>11</v>
      </c>
      <c r="C3" s="31">
        <v>-42.7</v>
      </c>
      <c r="D3" s="31">
        <v>-58.2</v>
      </c>
      <c r="E3" s="31">
        <v>-21.6</v>
      </c>
      <c r="F3" s="31">
        <v>-27.5</v>
      </c>
      <c r="G3" s="31">
        <v>3</v>
      </c>
      <c r="H3" s="31">
        <v>20.8</v>
      </c>
      <c r="I3" s="31">
        <v>4.9000000000000004</v>
      </c>
      <c r="J3" s="31">
        <v>14.3</v>
      </c>
      <c r="K3" s="31">
        <v>15.7</v>
      </c>
      <c r="L3" s="31">
        <v>19.600000000000001</v>
      </c>
    </row>
    <row r="4" spans="1:12">
      <c r="A4" s="64" t="s">
        <v>936</v>
      </c>
      <c r="B4" s="31">
        <v>30.7</v>
      </c>
      <c r="C4" s="31" t="s">
        <v>22</v>
      </c>
      <c r="D4" s="31" t="s">
        <v>22</v>
      </c>
      <c r="E4" s="31">
        <v>29.4</v>
      </c>
      <c r="F4" s="31">
        <v>25.8</v>
      </c>
      <c r="G4" s="31">
        <v>27.9</v>
      </c>
      <c r="H4" s="31">
        <v>34.4</v>
      </c>
      <c r="I4" s="31">
        <v>35.200000000000003</v>
      </c>
      <c r="J4" s="31">
        <v>28.5</v>
      </c>
      <c r="K4" s="31">
        <v>21.9</v>
      </c>
      <c r="L4" s="31">
        <v>29.5</v>
      </c>
    </row>
    <row r="5" spans="1:12">
      <c r="A5" s="64" t="s">
        <v>937</v>
      </c>
      <c r="B5" s="31">
        <v>38.5</v>
      </c>
      <c r="C5" s="31">
        <v>28</v>
      </c>
      <c r="D5" s="31">
        <v>46.6</v>
      </c>
      <c r="E5" s="31">
        <v>32.700000000000003</v>
      </c>
      <c r="F5" s="31">
        <v>28.8</v>
      </c>
      <c r="G5" s="31">
        <v>30.8</v>
      </c>
      <c r="H5" s="31">
        <v>44</v>
      </c>
      <c r="I5" s="31">
        <v>43.6</v>
      </c>
      <c r="J5" s="31">
        <v>36.200000000000003</v>
      </c>
      <c r="K5" s="31">
        <v>24.7</v>
      </c>
      <c r="L5" s="31">
        <v>38.700000000000003</v>
      </c>
    </row>
    <row r="6" spans="1:12">
      <c r="A6" s="64" t="s">
        <v>938</v>
      </c>
      <c r="B6" s="31">
        <v>19.3</v>
      </c>
      <c r="C6" s="31">
        <v>-14.1</v>
      </c>
      <c r="D6" s="31">
        <v>-30.1</v>
      </c>
      <c r="E6" s="31">
        <v>-3.1</v>
      </c>
      <c r="F6" s="31">
        <v>-1.6</v>
      </c>
      <c r="G6" s="31">
        <v>10.4</v>
      </c>
      <c r="H6" s="31">
        <v>24.2</v>
      </c>
      <c r="I6" s="31">
        <v>6.8</v>
      </c>
      <c r="J6" s="31">
        <v>23.1</v>
      </c>
      <c r="K6" s="31">
        <v>21.3</v>
      </c>
      <c r="L6" s="31">
        <v>24.1</v>
      </c>
    </row>
    <row r="7" spans="1:12">
      <c r="A7" s="64" t="s">
        <v>939</v>
      </c>
      <c r="B7" s="31">
        <v>35.1</v>
      </c>
      <c r="C7" s="31">
        <v>26.6</v>
      </c>
      <c r="D7" s="31">
        <v>42.2</v>
      </c>
      <c r="E7" s="31">
        <v>32.799999999999997</v>
      </c>
      <c r="F7" s="31">
        <v>28.9</v>
      </c>
      <c r="G7" s="31">
        <v>31.3</v>
      </c>
      <c r="H7" s="31">
        <v>39.4</v>
      </c>
      <c r="I7" s="31">
        <v>39.9</v>
      </c>
      <c r="J7" s="31">
        <v>33.6</v>
      </c>
      <c r="K7" s="31">
        <v>24.8</v>
      </c>
      <c r="L7" s="31">
        <v>34.200000000000003</v>
      </c>
    </row>
    <row r="8" spans="1:12">
      <c r="A8" s="64" t="s">
        <v>940</v>
      </c>
      <c r="B8" s="31">
        <v>33.700000000000003</v>
      </c>
      <c r="C8" s="31">
        <v>28</v>
      </c>
      <c r="D8" s="31">
        <v>40.1</v>
      </c>
      <c r="E8" s="31">
        <v>32.700000000000003</v>
      </c>
      <c r="F8" s="31">
        <v>28.9</v>
      </c>
      <c r="G8" s="31">
        <v>31.1</v>
      </c>
      <c r="H8" s="31">
        <v>38.4</v>
      </c>
      <c r="I8" s="31">
        <v>38.700000000000003</v>
      </c>
      <c r="J8" s="31">
        <v>32.200000000000003</v>
      </c>
      <c r="K8" s="31">
        <v>24.8</v>
      </c>
      <c r="L8" s="31">
        <v>33</v>
      </c>
    </row>
    <row r="9" spans="1:12">
      <c r="A9" s="64" t="s">
        <v>941</v>
      </c>
      <c r="B9" s="31">
        <v>28.1</v>
      </c>
      <c r="C9" s="31">
        <v>23.7</v>
      </c>
      <c r="D9" s="31">
        <v>38</v>
      </c>
      <c r="E9" s="31">
        <v>27.8</v>
      </c>
      <c r="F9" s="31">
        <v>23.7</v>
      </c>
      <c r="G9" s="31">
        <v>25.4</v>
      </c>
      <c r="H9" s="31">
        <v>35.4</v>
      </c>
      <c r="I9" s="31">
        <v>35.4</v>
      </c>
      <c r="J9" s="31">
        <v>27</v>
      </c>
      <c r="K9" s="31">
        <v>20.3</v>
      </c>
      <c r="L9" s="31">
        <v>27.1</v>
      </c>
    </row>
    <row r="10" spans="1:12">
      <c r="A10" s="64" t="s">
        <v>942</v>
      </c>
      <c r="B10" s="31">
        <v>39.299999999999997</v>
      </c>
      <c r="C10" s="31">
        <v>27.3</v>
      </c>
      <c r="D10" s="31">
        <v>49.8</v>
      </c>
      <c r="E10" s="31">
        <v>31.8</v>
      </c>
      <c r="F10" s="31">
        <v>27.9</v>
      </c>
      <c r="G10" s="31">
        <v>30</v>
      </c>
      <c r="H10" s="31">
        <v>46.2</v>
      </c>
      <c r="I10" s="31">
        <v>45.9</v>
      </c>
      <c r="J10" s="31">
        <v>38.6</v>
      </c>
      <c r="K10" s="31">
        <v>23.9</v>
      </c>
      <c r="L10" s="31">
        <v>41</v>
      </c>
    </row>
    <row r="11" spans="1:12">
      <c r="A11" s="64" t="s">
        <v>943</v>
      </c>
      <c r="B11" s="31">
        <v>36.5</v>
      </c>
      <c r="C11" s="31">
        <v>26.5</v>
      </c>
      <c r="D11" s="31">
        <v>45.3</v>
      </c>
      <c r="E11" s="31">
        <v>30.7</v>
      </c>
      <c r="F11" s="31">
        <v>27</v>
      </c>
      <c r="G11" s="31">
        <v>30.8</v>
      </c>
      <c r="H11" s="31">
        <v>42.4</v>
      </c>
      <c r="I11" s="31">
        <v>43.9</v>
      </c>
      <c r="J11" s="31">
        <v>35.1</v>
      </c>
      <c r="K11" s="31">
        <v>23.2</v>
      </c>
      <c r="L11" s="31">
        <v>36.299999999999997</v>
      </c>
    </row>
    <row r="12" spans="1:12">
      <c r="A12" s="64" t="s">
        <v>944</v>
      </c>
      <c r="B12" s="31">
        <v>29.1</v>
      </c>
      <c r="C12" s="31">
        <v>15</v>
      </c>
      <c r="D12" s="31">
        <v>33.6</v>
      </c>
      <c r="E12" s="31">
        <v>20.7</v>
      </c>
      <c r="F12" s="31">
        <v>11.8</v>
      </c>
      <c r="G12" s="31">
        <v>21.5</v>
      </c>
      <c r="H12" s="31">
        <v>34.799999999999997</v>
      </c>
      <c r="I12" s="31">
        <v>33.83</v>
      </c>
      <c r="J12" s="31">
        <v>28.6</v>
      </c>
      <c r="K12" s="31">
        <v>22</v>
      </c>
      <c r="L12" s="31">
        <v>30.9</v>
      </c>
    </row>
    <row r="13" spans="1:12">
      <c r="A13" s="137"/>
      <c r="B13" s="137"/>
      <c r="C13" s="137"/>
      <c r="D13" s="137"/>
      <c r="E13" s="137"/>
      <c r="F13" s="137"/>
      <c r="G13" s="137"/>
      <c r="H13" s="137"/>
      <c r="I13" s="137"/>
      <c r="J13" s="137"/>
      <c r="K13" s="137"/>
      <c r="L13" s="137"/>
    </row>
    <row r="14" spans="1:12">
      <c r="A14" s="137" t="s">
        <v>950</v>
      </c>
      <c r="B14" s="137"/>
      <c r="C14" s="137"/>
      <c r="D14" s="137"/>
      <c r="E14" s="137"/>
      <c r="F14" s="137"/>
      <c r="G14" s="137"/>
      <c r="H14" s="137"/>
      <c r="I14" s="137"/>
      <c r="J14" s="137"/>
      <c r="K14" s="137"/>
      <c r="L14" s="137"/>
    </row>
    <row r="15" spans="1:12">
      <c r="A15" s="137" t="s">
        <v>951</v>
      </c>
      <c r="B15" s="137"/>
      <c r="C15" s="137"/>
      <c r="D15" s="137"/>
      <c r="E15" s="137"/>
      <c r="F15" s="137"/>
      <c r="G15" s="137"/>
      <c r="H15" s="137"/>
      <c r="I15" s="137"/>
      <c r="J15" s="137"/>
      <c r="K15" s="137"/>
      <c r="L15" s="137"/>
    </row>
  </sheetData>
  <mergeCells count="4">
    <mergeCell ref="A13:L13"/>
    <mergeCell ref="A14:L14"/>
    <mergeCell ref="A15:L15"/>
    <mergeCell ref="A1:L1"/>
  </mergeCells>
  <pageMargins left="0.7" right="0.7" top="0.75" bottom="0.75" header="0.3" footer="0.3"/>
  <pageSetup scale="82" orientation="landscape" horizontalDpi="0" verticalDpi="0" r:id="rId1"/>
</worksheet>
</file>

<file path=xl/worksheets/sheet106.xml><?xml version="1.0" encoding="utf-8"?>
<worksheet xmlns="http://schemas.openxmlformats.org/spreadsheetml/2006/main" xmlns:r="http://schemas.openxmlformats.org/officeDocument/2006/relationships">
  <sheetPr codeName="Sheet99"/>
  <dimension ref="A1:J28"/>
  <sheetViews>
    <sheetView view="pageBreakPreview" zoomScaleNormal="100" zoomScaleSheetLayoutView="100" workbookViewId="0">
      <selection activeCell="AC38" sqref="AC38"/>
    </sheetView>
  </sheetViews>
  <sheetFormatPr defaultRowHeight="15"/>
  <cols>
    <col min="1" max="1" width="16.28515625" style="64" customWidth="1"/>
    <col min="2" max="16384" width="9.140625" style="64"/>
  </cols>
  <sheetData>
    <row r="1" spans="1:10">
      <c r="A1" s="93" t="s">
        <v>1377</v>
      </c>
      <c r="B1" s="93"/>
      <c r="C1" s="93"/>
      <c r="D1" s="93"/>
      <c r="E1" s="93"/>
      <c r="F1" s="93"/>
      <c r="G1" s="93"/>
      <c r="H1" s="93"/>
      <c r="I1" s="93"/>
      <c r="J1" s="93"/>
    </row>
    <row r="2" spans="1:10">
      <c r="B2" s="203">
        <v>2008</v>
      </c>
      <c r="C2" s="203">
        <v>2007</v>
      </c>
      <c r="D2" s="203">
        <v>2006</v>
      </c>
      <c r="E2" s="203">
        <v>2005</v>
      </c>
    </row>
    <row r="3" spans="1:10">
      <c r="A3" s="64" t="s">
        <v>1246</v>
      </c>
      <c r="B3" s="115">
        <v>26.1</v>
      </c>
      <c r="C3" s="115">
        <v>26.1</v>
      </c>
      <c r="D3" s="115">
        <v>26.1</v>
      </c>
      <c r="E3" s="115">
        <v>26.1</v>
      </c>
    </row>
    <row r="4" spans="1:10">
      <c r="A4" s="64" t="s">
        <v>1226</v>
      </c>
      <c r="B4" s="115">
        <v>34.9</v>
      </c>
      <c r="C4" s="115">
        <v>34.9</v>
      </c>
      <c r="D4" s="115">
        <v>34.9</v>
      </c>
      <c r="E4" s="115">
        <v>34.9</v>
      </c>
    </row>
    <row r="5" spans="1:10">
      <c r="A5" s="64" t="s">
        <v>696</v>
      </c>
      <c r="B5" s="31">
        <v>19.3</v>
      </c>
      <c r="C5" s="31">
        <v>23.2</v>
      </c>
      <c r="D5" s="31">
        <v>35.299999999999997</v>
      </c>
      <c r="E5" s="31">
        <v>37.1</v>
      </c>
    </row>
    <row r="6" spans="1:10">
      <c r="A6" s="64" t="s">
        <v>1243</v>
      </c>
      <c r="B6" s="31">
        <v>14.7</v>
      </c>
      <c r="C6" s="31">
        <v>14.9</v>
      </c>
      <c r="D6" s="31">
        <v>15</v>
      </c>
      <c r="E6" s="31">
        <v>15</v>
      </c>
    </row>
    <row r="7" spans="1:10">
      <c r="A7" s="64" t="s">
        <v>1238</v>
      </c>
      <c r="B7" s="31">
        <v>47.3</v>
      </c>
      <c r="C7" s="31">
        <v>47.3</v>
      </c>
      <c r="D7" s="31">
        <v>47.3</v>
      </c>
      <c r="E7" s="31">
        <v>47.3</v>
      </c>
    </row>
    <row r="8" spans="1:10">
      <c r="A8" s="64" t="s">
        <v>785</v>
      </c>
      <c r="B8" s="31">
        <v>22.2</v>
      </c>
      <c r="C8" s="31">
        <v>22.2</v>
      </c>
      <c r="D8" s="31">
        <v>22.2</v>
      </c>
      <c r="E8" s="31">
        <v>22.2</v>
      </c>
    </row>
    <row r="9" spans="1:10">
      <c r="A9" s="64" t="s">
        <v>786</v>
      </c>
      <c r="B9" s="31">
        <v>37.6</v>
      </c>
      <c r="C9" s="31">
        <v>37.6</v>
      </c>
      <c r="D9" s="31">
        <v>37.6</v>
      </c>
      <c r="E9" s="31">
        <v>38</v>
      </c>
    </row>
    <row r="10" spans="1:10">
      <c r="A10" s="64" t="s">
        <v>787</v>
      </c>
      <c r="B10" s="31">
        <v>30.6</v>
      </c>
      <c r="C10" s="31">
        <v>38.5</v>
      </c>
      <c r="D10" s="31">
        <v>38.5</v>
      </c>
      <c r="E10" s="31">
        <v>38.5</v>
      </c>
    </row>
    <row r="11" spans="1:10">
      <c r="A11" s="64" t="s">
        <v>788</v>
      </c>
      <c r="B11" s="31">
        <v>25.9</v>
      </c>
      <c r="C11" s="31">
        <v>31</v>
      </c>
      <c r="D11" s="31">
        <v>31</v>
      </c>
      <c r="E11" s="31">
        <v>31</v>
      </c>
    </row>
    <row r="12" spans="1:10">
      <c r="A12" s="64" t="s">
        <v>1362</v>
      </c>
      <c r="B12" s="31">
        <v>27.6</v>
      </c>
      <c r="C12" s="31">
        <v>27.6</v>
      </c>
      <c r="D12" s="31">
        <v>27.6</v>
      </c>
      <c r="E12" s="31">
        <v>27.6</v>
      </c>
    </row>
    <row r="13" spans="1:10">
      <c r="A13" s="64" t="s">
        <v>791</v>
      </c>
      <c r="B13" s="31">
        <v>23.5</v>
      </c>
      <c r="C13" s="31">
        <v>23.5</v>
      </c>
      <c r="D13" s="31">
        <v>23.5</v>
      </c>
      <c r="E13" s="31">
        <v>23.5</v>
      </c>
      <c r="F13" s="130"/>
    </row>
    <row r="14" spans="1:10">
      <c r="A14" s="64" t="s">
        <v>1272</v>
      </c>
      <c r="B14" s="31">
        <v>16.8</v>
      </c>
      <c r="C14" s="31">
        <v>16.8</v>
      </c>
      <c r="D14" s="31">
        <v>16.8</v>
      </c>
      <c r="E14" s="31">
        <v>17.600000000000001</v>
      </c>
      <c r="F14" s="130"/>
    </row>
    <row r="15" spans="1:10">
      <c r="A15" s="64" t="s">
        <v>789</v>
      </c>
      <c r="B15" s="31">
        <v>19.8</v>
      </c>
      <c r="C15" s="31">
        <v>19.8</v>
      </c>
      <c r="D15" s="31">
        <v>19.8</v>
      </c>
      <c r="E15" s="31">
        <v>19.8</v>
      </c>
    </row>
    <row r="16" spans="1:10">
      <c r="A16" s="64" t="s">
        <v>792</v>
      </c>
      <c r="B16" s="31">
        <v>28.1</v>
      </c>
      <c r="C16" s="31">
        <v>27.5</v>
      </c>
      <c r="D16" s="31">
        <v>27.5</v>
      </c>
      <c r="E16" s="31">
        <v>27.5</v>
      </c>
    </row>
    <row r="17" spans="1:10">
      <c r="A17" s="64" t="s">
        <v>790</v>
      </c>
      <c r="B17" s="31">
        <v>25.4</v>
      </c>
      <c r="C17" s="31">
        <v>35</v>
      </c>
      <c r="D17" s="31">
        <v>35.799999999999997</v>
      </c>
      <c r="E17" s="31">
        <v>35.799999999999997</v>
      </c>
    </row>
    <row r="18" spans="1:10">
      <c r="B18" s="31"/>
      <c r="C18" s="135"/>
    </row>
    <row r="19" spans="1:10">
      <c r="A19" s="64" t="s">
        <v>1361</v>
      </c>
      <c r="B19" s="31"/>
      <c r="C19" s="135"/>
    </row>
    <row r="20" spans="1:10" ht="45" customHeight="1">
      <c r="A20" s="104" t="s">
        <v>1218</v>
      </c>
      <c r="B20" s="104"/>
      <c r="C20" s="104"/>
      <c r="D20" s="104"/>
      <c r="E20" s="104"/>
      <c r="F20" s="104"/>
      <c r="G20" s="104"/>
      <c r="H20" s="104"/>
      <c r="I20" s="104"/>
      <c r="J20" s="104"/>
    </row>
    <row r="21" spans="1:10">
      <c r="B21" s="31"/>
      <c r="C21" s="135"/>
    </row>
    <row r="22" spans="1:10">
      <c r="B22" s="31"/>
      <c r="C22" s="135"/>
    </row>
    <row r="28" spans="1:10">
      <c r="A28" s="130"/>
    </row>
  </sheetData>
  <sortState ref="A3:A11">
    <sortCondition ref="A3"/>
  </sortState>
  <mergeCells count="2">
    <mergeCell ref="A20:J20"/>
    <mergeCell ref="A1:J1"/>
  </mergeCells>
  <pageMargins left="0.7" right="0.7" top="0.75" bottom="0.75" header="0.3" footer="0.3"/>
  <pageSetup orientation="landscape" horizontalDpi="0" verticalDpi="0" r:id="rId1"/>
</worksheet>
</file>

<file path=xl/worksheets/sheet107.xml><?xml version="1.0" encoding="utf-8"?>
<worksheet xmlns="http://schemas.openxmlformats.org/spreadsheetml/2006/main" xmlns:r="http://schemas.openxmlformats.org/officeDocument/2006/relationships">
  <sheetPr codeName="Sheet100"/>
  <dimension ref="A1:L31"/>
  <sheetViews>
    <sheetView view="pageBreakPreview" zoomScale="85" zoomScaleNormal="100" zoomScaleSheetLayoutView="85" workbookViewId="0">
      <selection activeCell="AC38" sqref="AC38"/>
    </sheetView>
  </sheetViews>
  <sheetFormatPr defaultRowHeight="15"/>
  <cols>
    <col min="1" max="1" width="10.85546875" style="64" customWidth="1"/>
    <col min="2" max="2" width="9.140625" style="64"/>
    <col min="3" max="3" width="15" style="64" customWidth="1"/>
    <col min="4" max="5" width="9.140625" style="64"/>
    <col min="6" max="6" width="9.7109375" style="64" customWidth="1"/>
    <col min="7" max="8" width="9.140625" style="64"/>
    <col min="9" max="9" width="11.5703125" style="64" customWidth="1"/>
    <col min="10" max="10" width="13.140625" style="64" customWidth="1"/>
    <col min="11" max="16384" width="9.140625" style="64"/>
  </cols>
  <sheetData>
    <row r="1" spans="1:12">
      <c r="A1" s="108" t="s">
        <v>1376</v>
      </c>
      <c r="B1" s="108"/>
      <c r="C1" s="108"/>
      <c r="D1" s="108"/>
      <c r="E1" s="108"/>
      <c r="F1" s="108"/>
      <c r="G1" s="108"/>
      <c r="H1" s="108"/>
      <c r="I1" s="108"/>
      <c r="J1" s="108"/>
      <c r="K1" s="108"/>
      <c r="L1" s="108"/>
    </row>
    <row r="2" spans="1:12" ht="45">
      <c r="B2" s="72" t="s">
        <v>696</v>
      </c>
      <c r="C2" s="72" t="s">
        <v>945</v>
      </c>
      <c r="D2" s="72" t="s">
        <v>946</v>
      </c>
      <c r="E2" s="72" t="s">
        <v>947</v>
      </c>
      <c r="F2" s="72" t="s">
        <v>852</v>
      </c>
      <c r="G2" s="72" t="s">
        <v>853</v>
      </c>
      <c r="H2" s="72" t="s">
        <v>854</v>
      </c>
      <c r="I2" s="72" t="s">
        <v>948</v>
      </c>
      <c r="J2" s="72" t="s">
        <v>949</v>
      </c>
      <c r="K2" s="72" t="s">
        <v>855</v>
      </c>
      <c r="L2" s="72" t="s">
        <v>856</v>
      </c>
    </row>
    <row r="3" spans="1:12">
      <c r="B3" s="94" t="s">
        <v>1219</v>
      </c>
      <c r="C3" s="94"/>
      <c r="D3" s="94"/>
      <c r="E3" s="94"/>
      <c r="F3" s="94"/>
      <c r="G3" s="94"/>
      <c r="H3" s="94"/>
      <c r="I3" s="94"/>
      <c r="J3" s="94"/>
      <c r="K3" s="94"/>
      <c r="L3" s="94"/>
    </row>
    <row r="4" spans="1:12">
      <c r="A4" s="203">
        <v>1997</v>
      </c>
      <c r="B4" s="31">
        <v>37.5</v>
      </c>
      <c r="C4" s="31">
        <v>10.199999999999999</v>
      </c>
      <c r="D4" s="31">
        <v>-1.1000000000000001</v>
      </c>
      <c r="E4" s="31">
        <v>-5.7</v>
      </c>
      <c r="F4" s="31">
        <v>26</v>
      </c>
      <c r="G4" s="31">
        <v>28.2</v>
      </c>
      <c r="H4" s="31">
        <v>41.2</v>
      </c>
      <c r="I4" s="31">
        <v>27.1</v>
      </c>
      <c r="J4" s="31">
        <v>37.200000000000003</v>
      </c>
      <c r="K4" s="31">
        <v>40.700000000000003</v>
      </c>
      <c r="L4" s="31">
        <v>43.6</v>
      </c>
    </row>
    <row r="5" spans="1:12">
      <c r="A5" s="203">
        <v>1998</v>
      </c>
      <c r="B5" s="31">
        <v>37.5</v>
      </c>
      <c r="C5" s="31">
        <v>10.199999999999999</v>
      </c>
      <c r="D5" s="31">
        <v>-1.1000000000000001</v>
      </c>
      <c r="E5" s="31">
        <v>-5.7</v>
      </c>
      <c r="F5" s="31">
        <v>26</v>
      </c>
      <c r="G5" s="31">
        <v>28.2</v>
      </c>
      <c r="H5" s="31">
        <v>41.2</v>
      </c>
      <c r="I5" s="31">
        <v>27.1</v>
      </c>
      <c r="J5" s="31">
        <v>38.1</v>
      </c>
      <c r="K5" s="31">
        <v>40.700000000000003</v>
      </c>
      <c r="L5" s="31">
        <v>43.6</v>
      </c>
    </row>
    <row r="6" spans="1:12">
      <c r="A6" s="203">
        <v>1999</v>
      </c>
      <c r="B6" s="31">
        <v>37.5</v>
      </c>
      <c r="C6" s="31">
        <v>10.199999999999999</v>
      </c>
      <c r="D6" s="31">
        <v>-1.1000000000000001</v>
      </c>
      <c r="E6" s="31">
        <v>-5.7</v>
      </c>
      <c r="F6" s="31">
        <v>26</v>
      </c>
      <c r="G6" s="31">
        <v>28.2</v>
      </c>
      <c r="H6" s="31">
        <v>41.2</v>
      </c>
      <c r="I6" s="31">
        <v>27.1</v>
      </c>
      <c r="J6" s="31">
        <v>39.5</v>
      </c>
      <c r="K6" s="31">
        <v>40.700000000000003</v>
      </c>
      <c r="L6" s="31">
        <v>43.6</v>
      </c>
    </row>
    <row r="7" spans="1:12">
      <c r="A7" s="203">
        <v>2000</v>
      </c>
      <c r="B7" s="31">
        <v>37.5</v>
      </c>
      <c r="C7" s="31">
        <v>10.199999999999999</v>
      </c>
      <c r="D7" s="31">
        <v>-1.1000000000000001</v>
      </c>
      <c r="E7" s="31">
        <v>-5.7</v>
      </c>
      <c r="F7" s="31">
        <v>26</v>
      </c>
      <c r="G7" s="31">
        <v>28.2</v>
      </c>
      <c r="H7" s="31">
        <v>41.1</v>
      </c>
      <c r="I7" s="31">
        <v>27.1</v>
      </c>
      <c r="J7" s="31">
        <v>39.9</v>
      </c>
      <c r="K7" s="31">
        <v>40.700000000000003</v>
      </c>
      <c r="L7" s="31">
        <v>43.6</v>
      </c>
    </row>
    <row r="8" spans="1:12">
      <c r="A8" s="203">
        <v>2001</v>
      </c>
      <c r="B8" s="31">
        <v>36.9</v>
      </c>
      <c r="C8" s="31">
        <v>9.6999999999999993</v>
      </c>
      <c r="D8" s="31">
        <v>-1.7</v>
      </c>
      <c r="E8" s="31">
        <v>-6.1</v>
      </c>
      <c r="F8" s="31">
        <v>24.1</v>
      </c>
      <c r="G8" s="31">
        <v>28</v>
      </c>
      <c r="H8" s="31">
        <v>40.700000000000003</v>
      </c>
      <c r="I8" s="31">
        <v>26.7</v>
      </c>
      <c r="J8" s="31">
        <v>39.700000000000003</v>
      </c>
      <c r="K8" s="31">
        <v>39</v>
      </c>
      <c r="L8" s="31">
        <v>43.3</v>
      </c>
    </row>
    <row r="9" spans="1:12">
      <c r="A9" s="203">
        <v>2002</v>
      </c>
      <c r="B9" s="31">
        <v>35.6</v>
      </c>
      <c r="C9" s="31">
        <v>8.6999999999999993</v>
      </c>
      <c r="D9" s="31">
        <v>-3</v>
      </c>
      <c r="E9" s="31">
        <v>-7.1</v>
      </c>
      <c r="F9" s="31">
        <v>22.2</v>
      </c>
      <c r="G9" s="31">
        <v>27.5</v>
      </c>
      <c r="H9" s="31">
        <v>39.5</v>
      </c>
      <c r="I9" s="31">
        <v>25.3</v>
      </c>
      <c r="J9" s="31">
        <v>39.200000000000003</v>
      </c>
      <c r="K9" s="31">
        <v>37.700000000000003</v>
      </c>
      <c r="L9" s="31">
        <v>39.799999999999997</v>
      </c>
    </row>
    <row r="10" spans="1:12">
      <c r="A10" s="203">
        <v>2003</v>
      </c>
      <c r="B10" s="31">
        <v>37.299999999999997</v>
      </c>
      <c r="C10" s="31">
        <v>7.7</v>
      </c>
      <c r="D10" s="31">
        <v>-4.2</v>
      </c>
      <c r="E10" s="31">
        <v>17.3</v>
      </c>
      <c r="F10" s="31">
        <v>17.899999999999999</v>
      </c>
      <c r="G10" s="31">
        <v>37.5</v>
      </c>
      <c r="H10" s="31">
        <v>39.1</v>
      </c>
      <c r="I10" s="31">
        <v>24</v>
      </c>
      <c r="J10" s="31">
        <v>38.799999999999997</v>
      </c>
      <c r="K10" s="31">
        <v>36.6</v>
      </c>
      <c r="L10" s="31">
        <v>38.4</v>
      </c>
    </row>
    <row r="11" spans="1:12">
      <c r="A11" s="203">
        <v>2004</v>
      </c>
      <c r="B11" s="31">
        <v>36.6</v>
      </c>
      <c r="C11" s="31">
        <v>5.9</v>
      </c>
      <c r="D11" s="31">
        <v>-6.5</v>
      </c>
      <c r="E11" s="31">
        <v>16.3</v>
      </c>
      <c r="F11" s="31">
        <v>16.3</v>
      </c>
      <c r="G11" s="31">
        <v>36.6</v>
      </c>
      <c r="H11" s="31">
        <v>39</v>
      </c>
      <c r="I11" s="31">
        <v>21.9</v>
      </c>
      <c r="J11" s="31">
        <v>37.9</v>
      </c>
      <c r="K11" s="31">
        <v>34.700000000000003</v>
      </c>
      <c r="L11" s="31">
        <v>37.299999999999997</v>
      </c>
    </row>
    <row r="12" spans="1:12">
      <c r="A12" s="203">
        <v>2005</v>
      </c>
      <c r="B12" s="31">
        <v>36.299999999999997</v>
      </c>
      <c r="C12" s="31">
        <v>5.3</v>
      </c>
      <c r="D12" s="31">
        <v>2.2000000000000002</v>
      </c>
      <c r="E12" s="31">
        <v>15.7</v>
      </c>
      <c r="F12" s="31">
        <v>15.8</v>
      </c>
      <c r="G12" s="31">
        <v>36.299999999999997</v>
      </c>
      <c r="H12" s="31">
        <v>38.700000000000003</v>
      </c>
      <c r="I12" s="31">
        <v>20.8</v>
      </c>
      <c r="J12" s="31">
        <v>37.1</v>
      </c>
      <c r="K12" s="31">
        <v>34.1</v>
      </c>
      <c r="L12" s="31">
        <v>36.4</v>
      </c>
    </row>
    <row r="13" spans="1:12">
      <c r="A13" s="203">
        <v>2006</v>
      </c>
      <c r="B13" s="31">
        <v>33.1</v>
      </c>
      <c r="C13" s="31">
        <v>2.8</v>
      </c>
      <c r="D13" s="31">
        <v>2.2999999999999998</v>
      </c>
      <c r="E13" s="31">
        <v>13</v>
      </c>
      <c r="F13" s="31">
        <v>12.9</v>
      </c>
      <c r="G13" s="31">
        <v>27.8</v>
      </c>
      <c r="H13" s="31">
        <v>37.299999999999997</v>
      </c>
      <c r="I13" s="31">
        <v>18</v>
      </c>
      <c r="J13" s="31">
        <v>31.6</v>
      </c>
      <c r="K13" s="31">
        <v>31.6</v>
      </c>
      <c r="L13" s="31">
        <v>34.299999999999997</v>
      </c>
    </row>
    <row r="15" spans="1:12">
      <c r="A15" s="60" t="s">
        <v>1216</v>
      </c>
      <c r="B15" s="31"/>
      <c r="C15" s="31"/>
      <c r="D15" s="31"/>
      <c r="E15" s="31"/>
      <c r="F15" s="31"/>
      <c r="G15" s="31"/>
      <c r="H15" s="31"/>
      <c r="I15" s="31"/>
      <c r="J15" s="31"/>
      <c r="K15" s="31"/>
    </row>
    <row r="16" spans="1:12">
      <c r="A16" s="64" t="s">
        <v>513</v>
      </c>
      <c r="B16" s="31">
        <f>(B13-B4)/B4*100</f>
        <v>-11.733333333333329</v>
      </c>
      <c r="C16" s="31">
        <f t="shared" ref="C16:L16" si="0">(C13-C4)/C4*100</f>
        <v>-72.549019607843135</v>
      </c>
      <c r="D16" s="31" t="s">
        <v>22</v>
      </c>
      <c r="E16" s="31" t="s">
        <v>22</v>
      </c>
      <c r="F16" s="31">
        <f t="shared" si="0"/>
        <v>-50.384615384615387</v>
      </c>
      <c r="G16" s="31">
        <f t="shared" si="0"/>
        <v>-1.4184397163120517</v>
      </c>
      <c r="H16" s="31">
        <f t="shared" si="0"/>
        <v>-9.4660194174757422</v>
      </c>
      <c r="I16" s="31">
        <f t="shared" si="0"/>
        <v>-33.579335793357941</v>
      </c>
      <c r="J16" s="31">
        <f t="shared" si="0"/>
        <v>-15.053763440860218</v>
      </c>
      <c r="K16" s="31">
        <f t="shared" si="0"/>
        <v>-22.35872235872236</v>
      </c>
      <c r="L16" s="31">
        <f t="shared" si="0"/>
        <v>-21.330275229357806</v>
      </c>
    </row>
    <row r="18" spans="1:12">
      <c r="B18" s="112" t="s">
        <v>1217</v>
      </c>
      <c r="C18" s="112"/>
      <c r="D18" s="112"/>
      <c r="E18" s="112"/>
      <c r="F18" s="112"/>
      <c r="G18" s="112"/>
      <c r="H18" s="112"/>
      <c r="I18" s="112"/>
      <c r="J18" s="112"/>
      <c r="K18" s="112"/>
      <c r="L18" s="112"/>
    </row>
    <row r="19" spans="1:12">
      <c r="A19" s="203">
        <v>1997</v>
      </c>
      <c r="B19" s="31">
        <f>B4/B$4*100</f>
        <v>100</v>
      </c>
      <c r="C19" s="31">
        <f t="shared" ref="C19:L19" si="1">C4/C$4*100</f>
        <v>100</v>
      </c>
      <c r="D19" s="31">
        <f t="shared" si="1"/>
        <v>100</v>
      </c>
      <c r="E19" s="31">
        <f t="shared" si="1"/>
        <v>100</v>
      </c>
      <c r="F19" s="31">
        <f t="shared" si="1"/>
        <v>100</v>
      </c>
      <c r="G19" s="31">
        <f t="shared" si="1"/>
        <v>100</v>
      </c>
      <c r="H19" s="31">
        <f t="shared" si="1"/>
        <v>100</v>
      </c>
      <c r="I19" s="31">
        <f t="shared" si="1"/>
        <v>100</v>
      </c>
      <c r="J19" s="31">
        <f t="shared" si="1"/>
        <v>100</v>
      </c>
      <c r="K19" s="31">
        <f t="shared" si="1"/>
        <v>100</v>
      </c>
      <c r="L19" s="31">
        <f t="shared" si="1"/>
        <v>100</v>
      </c>
    </row>
    <row r="20" spans="1:12">
      <c r="A20" s="203">
        <v>1998</v>
      </c>
      <c r="B20" s="31">
        <f t="shared" ref="B20:L20" si="2">B5/B$4*100</f>
        <v>100</v>
      </c>
      <c r="C20" s="31">
        <f t="shared" si="2"/>
        <v>100</v>
      </c>
      <c r="D20" s="31">
        <f t="shared" si="2"/>
        <v>100</v>
      </c>
      <c r="E20" s="31">
        <f t="shared" si="2"/>
        <v>100</v>
      </c>
      <c r="F20" s="31">
        <f t="shared" si="2"/>
        <v>100</v>
      </c>
      <c r="G20" s="31">
        <f t="shared" si="2"/>
        <v>100</v>
      </c>
      <c r="H20" s="31">
        <f t="shared" si="2"/>
        <v>100</v>
      </c>
      <c r="I20" s="31">
        <f t="shared" si="2"/>
        <v>100</v>
      </c>
      <c r="J20" s="31">
        <f t="shared" si="2"/>
        <v>102.41935483870968</v>
      </c>
      <c r="K20" s="31">
        <f t="shared" si="2"/>
        <v>100</v>
      </c>
      <c r="L20" s="31">
        <f t="shared" si="2"/>
        <v>100</v>
      </c>
    </row>
    <row r="21" spans="1:12">
      <c r="A21" s="203">
        <v>1999</v>
      </c>
      <c r="B21" s="31">
        <f t="shared" ref="B21:L21" si="3">B6/B$4*100</f>
        <v>100</v>
      </c>
      <c r="C21" s="31">
        <f t="shared" si="3"/>
        <v>100</v>
      </c>
      <c r="D21" s="31">
        <f t="shared" si="3"/>
        <v>100</v>
      </c>
      <c r="E21" s="31">
        <f t="shared" si="3"/>
        <v>100</v>
      </c>
      <c r="F21" s="31">
        <f t="shared" si="3"/>
        <v>100</v>
      </c>
      <c r="G21" s="31">
        <f t="shared" si="3"/>
        <v>100</v>
      </c>
      <c r="H21" s="31">
        <f t="shared" si="3"/>
        <v>100</v>
      </c>
      <c r="I21" s="31">
        <f t="shared" si="3"/>
        <v>100</v>
      </c>
      <c r="J21" s="31">
        <f t="shared" si="3"/>
        <v>106.18279569892472</v>
      </c>
      <c r="K21" s="31">
        <f t="shared" si="3"/>
        <v>100</v>
      </c>
      <c r="L21" s="31">
        <f t="shared" si="3"/>
        <v>100</v>
      </c>
    </row>
    <row r="22" spans="1:12">
      <c r="A22" s="203">
        <v>2000</v>
      </c>
      <c r="B22" s="31">
        <f t="shared" ref="B22:L22" si="4">B7/B$4*100</f>
        <v>100</v>
      </c>
      <c r="C22" s="31">
        <f t="shared" si="4"/>
        <v>100</v>
      </c>
      <c r="D22" s="31">
        <f t="shared" si="4"/>
        <v>100</v>
      </c>
      <c r="E22" s="31">
        <f t="shared" si="4"/>
        <v>100</v>
      </c>
      <c r="F22" s="31">
        <f t="shared" si="4"/>
        <v>100</v>
      </c>
      <c r="G22" s="31">
        <f t="shared" si="4"/>
        <v>100</v>
      </c>
      <c r="H22" s="31">
        <f t="shared" si="4"/>
        <v>99.757281553398059</v>
      </c>
      <c r="I22" s="31">
        <f t="shared" si="4"/>
        <v>100</v>
      </c>
      <c r="J22" s="31">
        <f t="shared" si="4"/>
        <v>107.25806451612902</v>
      </c>
      <c r="K22" s="31">
        <f t="shared" si="4"/>
        <v>100</v>
      </c>
      <c r="L22" s="31">
        <f t="shared" si="4"/>
        <v>100</v>
      </c>
    </row>
    <row r="23" spans="1:12">
      <c r="A23" s="203">
        <v>2001</v>
      </c>
      <c r="B23" s="31">
        <f t="shared" ref="B23:L23" si="5">B8/B$4*100</f>
        <v>98.4</v>
      </c>
      <c r="C23" s="31">
        <f t="shared" si="5"/>
        <v>95.098039215686271</v>
      </c>
      <c r="D23" s="31">
        <f t="shared" si="5"/>
        <v>154.54545454545453</v>
      </c>
      <c r="E23" s="31">
        <f t="shared" si="5"/>
        <v>107.01754385964912</v>
      </c>
      <c r="F23" s="31">
        <f t="shared" si="5"/>
        <v>92.692307692307693</v>
      </c>
      <c r="G23" s="31">
        <f t="shared" si="5"/>
        <v>99.290780141843967</v>
      </c>
      <c r="H23" s="31">
        <f t="shared" si="5"/>
        <v>98.786407766990294</v>
      </c>
      <c r="I23" s="31">
        <f t="shared" si="5"/>
        <v>98.523985239852379</v>
      </c>
      <c r="J23" s="31">
        <f t="shared" si="5"/>
        <v>106.72043010752688</v>
      </c>
      <c r="K23" s="31">
        <f t="shared" si="5"/>
        <v>95.823095823095812</v>
      </c>
      <c r="L23" s="31">
        <f t="shared" si="5"/>
        <v>99.311926605504581</v>
      </c>
    </row>
    <row r="24" spans="1:12">
      <c r="A24" s="203">
        <v>2002</v>
      </c>
      <c r="B24" s="31">
        <f t="shared" ref="B24:L24" si="6">B9/B$4*100</f>
        <v>94.933333333333337</v>
      </c>
      <c r="C24" s="31">
        <f t="shared" si="6"/>
        <v>85.294117647058826</v>
      </c>
      <c r="D24" s="31">
        <f t="shared" si="6"/>
        <v>272.72727272727269</v>
      </c>
      <c r="E24" s="31">
        <f t="shared" si="6"/>
        <v>124.56140350877192</v>
      </c>
      <c r="F24" s="31">
        <f t="shared" si="6"/>
        <v>85.384615384615387</v>
      </c>
      <c r="G24" s="31">
        <f t="shared" si="6"/>
        <v>97.517730496453908</v>
      </c>
      <c r="H24" s="31">
        <f t="shared" si="6"/>
        <v>95.873786407766985</v>
      </c>
      <c r="I24" s="31">
        <f t="shared" si="6"/>
        <v>93.357933579335793</v>
      </c>
      <c r="J24" s="31">
        <f t="shared" si="6"/>
        <v>105.3763440860215</v>
      </c>
      <c r="K24" s="31">
        <f t="shared" si="6"/>
        <v>92.628992628992634</v>
      </c>
      <c r="L24" s="31">
        <f t="shared" si="6"/>
        <v>91.284403669724753</v>
      </c>
    </row>
    <row r="25" spans="1:12">
      <c r="A25" s="203">
        <v>2003</v>
      </c>
      <c r="B25" s="31">
        <f t="shared" ref="B25:L25" si="7">B10/B$4*100</f>
        <v>99.466666666666654</v>
      </c>
      <c r="C25" s="31">
        <f t="shared" si="7"/>
        <v>75.490196078431381</v>
      </c>
      <c r="D25" s="31">
        <f t="shared" si="7"/>
        <v>381.81818181818181</v>
      </c>
      <c r="E25" s="31">
        <f t="shared" si="7"/>
        <v>-303.50877192982455</v>
      </c>
      <c r="F25" s="31">
        <f t="shared" si="7"/>
        <v>68.84615384615384</v>
      </c>
      <c r="G25" s="31">
        <f t="shared" si="7"/>
        <v>132.97872340425531</v>
      </c>
      <c r="H25" s="31">
        <f t="shared" si="7"/>
        <v>94.902912621359221</v>
      </c>
      <c r="I25" s="31">
        <f t="shared" si="7"/>
        <v>88.560885608856083</v>
      </c>
      <c r="J25" s="31">
        <f t="shared" si="7"/>
        <v>104.30107526881717</v>
      </c>
      <c r="K25" s="31">
        <f t="shared" si="7"/>
        <v>89.926289926289925</v>
      </c>
      <c r="L25" s="31">
        <f t="shared" si="7"/>
        <v>88.073394495412842</v>
      </c>
    </row>
    <row r="26" spans="1:12">
      <c r="A26" s="203">
        <v>2004</v>
      </c>
      <c r="B26" s="31">
        <f t="shared" ref="B26:L26" si="8">B11/B$4*100</f>
        <v>97.600000000000009</v>
      </c>
      <c r="C26" s="31">
        <f t="shared" si="8"/>
        <v>57.843137254901968</v>
      </c>
      <c r="D26" s="31">
        <f t="shared" si="8"/>
        <v>590.90909090909088</v>
      </c>
      <c r="E26" s="31">
        <f t="shared" si="8"/>
        <v>-285.96491228070175</v>
      </c>
      <c r="F26" s="31">
        <f t="shared" si="8"/>
        <v>62.692307692307693</v>
      </c>
      <c r="G26" s="31">
        <f t="shared" si="8"/>
        <v>129.78723404255319</v>
      </c>
      <c r="H26" s="31">
        <f t="shared" si="8"/>
        <v>94.660194174757279</v>
      </c>
      <c r="I26" s="31">
        <f t="shared" si="8"/>
        <v>80.811808118081174</v>
      </c>
      <c r="J26" s="31">
        <f t="shared" si="8"/>
        <v>101.88172043010752</v>
      </c>
      <c r="K26" s="31">
        <f t="shared" si="8"/>
        <v>85.257985257985254</v>
      </c>
      <c r="L26" s="31">
        <f t="shared" si="8"/>
        <v>85.550458715596321</v>
      </c>
    </row>
    <row r="27" spans="1:12">
      <c r="A27" s="203">
        <v>2005</v>
      </c>
      <c r="B27" s="31">
        <f t="shared" ref="B27:L27" si="9">B12/B$4*100</f>
        <v>96.8</v>
      </c>
      <c r="C27" s="31">
        <f t="shared" si="9"/>
        <v>51.960784313725497</v>
      </c>
      <c r="D27" s="31">
        <f t="shared" si="9"/>
        <v>-200</v>
      </c>
      <c r="E27" s="31">
        <f t="shared" si="9"/>
        <v>-275.43859649122805</v>
      </c>
      <c r="F27" s="31">
        <f t="shared" si="9"/>
        <v>60.769230769230774</v>
      </c>
      <c r="G27" s="31">
        <f t="shared" si="9"/>
        <v>128.72340425531914</v>
      </c>
      <c r="H27" s="31">
        <f t="shared" si="9"/>
        <v>93.932038834951456</v>
      </c>
      <c r="I27" s="31">
        <f t="shared" si="9"/>
        <v>76.752767527675275</v>
      </c>
      <c r="J27" s="31">
        <f t="shared" si="9"/>
        <v>99.731182795698928</v>
      </c>
      <c r="K27" s="31">
        <f t="shared" si="9"/>
        <v>83.78378378378379</v>
      </c>
      <c r="L27" s="31">
        <f t="shared" si="9"/>
        <v>83.486238532110093</v>
      </c>
    </row>
    <row r="28" spans="1:12">
      <c r="A28" s="203">
        <v>2006</v>
      </c>
      <c r="B28" s="31">
        <f t="shared" ref="B28:L28" si="10">B13/B$4*100</f>
        <v>88.266666666666666</v>
      </c>
      <c r="C28" s="31">
        <f t="shared" si="10"/>
        <v>27.450980392156865</v>
      </c>
      <c r="D28" s="31">
        <f t="shared" si="10"/>
        <v>-209.09090909090904</v>
      </c>
      <c r="E28" s="31">
        <f t="shared" si="10"/>
        <v>-228.07017543859649</v>
      </c>
      <c r="F28" s="31">
        <f t="shared" si="10"/>
        <v>49.615384615384613</v>
      </c>
      <c r="G28" s="31">
        <f t="shared" si="10"/>
        <v>98.581560283687949</v>
      </c>
      <c r="H28" s="31">
        <f t="shared" si="10"/>
        <v>90.533980582524251</v>
      </c>
      <c r="I28" s="31">
        <f t="shared" si="10"/>
        <v>66.420664206642073</v>
      </c>
      <c r="J28" s="31">
        <f t="shared" si="10"/>
        <v>84.946236559139791</v>
      </c>
      <c r="K28" s="31">
        <f t="shared" si="10"/>
        <v>77.64127764127764</v>
      </c>
      <c r="L28" s="31">
        <f t="shared" si="10"/>
        <v>78.66972477064219</v>
      </c>
    </row>
    <row r="30" spans="1:12">
      <c r="A30" s="60" t="s">
        <v>1215</v>
      </c>
    </row>
    <row r="31" spans="1:12">
      <c r="A31" s="203"/>
      <c r="B31" s="31"/>
      <c r="C31" s="31"/>
      <c r="D31" s="31"/>
      <c r="E31" s="31"/>
      <c r="F31" s="31"/>
      <c r="G31" s="31"/>
      <c r="H31" s="31"/>
      <c r="I31" s="31"/>
      <c r="J31" s="31"/>
      <c r="K31" s="31"/>
    </row>
  </sheetData>
  <mergeCells count="3">
    <mergeCell ref="B18:L18"/>
    <mergeCell ref="B3:L3"/>
    <mergeCell ref="A1:L1"/>
  </mergeCells>
  <pageMargins left="0.7" right="0.7" top="0.75" bottom="0.75" header="0.3" footer="0.3"/>
  <pageSetup scale="99" orientation="landscape" horizontalDpi="0" verticalDpi="0" r:id="rId1"/>
</worksheet>
</file>

<file path=xl/worksheets/sheet108.xml><?xml version="1.0" encoding="utf-8"?>
<worksheet xmlns="http://schemas.openxmlformats.org/spreadsheetml/2006/main" xmlns:r="http://schemas.openxmlformats.org/officeDocument/2006/relationships">
  <sheetPr codeName="Sheet101"/>
  <dimension ref="A1:L73"/>
  <sheetViews>
    <sheetView view="pageBreakPreview" zoomScaleNormal="55" zoomScaleSheetLayoutView="100"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7109375" style="64" customWidth="1"/>
    <col min="2" max="2" width="12.28515625" style="64" customWidth="1"/>
    <col min="3" max="4" width="12.140625" style="64" customWidth="1"/>
    <col min="5" max="5" width="10.140625" style="64" bestFit="1" customWidth="1"/>
    <col min="6" max="6" width="15.28515625" style="64" customWidth="1"/>
    <col min="7" max="7" width="10.140625" style="64" bestFit="1" customWidth="1"/>
    <col min="8" max="9" width="19.28515625" style="64" customWidth="1"/>
    <col min="10" max="10" width="9.140625" style="64"/>
    <col min="11" max="11" width="17.5703125" style="64" hidden="1" customWidth="1" outlineLevel="1"/>
    <col min="12" max="12" width="9.140625" style="64" collapsed="1"/>
    <col min="13" max="16384" width="9.140625" style="64"/>
  </cols>
  <sheetData>
    <row r="1" spans="1:11">
      <c r="A1" s="66" t="s">
        <v>1995</v>
      </c>
    </row>
    <row r="2" spans="1:11" ht="75">
      <c r="A2" s="158"/>
      <c r="B2" s="73" t="s">
        <v>113</v>
      </c>
      <c r="C2" s="73" t="s">
        <v>116</v>
      </c>
      <c r="D2" s="73" t="s">
        <v>832</v>
      </c>
      <c r="E2" s="73" t="s">
        <v>118</v>
      </c>
      <c r="F2" s="73" t="s">
        <v>122</v>
      </c>
      <c r="G2" s="73" t="s">
        <v>839</v>
      </c>
      <c r="H2" s="73" t="s">
        <v>1000</v>
      </c>
      <c r="I2" s="73" t="s">
        <v>845</v>
      </c>
      <c r="K2" s="76" t="s">
        <v>122</v>
      </c>
    </row>
    <row r="3" spans="1:11" s="77" customFormat="1" ht="30">
      <c r="A3" s="158"/>
      <c r="B3" s="97" t="s">
        <v>831</v>
      </c>
      <c r="C3" s="97"/>
      <c r="D3" s="97"/>
      <c r="E3" s="97"/>
      <c r="F3" s="73" t="s">
        <v>999</v>
      </c>
      <c r="G3" s="97" t="s">
        <v>831</v>
      </c>
      <c r="H3" s="97"/>
      <c r="I3" s="97"/>
      <c r="J3" s="215"/>
      <c r="K3" s="216" t="s">
        <v>111</v>
      </c>
    </row>
    <row r="4" spans="1:11" hidden="1" outlineLevel="1">
      <c r="B4" s="135" t="s">
        <v>804</v>
      </c>
      <c r="C4" s="135" t="s">
        <v>805</v>
      </c>
      <c r="D4" s="135" t="s">
        <v>806</v>
      </c>
      <c r="E4" s="135" t="s">
        <v>807</v>
      </c>
      <c r="F4" s="135" t="s">
        <v>820</v>
      </c>
      <c r="G4" s="135" t="s">
        <v>819</v>
      </c>
      <c r="H4" s="135" t="s">
        <v>828</v>
      </c>
      <c r="I4" s="135" t="s">
        <v>829</v>
      </c>
      <c r="K4" s="135" t="s">
        <v>820</v>
      </c>
    </row>
    <row r="5" spans="1:11" collapsed="1">
      <c r="A5" s="66">
        <v>1961</v>
      </c>
      <c r="B5" s="31">
        <v>82.6</v>
      </c>
      <c r="C5" s="31">
        <v>40.5</v>
      </c>
      <c r="D5" s="31">
        <v>158.30000000000001</v>
      </c>
      <c r="E5" s="31">
        <v>20.5</v>
      </c>
      <c r="F5" s="30">
        <f>K5/1000000</f>
        <v>30805.1</v>
      </c>
      <c r="G5" s="31">
        <v>24.8</v>
      </c>
      <c r="H5" s="31">
        <v>59</v>
      </c>
      <c r="I5" s="31">
        <v>83.1</v>
      </c>
      <c r="K5" s="30">
        <v>30805100000</v>
      </c>
    </row>
    <row r="6" spans="1:11" hidden="1" outlineLevel="1">
      <c r="A6" s="49">
        <v>1962</v>
      </c>
      <c r="B6" s="31">
        <v>85.5</v>
      </c>
      <c r="C6" s="31">
        <v>42.4</v>
      </c>
      <c r="D6" s="31">
        <v>164.6</v>
      </c>
      <c r="E6" s="31">
        <v>22</v>
      </c>
      <c r="F6" s="30">
        <f t="shared" ref="F6:F52" si="0">K6/1000000</f>
        <v>33227.4</v>
      </c>
      <c r="G6" s="31">
        <v>25.8</v>
      </c>
      <c r="H6" s="31">
        <v>59.1</v>
      </c>
      <c r="I6" s="31">
        <v>83.8</v>
      </c>
      <c r="K6" s="30">
        <v>33227400000</v>
      </c>
    </row>
    <row r="7" spans="1:11" hidden="1" outlineLevel="1">
      <c r="A7" s="49">
        <v>1963</v>
      </c>
      <c r="B7" s="31">
        <v>87.5</v>
      </c>
      <c r="C7" s="31">
        <v>44.3</v>
      </c>
      <c r="D7" s="31">
        <v>166.3</v>
      </c>
      <c r="E7" s="31">
        <v>23.3</v>
      </c>
      <c r="F7" s="30">
        <f t="shared" si="0"/>
        <v>35671.300000000003</v>
      </c>
      <c r="G7" s="31">
        <v>26.6</v>
      </c>
      <c r="H7" s="31">
        <v>59.9</v>
      </c>
      <c r="I7" s="31">
        <v>84.5</v>
      </c>
      <c r="K7" s="30">
        <v>35671300000</v>
      </c>
    </row>
    <row r="8" spans="1:11" hidden="1" outlineLevel="1">
      <c r="A8" s="49">
        <v>1964</v>
      </c>
      <c r="B8" s="31">
        <v>89</v>
      </c>
      <c r="C8" s="31">
        <v>46.1</v>
      </c>
      <c r="D8" s="31">
        <v>166.7</v>
      </c>
      <c r="E8" s="31">
        <v>25</v>
      </c>
      <c r="F8" s="30">
        <f t="shared" si="0"/>
        <v>38919.699999999997</v>
      </c>
      <c r="G8" s="31">
        <v>28.1</v>
      </c>
      <c r="H8" s="31">
        <v>60.8</v>
      </c>
      <c r="I8" s="31">
        <v>85.2</v>
      </c>
      <c r="K8" s="30">
        <v>38919700000</v>
      </c>
    </row>
    <row r="9" spans="1:11" hidden="1" outlineLevel="1">
      <c r="A9" s="66">
        <v>1965</v>
      </c>
      <c r="B9" s="31">
        <v>89.5</v>
      </c>
      <c r="C9" s="31">
        <v>48</v>
      </c>
      <c r="D9" s="31">
        <v>163.30000000000001</v>
      </c>
      <c r="E9" s="31">
        <v>26.7</v>
      </c>
      <c r="F9" s="30">
        <f t="shared" si="0"/>
        <v>42905.4</v>
      </c>
      <c r="G9" s="31">
        <v>29.8</v>
      </c>
      <c r="H9" s="31">
        <v>62.2</v>
      </c>
      <c r="I9" s="31">
        <v>86.2</v>
      </c>
      <c r="K9" s="30">
        <v>42905400000</v>
      </c>
    </row>
    <row r="10" spans="1:11" hidden="1" outlineLevel="1">
      <c r="A10" s="49">
        <v>1966</v>
      </c>
      <c r="B10" s="31">
        <v>89.2</v>
      </c>
      <c r="C10" s="31">
        <v>49.2</v>
      </c>
      <c r="D10" s="31">
        <v>157.69999999999999</v>
      </c>
      <c r="E10" s="31">
        <v>28.5</v>
      </c>
      <c r="F10" s="30">
        <f t="shared" si="0"/>
        <v>47856.800000000003</v>
      </c>
      <c r="G10" s="31">
        <v>32</v>
      </c>
      <c r="H10" s="31">
        <v>63.7</v>
      </c>
      <c r="I10" s="31">
        <v>86.6</v>
      </c>
      <c r="K10" s="30">
        <v>47856800000</v>
      </c>
    </row>
    <row r="11" spans="1:11" hidden="1" outlineLevel="1">
      <c r="A11" s="49">
        <v>1967</v>
      </c>
      <c r="B11" s="31">
        <v>87.6</v>
      </c>
      <c r="C11" s="31">
        <v>49.6</v>
      </c>
      <c r="D11" s="31">
        <v>150</v>
      </c>
      <c r="E11" s="31">
        <v>29.1</v>
      </c>
      <c r="F11" s="30">
        <f t="shared" si="0"/>
        <v>50513.1</v>
      </c>
      <c r="G11" s="31">
        <v>33.200000000000003</v>
      </c>
      <c r="H11" s="31">
        <v>65.099999999999994</v>
      </c>
      <c r="I11" s="31">
        <v>87</v>
      </c>
      <c r="K11" s="30">
        <v>50513100000</v>
      </c>
    </row>
    <row r="12" spans="1:11" hidden="1" outlineLevel="1">
      <c r="A12" s="49">
        <v>1968</v>
      </c>
      <c r="B12" s="31">
        <v>90.6</v>
      </c>
      <c r="C12" s="31">
        <v>52.7</v>
      </c>
      <c r="D12" s="31">
        <v>151</v>
      </c>
      <c r="E12" s="31">
        <v>30.7</v>
      </c>
      <c r="F12" s="30">
        <f t="shared" si="0"/>
        <v>54873.7</v>
      </c>
      <c r="G12" s="31">
        <v>33.9</v>
      </c>
      <c r="H12" s="31">
        <v>66.400000000000006</v>
      </c>
      <c r="I12" s="31">
        <v>87.6</v>
      </c>
      <c r="K12" s="30">
        <v>54873700000</v>
      </c>
    </row>
    <row r="13" spans="1:11" hidden="1" outlineLevel="1">
      <c r="A13" s="66">
        <v>1969</v>
      </c>
      <c r="B13" s="31">
        <v>91.8</v>
      </c>
      <c r="C13" s="31">
        <v>54.4</v>
      </c>
      <c r="D13" s="31">
        <v>149.19999999999999</v>
      </c>
      <c r="E13" s="31">
        <v>32.299999999999997</v>
      </c>
      <c r="F13" s="30">
        <f t="shared" si="0"/>
        <v>59736.1</v>
      </c>
      <c r="G13" s="31">
        <v>35.200000000000003</v>
      </c>
      <c r="H13" s="31">
        <v>67.5</v>
      </c>
      <c r="I13" s="31">
        <v>87.9</v>
      </c>
      <c r="K13" s="30">
        <v>59736100000</v>
      </c>
    </row>
    <row r="14" spans="1:11" hidden="1" outlineLevel="1">
      <c r="A14" s="49">
        <v>1970</v>
      </c>
      <c r="B14" s="31">
        <v>92.4</v>
      </c>
      <c r="C14" s="31">
        <v>56.3</v>
      </c>
      <c r="D14" s="31">
        <v>145.30000000000001</v>
      </c>
      <c r="E14" s="31">
        <v>33.200000000000003</v>
      </c>
      <c r="F14" s="30">
        <f t="shared" si="0"/>
        <v>63663.3</v>
      </c>
      <c r="G14" s="31">
        <v>36</v>
      </c>
      <c r="H14" s="31">
        <v>69</v>
      </c>
      <c r="I14" s="31">
        <v>88.3</v>
      </c>
      <c r="K14" s="30">
        <v>63663300000</v>
      </c>
    </row>
    <row r="15" spans="1:11" hidden="1" outlineLevel="1">
      <c r="A15" s="49">
        <v>1971</v>
      </c>
      <c r="B15" s="31">
        <v>92.9</v>
      </c>
      <c r="C15" s="31">
        <v>57.6</v>
      </c>
      <c r="D15" s="31">
        <v>143.69999999999999</v>
      </c>
      <c r="E15" s="31">
        <v>34.5</v>
      </c>
      <c r="F15" s="30">
        <f t="shared" si="0"/>
        <v>69228.3</v>
      </c>
      <c r="G15" s="31">
        <v>37.1</v>
      </c>
      <c r="H15" s="31">
        <v>69.900000000000006</v>
      </c>
      <c r="I15" s="31">
        <v>88.7</v>
      </c>
      <c r="K15" s="30">
        <v>69228300000</v>
      </c>
    </row>
    <row r="16" spans="1:11" hidden="1" outlineLevel="1">
      <c r="A16" s="49">
        <v>1972</v>
      </c>
      <c r="B16" s="31">
        <v>94.6</v>
      </c>
      <c r="C16" s="31">
        <v>60.1</v>
      </c>
      <c r="D16" s="31">
        <v>143.30000000000001</v>
      </c>
      <c r="E16" s="31">
        <v>36.6</v>
      </c>
      <c r="F16" s="30">
        <f t="shared" si="0"/>
        <v>77140.800000000003</v>
      </c>
      <c r="G16" s="31">
        <v>38.700000000000003</v>
      </c>
      <c r="H16" s="31">
        <v>71</v>
      </c>
      <c r="I16" s="31">
        <v>89.4</v>
      </c>
      <c r="K16" s="30">
        <v>77140800000</v>
      </c>
    </row>
    <row r="17" spans="1:11" collapsed="1">
      <c r="A17" s="66">
        <v>1973</v>
      </c>
      <c r="B17" s="31">
        <v>95.3</v>
      </c>
      <c r="C17" s="31">
        <v>61.7</v>
      </c>
      <c r="D17" s="31">
        <v>142.1</v>
      </c>
      <c r="E17" s="31">
        <v>39.4</v>
      </c>
      <c r="F17" s="30">
        <f t="shared" si="0"/>
        <v>91985.7</v>
      </c>
      <c r="G17" s="31">
        <v>41.4</v>
      </c>
      <c r="H17" s="31">
        <v>72</v>
      </c>
      <c r="I17" s="31">
        <v>89.9</v>
      </c>
      <c r="K17" s="30">
        <v>91985700000</v>
      </c>
    </row>
    <row r="18" spans="1:11" hidden="1" outlineLevel="1">
      <c r="A18" s="49">
        <v>1974</v>
      </c>
      <c r="B18" s="31">
        <v>93.8</v>
      </c>
      <c r="C18" s="31">
        <v>62</v>
      </c>
      <c r="D18" s="31">
        <v>136.30000000000001</v>
      </c>
      <c r="E18" s="31">
        <v>40.799999999999997</v>
      </c>
      <c r="F18" s="30">
        <f t="shared" si="0"/>
        <v>110278.9</v>
      </c>
      <c r="G18" s="31">
        <v>43.5</v>
      </c>
      <c r="H18" s="31">
        <v>73.3</v>
      </c>
      <c r="I18" s="31">
        <v>90.2</v>
      </c>
      <c r="K18" s="30">
        <v>110278900000</v>
      </c>
    </row>
    <row r="19" spans="1:11" hidden="1" outlineLevel="1">
      <c r="A19" s="49">
        <v>1975</v>
      </c>
      <c r="B19" s="31">
        <v>92.5</v>
      </c>
      <c r="C19" s="31">
        <v>63</v>
      </c>
      <c r="D19" s="31">
        <v>128.80000000000001</v>
      </c>
      <c r="E19" s="31">
        <v>41.3</v>
      </c>
      <c r="F19" s="30">
        <f t="shared" si="0"/>
        <v>125236.3</v>
      </c>
      <c r="G19" s="31">
        <v>44.6</v>
      </c>
      <c r="H19" s="31">
        <v>75.400000000000006</v>
      </c>
      <c r="I19" s="31">
        <v>90.3</v>
      </c>
      <c r="K19" s="30">
        <v>125236300000</v>
      </c>
    </row>
    <row r="20" spans="1:11" hidden="1" outlineLevel="1">
      <c r="A20" s="49">
        <v>1976</v>
      </c>
      <c r="B20" s="31">
        <v>96.2</v>
      </c>
      <c r="C20" s="31">
        <v>67.400000000000006</v>
      </c>
      <c r="D20" s="31">
        <v>128.69999999999999</v>
      </c>
      <c r="E20" s="31">
        <v>44</v>
      </c>
      <c r="F20" s="30">
        <f t="shared" si="0"/>
        <v>142441.5</v>
      </c>
      <c r="G20" s="31">
        <v>45.7</v>
      </c>
      <c r="H20" s="31">
        <v>77.400000000000006</v>
      </c>
      <c r="I20" s="31">
        <v>90.5</v>
      </c>
      <c r="K20" s="30">
        <v>142441500000</v>
      </c>
    </row>
    <row r="21" spans="1:11" hidden="1" outlineLevel="1">
      <c r="A21" s="66">
        <v>1977</v>
      </c>
      <c r="B21" s="31">
        <v>97.6</v>
      </c>
      <c r="C21" s="31">
        <v>69.900000000000006</v>
      </c>
      <c r="D21" s="31">
        <v>127.3</v>
      </c>
      <c r="E21" s="31">
        <v>45.8</v>
      </c>
      <c r="F21" s="30">
        <f t="shared" si="0"/>
        <v>156374.29999999999</v>
      </c>
      <c r="G21" s="31">
        <v>46.9</v>
      </c>
      <c r="H21" s="31">
        <v>78.8</v>
      </c>
      <c r="I21" s="31">
        <v>90.9</v>
      </c>
      <c r="K21" s="30">
        <v>156374300000</v>
      </c>
    </row>
    <row r="22" spans="1:11" hidden="1" outlineLevel="1">
      <c r="A22" s="49">
        <v>1978</v>
      </c>
      <c r="B22" s="31">
        <v>97.5</v>
      </c>
      <c r="C22" s="31">
        <v>70.5</v>
      </c>
      <c r="D22" s="31">
        <v>126.3</v>
      </c>
      <c r="E22" s="31">
        <v>47.9</v>
      </c>
      <c r="F22" s="30">
        <f t="shared" si="0"/>
        <v>174222.7</v>
      </c>
      <c r="G22" s="31">
        <v>49.1</v>
      </c>
      <c r="H22" s="31">
        <v>79.3</v>
      </c>
      <c r="I22" s="31">
        <v>91.1</v>
      </c>
      <c r="K22" s="30">
        <v>174222700000</v>
      </c>
    </row>
    <row r="23" spans="1:11" hidden="1" outlineLevel="1">
      <c r="A23" s="49">
        <v>1979</v>
      </c>
      <c r="B23" s="31">
        <v>96</v>
      </c>
      <c r="C23" s="31">
        <v>69.7</v>
      </c>
      <c r="D23" s="31">
        <v>123.9</v>
      </c>
      <c r="E23" s="31">
        <v>50</v>
      </c>
      <c r="F23" s="30">
        <f t="shared" si="0"/>
        <v>202374.3</v>
      </c>
      <c r="G23" s="31">
        <v>52.1</v>
      </c>
      <c r="H23" s="31">
        <v>79.599999999999994</v>
      </c>
      <c r="I23" s="31">
        <v>91.3</v>
      </c>
      <c r="K23" s="30">
        <v>202374300000</v>
      </c>
    </row>
    <row r="24" spans="1:11" hidden="1" outlineLevel="1">
      <c r="A24" s="49">
        <v>1980</v>
      </c>
      <c r="B24" s="31">
        <v>93.8</v>
      </c>
      <c r="C24" s="31">
        <v>69.7</v>
      </c>
      <c r="D24" s="31">
        <v>118.3</v>
      </c>
      <c r="E24" s="31">
        <v>51.2</v>
      </c>
      <c r="F24" s="30">
        <f t="shared" si="0"/>
        <v>229918.2</v>
      </c>
      <c r="G24" s="31">
        <v>54.6</v>
      </c>
      <c r="H24" s="31">
        <v>81.099999999999994</v>
      </c>
      <c r="I24" s="31">
        <v>91.7</v>
      </c>
      <c r="K24" s="30">
        <v>229918200000</v>
      </c>
    </row>
    <row r="25" spans="1:11" collapsed="1">
      <c r="A25" s="66">
        <v>1981</v>
      </c>
      <c r="B25" s="31">
        <v>93.4</v>
      </c>
      <c r="C25" s="31">
        <v>71</v>
      </c>
      <c r="D25" s="31">
        <v>114.8</v>
      </c>
      <c r="E25" s="31">
        <v>53.4</v>
      </c>
      <c r="F25" s="30">
        <f t="shared" si="0"/>
        <v>257890.9</v>
      </c>
      <c r="G25" s="31">
        <v>57.1</v>
      </c>
      <c r="H25" s="31">
        <v>82.7</v>
      </c>
      <c r="I25" s="31">
        <v>92</v>
      </c>
      <c r="K25" s="30">
        <v>257890900000</v>
      </c>
    </row>
    <row r="26" spans="1:11">
      <c r="A26" s="49">
        <v>1982</v>
      </c>
      <c r="B26" s="31">
        <v>91.7</v>
      </c>
      <c r="C26" s="31">
        <v>72.5</v>
      </c>
      <c r="D26" s="31">
        <v>107.8</v>
      </c>
      <c r="E26" s="31">
        <v>51.3</v>
      </c>
      <c r="F26" s="30">
        <f t="shared" si="0"/>
        <v>265537.09999999998</v>
      </c>
      <c r="G26" s="31">
        <v>55.9</v>
      </c>
      <c r="H26" s="31">
        <v>85.5</v>
      </c>
      <c r="I26" s="31">
        <v>92.5</v>
      </c>
      <c r="K26" s="30">
        <v>265537100000</v>
      </c>
    </row>
    <row r="27" spans="1:11">
      <c r="A27" s="49">
        <v>1983</v>
      </c>
      <c r="B27" s="31">
        <v>93</v>
      </c>
      <c r="C27" s="31">
        <v>74.599999999999994</v>
      </c>
      <c r="D27" s="31">
        <v>108.1</v>
      </c>
      <c r="E27" s="31">
        <v>52.7</v>
      </c>
      <c r="F27" s="30">
        <f t="shared" si="0"/>
        <v>289501.90000000002</v>
      </c>
      <c r="G27" s="31">
        <v>56.7</v>
      </c>
      <c r="H27" s="31">
        <v>86.4</v>
      </c>
      <c r="I27" s="31">
        <v>92.9</v>
      </c>
      <c r="K27" s="30">
        <v>289501900000</v>
      </c>
    </row>
    <row r="28" spans="1:11">
      <c r="A28" s="49">
        <v>1984</v>
      </c>
      <c r="B28" s="31">
        <v>96.1</v>
      </c>
      <c r="C28" s="31">
        <v>77.3</v>
      </c>
      <c r="D28" s="31">
        <v>112.1</v>
      </c>
      <c r="E28" s="31">
        <v>56.4</v>
      </c>
      <c r="F28" s="30">
        <f t="shared" si="0"/>
        <v>319108.8</v>
      </c>
      <c r="G28" s="31">
        <v>58.7</v>
      </c>
      <c r="H28" s="31">
        <v>86.3</v>
      </c>
      <c r="I28" s="31">
        <v>93.1</v>
      </c>
      <c r="K28" s="30">
        <v>319108800000</v>
      </c>
    </row>
    <row r="29" spans="1:11">
      <c r="A29" s="66">
        <v>1985</v>
      </c>
      <c r="B29" s="31">
        <v>97.4</v>
      </c>
      <c r="C29" s="31">
        <v>78.2</v>
      </c>
      <c r="D29" s="31">
        <v>113.7</v>
      </c>
      <c r="E29" s="31">
        <v>59.4</v>
      </c>
      <c r="F29" s="30">
        <f t="shared" si="0"/>
        <v>345714.7</v>
      </c>
      <c r="G29" s="31">
        <v>61</v>
      </c>
      <c r="H29" s="31">
        <v>86.2</v>
      </c>
      <c r="I29" s="31">
        <v>93.1</v>
      </c>
      <c r="K29" s="30">
        <v>345714700000</v>
      </c>
    </row>
    <row r="30" spans="1:11">
      <c r="A30" s="49">
        <v>1986</v>
      </c>
      <c r="B30" s="31">
        <v>95.9</v>
      </c>
      <c r="C30" s="31">
        <v>77.7</v>
      </c>
      <c r="D30" s="31">
        <v>112.3</v>
      </c>
      <c r="E30" s="31">
        <v>60.9</v>
      </c>
      <c r="F30" s="30">
        <f t="shared" si="0"/>
        <v>359563.5</v>
      </c>
      <c r="G30" s="31">
        <v>63.5</v>
      </c>
      <c r="H30" s="31">
        <v>86.4</v>
      </c>
      <c r="I30" s="31">
        <v>93.7</v>
      </c>
      <c r="K30" s="30">
        <v>359563500000</v>
      </c>
    </row>
    <row r="31" spans="1:11">
      <c r="A31" s="49">
        <v>1987</v>
      </c>
      <c r="B31" s="31">
        <v>95.7</v>
      </c>
      <c r="C31" s="31">
        <v>78.099999999999994</v>
      </c>
      <c r="D31" s="31">
        <v>111.7</v>
      </c>
      <c r="E31" s="31">
        <v>63.9</v>
      </c>
      <c r="F31" s="30">
        <f t="shared" si="0"/>
        <v>392699.3</v>
      </c>
      <c r="G31" s="31">
        <v>66.8</v>
      </c>
      <c r="H31" s="31">
        <v>86.8</v>
      </c>
      <c r="I31" s="31">
        <v>94</v>
      </c>
      <c r="K31" s="30">
        <v>392699300000</v>
      </c>
    </row>
    <row r="32" spans="1:11">
      <c r="A32" s="49">
        <v>1988</v>
      </c>
      <c r="B32" s="31">
        <v>95.8</v>
      </c>
      <c r="C32" s="31">
        <v>79.2</v>
      </c>
      <c r="D32" s="31">
        <v>111.2</v>
      </c>
      <c r="E32" s="31">
        <v>67.2</v>
      </c>
      <c r="F32" s="30">
        <f t="shared" si="0"/>
        <v>430970.6</v>
      </c>
      <c r="G32" s="31">
        <v>70.099999999999994</v>
      </c>
      <c r="H32" s="31">
        <v>87.5</v>
      </c>
      <c r="I32" s="31">
        <v>94.5</v>
      </c>
      <c r="K32" s="30">
        <v>430970600000</v>
      </c>
    </row>
    <row r="33" spans="1:11">
      <c r="A33" s="66">
        <v>1989</v>
      </c>
      <c r="B33" s="31">
        <v>94.7</v>
      </c>
      <c r="C33" s="31">
        <v>79.599999999999994</v>
      </c>
      <c r="D33" s="31">
        <v>108</v>
      </c>
      <c r="E33" s="31">
        <v>69</v>
      </c>
      <c r="F33" s="30">
        <f t="shared" si="0"/>
        <v>457351.9</v>
      </c>
      <c r="G33" s="31">
        <v>72.8</v>
      </c>
      <c r="H33" s="31">
        <v>88.6</v>
      </c>
      <c r="I33" s="31">
        <v>94.8</v>
      </c>
      <c r="K33" s="30">
        <v>457351900000</v>
      </c>
    </row>
    <row r="34" spans="1:11">
      <c r="A34" s="49">
        <v>1990</v>
      </c>
      <c r="B34" s="31">
        <v>93</v>
      </c>
      <c r="C34" s="31">
        <v>79.7</v>
      </c>
      <c r="D34" s="31">
        <v>104</v>
      </c>
      <c r="E34" s="31">
        <v>68.7</v>
      </c>
      <c r="F34" s="30">
        <f t="shared" si="0"/>
        <v>466915.7</v>
      </c>
      <c r="G34" s="31">
        <v>73.8</v>
      </c>
      <c r="H34" s="31">
        <v>90</v>
      </c>
      <c r="I34" s="31">
        <v>95.2</v>
      </c>
      <c r="K34" s="30">
        <v>466915700000</v>
      </c>
    </row>
    <row r="35" spans="1:11">
      <c r="A35" s="49">
        <v>1991</v>
      </c>
      <c r="B35" s="31">
        <v>90.5</v>
      </c>
      <c r="C35" s="31">
        <v>79.7</v>
      </c>
      <c r="D35" s="31">
        <v>98</v>
      </c>
      <c r="E35" s="31">
        <v>65.900000000000006</v>
      </c>
      <c r="F35" s="30">
        <f t="shared" si="0"/>
        <v>459394.4</v>
      </c>
      <c r="G35" s="31">
        <v>72.8</v>
      </c>
      <c r="H35" s="31">
        <v>92</v>
      </c>
      <c r="I35" s="31">
        <v>95.7</v>
      </c>
      <c r="K35" s="30">
        <v>459394400000</v>
      </c>
    </row>
    <row r="36" spans="1:11">
      <c r="A36" s="49">
        <v>1992</v>
      </c>
      <c r="B36" s="31">
        <v>91</v>
      </c>
      <c r="C36" s="31">
        <v>81.5</v>
      </c>
      <c r="D36" s="31">
        <v>96.8</v>
      </c>
      <c r="E36" s="31">
        <v>66.3</v>
      </c>
      <c r="F36" s="30">
        <f t="shared" si="0"/>
        <v>462743.7</v>
      </c>
      <c r="G36" s="31">
        <v>72.8</v>
      </c>
      <c r="H36" s="31">
        <v>93.2</v>
      </c>
      <c r="I36" s="31">
        <v>96.1</v>
      </c>
      <c r="K36" s="30">
        <v>462743700000</v>
      </c>
    </row>
    <row r="37" spans="1:11">
      <c r="A37" s="66">
        <v>1993</v>
      </c>
      <c r="B37" s="31">
        <v>91.9</v>
      </c>
      <c r="C37" s="31">
        <v>83</v>
      </c>
      <c r="D37" s="31">
        <v>98.1</v>
      </c>
      <c r="E37" s="31">
        <v>68.2</v>
      </c>
      <c r="F37" s="30">
        <f t="shared" si="0"/>
        <v>481032.6</v>
      </c>
      <c r="G37" s="31">
        <v>74.2</v>
      </c>
      <c r="H37" s="31">
        <v>93.3</v>
      </c>
      <c r="I37" s="31">
        <v>96.7</v>
      </c>
      <c r="K37" s="30">
        <v>481032600000</v>
      </c>
    </row>
    <row r="38" spans="1:11">
      <c r="A38" s="49">
        <v>1994</v>
      </c>
      <c r="B38" s="31">
        <v>94.2</v>
      </c>
      <c r="C38" s="31">
        <v>85.2</v>
      </c>
      <c r="D38" s="31">
        <v>101</v>
      </c>
      <c r="E38" s="31">
        <v>72.400000000000006</v>
      </c>
      <c r="F38" s="30">
        <f t="shared" si="0"/>
        <v>517685.2</v>
      </c>
      <c r="G38" s="31">
        <v>76.900000000000006</v>
      </c>
      <c r="H38" s="31">
        <v>93.3</v>
      </c>
      <c r="I38" s="31">
        <v>97.1</v>
      </c>
      <c r="K38" s="30">
        <v>517685200000</v>
      </c>
    </row>
    <row r="39" spans="1:11">
      <c r="A39" s="49">
        <v>1995</v>
      </c>
      <c r="B39" s="31">
        <v>94.3</v>
      </c>
      <c r="C39" s="31">
        <v>86.3</v>
      </c>
      <c r="D39" s="31">
        <v>100.7</v>
      </c>
      <c r="E39" s="31">
        <v>74.8</v>
      </c>
      <c r="F39" s="30">
        <f t="shared" si="0"/>
        <v>549691.6</v>
      </c>
      <c r="G39" s="31">
        <v>79.3</v>
      </c>
      <c r="H39" s="31">
        <v>93.9</v>
      </c>
      <c r="I39" s="31">
        <v>97.5</v>
      </c>
      <c r="K39" s="30">
        <v>549691600000</v>
      </c>
    </row>
    <row r="40" spans="1:11">
      <c r="A40" s="49">
        <v>1996</v>
      </c>
      <c r="B40" s="31">
        <v>93.5</v>
      </c>
      <c r="C40" s="31">
        <v>86</v>
      </c>
      <c r="D40" s="31">
        <v>99.3</v>
      </c>
      <c r="E40" s="31">
        <v>76.5</v>
      </c>
      <c r="F40" s="30">
        <f t="shared" si="0"/>
        <v>573974.30000000005</v>
      </c>
      <c r="G40" s="31">
        <v>81.900000000000006</v>
      </c>
      <c r="H40" s="31">
        <v>94.2</v>
      </c>
      <c r="I40" s="31">
        <v>97.7</v>
      </c>
      <c r="K40" s="30">
        <v>573974300000</v>
      </c>
    </row>
    <row r="41" spans="1:11">
      <c r="A41" s="66">
        <v>1997</v>
      </c>
      <c r="B41" s="31">
        <v>94.5</v>
      </c>
      <c r="C41" s="31">
        <v>88.6</v>
      </c>
      <c r="D41" s="31">
        <v>99</v>
      </c>
      <c r="E41" s="31">
        <v>80.8</v>
      </c>
      <c r="F41" s="30">
        <f t="shared" si="0"/>
        <v>612117.80000000005</v>
      </c>
      <c r="G41" s="31">
        <v>85.4</v>
      </c>
      <c r="H41" s="31">
        <v>95.5</v>
      </c>
      <c r="I41" s="31">
        <v>98.1</v>
      </c>
      <c r="K41" s="30">
        <v>612117800000</v>
      </c>
    </row>
    <row r="42" spans="1:11">
      <c r="A42" s="49">
        <v>1998</v>
      </c>
      <c r="B42" s="31">
        <v>95.3</v>
      </c>
      <c r="C42" s="31">
        <v>90.4</v>
      </c>
      <c r="D42" s="31">
        <v>98.6</v>
      </c>
      <c r="E42" s="31">
        <v>84.6</v>
      </c>
      <c r="F42" s="30">
        <f t="shared" si="0"/>
        <v>636758.4</v>
      </c>
      <c r="G42" s="31">
        <v>88.8</v>
      </c>
      <c r="H42" s="31">
        <v>96.5</v>
      </c>
      <c r="I42" s="31">
        <v>98.4</v>
      </c>
      <c r="K42" s="30">
        <v>636758400000</v>
      </c>
    </row>
    <row r="43" spans="1:11">
      <c r="A43" s="49">
        <v>1999</v>
      </c>
      <c r="B43" s="31">
        <v>97.3</v>
      </c>
      <c r="C43" s="31">
        <v>93.7</v>
      </c>
      <c r="D43" s="31">
        <v>99.3</v>
      </c>
      <c r="E43" s="31">
        <v>90.2</v>
      </c>
      <c r="F43" s="30">
        <f t="shared" si="0"/>
        <v>691740</v>
      </c>
      <c r="G43" s="31">
        <v>92.7</v>
      </c>
      <c r="H43" s="31">
        <v>97.6</v>
      </c>
      <c r="I43" s="31">
        <v>98.6</v>
      </c>
      <c r="K43" s="30">
        <v>691740000000</v>
      </c>
    </row>
    <row r="44" spans="1:11">
      <c r="A44" s="49">
        <v>2000</v>
      </c>
      <c r="B44" s="31">
        <v>99.6</v>
      </c>
      <c r="C44" s="31">
        <v>97.3</v>
      </c>
      <c r="D44" s="31">
        <v>100.9</v>
      </c>
      <c r="E44" s="31">
        <v>95.9</v>
      </c>
      <c r="F44" s="30">
        <f t="shared" si="0"/>
        <v>769770.2</v>
      </c>
      <c r="G44" s="31">
        <v>96.4</v>
      </c>
      <c r="H44" s="31">
        <v>98.5</v>
      </c>
      <c r="I44" s="31">
        <v>99.3</v>
      </c>
      <c r="K44" s="30">
        <v>769770200000</v>
      </c>
    </row>
    <row r="45" spans="1:11">
      <c r="A45" s="66">
        <v>2001</v>
      </c>
      <c r="B45" s="31">
        <v>99.2</v>
      </c>
      <c r="C45" s="31">
        <v>98.5</v>
      </c>
      <c r="D45" s="31">
        <v>99.8</v>
      </c>
      <c r="E45" s="31">
        <v>97.4</v>
      </c>
      <c r="F45" s="30">
        <f t="shared" si="0"/>
        <v>792599.8</v>
      </c>
      <c r="G45" s="31">
        <v>98.1</v>
      </c>
      <c r="H45" s="31">
        <v>99.5</v>
      </c>
      <c r="I45" s="31">
        <v>99.8</v>
      </c>
      <c r="K45" s="30">
        <v>792599800000</v>
      </c>
    </row>
    <row r="46" spans="1:11">
      <c r="A46" s="49">
        <v>2002</v>
      </c>
      <c r="B46" s="31">
        <v>100</v>
      </c>
      <c r="C46" s="31">
        <v>100</v>
      </c>
      <c r="D46" s="31">
        <v>100</v>
      </c>
      <c r="E46" s="31">
        <v>100</v>
      </c>
      <c r="F46" s="30">
        <f t="shared" si="0"/>
        <v>815694.7</v>
      </c>
      <c r="G46" s="31">
        <v>100</v>
      </c>
      <c r="H46" s="31">
        <v>100</v>
      </c>
      <c r="I46" s="31">
        <v>100</v>
      </c>
      <c r="K46" s="30">
        <v>815694700000</v>
      </c>
    </row>
    <row r="47" spans="1:11">
      <c r="A47" s="49">
        <v>2003</v>
      </c>
      <c r="B47" s="31">
        <v>99.5</v>
      </c>
      <c r="C47" s="31">
        <v>100.6</v>
      </c>
      <c r="D47" s="31">
        <v>98.8</v>
      </c>
      <c r="E47" s="31">
        <v>101.9</v>
      </c>
      <c r="F47" s="30">
        <f t="shared" si="0"/>
        <v>861696.5</v>
      </c>
      <c r="G47" s="31">
        <v>102.4</v>
      </c>
      <c r="H47" s="31">
        <v>100.8</v>
      </c>
      <c r="I47" s="31">
        <v>100.3</v>
      </c>
      <c r="K47" s="30">
        <v>861696500000</v>
      </c>
    </row>
    <row r="48" spans="1:11">
      <c r="A48" s="49">
        <v>2004</v>
      </c>
      <c r="B48" s="31">
        <v>99.2</v>
      </c>
      <c r="C48" s="31">
        <v>101</v>
      </c>
      <c r="D48" s="31">
        <v>98</v>
      </c>
      <c r="E48" s="31">
        <v>105.4</v>
      </c>
      <c r="F48" s="30">
        <f t="shared" si="0"/>
        <v>923642.6</v>
      </c>
      <c r="G48" s="31">
        <v>106.2</v>
      </c>
      <c r="H48" s="31">
        <v>101.3</v>
      </c>
      <c r="I48" s="31">
        <v>100.5</v>
      </c>
      <c r="K48" s="30">
        <v>923642600000</v>
      </c>
    </row>
    <row r="49" spans="1:11">
      <c r="A49" s="66">
        <v>2005</v>
      </c>
      <c r="B49" s="31">
        <v>99.5</v>
      </c>
      <c r="C49" s="31">
        <v>103.7</v>
      </c>
      <c r="D49" s="31">
        <v>96.3</v>
      </c>
      <c r="E49" s="31">
        <v>108.8</v>
      </c>
      <c r="F49" s="30">
        <f t="shared" si="0"/>
        <v>988439.9</v>
      </c>
      <c r="G49" s="31">
        <v>109.4</v>
      </c>
      <c r="H49" s="31">
        <v>103.3</v>
      </c>
      <c r="I49" s="31">
        <v>101</v>
      </c>
      <c r="K49" s="135">
        <v>988439900000</v>
      </c>
    </row>
    <row r="50" spans="1:11">
      <c r="A50" s="49">
        <v>2006</v>
      </c>
      <c r="B50" s="31">
        <v>98.8</v>
      </c>
      <c r="C50" s="31">
        <v>105</v>
      </c>
      <c r="D50" s="31">
        <v>93.7</v>
      </c>
      <c r="E50" s="31">
        <v>111.7</v>
      </c>
      <c r="F50" s="30">
        <f t="shared" si="0"/>
        <v>1043462</v>
      </c>
      <c r="G50" s="31">
        <v>113.1</v>
      </c>
      <c r="H50" s="31">
        <v>105.1</v>
      </c>
      <c r="I50" s="31">
        <v>101.2</v>
      </c>
      <c r="K50" s="135">
        <v>1043462000000</v>
      </c>
    </row>
    <row r="51" spans="1:11">
      <c r="A51" s="49">
        <v>2007</v>
      </c>
      <c r="B51" s="31">
        <v>97.6</v>
      </c>
      <c r="C51" s="31">
        <v>104.9</v>
      </c>
      <c r="D51" s="31">
        <v>91.6</v>
      </c>
      <c r="E51" s="31">
        <v>114</v>
      </c>
      <c r="F51" s="30">
        <f t="shared" si="0"/>
        <v>1100575.7</v>
      </c>
      <c r="G51" s="31">
        <v>116.8</v>
      </c>
      <c r="H51" s="31">
        <v>106.1</v>
      </c>
      <c r="I51" s="31">
        <v>101.4</v>
      </c>
      <c r="K51" s="135">
        <v>1100575700000</v>
      </c>
    </row>
    <row r="52" spans="1:11">
      <c r="A52" s="49">
        <v>2008</v>
      </c>
      <c r="B52" s="31">
        <v>95.5</v>
      </c>
      <c r="C52" s="31">
        <v>104.4</v>
      </c>
      <c r="D52" s="31">
        <v>88.1</v>
      </c>
      <c r="E52" s="31">
        <v>114</v>
      </c>
      <c r="F52" s="30">
        <f t="shared" si="0"/>
        <v>1156749.6000000001</v>
      </c>
      <c r="G52" s="31">
        <v>119.4</v>
      </c>
      <c r="H52" s="31">
        <v>107.6</v>
      </c>
      <c r="I52" s="31">
        <v>101.6</v>
      </c>
      <c r="K52" s="135">
        <v>1156749600000</v>
      </c>
    </row>
    <row r="53" spans="1:11">
      <c r="A53" s="49">
        <v>2009</v>
      </c>
      <c r="B53" s="31">
        <v>93.1</v>
      </c>
      <c r="C53" s="31">
        <v>104</v>
      </c>
      <c r="D53" s="31">
        <v>84.2</v>
      </c>
      <c r="E53" s="31">
        <v>108.5</v>
      </c>
      <c r="F53" s="30" t="s">
        <v>22</v>
      </c>
      <c r="G53" s="31">
        <v>116.6</v>
      </c>
      <c r="H53" s="31">
        <v>109.7</v>
      </c>
      <c r="I53" s="31">
        <v>101.9</v>
      </c>
      <c r="K53" s="135" t="s">
        <v>22</v>
      </c>
    </row>
    <row r="54" spans="1:11">
      <c r="A54" s="49">
        <v>2010</v>
      </c>
      <c r="B54" s="31">
        <v>94.7</v>
      </c>
      <c r="C54" s="31">
        <v>105.9</v>
      </c>
      <c r="D54" s="31">
        <v>86.2</v>
      </c>
      <c r="E54" s="31">
        <v>112.6</v>
      </c>
      <c r="F54" s="135" t="s">
        <v>22</v>
      </c>
      <c r="G54" s="31">
        <v>118.9</v>
      </c>
      <c r="H54" s="31">
        <v>109.4</v>
      </c>
      <c r="I54" s="31">
        <v>102.2</v>
      </c>
      <c r="K54" s="135" t="s">
        <v>22</v>
      </c>
    </row>
    <row r="55" spans="1:11">
      <c r="A55" s="66">
        <v>2011</v>
      </c>
      <c r="B55" s="31">
        <v>94.8</v>
      </c>
      <c r="C55" s="31">
        <v>107</v>
      </c>
      <c r="D55" s="31">
        <v>85.7</v>
      </c>
      <c r="E55" s="31">
        <v>115.7</v>
      </c>
      <c r="F55" s="135" t="s">
        <v>22</v>
      </c>
      <c r="G55" s="31">
        <v>122.1</v>
      </c>
      <c r="H55" s="31">
        <v>110.1</v>
      </c>
      <c r="I55" s="31">
        <v>102.4</v>
      </c>
      <c r="K55" s="135" t="s">
        <v>22</v>
      </c>
    </row>
    <row r="57" spans="1:11">
      <c r="A57" s="66" t="s">
        <v>23</v>
      </c>
    </row>
    <row r="58" spans="1:11">
      <c r="A58" s="64" t="s">
        <v>2122</v>
      </c>
      <c r="B58" s="67">
        <f>((B55/B5)^(1/50)-1)*100</f>
        <v>0.27589936114802427</v>
      </c>
      <c r="C58" s="67">
        <f t="shared" ref="C58:I58" si="1">((C55/C5)^(1/50)-1)*100</f>
        <v>1.9620538710295454</v>
      </c>
      <c r="D58" s="67">
        <f t="shared" si="1"/>
        <v>-1.2197779373765427</v>
      </c>
      <c r="E58" s="67">
        <f t="shared" si="1"/>
        <v>3.5217464174838398</v>
      </c>
      <c r="F58" s="67" t="s">
        <v>22</v>
      </c>
      <c r="G58" s="67">
        <f t="shared" si="1"/>
        <v>3.2393543077354092</v>
      </c>
      <c r="H58" s="67">
        <f t="shared" si="1"/>
        <v>1.2555194902253541</v>
      </c>
      <c r="I58" s="67">
        <f t="shared" si="1"/>
        <v>0.41855753695179132</v>
      </c>
    </row>
    <row r="59" spans="1:11">
      <c r="A59" s="109" t="s">
        <v>1047</v>
      </c>
      <c r="B59" s="67">
        <f>((B50/B5)^(1/45)-1)*100</f>
        <v>0.39876612972880032</v>
      </c>
      <c r="C59" s="67">
        <f t="shared" ref="C59:F59" si="2">((C50/C5)^(1/45)-1)*100</f>
        <v>2.1395864260623121</v>
      </c>
      <c r="D59" s="67">
        <f t="shared" si="2"/>
        <v>-1.1585559559340264</v>
      </c>
      <c r="E59" s="67">
        <f t="shared" si="2"/>
        <v>3.8394088206828325</v>
      </c>
      <c r="F59" s="67">
        <f t="shared" si="2"/>
        <v>8.1425873184181707</v>
      </c>
      <c r="G59" s="67">
        <f t="shared" ref="G59:I59" si="3">((G50/G5)^(1/45)-1)*100</f>
        <v>3.4295623929126773</v>
      </c>
      <c r="H59" s="67">
        <f t="shared" si="3"/>
        <v>1.2913216562977503</v>
      </c>
      <c r="I59" s="67">
        <f t="shared" si="3"/>
        <v>0.43885807385166675</v>
      </c>
    </row>
    <row r="60" spans="1:11">
      <c r="A60" s="68" t="s">
        <v>1031</v>
      </c>
      <c r="B60" s="67">
        <f>((B17/B5)^(1/12)-1)*100</f>
        <v>1.1989650645164662</v>
      </c>
      <c r="C60" s="67">
        <f t="shared" ref="C60:I60" si="4">((C17/C5)^(1/12)-1)*100</f>
        <v>3.5704456751533664</v>
      </c>
      <c r="D60" s="67">
        <f t="shared" si="4"/>
        <v>-0.89563947068915795</v>
      </c>
      <c r="E60" s="67">
        <f t="shared" si="4"/>
        <v>5.595447917521823</v>
      </c>
      <c r="F60" s="67">
        <f t="shared" si="4"/>
        <v>9.5447262882159212</v>
      </c>
      <c r="G60" s="67">
        <f t="shared" si="4"/>
        <v>4.3627998102028664</v>
      </c>
      <c r="H60" s="67">
        <f t="shared" si="4"/>
        <v>1.6732502344666056</v>
      </c>
      <c r="I60" s="67">
        <f t="shared" si="4"/>
        <v>0.6575963961946707</v>
      </c>
    </row>
    <row r="61" spans="1:11">
      <c r="A61" s="68" t="s">
        <v>1032</v>
      </c>
      <c r="B61" s="67">
        <f>((B25/B17)^(1/8)-1)*100</f>
        <v>-0.25141424148957814</v>
      </c>
      <c r="C61" s="67">
        <f t="shared" ref="C61:I61" si="5">((C25/C17)^(1/8)-1)*100</f>
        <v>1.7704390418661786</v>
      </c>
      <c r="D61" s="67">
        <f t="shared" si="5"/>
        <v>-2.6315007429722259</v>
      </c>
      <c r="E61" s="67">
        <f t="shared" si="5"/>
        <v>3.8737066625313732</v>
      </c>
      <c r="F61" s="67">
        <f t="shared" si="5"/>
        <v>13.753419978456316</v>
      </c>
      <c r="G61" s="67">
        <f t="shared" si="5"/>
        <v>4.1008968093320775</v>
      </c>
      <c r="H61" s="67">
        <f t="shared" si="5"/>
        <v>1.7470032056646767</v>
      </c>
      <c r="I61" s="67">
        <f t="shared" si="5"/>
        <v>0.28904989057825237</v>
      </c>
    </row>
    <row r="62" spans="1:11">
      <c r="A62" s="69" t="s">
        <v>587</v>
      </c>
      <c r="B62" s="67">
        <f>((B51/B25)^(1/26)-1)*100</f>
        <v>0.16932067887176494</v>
      </c>
      <c r="C62" s="67">
        <f t="shared" ref="C62:I62" si="6">((C51/C25)^(1/26)-1)*100</f>
        <v>1.5125856618650735</v>
      </c>
      <c r="D62" s="67">
        <f t="shared" si="6"/>
        <v>-0.86454959766805173</v>
      </c>
      <c r="E62" s="67">
        <f t="shared" si="6"/>
        <v>2.9598332549659379</v>
      </c>
      <c r="F62" s="67" t="s">
        <v>22</v>
      </c>
      <c r="G62" s="67">
        <f t="shared" si="6"/>
        <v>2.7907666453782509</v>
      </c>
      <c r="H62" s="67">
        <f t="shared" si="6"/>
        <v>0.96292365236063659</v>
      </c>
      <c r="I62" s="67">
        <f t="shared" si="6"/>
        <v>0.37487210248174918</v>
      </c>
    </row>
    <row r="63" spans="1:11">
      <c r="A63" s="69" t="s">
        <v>669</v>
      </c>
      <c r="B63" s="67">
        <f>((B48/B25)^(1/23)-1)*100</f>
        <v>0.26228540727684102</v>
      </c>
      <c r="C63" s="67">
        <f t="shared" ref="C63:I63" si="7">((C48/C25)^(1/23)-1)*100</f>
        <v>1.5441512986899442</v>
      </c>
      <c r="D63" s="67">
        <f t="shared" si="7"/>
        <v>-0.68556963259772674</v>
      </c>
      <c r="E63" s="67">
        <f t="shared" si="7"/>
        <v>3.0004453128894104</v>
      </c>
      <c r="F63" s="67">
        <f t="shared" si="7"/>
        <v>5.703632073332443</v>
      </c>
      <c r="G63" s="67">
        <f t="shared" si="7"/>
        <v>2.734636191703288</v>
      </c>
      <c r="H63" s="67">
        <f t="shared" si="7"/>
        <v>0.88593094834696906</v>
      </c>
      <c r="I63" s="67">
        <f t="shared" si="7"/>
        <v>0.38495274463974383</v>
      </c>
    </row>
    <row r="64" spans="1:11">
      <c r="A64" s="68" t="s">
        <v>25</v>
      </c>
      <c r="B64" s="67">
        <f>((B33/B25)^(1/8)-1)*100</f>
        <v>0.17293254312231721</v>
      </c>
      <c r="C64" s="67">
        <f t="shared" ref="C64:I64" si="8">((C33/C25)^(1/8)-1)*100</f>
        <v>1.4394392691565505</v>
      </c>
      <c r="D64" s="67">
        <f t="shared" si="8"/>
        <v>-0.7603478287096066</v>
      </c>
      <c r="E64" s="67">
        <f t="shared" si="8"/>
        <v>3.255567800622905</v>
      </c>
      <c r="F64" s="67">
        <f t="shared" si="8"/>
        <v>7.4241209959417409</v>
      </c>
      <c r="G64" s="67">
        <f t="shared" si="8"/>
        <v>3.0829666873078754</v>
      </c>
      <c r="H64" s="67">
        <f t="shared" si="8"/>
        <v>0.86512394797604308</v>
      </c>
      <c r="I64" s="67">
        <f t="shared" si="8"/>
        <v>0.37546350749131374</v>
      </c>
    </row>
    <row r="65" spans="1:11">
      <c r="A65" s="69" t="s">
        <v>802</v>
      </c>
      <c r="B65" s="65">
        <f>((B50/B30)^(1/20)-1)*100</f>
        <v>0.14906911202778872</v>
      </c>
      <c r="C65" s="65">
        <f>((C50/C30)^(1/20)-1)*100</f>
        <v>1.5169155871484374</v>
      </c>
      <c r="D65" s="65">
        <f>((D50/D30)^(1/20)-1)*100</f>
        <v>-0.90129215378543792</v>
      </c>
      <c r="E65" s="65">
        <f t="shared" ref="E65:F65" si="9">((E50/E30)^(1/20)-1)*100</f>
        <v>3.0793791275164795</v>
      </c>
      <c r="F65" s="65">
        <f t="shared" si="9"/>
        <v>5.4714828561870821</v>
      </c>
      <c r="G65" s="65">
        <f>((G50/G30)^(1/20)-1)*100</f>
        <v>2.9282156529765846</v>
      </c>
      <c r="H65" s="65">
        <f>((H50/H30)^(1/20)-1)*100</f>
        <v>0.9844370234621147</v>
      </c>
      <c r="I65" s="65">
        <f>((I50/I30)^(1/20)-1)*100</f>
        <v>0.38574492601908261</v>
      </c>
      <c r="K65" s="65" t="s">
        <v>22</v>
      </c>
    </row>
    <row r="66" spans="1:11">
      <c r="A66" s="69" t="s">
        <v>2127</v>
      </c>
      <c r="B66" s="65">
        <f>((B55/B33)^(1/22)-1)*100</f>
        <v>4.7974290226848737E-3</v>
      </c>
      <c r="C66" s="65">
        <f t="shared" ref="C66:I66" si="10">((C55/C33)^(1/22)-1)*100</f>
        <v>1.3536930290682259</v>
      </c>
      <c r="D66" s="65">
        <f t="shared" si="10"/>
        <v>-1.0457589789132804</v>
      </c>
      <c r="E66" s="65">
        <f t="shared" si="10"/>
        <v>2.3773374039584461</v>
      </c>
      <c r="F66" s="65" t="s">
        <v>22</v>
      </c>
      <c r="G66" s="65">
        <f t="shared" si="10"/>
        <v>2.3784090969858784</v>
      </c>
      <c r="H66" s="65">
        <f t="shared" si="10"/>
        <v>0.99242485872994557</v>
      </c>
      <c r="I66" s="65">
        <f t="shared" si="10"/>
        <v>0.35114828311486601</v>
      </c>
      <c r="K66" s="65"/>
    </row>
    <row r="67" spans="1:11">
      <c r="A67" s="69" t="s">
        <v>1606</v>
      </c>
      <c r="B67" s="65">
        <f>((B48/B33)^(1/15)-1)*100</f>
        <v>0.30997285270217834</v>
      </c>
      <c r="C67" s="65">
        <f t="shared" ref="C67:I67" si="11">((C48/C33)^(1/15)-1)*100</f>
        <v>1.6000419042280667</v>
      </c>
      <c r="D67" s="65">
        <f t="shared" si="11"/>
        <v>-0.64566489136392846</v>
      </c>
      <c r="E67" s="65">
        <f t="shared" si="11"/>
        <v>2.8646378296947494</v>
      </c>
      <c r="F67" s="65">
        <f t="shared" si="11"/>
        <v>4.7973331906771</v>
      </c>
      <c r="G67" s="65">
        <f t="shared" si="11"/>
        <v>2.5493414646465595</v>
      </c>
      <c r="H67" s="65">
        <f t="shared" si="11"/>
        <v>0.89702977017984686</v>
      </c>
      <c r="I67" s="65">
        <f t="shared" si="11"/>
        <v>0.39001403792282563</v>
      </c>
      <c r="K67" s="65"/>
    </row>
    <row r="68" spans="1:11">
      <c r="A68" s="69" t="s">
        <v>26</v>
      </c>
      <c r="B68" s="65">
        <f>((B44/B33)^(1/11)-1)*100</f>
        <v>0.45967294593949326</v>
      </c>
      <c r="C68" s="65">
        <f t="shared" ref="C68:I68" si="12">((C44/C33)^(1/11)-1)*100</f>
        <v>1.842077978168799</v>
      </c>
      <c r="D68" s="65">
        <f t="shared" si="12"/>
        <v>-0.61628674881535339</v>
      </c>
      <c r="E68" s="65">
        <f t="shared" si="12"/>
        <v>3.0379545568195221</v>
      </c>
      <c r="F68" s="65">
        <f t="shared" si="12"/>
        <v>4.8468795896392303</v>
      </c>
      <c r="G68" s="65">
        <f t="shared" si="12"/>
        <v>2.5854974161280353</v>
      </c>
      <c r="H68" s="65">
        <f t="shared" si="12"/>
        <v>0.96760303055254404</v>
      </c>
      <c r="I68" s="65">
        <f t="shared" si="12"/>
        <v>0.42249146011696936</v>
      </c>
      <c r="K68" s="65">
        <f>((K44/K33)^(1/11)-1)*100</f>
        <v>4.8468795896392303</v>
      </c>
    </row>
    <row r="69" spans="1:11">
      <c r="A69" s="69" t="s">
        <v>27</v>
      </c>
      <c r="B69" s="65">
        <f>((B50/B44)^(1/6)-1)*100</f>
        <v>-0.13431904172815923</v>
      </c>
      <c r="C69" s="65">
        <f t="shared" ref="C69:D69" si="13">((C50/C44)^(1/6)-1)*100</f>
        <v>1.2774465358287079</v>
      </c>
      <c r="D69" s="65">
        <f t="shared" si="13"/>
        <v>-1.2262814322163584</v>
      </c>
      <c r="E69" s="65">
        <f>((E50/E44)^(1/6)-1)*100</f>
        <v>2.5744257550414096</v>
      </c>
      <c r="F69" s="65">
        <f>((F50/F44)^(1/6)-1)*100</f>
        <v>5.2008520411546799</v>
      </c>
      <c r="G69" s="65">
        <f>((G50/G44)^(1/6)-1)*100</f>
        <v>2.6985381756434723</v>
      </c>
      <c r="H69" s="65">
        <f>((H50/H44)^(1/6)-1)*100</f>
        <v>1.0867919704962148</v>
      </c>
      <c r="I69" s="65">
        <f>((I50/I44)^(1/6)-1)*100</f>
        <v>0.31638587697728759</v>
      </c>
      <c r="K69" s="65" t="s">
        <v>22</v>
      </c>
    </row>
    <row r="70" spans="1:11">
      <c r="A70" s="69" t="s">
        <v>588</v>
      </c>
      <c r="B70" s="65">
        <f>((B51/B44)^(1/7)-1)*100</f>
        <v>-0.28936155681705822</v>
      </c>
      <c r="C70" s="65">
        <f t="shared" ref="C70:I70" si="14">((C51/C44)^(1/7)-1)*100</f>
        <v>1.0802000012298141</v>
      </c>
      <c r="D70" s="65">
        <f t="shared" si="14"/>
        <v>-1.3719116918784469</v>
      </c>
      <c r="E70" s="65">
        <f t="shared" si="14"/>
        <v>2.5006468996387143</v>
      </c>
      <c r="F70" s="65" t="s">
        <v>22</v>
      </c>
      <c r="G70" s="65">
        <f t="shared" si="14"/>
        <v>2.7801864687207356</v>
      </c>
      <c r="H70" s="65">
        <f t="shared" si="14"/>
        <v>1.0674498447982961</v>
      </c>
      <c r="I70" s="65">
        <f t="shared" si="14"/>
        <v>0.29941191771130082</v>
      </c>
      <c r="K70" s="65"/>
    </row>
    <row r="71" spans="1:11">
      <c r="A71" s="69" t="s">
        <v>1782</v>
      </c>
      <c r="B71" s="65">
        <f>((B55/B44)^(1/11)-1)*100</f>
        <v>-0.44801843818768061</v>
      </c>
      <c r="C71" s="65">
        <f t="shared" ref="C71:I71" si="15">((C55/C44)^(1/11)-1)*100</f>
        <v>0.86765013605332175</v>
      </c>
      <c r="D71" s="65">
        <f t="shared" si="15"/>
        <v>-1.4733753073710831</v>
      </c>
      <c r="E71" s="65">
        <f t="shared" si="15"/>
        <v>1.7209557294172617</v>
      </c>
      <c r="F71" s="65" t="e">
        <f t="shared" si="15"/>
        <v>#VALUE!</v>
      </c>
      <c r="G71" s="65">
        <f t="shared" si="15"/>
        <v>2.1717388249654412</v>
      </c>
      <c r="H71" s="65">
        <f t="shared" si="15"/>
        <v>1.0172527890939254</v>
      </c>
      <c r="I71" s="65">
        <f t="shared" si="15"/>
        <v>0.27985579046474474</v>
      </c>
      <c r="K71" s="65"/>
    </row>
    <row r="73" spans="1:11">
      <c r="A73" s="64" t="s">
        <v>1865</v>
      </c>
    </row>
  </sheetData>
  <mergeCells count="3">
    <mergeCell ref="G3:I3"/>
    <mergeCell ref="A2:A3"/>
    <mergeCell ref="B3:E3"/>
  </mergeCells>
  <pageMargins left="0.70866141732283472" right="0.70866141732283472" top="0.74803149606299213" bottom="0.74803149606299213" header="0.31496062992125984" footer="0.31496062992125984"/>
  <pageSetup scale="70" orientation="portrait" horizontalDpi="0" verticalDpi="0" r:id="rId1"/>
</worksheet>
</file>

<file path=xl/worksheets/sheet109.xml><?xml version="1.0" encoding="utf-8"?>
<worksheet xmlns="http://schemas.openxmlformats.org/spreadsheetml/2006/main" xmlns:r="http://schemas.openxmlformats.org/officeDocument/2006/relationships">
  <sheetPr codeName="Sheet102"/>
  <dimension ref="A1:R71"/>
  <sheetViews>
    <sheetView view="pageBreakPreview" zoomScaleNormal="55" zoomScaleSheetLayoutView="100"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140625" style="64" customWidth="1"/>
    <col min="2" max="2" width="10.28515625" style="64" customWidth="1"/>
    <col min="3" max="3" width="11.5703125" style="64" customWidth="1"/>
    <col min="4" max="4" width="12.42578125" style="64" customWidth="1"/>
    <col min="5" max="5" width="10.140625" style="64" bestFit="1" customWidth="1"/>
    <col min="6" max="6" width="14.28515625" style="64" customWidth="1"/>
    <col min="7" max="7" width="10.42578125" style="64" customWidth="1"/>
    <col min="8" max="8" width="14.5703125" style="64" customWidth="1"/>
    <col min="9" max="9" width="11.28515625" style="64" customWidth="1"/>
    <col min="10" max="10" width="14.140625" style="64" customWidth="1"/>
    <col min="11" max="11" width="10.42578125" style="64" customWidth="1"/>
    <col min="12" max="12" width="9.140625" style="64"/>
    <col min="13" max="17" width="26.42578125" style="64" hidden="1" customWidth="1" outlineLevel="1"/>
    <col min="18" max="18" width="9.140625" style="64" collapsed="1"/>
    <col min="19" max="16384" width="9.140625" style="64"/>
  </cols>
  <sheetData>
    <row r="1" spans="1:17">
      <c r="A1" s="66" t="s">
        <v>1996</v>
      </c>
    </row>
    <row r="2" spans="1:17">
      <c r="A2" s="158"/>
      <c r="B2" s="101" t="s">
        <v>830</v>
      </c>
      <c r="C2" s="101" t="s">
        <v>744</v>
      </c>
      <c r="D2" s="101" t="s">
        <v>833</v>
      </c>
      <c r="E2" s="97" t="s">
        <v>846</v>
      </c>
      <c r="F2" s="97"/>
      <c r="G2" s="97"/>
      <c r="H2" s="101" t="s">
        <v>840</v>
      </c>
      <c r="I2" s="97" t="s">
        <v>850</v>
      </c>
      <c r="J2" s="97"/>
      <c r="K2" s="97"/>
      <c r="L2" s="117"/>
      <c r="M2" s="101" t="s">
        <v>744</v>
      </c>
      <c r="N2" s="101" t="s">
        <v>840</v>
      </c>
      <c r="O2" s="97" t="s">
        <v>850</v>
      </c>
      <c r="P2" s="97"/>
      <c r="Q2" s="97"/>
    </row>
    <row r="3" spans="1:17" ht="90">
      <c r="A3" s="158"/>
      <c r="B3" s="102"/>
      <c r="C3" s="102"/>
      <c r="D3" s="102"/>
      <c r="E3" s="73" t="s">
        <v>847</v>
      </c>
      <c r="F3" s="73" t="s">
        <v>848</v>
      </c>
      <c r="G3" s="73" t="s">
        <v>849</v>
      </c>
      <c r="H3" s="102"/>
      <c r="I3" s="73" t="s">
        <v>847</v>
      </c>
      <c r="J3" s="73" t="s">
        <v>848</v>
      </c>
      <c r="K3" s="73" t="s">
        <v>849</v>
      </c>
      <c r="L3" s="117"/>
      <c r="M3" s="102"/>
      <c r="N3" s="102"/>
      <c r="O3" s="73" t="s">
        <v>847</v>
      </c>
      <c r="P3" s="73" t="s">
        <v>848</v>
      </c>
      <c r="Q3" s="73" t="s">
        <v>849</v>
      </c>
    </row>
    <row r="4" spans="1:17" s="77" customFormat="1" ht="30">
      <c r="A4" s="158"/>
      <c r="B4" s="73" t="s">
        <v>831</v>
      </c>
      <c r="C4" s="73" t="s">
        <v>1001</v>
      </c>
      <c r="D4" s="97" t="s">
        <v>831</v>
      </c>
      <c r="E4" s="97"/>
      <c r="F4" s="97"/>
      <c r="G4" s="97"/>
      <c r="H4" s="97" t="s">
        <v>999</v>
      </c>
      <c r="I4" s="97"/>
      <c r="J4" s="97"/>
      <c r="K4" s="97"/>
      <c r="L4" s="117"/>
      <c r="M4" s="73" t="s">
        <v>112</v>
      </c>
      <c r="N4" s="97"/>
      <c r="O4" s="97"/>
      <c r="P4" s="97"/>
      <c r="Q4" s="97"/>
    </row>
    <row r="5" spans="1:17" hidden="1" outlineLevel="1">
      <c r="B5" s="135" t="s">
        <v>808</v>
      </c>
      <c r="C5" s="135" t="s">
        <v>809</v>
      </c>
      <c r="D5" s="135" t="s">
        <v>810</v>
      </c>
      <c r="E5" s="135" t="s">
        <v>811</v>
      </c>
      <c r="F5" s="135" t="s">
        <v>812</v>
      </c>
      <c r="G5" s="135" t="s">
        <v>813</v>
      </c>
      <c r="H5" s="135" t="s">
        <v>821</v>
      </c>
      <c r="I5" s="135" t="s">
        <v>822</v>
      </c>
      <c r="J5" s="135" t="s">
        <v>823</v>
      </c>
      <c r="K5" s="135" t="s">
        <v>824</v>
      </c>
      <c r="M5" s="135" t="s">
        <v>809</v>
      </c>
      <c r="N5" s="135" t="s">
        <v>821</v>
      </c>
      <c r="O5" s="135" t="s">
        <v>822</v>
      </c>
      <c r="P5" s="135" t="s">
        <v>823</v>
      </c>
      <c r="Q5" s="135" t="s">
        <v>824</v>
      </c>
    </row>
    <row r="6" spans="1:17" collapsed="1">
      <c r="A6" s="66">
        <v>1961</v>
      </c>
      <c r="B6" s="31">
        <v>37.299999999999997</v>
      </c>
      <c r="C6" s="30">
        <f>M6/1000000</f>
        <v>11319.8</v>
      </c>
      <c r="D6" s="31">
        <v>73.8</v>
      </c>
      <c r="E6" s="31">
        <v>100.8</v>
      </c>
      <c r="F6" s="31">
        <v>2.9</v>
      </c>
      <c r="G6" s="31">
        <v>10.7</v>
      </c>
      <c r="H6" s="30">
        <f>N6/1000000</f>
        <v>19201.3</v>
      </c>
      <c r="I6" s="30">
        <f>O6/1000000</f>
        <v>17115.3</v>
      </c>
      <c r="J6" s="30">
        <f>P6/1000000</f>
        <v>711.9</v>
      </c>
      <c r="K6" s="30">
        <f>Q6/1000000</f>
        <v>1374.1</v>
      </c>
      <c r="M6" s="30">
        <v>11319800000</v>
      </c>
      <c r="N6" s="30">
        <v>19201300000</v>
      </c>
      <c r="O6" s="30">
        <v>17115300000</v>
      </c>
      <c r="P6" s="30">
        <v>711900000</v>
      </c>
      <c r="Q6" s="30">
        <v>1374100000</v>
      </c>
    </row>
    <row r="7" spans="1:17" hidden="1" outlineLevel="1">
      <c r="A7" s="49">
        <v>1962</v>
      </c>
      <c r="B7" s="31">
        <v>38.9</v>
      </c>
      <c r="C7" s="30">
        <f t="shared" ref="C7:C56" si="0">M7/1000000</f>
        <v>11643.3</v>
      </c>
      <c r="D7" s="31">
        <v>74.900000000000006</v>
      </c>
      <c r="E7" s="31">
        <v>102.1</v>
      </c>
      <c r="F7" s="31">
        <v>4.9000000000000004</v>
      </c>
      <c r="G7" s="31">
        <v>11.3</v>
      </c>
      <c r="H7" s="30">
        <f t="shared" ref="H7:H22" si="1">N7/1000000</f>
        <v>20769.5</v>
      </c>
      <c r="I7" s="30">
        <f t="shared" ref="I7:I22" si="2">O7/1000000</f>
        <v>17853.400000000001</v>
      </c>
      <c r="J7" s="30">
        <f t="shared" ref="J7:J22" si="3">P7/1000000</f>
        <v>1447.4</v>
      </c>
      <c r="K7" s="30">
        <f t="shared" ref="K7:K22" si="4">Q7/1000000</f>
        <v>1468.6</v>
      </c>
      <c r="M7" s="30">
        <v>11643300000</v>
      </c>
      <c r="N7" s="30">
        <v>20769500000</v>
      </c>
      <c r="O7" s="30">
        <v>17853400000</v>
      </c>
      <c r="P7" s="30">
        <v>1447400000</v>
      </c>
      <c r="Q7" s="30">
        <v>1468600000</v>
      </c>
    </row>
    <row r="8" spans="1:17" hidden="1" outlineLevel="1">
      <c r="A8" s="49">
        <v>1963</v>
      </c>
      <c r="B8" s="31">
        <v>39.9</v>
      </c>
      <c r="C8" s="30">
        <f t="shared" si="0"/>
        <v>11783.6</v>
      </c>
      <c r="D8" s="31">
        <v>75.900000000000006</v>
      </c>
      <c r="E8" s="31">
        <v>101.6</v>
      </c>
      <c r="F8" s="31">
        <v>6.9</v>
      </c>
      <c r="G8" s="31">
        <v>11.6</v>
      </c>
      <c r="H8" s="30">
        <f t="shared" si="1"/>
        <v>21933.3</v>
      </c>
      <c r="I8" s="30">
        <f t="shared" si="2"/>
        <v>18277.900000000001</v>
      </c>
      <c r="J8" s="30">
        <f t="shared" si="3"/>
        <v>2097</v>
      </c>
      <c r="K8" s="30">
        <f t="shared" si="4"/>
        <v>1558.5</v>
      </c>
      <c r="M8" s="30">
        <v>11783600000</v>
      </c>
      <c r="N8" s="30">
        <v>21933300000</v>
      </c>
      <c r="O8" s="30">
        <v>18277900000</v>
      </c>
      <c r="P8" s="30">
        <v>2097000000</v>
      </c>
      <c r="Q8" s="30">
        <v>1558500000</v>
      </c>
    </row>
    <row r="9" spans="1:17" hidden="1" outlineLevel="1">
      <c r="A9" s="49">
        <v>1964</v>
      </c>
      <c r="B9" s="31">
        <v>41.7</v>
      </c>
      <c r="C9" s="30">
        <f t="shared" si="0"/>
        <v>12136.1</v>
      </c>
      <c r="D9" s="31">
        <v>76.900000000000006</v>
      </c>
      <c r="E9" s="31">
        <v>102.9</v>
      </c>
      <c r="F9" s="31">
        <v>9</v>
      </c>
      <c r="G9" s="31">
        <v>12.3</v>
      </c>
      <c r="H9" s="30">
        <f t="shared" ref="H9:H18" si="5">N9/1000000</f>
        <v>23815.200000000001</v>
      </c>
      <c r="I9" s="30">
        <f t="shared" ref="I9:I18" si="6">O9/1000000</f>
        <v>19316</v>
      </c>
      <c r="J9" s="30">
        <f t="shared" ref="J9:J18" si="7">P9/1000000</f>
        <v>2784.9</v>
      </c>
      <c r="K9" s="30">
        <f t="shared" ref="K9:K18" si="8">Q9/1000000</f>
        <v>1714.3</v>
      </c>
      <c r="M9" s="30">
        <v>12136100000</v>
      </c>
      <c r="N9" s="30">
        <v>23815200000</v>
      </c>
      <c r="O9" s="30">
        <v>19316000000</v>
      </c>
      <c r="P9" s="30">
        <v>2784900000</v>
      </c>
      <c r="Q9" s="30">
        <v>1714300000</v>
      </c>
    </row>
    <row r="10" spans="1:17" hidden="1" outlineLevel="1">
      <c r="A10" s="66">
        <v>1965</v>
      </c>
      <c r="B10" s="31">
        <v>43.6</v>
      </c>
      <c r="C10" s="30">
        <f t="shared" si="0"/>
        <v>12460.8</v>
      </c>
      <c r="D10" s="31">
        <v>78.3</v>
      </c>
      <c r="E10" s="31">
        <v>104.7</v>
      </c>
      <c r="F10" s="31">
        <v>11.2</v>
      </c>
      <c r="G10" s="31">
        <v>12.9</v>
      </c>
      <c r="H10" s="30">
        <f t="shared" si="5"/>
        <v>26511.7</v>
      </c>
      <c r="I10" s="30">
        <f t="shared" si="6"/>
        <v>21008</v>
      </c>
      <c r="J10" s="30">
        <f t="shared" si="7"/>
        <v>3580.4</v>
      </c>
      <c r="K10" s="30">
        <f t="shared" si="8"/>
        <v>1923.3</v>
      </c>
      <c r="M10" s="30">
        <v>12460800000</v>
      </c>
      <c r="N10" s="30">
        <v>26511700000</v>
      </c>
      <c r="O10" s="30">
        <v>21008000000</v>
      </c>
      <c r="P10" s="30">
        <v>3580400000</v>
      </c>
      <c r="Q10" s="30">
        <v>1923300000</v>
      </c>
    </row>
    <row r="11" spans="1:17" hidden="1" outlineLevel="1">
      <c r="A11" s="49">
        <v>1966</v>
      </c>
      <c r="B11" s="31">
        <v>45.8</v>
      </c>
      <c r="C11" s="30">
        <f t="shared" si="0"/>
        <v>12988.8</v>
      </c>
      <c r="D11" s="31">
        <v>79</v>
      </c>
      <c r="E11" s="31">
        <v>107</v>
      </c>
      <c r="F11" s="31">
        <v>13.5</v>
      </c>
      <c r="G11" s="31">
        <v>14</v>
      </c>
      <c r="H11" s="30">
        <f t="shared" si="5"/>
        <v>29656.3</v>
      </c>
      <c r="I11" s="30">
        <f t="shared" si="6"/>
        <v>22955.7</v>
      </c>
      <c r="J11" s="30">
        <f t="shared" si="7"/>
        <v>4471</v>
      </c>
      <c r="K11" s="30">
        <f t="shared" si="8"/>
        <v>2229.6</v>
      </c>
      <c r="M11" s="30">
        <v>12988800000</v>
      </c>
      <c r="N11" s="30">
        <v>29656300000</v>
      </c>
      <c r="O11" s="30">
        <v>22955700000</v>
      </c>
      <c r="P11" s="30">
        <v>4471000000</v>
      </c>
      <c r="Q11" s="30">
        <v>2229600000</v>
      </c>
    </row>
    <row r="12" spans="1:17" hidden="1" outlineLevel="1">
      <c r="A12" s="49">
        <v>1967</v>
      </c>
      <c r="B12" s="31">
        <v>46.7</v>
      </c>
      <c r="C12" s="30">
        <f t="shared" si="0"/>
        <v>13138</v>
      </c>
      <c r="D12" s="31">
        <v>79.599999999999994</v>
      </c>
      <c r="E12" s="31">
        <v>106.3</v>
      </c>
      <c r="F12" s="31">
        <v>15.5</v>
      </c>
      <c r="G12" s="31">
        <v>14.5</v>
      </c>
      <c r="H12" s="30">
        <f t="shared" si="5"/>
        <v>32075.9</v>
      </c>
      <c r="I12" s="30">
        <f t="shared" si="6"/>
        <v>24371</v>
      </c>
      <c r="J12" s="30">
        <f t="shared" si="7"/>
        <v>5270.4</v>
      </c>
      <c r="K12" s="30">
        <f t="shared" si="8"/>
        <v>2434.5</v>
      </c>
      <c r="M12" s="30">
        <v>13138000000</v>
      </c>
      <c r="N12" s="30">
        <v>32075900000</v>
      </c>
      <c r="O12" s="30">
        <v>24371000000</v>
      </c>
      <c r="P12" s="30">
        <v>5270400000</v>
      </c>
      <c r="Q12" s="30">
        <v>2434500000</v>
      </c>
    </row>
    <row r="13" spans="1:17" hidden="1" outlineLevel="1">
      <c r="A13" s="49">
        <v>1968</v>
      </c>
      <c r="B13" s="31">
        <v>46.9</v>
      </c>
      <c r="C13" s="30">
        <f t="shared" si="0"/>
        <v>13066.9</v>
      </c>
      <c r="D13" s="31">
        <v>80.400000000000006</v>
      </c>
      <c r="E13" s="31">
        <v>104.3</v>
      </c>
      <c r="F13" s="31">
        <v>17.3</v>
      </c>
      <c r="G13" s="31">
        <v>14.5</v>
      </c>
      <c r="H13" s="30">
        <f t="shared" si="5"/>
        <v>34212.800000000003</v>
      </c>
      <c r="I13" s="30">
        <f t="shared" si="6"/>
        <v>25573</v>
      </c>
      <c r="J13" s="30">
        <f t="shared" si="7"/>
        <v>6031</v>
      </c>
      <c r="K13" s="30">
        <f t="shared" si="8"/>
        <v>2608.8000000000002</v>
      </c>
      <c r="M13" s="30">
        <v>13066900000</v>
      </c>
      <c r="N13" s="30">
        <v>34212800000</v>
      </c>
      <c r="O13" s="30">
        <v>25573000000</v>
      </c>
      <c r="P13" s="30">
        <v>6031000000</v>
      </c>
      <c r="Q13" s="30">
        <v>2608800000</v>
      </c>
    </row>
    <row r="14" spans="1:17" hidden="1" outlineLevel="1">
      <c r="A14" s="66">
        <v>1969</v>
      </c>
      <c r="B14" s="31">
        <v>47.9</v>
      </c>
      <c r="C14" s="30">
        <f t="shared" si="0"/>
        <v>13289.1</v>
      </c>
      <c r="D14" s="31">
        <v>80.8</v>
      </c>
      <c r="E14" s="31">
        <v>104.3</v>
      </c>
      <c r="F14" s="31">
        <v>19.3</v>
      </c>
      <c r="G14" s="31">
        <v>15</v>
      </c>
      <c r="H14" s="30">
        <f t="shared" si="5"/>
        <v>37620.699999999997</v>
      </c>
      <c r="I14" s="30">
        <f t="shared" si="6"/>
        <v>27645.200000000001</v>
      </c>
      <c r="J14" s="30">
        <f t="shared" si="7"/>
        <v>7028.1</v>
      </c>
      <c r="K14" s="30">
        <f t="shared" si="8"/>
        <v>2947.4</v>
      </c>
      <c r="M14" s="30">
        <v>13289100000</v>
      </c>
      <c r="N14" s="30">
        <v>37620700000</v>
      </c>
      <c r="O14" s="30">
        <v>27645200000</v>
      </c>
      <c r="P14" s="30">
        <v>7028100000</v>
      </c>
      <c r="Q14" s="30">
        <v>2947400000</v>
      </c>
    </row>
    <row r="15" spans="1:17" hidden="1" outlineLevel="1">
      <c r="A15" s="49">
        <v>1970</v>
      </c>
      <c r="B15" s="31">
        <v>48.1</v>
      </c>
      <c r="C15" s="30">
        <f t="shared" si="0"/>
        <v>13223.8</v>
      </c>
      <c r="D15" s="31">
        <v>81.400000000000006</v>
      </c>
      <c r="E15" s="31">
        <v>102.1</v>
      </c>
      <c r="F15" s="31">
        <v>20.9</v>
      </c>
      <c r="G15" s="31">
        <v>15.5</v>
      </c>
      <c r="H15" s="30">
        <f t="shared" si="5"/>
        <v>39993.599999999999</v>
      </c>
      <c r="I15" s="30">
        <f t="shared" si="6"/>
        <v>28912.6</v>
      </c>
      <c r="J15" s="30">
        <f t="shared" si="7"/>
        <v>7851.7</v>
      </c>
      <c r="K15" s="30">
        <f t="shared" si="8"/>
        <v>3229.2</v>
      </c>
      <c r="M15" s="30">
        <v>13223800000</v>
      </c>
      <c r="N15" s="30">
        <v>39993600000</v>
      </c>
      <c r="O15" s="30">
        <v>28912600000</v>
      </c>
      <c r="P15" s="30">
        <v>7851700000</v>
      </c>
      <c r="Q15" s="30">
        <v>3229200000</v>
      </c>
    </row>
    <row r="16" spans="1:17" hidden="1" outlineLevel="1">
      <c r="A16" s="49">
        <v>1971</v>
      </c>
      <c r="B16" s="31">
        <v>49.1</v>
      </c>
      <c r="C16" s="30">
        <f t="shared" si="0"/>
        <v>13419.4</v>
      </c>
      <c r="D16" s="31">
        <v>82</v>
      </c>
      <c r="E16" s="31">
        <v>101.1</v>
      </c>
      <c r="F16" s="31">
        <v>23.2</v>
      </c>
      <c r="G16" s="31">
        <v>16.899999999999999</v>
      </c>
      <c r="H16" s="30">
        <f t="shared" si="5"/>
        <v>43708.7</v>
      </c>
      <c r="I16" s="30">
        <f t="shared" si="6"/>
        <v>30570.5</v>
      </c>
      <c r="J16" s="30">
        <f t="shared" si="7"/>
        <v>9681.7000000000007</v>
      </c>
      <c r="K16" s="30">
        <f t="shared" si="8"/>
        <v>3456.4</v>
      </c>
      <c r="M16" s="30">
        <v>13419400000</v>
      </c>
      <c r="N16" s="30">
        <v>43708700000</v>
      </c>
      <c r="O16" s="30">
        <v>30570500000</v>
      </c>
      <c r="P16" s="30">
        <v>9681700000</v>
      </c>
      <c r="Q16" s="30">
        <v>3456400000</v>
      </c>
    </row>
    <row r="17" spans="1:17" hidden="1" outlineLevel="1">
      <c r="A17" s="49">
        <v>1972</v>
      </c>
      <c r="B17" s="31">
        <v>50.6</v>
      </c>
      <c r="C17" s="30">
        <f t="shared" si="0"/>
        <v>13660.9</v>
      </c>
      <c r="D17" s="31">
        <v>83</v>
      </c>
      <c r="E17" s="31">
        <v>101</v>
      </c>
      <c r="F17" s="31">
        <v>25.7</v>
      </c>
      <c r="G17" s="31">
        <v>18.2</v>
      </c>
      <c r="H17" s="30">
        <f t="shared" si="5"/>
        <v>48652.5</v>
      </c>
      <c r="I17" s="30">
        <f t="shared" si="6"/>
        <v>33233.4</v>
      </c>
      <c r="J17" s="30">
        <f t="shared" si="7"/>
        <v>11675.2</v>
      </c>
      <c r="K17" s="30">
        <f t="shared" si="8"/>
        <v>3744</v>
      </c>
      <c r="M17" s="30">
        <v>13660900000</v>
      </c>
      <c r="N17" s="30">
        <v>48652500000</v>
      </c>
      <c r="O17" s="30">
        <v>33233400000</v>
      </c>
      <c r="P17" s="30">
        <v>11675200000</v>
      </c>
      <c r="Q17" s="30">
        <v>3744000000</v>
      </c>
    </row>
    <row r="18" spans="1:17" collapsed="1">
      <c r="A18" s="66">
        <v>1973</v>
      </c>
      <c r="B18" s="31">
        <v>53.5</v>
      </c>
      <c r="C18" s="30">
        <f t="shared" si="0"/>
        <v>14308.6</v>
      </c>
      <c r="D18" s="31">
        <v>83.8</v>
      </c>
      <c r="E18" s="31">
        <v>104.2</v>
      </c>
      <c r="F18" s="31">
        <v>29.1</v>
      </c>
      <c r="G18" s="31">
        <v>19.600000000000001</v>
      </c>
      <c r="H18" s="30">
        <f t="shared" si="5"/>
        <v>56245.9</v>
      </c>
      <c r="I18" s="30">
        <f t="shared" si="6"/>
        <v>37852.9</v>
      </c>
      <c r="J18" s="30">
        <f t="shared" si="7"/>
        <v>14296.7</v>
      </c>
      <c r="K18" s="30">
        <f t="shared" si="8"/>
        <v>4096.3999999999996</v>
      </c>
      <c r="M18" s="30">
        <v>14308600000</v>
      </c>
      <c r="N18" s="30">
        <v>56245900000</v>
      </c>
      <c r="O18" s="30">
        <v>37852900000</v>
      </c>
      <c r="P18" s="30">
        <v>14296700000</v>
      </c>
      <c r="Q18" s="30">
        <v>4096400000</v>
      </c>
    </row>
    <row r="19" spans="1:17" hidden="1" outlineLevel="1">
      <c r="A19" s="49">
        <v>1974</v>
      </c>
      <c r="B19" s="31">
        <v>55.4</v>
      </c>
      <c r="C19" s="30">
        <f t="shared" si="0"/>
        <v>14752.5</v>
      </c>
      <c r="D19" s="31">
        <v>84.2</v>
      </c>
      <c r="E19" s="31">
        <v>104.9</v>
      </c>
      <c r="F19" s="31">
        <v>31.9</v>
      </c>
      <c r="G19" s="31">
        <v>21.4</v>
      </c>
      <c r="H19" s="30">
        <f t="shared" si="1"/>
        <v>67123.7</v>
      </c>
      <c r="I19" s="30">
        <f t="shared" si="2"/>
        <v>44456.800000000003</v>
      </c>
      <c r="J19" s="30">
        <f t="shared" si="3"/>
        <v>17777.5</v>
      </c>
      <c r="K19" s="30">
        <f t="shared" si="4"/>
        <v>4889.5</v>
      </c>
      <c r="M19" s="30">
        <v>14752500000</v>
      </c>
      <c r="N19" s="30">
        <v>67123700000</v>
      </c>
      <c r="O19" s="30">
        <v>44456800000</v>
      </c>
      <c r="P19" s="30">
        <v>17777500000</v>
      </c>
      <c r="Q19" s="30">
        <v>4889500000</v>
      </c>
    </row>
    <row r="20" spans="1:17" hidden="1" outlineLevel="1">
      <c r="A20" s="49">
        <v>1975</v>
      </c>
      <c r="B20" s="31">
        <v>55.3</v>
      </c>
      <c r="C20" s="30">
        <f t="shared" si="0"/>
        <v>14681.5</v>
      </c>
      <c r="D20" s="31">
        <v>84.4</v>
      </c>
      <c r="E20" s="31">
        <v>101.9</v>
      </c>
      <c r="F20" s="31">
        <v>33.6</v>
      </c>
      <c r="G20" s="31">
        <v>22.4</v>
      </c>
      <c r="H20" s="30">
        <f t="shared" si="1"/>
        <v>77124.800000000003</v>
      </c>
      <c r="I20" s="30">
        <f t="shared" si="2"/>
        <v>50294.8</v>
      </c>
      <c r="J20" s="30">
        <f t="shared" si="3"/>
        <v>21101.200000000001</v>
      </c>
      <c r="K20" s="30">
        <f t="shared" si="4"/>
        <v>5728.8</v>
      </c>
      <c r="M20" s="30">
        <v>14681500000</v>
      </c>
      <c r="N20" s="30">
        <v>77124800000</v>
      </c>
      <c r="O20" s="30">
        <v>50294800000</v>
      </c>
      <c r="P20" s="30">
        <v>21101200000</v>
      </c>
      <c r="Q20" s="30">
        <v>5728800000</v>
      </c>
    </row>
    <row r="21" spans="1:17" hidden="1" outlineLevel="1">
      <c r="A21" s="49">
        <v>1976</v>
      </c>
      <c r="B21" s="31">
        <v>55.3</v>
      </c>
      <c r="C21" s="30">
        <f t="shared" si="0"/>
        <v>14615.7</v>
      </c>
      <c r="D21" s="31">
        <v>84.7</v>
      </c>
      <c r="E21" s="31">
        <v>99.5</v>
      </c>
      <c r="F21" s="31">
        <v>35.299999999999997</v>
      </c>
      <c r="G21" s="31">
        <v>22.6</v>
      </c>
      <c r="H21" s="30">
        <f t="shared" si="1"/>
        <v>88528.4</v>
      </c>
      <c r="I21" s="30">
        <f t="shared" si="2"/>
        <v>57423.8</v>
      </c>
      <c r="J21" s="30">
        <f t="shared" si="3"/>
        <v>24842</v>
      </c>
      <c r="K21" s="30">
        <f t="shared" si="4"/>
        <v>6262.6</v>
      </c>
      <c r="M21" s="30">
        <v>14615700000</v>
      </c>
      <c r="N21" s="30">
        <v>88528400000</v>
      </c>
      <c r="O21" s="30">
        <v>57423800000</v>
      </c>
      <c r="P21" s="30">
        <v>24842000000</v>
      </c>
      <c r="Q21" s="30">
        <v>6262600000</v>
      </c>
    </row>
    <row r="22" spans="1:17" hidden="1" outlineLevel="1">
      <c r="A22" s="66">
        <v>1977</v>
      </c>
      <c r="B22" s="31">
        <v>55.9</v>
      </c>
      <c r="C22" s="30">
        <f t="shared" si="0"/>
        <v>14672</v>
      </c>
      <c r="D22" s="31">
        <v>85.3</v>
      </c>
      <c r="E22" s="31">
        <v>98</v>
      </c>
      <c r="F22" s="31">
        <v>37.4</v>
      </c>
      <c r="G22" s="31">
        <v>24</v>
      </c>
      <c r="H22" s="30">
        <f t="shared" si="1"/>
        <v>97617.5</v>
      </c>
      <c r="I22" s="30">
        <f t="shared" si="2"/>
        <v>62568.5</v>
      </c>
      <c r="J22" s="30">
        <f t="shared" si="3"/>
        <v>28218.400000000001</v>
      </c>
      <c r="K22" s="30">
        <f t="shared" si="4"/>
        <v>6830.6</v>
      </c>
      <c r="M22" s="30">
        <v>14672000000</v>
      </c>
      <c r="N22" s="30">
        <v>97617500000</v>
      </c>
      <c r="O22" s="30">
        <v>62568500000</v>
      </c>
      <c r="P22" s="30">
        <v>28218400000</v>
      </c>
      <c r="Q22" s="30">
        <v>6830600000</v>
      </c>
    </row>
    <row r="23" spans="1:17" hidden="1" outlineLevel="1">
      <c r="A23" s="49">
        <v>1978</v>
      </c>
      <c r="B23" s="31">
        <v>58.2</v>
      </c>
      <c r="C23" s="30">
        <f t="shared" si="0"/>
        <v>15224.2</v>
      </c>
      <c r="D23" s="31">
        <v>85.7</v>
      </c>
      <c r="E23" s="31">
        <v>99.7</v>
      </c>
      <c r="F23" s="31">
        <v>40.6</v>
      </c>
      <c r="G23" s="31">
        <v>25.9</v>
      </c>
      <c r="H23" s="30">
        <f t="shared" ref="H23:H53" si="9">N23/1000000</f>
        <v>106112.9</v>
      </c>
      <c r="I23" s="30">
        <f t="shared" ref="I23:I53" si="10">O23/1000000</f>
        <v>66234.8</v>
      </c>
      <c r="J23" s="30">
        <f t="shared" ref="J23:J53" si="11">P23/1000000</f>
        <v>31923</v>
      </c>
      <c r="K23" s="30">
        <f t="shared" ref="K23:K53" si="12">Q23/1000000</f>
        <v>7955.1</v>
      </c>
      <c r="M23" s="30">
        <v>15224200000</v>
      </c>
      <c r="N23" s="30">
        <v>106112900000</v>
      </c>
      <c r="O23" s="30">
        <v>66234800000</v>
      </c>
      <c r="P23" s="30">
        <v>31923000000</v>
      </c>
      <c r="Q23" s="30">
        <v>7955100000</v>
      </c>
    </row>
    <row r="24" spans="1:17" hidden="1" outlineLevel="1">
      <c r="A24" s="49">
        <v>1979</v>
      </c>
      <c r="B24" s="31">
        <v>61.6</v>
      </c>
      <c r="C24" s="30">
        <f t="shared" si="0"/>
        <v>16058</v>
      </c>
      <c r="D24" s="31">
        <v>85.9</v>
      </c>
      <c r="E24" s="31">
        <v>102.8</v>
      </c>
      <c r="F24" s="31">
        <v>44.8</v>
      </c>
      <c r="G24" s="31">
        <v>28.4</v>
      </c>
      <c r="H24" s="30">
        <f t="shared" si="9"/>
        <v>120143.2</v>
      </c>
      <c r="I24" s="30">
        <f t="shared" si="10"/>
        <v>72952.800000000003</v>
      </c>
      <c r="J24" s="30">
        <f t="shared" si="11"/>
        <v>37661.300000000003</v>
      </c>
      <c r="K24" s="30">
        <f t="shared" si="12"/>
        <v>9529.2000000000007</v>
      </c>
      <c r="M24" s="30">
        <v>16058000000</v>
      </c>
      <c r="N24" s="30">
        <v>120143200000</v>
      </c>
      <c r="O24" s="30">
        <v>72952800000</v>
      </c>
      <c r="P24" s="30">
        <v>37661300000</v>
      </c>
      <c r="Q24" s="30">
        <v>9529200000</v>
      </c>
    </row>
    <row r="25" spans="1:17" hidden="1" outlineLevel="1">
      <c r="A25" s="49">
        <v>1980</v>
      </c>
      <c r="B25" s="31">
        <v>63.6</v>
      </c>
      <c r="C25" s="30">
        <f t="shared" si="0"/>
        <v>16453.900000000001</v>
      </c>
      <c r="D25" s="31">
        <v>86.6</v>
      </c>
      <c r="E25" s="31">
        <v>103.7</v>
      </c>
      <c r="F25" s="31">
        <v>48</v>
      </c>
      <c r="G25" s="31">
        <v>30.5</v>
      </c>
      <c r="H25" s="30">
        <f t="shared" si="9"/>
        <v>135212.5</v>
      </c>
      <c r="I25" s="30">
        <f t="shared" si="10"/>
        <v>79710.899999999994</v>
      </c>
      <c r="J25" s="30">
        <f t="shared" si="11"/>
        <v>44449.9</v>
      </c>
      <c r="K25" s="30">
        <f t="shared" si="12"/>
        <v>11051.6</v>
      </c>
      <c r="M25" s="30">
        <v>16453900000</v>
      </c>
      <c r="N25" s="30">
        <v>135212500000</v>
      </c>
      <c r="O25" s="30">
        <v>79710900000</v>
      </c>
      <c r="P25" s="30">
        <v>44449900000</v>
      </c>
      <c r="Q25" s="30">
        <v>11051600000</v>
      </c>
    </row>
    <row r="26" spans="1:17" collapsed="1">
      <c r="A26" s="66">
        <v>1981</v>
      </c>
      <c r="B26" s="31">
        <v>65.3</v>
      </c>
      <c r="C26" s="30">
        <f t="shared" si="0"/>
        <v>16829.099999999999</v>
      </c>
      <c r="D26" s="31">
        <v>86.9</v>
      </c>
      <c r="E26" s="31">
        <v>104.8</v>
      </c>
      <c r="F26" s="31">
        <v>50.1</v>
      </c>
      <c r="G26" s="31">
        <v>32.6</v>
      </c>
      <c r="H26" s="30">
        <f t="shared" si="9"/>
        <v>154901.4</v>
      </c>
      <c r="I26" s="30">
        <f t="shared" si="10"/>
        <v>89366.2</v>
      </c>
      <c r="J26" s="30">
        <f t="shared" si="11"/>
        <v>51159.8</v>
      </c>
      <c r="K26" s="30">
        <f t="shared" si="12"/>
        <v>14375.4</v>
      </c>
      <c r="M26" s="30">
        <v>16829100000</v>
      </c>
      <c r="N26" s="30">
        <v>154901400000</v>
      </c>
      <c r="O26" s="30">
        <v>89366200000</v>
      </c>
      <c r="P26" s="30">
        <v>51159800000</v>
      </c>
      <c r="Q26" s="30">
        <v>14375400000</v>
      </c>
    </row>
    <row r="27" spans="1:17">
      <c r="A27" s="49">
        <v>1982</v>
      </c>
      <c r="B27" s="31">
        <v>62.1</v>
      </c>
      <c r="C27" s="30">
        <f t="shared" si="0"/>
        <v>15841.3</v>
      </c>
      <c r="D27" s="31">
        <v>87.8</v>
      </c>
      <c r="E27" s="31">
        <v>98.4</v>
      </c>
      <c r="F27" s="31">
        <v>48.1</v>
      </c>
      <c r="G27" s="31">
        <v>32.299999999999997</v>
      </c>
      <c r="H27" s="30">
        <f t="shared" si="9"/>
        <v>160940.6</v>
      </c>
      <c r="I27" s="30">
        <f t="shared" si="10"/>
        <v>92318.399999999994</v>
      </c>
      <c r="J27" s="30">
        <f t="shared" si="11"/>
        <v>53616.6</v>
      </c>
      <c r="K27" s="30">
        <f t="shared" si="12"/>
        <v>15005.5</v>
      </c>
      <c r="M27" s="30">
        <v>15841300000</v>
      </c>
      <c r="N27" s="30">
        <v>160940600000</v>
      </c>
      <c r="O27" s="30">
        <v>92318400000</v>
      </c>
      <c r="P27" s="30">
        <v>53616600000</v>
      </c>
      <c r="Q27" s="30">
        <v>15005500000</v>
      </c>
    </row>
    <row r="28" spans="1:17">
      <c r="A28" s="49">
        <v>1983</v>
      </c>
      <c r="B28" s="31">
        <v>62.5</v>
      </c>
      <c r="C28" s="30">
        <f t="shared" si="0"/>
        <v>15825.8</v>
      </c>
      <c r="D28" s="31">
        <v>88.4</v>
      </c>
      <c r="E28" s="31">
        <v>98.2</v>
      </c>
      <c r="F28" s="31">
        <v>48.8</v>
      </c>
      <c r="G28" s="31">
        <v>33.1</v>
      </c>
      <c r="H28" s="30">
        <f t="shared" si="9"/>
        <v>168541.6</v>
      </c>
      <c r="I28" s="30">
        <f t="shared" si="10"/>
        <v>93338.3</v>
      </c>
      <c r="J28" s="30">
        <f t="shared" si="11"/>
        <v>58502.3</v>
      </c>
      <c r="K28" s="30">
        <f t="shared" si="12"/>
        <v>16701.099999999999</v>
      </c>
      <c r="M28" s="30">
        <v>15825800000</v>
      </c>
      <c r="N28" s="30">
        <v>168541600000</v>
      </c>
      <c r="O28" s="30">
        <v>93338300000</v>
      </c>
      <c r="P28" s="30">
        <v>58502300000</v>
      </c>
      <c r="Q28" s="30">
        <v>16701100000</v>
      </c>
    </row>
    <row r="29" spans="1:17">
      <c r="A29" s="49">
        <v>1984</v>
      </c>
      <c r="B29" s="31">
        <v>64.8</v>
      </c>
      <c r="C29" s="30">
        <f t="shared" si="0"/>
        <v>16338.2</v>
      </c>
      <c r="D29" s="31">
        <v>88.8</v>
      </c>
      <c r="E29" s="31">
        <v>100.1</v>
      </c>
      <c r="F29" s="31">
        <v>51.2</v>
      </c>
      <c r="G29" s="31">
        <v>36.4</v>
      </c>
      <c r="H29" s="30">
        <f t="shared" si="9"/>
        <v>183600.4</v>
      </c>
      <c r="I29" s="30">
        <f t="shared" si="10"/>
        <v>101517.6</v>
      </c>
      <c r="J29" s="30">
        <f t="shared" si="11"/>
        <v>62632.4</v>
      </c>
      <c r="K29" s="30">
        <f t="shared" si="12"/>
        <v>19450.3</v>
      </c>
      <c r="M29" s="30">
        <v>16338200000</v>
      </c>
      <c r="N29" s="30">
        <v>183600400000</v>
      </c>
      <c r="O29" s="30">
        <v>101517600000</v>
      </c>
      <c r="P29" s="30">
        <v>62632400000</v>
      </c>
      <c r="Q29" s="30">
        <v>19450300000</v>
      </c>
    </row>
    <row r="30" spans="1:17">
      <c r="A30" s="66">
        <v>1985</v>
      </c>
      <c r="B30" s="31">
        <v>67.5</v>
      </c>
      <c r="C30" s="30">
        <f t="shared" si="0"/>
        <v>17032.599999999999</v>
      </c>
      <c r="D30" s="31">
        <v>88.8</v>
      </c>
      <c r="E30" s="31">
        <v>102.7</v>
      </c>
      <c r="F30" s="31">
        <v>54</v>
      </c>
      <c r="G30" s="31">
        <v>39.299999999999997</v>
      </c>
      <c r="H30" s="30">
        <f t="shared" si="9"/>
        <v>200751.3</v>
      </c>
      <c r="I30" s="30">
        <f t="shared" si="10"/>
        <v>108564.6</v>
      </c>
      <c r="J30" s="30">
        <f t="shared" si="11"/>
        <v>69974.600000000006</v>
      </c>
      <c r="K30" s="30">
        <f t="shared" si="12"/>
        <v>22212.1</v>
      </c>
      <c r="M30" s="30">
        <v>17032600000</v>
      </c>
      <c r="N30" s="30">
        <v>200751300000</v>
      </c>
      <c r="O30" s="30">
        <v>108564600000</v>
      </c>
      <c r="P30" s="30">
        <v>69974600000</v>
      </c>
      <c r="Q30" s="30">
        <v>22212100000</v>
      </c>
    </row>
    <row r="31" spans="1:17">
      <c r="A31" s="49">
        <v>1986</v>
      </c>
      <c r="B31" s="31">
        <v>70.400000000000006</v>
      </c>
      <c r="C31" s="30">
        <f t="shared" si="0"/>
        <v>17566.2</v>
      </c>
      <c r="D31" s="31">
        <v>89.8</v>
      </c>
      <c r="E31" s="31">
        <v>105.3</v>
      </c>
      <c r="F31" s="31">
        <v>57.1</v>
      </c>
      <c r="G31" s="31">
        <v>42.5</v>
      </c>
      <c r="H31" s="30">
        <f t="shared" si="9"/>
        <v>214755.20000000001</v>
      </c>
      <c r="I31" s="30">
        <f t="shared" si="10"/>
        <v>113774.7</v>
      </c>
      <c r="J31" s="30">
        <f t="shared" si="11"/>
        <v>75581.7</v>
      </c>
      <c r="K31" s="30">
        <f t="shared" si="12"/>
        <v>25398.799999999999</v>
      </c>
      <c r="M31" s="30">
        <v>17566200000</v>
      </c>
      <c r="N31" s="30">
        <v>214755200000</v>
      </c>
      <c r="O31" s="30">
        <v>113774700000</v>
      </c>
      <c r="P31" s="30">
        <v>75581700000</v>
      </c>
      <c r="Q31" s="30">
        <v>25398800000</v>
      </c>
    </row>
    <row r="32" spans="1:17">
      <c r="A32" s="49">
        <v>1987</v>
      </c>
      <c r="B32" s="31">
        <v>73.900000000000006</v>
      </c>
      <c r="C32" s="30">
        <f t="shared" si="0"/>
        <v>18322.900000000001</v>
      </c>
      <c r="D32" s="31">
        <v>90.3</v>
      </c>
      <c r="E32" s="31">
        <v>108.9</v>
      </c>
      <c r="F32" s="31">
        <v>60.8</v>
      </c>
      <c r="G32" s="31">
        <v>45.7</v>
      </c>
      <c r="H32" s="30">
        <f t="shared" si="9"/>
        <v>233209.3</v>
      </c>
      <c r="I32" s="30">
        <f t="shared" si="10"/>
        <v>123192.7</v>
      </c>
      <c r="J32" s="30">
        <f t="shared" si="11"/>
        <v>82369.7</v>
      </c>
      <c r="K32" s="30">
        <f t="shared" si="12"/>
        <v>27646.799999999999</v>
      </c>
      <c r="M32" s="30">
        <v>18322900000</v>
      </c>
      <c r="N32" s="30">
        <v>233209300000</v>
      </c>
      <c r="O32" s="30">
        <v>123192700000</v>
      </c>
      <c r="P32" s="30">
        <v>82369700000</v>
      </c>
      <c r="Q32" s="30">
        <v>27646800000</v>
      </c>
    </row>
    <row r="33" spans="1:17">
      <c r="A33" s="49">
        <v>1988</v>
      </c>
      <c r="B33" s="31">
        <v>77.3</v>
      </c>
      <c r="C33" s="30">
        <f t="shared" si="0"/>
        <v>19006.8</v>
      </c>
      <c r="D33" s="31">
        <v>91</v>
      </c>
      <c r="E33" s="31">
        <v>111.9</v>
      </c>
      <c r="F33" s="31">
        <v>64.3</v>
      </c>
      <c r="G33" s="31">
        <v>49.7</v>
      </c>
      <c r="H33" s="30">
        <f t="shared" si="9"/>
        <v>259934.6</v>
      </c>
      <c r="I33" s="30">
        <f t="shared" si="10"/>
        <v>135697.5</v>
      </c>
      <c r="J33" s="30">
        <f t="shared" si="11"/>
        <v>92950.5</v>
      </c>
      <c r="K33" s="30">
        <f t="shared" si="12"/>
        <v>31286.6</v>
      </c>
      <c r="M33" s="30">
        <v>19006800000</v>
      </c>
      <c r="N33" s="30">
        <v>259934600000</v>
      </c>
      <c r="O33" s="30">
        <v>135697500000</v>
      </c>
      <c r="P33" s="30">
        <v>92950500000</v>
      </c>
      <c r="Q33" s="30">
        <v>31286600000</v>
      </c>
    </row>
    <row r="34" spans="1:17">
      <c r="A34" s="66">
        <v>1989</v>
      </c>
      <c r="B34" s="31">
        <v>79.400000000000006</v>
      </c>
      <c r="C34" s="30">
        <f t="shared" si="0"/>
        <v>19413.599999999999</v>
      </c>
      <c r="D34" s="31">
        <v>91.6</v>
      </c>
      <c r="E34" s="31">
        <v>113.3</v>
      </c>
      <c r="F34" s="31">
        <v>66.8</v>
      </c>
      <c r="G34" s="31">
        <v>52.5</v>
      </c>
      <c r="H34" s="30">
        <f t="shared" si="9"/>
        <v>278205.90000000002</v>
      </c>
      <c r="I34" s="30">
        <f t="shared" si="10"/>
        <v>140170.6</v>
      </c>
      <c r="J34" s="30">
        <f t="shared" si="11"/>
        <v>99428.6</v>
      </c>
      <c r="K34" s="30">
        <f t="shared" si="12"/>
        <v>38606.6</v>
      </c>
      <c r="M34" s="30">
        <v>19413600000</v>
      </c>
      <c r="N34" s="30">
        <v>278205900000</v>
      </c>
      <c r="O34" s="30">
        <v>140170600000</v>
      </c>
      <c r="P34" s="30">
        <v>99428600000</v>
      </c>
      <c r="Q34" s="30">
        <v>38606600000</v>
      </c>
    </row>
    <row r="35" spans="1:17">
      <c r="A35" s="49">
        <v>1990</v>
      </c>
      <c r="B35" s="31">
        <v>79.400000000000006</v>
      </c>
      <c r="C35" s="30">
        <f t="shared" si="0"/>
        <v>19308.8</v>
      </c>
      <c r="D35" s="31">
        <v>92.1</v>
      </c>
      <c r="E35" s="31">
        <v>111.2</v>
      </c>
      <c r="F35" s="31">
        <v>67.900000000000006</v>
      </c>
      <c r="G35" s="31">
        <v>54.1</v>
      </c>
      <c r="H35" s="30">
        <f t="shared" si="9"/>
        <v>289118</v>
      </c>
      <c r="I35" s="30">
        <f t="shared" si="10"/>
        <v>137447.20000000001</v>
      </c>
      <c r="J35" s="30">
        <f t="shared" si="11"/>
        <v>110069.6</v>
      </c>
      <c r="K35" s="30">
        <f t="shared" si="12"/>
        <v>41601.199999999997</v>
      </c>
      <c r="M35" s="30">
        <v>19308800000</v>
      </c>
      <c r="N35" s="30">
        <v>289118000000</v>
      </c>
      <c r="O35" s="30">
        <v>137447200000</v>
      </c>
      <c r="P35" s="30">
        <v>110069600000</v>
      </c>
      <c r="Q35" s="30">
        <v>41601200000</v>
      </c>
    </row>
    <row r="36" spans="1:17">
      <c r="A36" s="49">
        <v>1991</v>
      </c>
      <c r="B36" s="31">
        <v>76.900000000000006</v>
      </c>
      <c r="C36" s="30">
        <f t="shared" si="0"/>
        <v>18538.3</v>
      </c>
      <c r="D36" s="31">
        <v>92.9</v>
      </c>
      <c r="E36" s="31">
        <v>104.9</v>
      </c>
      <c r="F36" s="31">
        <v>66.3</v>
      </c>
      <c r="G36" s="31">
        <v>55.1</v>
      </c>
      <c r="H36" s="30">
        <f t="shared" si="9"/>
        <v>291545</v>
      </c>
      <c r="I36" s="30">
        <f t="shared" si="10"/>
        <v>132605.4</v>
      </c>
      <c r="J36" s="30">
        <f t="shared" si="11"/>
        <v>111588.6</v>
      </c>
      <c r="K36" s="30">
        <f t="shared" si="12"/>
        <v>47351</v>
      </c>
      <c r="M36" s="30">
        <v>18538300000</v>
      </c>
      <c r="N36" s="30">
        <v>291545000000</v>
      </c>
      <c r="O36" s="30">
        <v>132605400000</v>
      </c>
      <c r="P36" s="30">
        <v>111588600000</v>
      </c>
      <c r="Q36" s="30">
        <v>47351000000</v>
      </c>
    </row>
    <row r="37" spans="1:17">
      <c r="A37" s="49">
        <v>1992</v>
      </c>
      <c r="B37" s="31">
        <v>76</v>
      </c>
      <c r="C37" s="30">
        <f t="shared" si="0"/>
        <v>18206.7</v>
      </c>
      <c r="D37" s="31">
        <v>93.6</v>
      </c>
      <c r="E37" s="31">
        <v>101.3</v>
      </c>
      <c r="F37" s="31">
        <v>65.900000000000006</v>
      </c>
      <c r="G37" s="31">
        <v>57.6</v>
      </c>
      <c r="H37" s="30">
        <f t="shared" si="9"/>
        <v>294121.59999999998</v>
      </c>
      <c r="I37" s="30">
        <f t="shared" si="10"/>
        <v>130747.4</v>
      </c>
      <c r="J37" s="30">
        <f t="shared" si="11"/>
        <v>113773.2</v>
      </c>
      <c r="K37" s="30">
        <f t="shared" si="12"/>
        <v>49601</v>
      </c>
      <c r="M37" s="30">
        <v>18206700000</v>
      </c>
      <c r="N37" s="30">
        <v>294121600000</v>
      </c>
      <c r="O37" s="30">
        <v>130747400000</v>
      </c>
      <c r="P37" s="30">
        <v>113773200000</v>
      </c>
      <c r="Q37" s="30">
        <v>49601000000</v>
      </c>
    </row>
    <row r="38" spans="1:17">
      <c r="A38" s="66">
        <v>1993</v>
      </c>
      <c r="B38" s="31">
        <v>77.7</v>
      </c>
      <c r="C38" s="30">
        <f t="shared" si="0"/>
        <v>18411.2</v>
      </c>
      <c r="D38" s="31">
        <v>94.5</v>
      </c>
      <c r="E38" s="31">
        <v>99</v>
      </c>
      <c r="F38" s="31">
        <v>68.400000000000006</v>
      </c>
      <c r="G38" s="31">
        <v>63.7</v>
      </c>
      <c r="H38" s="30">
        <f t="shared" si="9"/>
        <v>299752.5</v>
      </c>
      <c r="I38" s="30">
        <f t="shared" si="10"/>
        <v>129805.4</v>
      </c>
      <c r="J38" s="30">
        <f t="shared" si="11"/>
        <v>116833.8</v>
      </c>
      <c r="K38" s="30">
        <f t="shared" si="12"/>
        <v>53113.3</v>
      </c>
      <c r="M38" s="30">
        <v>18411200000</v>
      </c>
      <c r="N38" s="30">
        <v>299752500000</v>
      </c>
      <c r="O38" s="30">
        <v>129805400000</v>
      </c>
      <c r="P38" s="30">
        <v>116833800000</v>
      </c>
      <c r="Q38" s="30">
        <v>53113300000</v>
      </c>
    </row>
    <row r="39" spans="1:17">
      <c r="A39" s="49">
        <v>1994</v>
      </c>
      <c r="B39" s="31">
        <v>80.7</v>
      </c>
      <c r="C39" s="30">
        <f t="shared" si="0"/>
        <v>19025.900000000001</v>
      </c>
      <c r="D39" s="31">
        <v>95</v>
      </c>
      <c r="E39" s="31">
        <v>98.6</v>
      </c>
      <c r="F39" s="31">
        <v>73.5</v>
      </c>
      <c r="G39" s="31">
        <v>67.900000000000006</v>
      </c>
      <c r="H39" s="30">
        <f t="shared" si="9"/>
        <v>309466.90000000002</v>
      </c>
      <c r="I39" s="30">
        <f t="shared" si="10"/>
        <v>129267.3</v>
      </c>
      <c r="J39" s="30">
        <f t="shared" si="11"/>
        <v>125717</v>
      </c>
      <c r="K39" s="30">
        <f t="shared" si="12"/>
        <v>54482.5</v>
      </c>
      <c r="M39" s="30">
        <v>19025900000</v>
      </c>
      <c r="N39" s="30">
        <v>309466900000</v>
      </c>
      <c r="O39" s="30">
        <v>129267300000</v>
      </c>
      <c r="P39" s="30">
        <v>125717000000</v>
      </c>
      <c r="Q39" s="30">
        <v>54482500000</v>
      </c>
    </row>
    <row r="40" spans="1:17">
      <c r="A40" s="49">
        <v>1995</v>
      </c>
      <c r="B40" s="31">
        <v>83</v>
      </c>
      <c r="C40" s="30">
        <f t="shared" si="0"/>
        <v>19415.5</v>
      </c>
      <c r="D40" s="31">
        <v>95.8</v>
      </c>
      <c r="E40" s="31">
        <v>97.9</v>
      </c>
      <c r="F40" s="31">
        <v>78.099999999999994</v>
      </c>
      <c r="G40" s="31">
        <v>70.2</v>
      </c>
      <c r="H40" s="30">
        <f t="shared" si="9"/>
        <v>323752.59999999998</v>
      </c>
      <c r="I40" s="30">
        <f t="shared" si="10"/>
        <v>130499.9</v>
      </c>
      <c r="J40" s="30">
        <f t="shared" si="11"/>
        <v>137088.79999999999</v>
      </c>
      <c r="K40" s="30">
        <f t="shared" si="12"/>
        <v>56163.9</v>
      </c>
      <c r="M40" s="30">
        <v>19415500000</v>
      </c>
      <c r="N40" s="30">
        <v>323752600000</v>
      </c>
      <c r="O40" s="30">
        <v>130499900000</v>
      </c>
      <c r="P40" s="30">
        <v>137088800000</v>
      </c>
      <c r="Q40" s="30">
        <v>56163900000</v>
      </c>
    </row>
    <row r="41" spans="1:17">
      <c r="A41" s="49">
        <v>1996</v>
      </c>
      <c r="B41" s="31">
        <v>85.4</v>
      </c>
      <c r="C41" s="30">
        <f t="shared" si="0"/>
        <v>19928</v>
      </c>
      <c r="D41" s="31">
        <v>96</v>
      </c>
      <c r="E41" s="31">
        <v>98.6</v>
      </c>
      <c r="F41" s="31">
        <v>81.2</v>
      </c>
      <c r="G41" s="31">
        <v>74</v>
      </c>
      <c r="H41" s="30">
        <f t="shared" si="9"/>
        <v>337436.7</v>
      </c>
      <c r="I41" s="30">
        <f t="shared" si="10"/>
        <v>133412.29999999999</v>
      </c>
      <c r="J41" s="30">
        <f t="shared" si="11"/>
        <v>141612.20000000001</v>
      </c>
      <c r="K41" s="30">
        <f t="shared" si="12"/>
        <v>62412.3</v>
      </c>
      <c r="M41" s="30">
        <v>19928000000</v>
      </c>
      <c r="N41" s="30">
        <v>337436700000</v>
      </c>
      <c r="O41" s="30">
        <v>133412300000</v>
      </c>
      <c r="P41" s="30">
        <v>141612200000</v>
      </c>
      <c r="Q41" s="30">
        <v>62412300000</v>
      </c>
    </row>
    <row r="42" spans="1:17">
      <c r="A42" s="66">
        <v>1997</v>
      </c>
      <c r="B42" s="31">
        <v>88.2</v>
      </c>
      <c r="C42" s="30">
        <f t="shared" si="0"/>
        <v>20416.8</v>
      </c>
      <c r="D42" s="31">
        <v>96.8</v>
      </c>
      <c r="E42" s="31">
        <v>95.8</v>
      </c>
      <c r="F42" s="31">
        <v>87.6</v>
      </c>
      <c r="G42" s="31">
        <v>78.099999999999994</v>
      </c>
      <c r="H42" s="30">
        <f t="shared" si="9"/>
        <v>361106.7</v>
      </c>
      <c r="I42" s="30">
        <f t="shared" si="10"/>
        <v>132723.70000000001</v>
      </c>
      <c r="J42" s="30">
        <f t="shared" si="11"/>
        <v>157440.4</v>
      </c>
      <c r="K42" s="30">
        <f t="shared" si="12"/>
        <v>70942.7</v>
      </c>
      <c r="M42" s="30">
        <v>20416800000</v>
      </c>
      <c r="N42" s="30">
        <v>361106700000</v>
      </c>
      <c r="O42" s="30">
        <v>132723700000</v>
      </c>
      <c r="P42" s="30">
        <v>157440400000</v>
      </c>
      <c r="Q42" s="30">
        <v>70942700000</v>
      </c>
    </row>
    <row r="43" spans="1:17">
      <c r="A43" s="49">
        <v>1998</v>
      </c>
      <c r="B43" s="31">
        <v>91</v>
      </c>
      <c r="C43" s="30">
        <f t="shared" si="0"/>
        <v>20959.599999999999</v>
      </c>
      <c r="D43" s="31">
        <v>97.2</v>
      </c>
      <c r="E43" s="31">
        <v>96.1</v>
      </c>
      <c r="F43" s="31">
        <v>90.5</v>
      </c>
      <c r="G43" s="31">
        <v>84.3</v>
      </c>
      <c r="H43" s="30">
        <f t="shared" si="9"/>
        <v>383243.9</v>
      </c>
      <c r="I43" s="30">
        <f t="shared" si="10"/>
        <v>136696.29999999999</v>
      </c>
      <c r="J43" s="30">
        <f t="shared" si="11"/>
        <v>166994.20000000001</v>
      </c>
      <c r="K43" s="30">
        <f t="shared" si="12"/>
        <v>79553.399999999994</v>
      </c>
      <c r="M43" s="30">
        <v>20959600000</v>
      </c>
      <c r="N43" s="30">
        <v>383243900000</v>
      </c>
      <c r="O43" s="30">
        <v>136696300000</v>
      </c>
      <c r="P43" s="30">
        <v>166994200000</v>
      </c>
      <c r="Q43" s="30">
        <v>79553400000</v>
      </c>
    </row>
    <row r="44" spans="1:17">
      <c r="A44" s="49">
        <v>1999</v>
      </c>
      <c r="B44" s="31">
        <v>94</v>
      </c>
      <c r="C44" s="30">
        <f t="shared" si="0"/>
        <v>21567.7</v>
      </c>
      <c r="D44" s="31">
        <v>97.6</v>
      </c>
      <c r="E44" s="31">
        <v>99.3</v>
      </c>
      <c r="F44" s="31">
        <v>93.1</v>
      </c>
      <c r="G44" s="31">
        <v>87.8</v>
      </c>
      <c r="H44" s="30">
        <f t="shared" si="9"/>
        <v>406835.9</v>
      </c>
      <c r="I44" s="30">
        <f t="shared" si="10"/>
        <v>144629.79999999999</v>
      </c>
      <c r="J44" s="30">
        <f t="shared" si="11"/>
        <v>176167.1</v>
      </c>
      <c r="K44" s="30">
        <f t="shared" si="12"/>
        <v>86039</v>
      </c>
      <c r="M44" s="30">
        <v>21567700000</v>
      </c>
      <c r="N44" s="30">
        <v>406835900000</v>
      </c>
      <c r="O44" s="30">
        <v>144629800000</v>
      </c>
      <c r="P44" s="30">
        <v>176167100000</v>
      </c>
      <c r="Q44" s="30">
        <v>86039000000</v>
      </c>
    </row>
    <row r="45" spans="1:17">
      <c r="A45" s="49">
        <v>2000</v>
      </c>
      <c r="B45" s="31">
        <v>97.3</v>
      </c>
      <c r="C45" s="30">
        <f t="shared" si="0"/>
        <v>22083</v>
      </c>
      <c r="D45" s="31">
        <v>98.7</v>
      </c>
      <c r="E45" s="31">
        <v>101.1</v>
      </c>
      <c r="F45" s="31">
        <v>96.2</v>
      </c>
      <c r="G45" s="31">
        <v>94</v>
      </c>
      <c r="H45" s="30">
        <f t="shared" si="9"/>
        <v>441855.7</v>
      </c>
      <c r="I45" s="30">
        <f t="shared" si="10"/>
        <v>154324.20000000001</v>
      </c>
      <c r="J45" s="30">
        <f t="shared" si="11"/>
        <v>191217.7</v>
      </c>
      <c r="K45" s="30">
        <f t="shared" si="12"/>
        <v>96313.8</v>
      </c>
      <c r="M45" s="30">
        <v>22083000000</v>
      </c>
      <c r="N45" s="30">
        <v>441855700000</v>
      </c>
      <c r="O45" s="30">
        <v>154324200000</v>
      </c>
      <c r="P45" s="30">
        <v>191217700000</v>
      </c>
      <c r="Q45" s="30">
        <v>96313800000</v>
      </c>
    </row>
    <row r="46" spans="1:17">
      <c r="A46" s="66">
        <v>2001</v>
      </c>
      <c r="B46" s="31">
        <v>98.5</v>
      </c>
      <c r="C46" s="30">
        <f t="shared" si="0"/>
        <v>22151.7</v>
      </c>
      <c r="D46" s="31">
        <v>99.6</v>
      </c>
      <c r="E46" s="31">
        <v>99.2</v>
      </c>
      <c r="F46" s="31">
        <v>98.1</v>
      </c>
      <c r="G46" s="31">
        <v>98.1</v>
      </c>
      <c r="H46" s="30">
        <f t="shared" si="9"/>
        <v>459381.1</v>
      </c>
      <c r="I46" s="30">
        <f t="shared" si="10"/>
        <v>153776.4</v>
      </c>
      <c r="J46" s="30">
        <f t="shared" si="11"/>
        <v>200130.4</v>
      </c>
      <c r="K46" s="30">
        <f t="shared" si="12"/>
        <v>105474.3</v>
      </c>
      <c r="M46" s="30">
        <v>22151700000</v>
      </c>
      <c r="N46" s="30">
        <v>459381100000</v>
      </c>
      <c r="O46" s="30">
        <v>153776400000</v>
      </c>
      <c r="P46" s="30">
        <v>200130400000</v>
      </c>
      <c r="Q46" s="30">
        <v>105474300000</v>
      </c>
    </row>
    <row r="47" spans="1:17">
      <c r="A47" s="49">
        <v>2002</v>
      </c>
      <c r="B47" s="31">
        <v>100</v>
      </c>
      <c r="C47" s="30">
        <f t="shared" si="0"/>
        <v>22397</v>
      </c>
      <c r="D47" s="31">
        <v>100</v>
      </c>
      <c r="E47" s="31">
        <v>100</v>
      </c>
      <c r="F47" s="31">
        <v>100</v>
      </c>
      <c r="G47" s="31">
        <v>100</v>
      </c>
      <c r="H47" s="30">
        <f t="shared" si="9"/>
        <v>475303.1</v>
      </c>
      <c r="I47" s="30">
        <f t="shared" si="10"/>
        <v>157091.9</v>
      </c>
      <c r="J47" s="30">
        <f t="shared" si="11"/>
        <v>207271.7</v>
      </c>
      <c r="K47" s="30">
        <f t="shared" si="12"/>
        <v>110939.5</v>
      </c>
      <c r="M47" s="30">
        <v>22397000000</v>
      </c>
      <c r="N47" s="30">
        <v>475303100000</v>
      </c>
      <c r="O47" s="30">
        <v>157091900000</v>
      </c>
      <c r="P47" s="30">
        <v>207271700000</v>
      </c>
      <c r="Q47" s="30">
        <v>110939500000</v>
      </c>
    </row>
    <row r="48" spans="1:17">
      <c r="A48" s="49">
        <v>2003</v>
      </c>
      <c r="B48" s="31">
        <v>101.8</v>
      </c>
      <c r="C48" s="30">
        <f t="shared" si="0"/>
        <v>22693.7</v>
      </c>
      <c r="D48" s="31">
        <v>100.5</v>
      </c>
      <c r="E48" s="31">
        <v>97.9</v>
      </c>
      <c r="F48" s="31">
        <v>103.7</v>
      </c>
      <c r="G48" s="31">
        <v>104</v>
      </c>
      <c r="H48" s="30">
        <f t="shared" si="9"/>
        <v>491930.4</v>
      </c>
      <c r="I48" s="30">
        <f t="shared" si="10"/>
        <v>156748.4</v>
      </c>
      <c r="J48" s="30">
        <f t="shared" si="11"/>
        <v>219593.1</v>
      </c>
      <c r="K48" s="30">
        <f t="shared" si="12"/>
        <v>115588.9</v>
      </c>
      <c r="M48" s="30">
        <v>22693700000</v>
      </c>
      <c r="N48" s="30">
        <v>491930400000</v>
      </c>
      <c r="O48" s="30">
        <v>156748400000</v>
      </c>
      <c r="P48" s="30">
        <v>219593100000</v>
      </c>
      <c r="Q48" s="30">
        <v>115588900000</v>
      </c>
    </row>
    <row r="49" spans="1:17">
      <c r="A49" s="49">
        <v>2004</v>
      </c>
      <c r="B49" s="31">
        <v>105.3</v>
      </c>
      <c r="C49" s="30">
        <f t="shared" si="0"/>
        <v>23363.200000000001</v>
      </c>
      <c r="D49" s="31">
        <v>100.9</v>
      </c>
      <c r="E49" s="31">
        <v>99.8</v>
      </c>
      <c r="F49" s="31">
        <v>107</v>
      </c>
      <c r="G49" s="31">
        <v>109.9</v>
      </c>
      <c r="H49" s="30">
        <f t="shared" si="9"/>
        <v>523563.5</v>
      </c>
      <c r="I49" s="30">
        <f t="shared" si="10"/>
        <v>164890.5</v>
      </c>
      <c r="J49" s="30">
        <f t="shared" si="11"/>
        <v>232799.9</v>
      </c>
      <c r="K49" s="30">
        <f t="shared" si="12"/>
        <v>125873.2</v>
      </c>
      <c r="M49" s="30">
        <v>23363200000</v>
      </c>
      <c r="N49" s="30">
        <v>523563500000</v>
      </c>
      <c r="O49" s="30">
        <v>164890500000</v>
      </c>
      <c r="P49" s="30">
        <v>232799900000</v>
      </c>
      <c r="Q49" s="30">
        <v>125873200000</v>
      </c>
    </row>
    <row r="50" spans="1:17">
      <c r="A50" s="66">
        <v>2005</v>
      </c>
      <c r="B50" s="31">
        <v>106.7</v>
      </c>
      <c r="C50" s="30">
        <f t="shared" si="0"/>
        <v>23502</v>
      </c>
      <c r="D50" s="31">
        <v>101.7</v>
      </c>
      <c r="E50" s="31">
        <v>99.7</v>
      </c>
      <c r="F50" s="31">
        <v>106.5</v>
      </c>
      <c r="G50" s="31">
        <v>117.3</v>
      </c>
      <c r="H50" s="30">
        <f t="shared" si="9"/>
        <v>554749.4</v>
      </c>
      <c r="I50" s="30">
        <f t="shared" si="10"/>
        <v>174870.2</v>
      </c>
      <c r="J50" s="30">
        <f t="shared" si="11"/>
        <v>241890.7</v>
      </c>
      <c r="K50" s="30">
        <f t="shared" si="12"/>
        <v>137988.5</v>
      </c>
      <c r="M50" s="30">
        <v>23502000000</v>
      </c>
      <c r="N50" s="135">
        <v>554749400000</v>
      </c>
      <c r="O50" s="135">
        <v>174870200000</v>
      </c>
      <c r="P50" s="135">
        <v>241890700000</v>
      </c>
      <c r="Q50" s="135">
        <v>137988500000</v>
      </c>
    </row>
    <row r="51" spans="1:17">
      <c r="A51" s="49">
        <v>2006</v>
      </c>
      <c r="B51" s="31">
        <v>108.6</v>
      </c>
      <c r="C51" s="30">
        <f t="shared" si="0"/>
        <v>23832.400000000001</v>
      </c>
      <c r="D51" s="31">
        <v>102.1</v>
      </c>
      <c r="E51" s="31">
        <v>101</v>
      </c>
      <c r="F51" s="31">
        <v>107.1</v>
      </c>
      <c r="G51" s="31">
        <v>122.6</v>
      </c>
      <c r="H51" s="30">
        <f t="shared" si="9"/>
        <v>591542.69999999995</v>
      </c>
      <c r="I51" s="30">
        <f t="shared" si="10"/>
        <v>185129.4</v>
      </c>
      <c r="J51" s="30">
        <f t="shared" si="11"/>
        <v>254603</v>
      </c>
      <c r="K51" s="30">
        <f t="shared" si="12"/>
        <v>151810.29999999999</v>
      </c>
      <c r="M51" s="30">
        <v>23832400000</v>
      </c>
      <c r="N51" s="135">
        <v>591542700000</v>
      </c>
      <c r="O51" s="135">
        <v>185129400000</v>
      </c>
      <c r="P51" s="135">
        <v>254603000000</v>
      </c>
      <c r="Q51" s="135">
        <v>151810300000</v>
      </c>
    </row>
    <row r="52" spans="1:17">
      <c r="A52" s="49">
        <v>2007</v>
      </c>
      <c r="B52" s="31">
        <v>111.3</v>
      </c>
      <c r="C52" s="30">
        <f t="shared" si="0"/>
        <v>24332.9</v>
      </c>
      <c r="D52" s="31">
        <v>102.4</v>
      </c>
      <c r="E52" s="31">
        <v>100</v>
      </c>
      <c r="F52" s="31">
        <v>110.7</v>
      </c>
      <c r="G52" s="31">
        <v>128.80000000000001</v>
      </c>
      <c r="H52" s="30">
        <f t="shared" si="9"/>
        <v>625353.4</v>
      </c>
      <c r="I52" s="30">
        <f t="shared" si="10"/>
        <v>188890.2</v>
      </c>
      <c r="J52" s="30">
        <f t="shared" si="11"/>
        <v>273729.09999999998</v>
      </c>
      <c r="K52" s="30">
        <f t="shared" si="12"/>
        <v>162734.1</v>
      </c>
      <c r="M52" s="30">
        <v>24332900000</v>
      </c>
      <c r="N52" s="135">
        <v>625353400000</v>
      </c>
      <c r="O52" s="135">
        <v>188890200000</v>
      </c>
      <c r="P52" s="135">
        <v>273729100000</v>
      </c>
      <c r="Q52" s="135">
        <v>162734100000</v>
      </c>
    </row>
    <row r="53" spans="1:17">
      <c r="A53" s="49">
        <v>2008</v>
      </c>
      <c r="B53" s="31">
        <v>112.2</v>
      </c>
      <c r="C53" s="30">
        <f t="shared" si="0"/>
        <v>24457</v>
      </c>
      <c r="D53" s="31">
        <v>102.8</v>
      </c>
      <c r="E53" s="31">
        <v>99.5</v>
      </c>
      <c r="F53" s="31">
        <v>112</v>
      </c>
      <c r="G53" s="31">
        <v>131.30000000000001</v>
      </c>
      <c r="H53" s="30">
        <f t="shared" si="9"/>
        <v>643444.30000000005</v>
      </c>
      <c r="I53" s="30">
        <f t="shared" si="10"/>
        <v>192753.3</v>
      </c>
      <c r="J53" s="30">
        <f t="shared" si="11"/>
        <v>282495.09999999998</v>
      </c>
      <c r="K53" s="30">
        <f t="shared" si="12"/>
        <v>168195.9</v>
      </c>
      <c r="M53" s="30">
        <v>24457000000</v>
      </c>
      <c r="N53" s="135">
        <v>643444300000</v>
      </c>
      <c r="O53" s="135">
        <v>192753300000</v>
      </c>
      <c r="P53" s="135">
        <v>282495100000</v>
      </c>
      <c r="Q53" s="135">
        <v>168195900000</v>
      </c>
    </row>
    <row r="54" spans="1:17">
      <c r="A54" s="66">
        <v>2009</v>
      </c>
      <c r="B54" s="31">
        <v>107.8</v>
      </c>
      <c r="C54" s="30">
        <f t="shared" si="0"/>
        <v>23365.5</v>
      </c>
      <c r="D54" s="31">
        <v>103.3</v>
      </c>
      <c r="E54" s="31">
        <v>92.5</v>
      </c>
      <c r="F54" s="31">
        <v>107.7</v>
      </c>
      <c r="G54" s="31">
        <v>130.5</v>
      </c>
      <c r="H54" s="30" t="s">
        <v>22</v>
      </c>
      <c r="I54" s="30" t="s">
        <v>22</v>
      </c>
      <c r="J54" s="30" t="s">
        <v>22</v>
      </c>
      <c r="K54" s="30" t="s">
        <v>22</v>
      </c>
      <c r="M54" s="30">
        <v>23365500000</v>
      </c>
      <c r="N54" s="135" t="s">
        <v>22</v>
      </c>
      <c r="O54" s="135" t="s">
        <v>22</v>
      </c>
      <c r="P54" s="135" t="s">
        <v>22</v>
      </c>
      <c r="Q54" s="135" t="s">
        <v>22</v>
      </c>
    </row>
    <row r="55" spans="1:17">
      <c r="A55" s="49">
        <v>2010</v>
      </c>
      <c r="B55" s="31">
        <v>110.6</v>
      </c>
      <c r="C55" s="30">
        <f t="shared" si="0"/>
        <v>23812.1</v>
      </c>
      <c r="D55" s="31">
        <v>104</v>
      </c>
      <c r="E55" s="31">
        <v>92.8</v>
      </c>
      <c r="F55" s="31">
        <v>110.7</v>
      </c>
      <c r="G55" s="31">
        <v>136.6</v>
      </c>
      <c r="H55" s="30" t="s">
        <v>22</v>
      </c>
      <c r="I55" s="30" t="s">
        <v>22</v>
      </c>
      <c r="J55" s="30" t="s">
        <v>22</v>
      </c>
      <c r="K55" s="30" t="s">
        <v>22</v>
      </c>
      <c r="M55" s="30">
        <v>23812100000</v>
      </c>
      <c r="N55" s="135" t="s">
        <v>22</v>
      </c>
      <c r="O55" s="135" t="s">
        <v>22</v>
      </c>
      <c r="P55" s="135" t="s">
        <v>22</v>
      </c>
      <c r="Q55" s="135" t="s">
        <v>22</v>
      </c>
    </row>
    <row r="56" spans="1:17">
      <c r="A56" s="49">
        <v>2011</v>
      </c>
      <c r="B56" s="31">
        <v>112.9</v>
      </c>
      <c r="C56" s="30">
        <f t="shared" si="0"/>
        <v>24234.799999999999</v>
      </c>
      <c r="D56" s="31">
        <v>104.4</v>
      </c>
      <c r="E56" s="31">
        <v>94.3</v>
      </c>
      <c r="F56" s="31">
        <v>112.7</v>
      </c>
      <c r="G56" s="31">
        <v>141.1</v>
      </c>
      <c r="H56" s="30" t="s">
        <v>22</v>
      </c>
      <c r="I56" s="30" t="s">
        <v>22</v>
      </c>
      <c r="J56" s="30" t="s">
        <v>22</v>
      </c>
      <c r="K56" s="30" t="s">
        <v>22</v>
      </c>
      <c r="M56" s="30">
        <v>24234800000</v>
      </c>
      <c r="N56" s="135" t="s">
        <v>22</v>
      </c>
      <c r="O56" s="135" t="s">
        <v>22</v>
      </c>
      <c r="P56" s="135" t="s">
        <v>22</v>
      </c>
      <c r="Q56" s="135" t="s">
        <v>22</v>
      </c>
    </row>
    <row r="58" spans="1:17">
      <c r="A58" s="66" t="s">
        <v>1048</v>
      </c>
    </row>
    <row r="59" spans="1:17">
      <c r="A59" s="64" t="s">
        <v>2122</v>
      </c>
      <c r="B59" s="67">
        <f>((B56/B6)^(1/50)-1)*100</f>
        <v>2.2397319525274684</v>
      </c>
      <c r="C59" s="67">
        <f t="shared" ref="C59:G59" si="13">((C56/C6)^(1/50)-1)*100</f>
        <v>1.5341210760921875</v>
      </c>
      <c r="D59" s="67">
        <f t="shared" si="13"/>
        <v>0.69615385109200734</v>
      </c>
      <c r="E59" s="67">
        <f t="shared" si="13"/>
        <v>-0.13322550791626808</v>
      </c>
      <c r="F59" s="67">
        <f t="shared" si="13"/>
        <v>7.5946106598744567</v>
      </c>
      <c r="G59" s="67">
        <f t="shared" si="13"/>
        <v>5.2938158279391301</v>
      </c>
      <c r="H59" s="67" t="s">
        <v>22</v>
      </c>
      <c r="I59" s="67" t="s">
        <v>22</v>
      </c>
      <c r="J59" s="67" t="s">
        <v>22</v>
      </c>
      <c r="K59" s="67" t="s">
        <v>22</v>
      </c>
    </row>
    <row r="60" spans="1:17">
      <c r="A60" s="109" t="s">
        <v>1047</v>
      </c>
      <c r="B60" s="67">
        <f t="shared" ref="B60:G60" si="14">((B51/B6)^(1/45)-1)*100</f>
        <v>2.4032640703868013</v>
      </c>
      <c r="C60" s="67">
        <f t="shared" si="14"/>
        <v>1.6681894342804204</v>
      </c>
      <c r="D60" s="67">
        <f t="shared" si="14"/>
        <v>0.72392776467991027</v>
      </c>
      <c r="E60" s="67">
        <f t="shared" si="14"/>
        <v>4.4048996884038516E-3</v>
      </c>
      <c r="F60" s="67">
        <f t="shared" si="14"/>
        <v>8.3505004594976562</v>
      </c>
      <c r="G60" s="67">
        <f t="shared" si="14"/>
        <v>5.5688290039403565</v>
      </c>
      <c r="H60" s="67">
        <f>((H49/H6)^(1/43)-1)*100</f>
        <v>7.9908469307080177</v>
      </c>
      <c r="I60" s="67">
        <f>((I49/I6)^(1/43)-1)*100</f>
        <v>5.40939685777444</v>
      </c>
      <c r="J60" s="67">
        <f>((J49/J6)^(1/43)-1)*100</f>
        <v>14.413752015109838</v>
      </c>
      <c r="K60" s="67">
        <f>((K49/K6)^(1/43)-1)*100</f>
        <v>11.077457052215522</v>
      </c>
    </row>
    <row r="61" spans="1:17">
      <c r="A61" s="68" t="s">
        <v>1031</v>
      </c>
      <c r="B61" s="67">
        <f>((B18/B6)^(1/12)-1)*100</f>
        <v>3.0513643143592173</v>
      </c>
      <c r="C61" s="67">
        <f t="shared" ref="C61:K61" si="15">((C18/C6)^(1/12)-1)*100</f>
        <v>1.971748406788465</v>
      </c>
      <c r="D61" s="67">
        <f t="shared" si="15"/>
        <v>1.0645790428430502</v>
      </c>
      <c r="E61" s="67">
        <f t="shared" si="15"/>
        <v>0.27683058417800055</v>
      </c>
      <c r="F61" s="67">
        <f t="shared" si="15"/>
        <v>21.187524974803964</v>
      </c>
      <c r="G61" s="67">
        <f t="shared" si="15"/>
        <v>5.1734267945337198</v>
      </c>
      <c r="H61" s="67">
        <f t="shared" si="15"/>
        <v>9.3696157852833686</v>
      </c>
      <c r="I61" s="67">
        <f t="shared" si="15"/>
        <v>6.8381157847898111</v>
      </c>
      <c r="J61" s="67">
        <f t="shared" si="15"/>
        <v>28.400899927326218</v>
      </c>
      <c r="K61" s="67">
        <f t="shared" si="15"/>
        <v>9.5297260630084821</v>
      </c>
    </row>
    <row r="62" spans="1:17">
      <c r="A62" s="68" t="s">
        <v>1032</v>
      </c>
      <c r="B62" s="67">
        <f>((B26/B18)^(1/8)-1)*100</f>
        <v>2.522673991219393</v>
      </c>
      <c r="C62" s="67">
        <f t="shared" ref="C62:K62" si="16">((C26/C18)^(1/8)-1)*100</f>
        <v>2.0488155838984667</v>
      </c>
      <c r="D62" s="67">
        <f t="shared" si="16"/>
        <v>0.45509523699875931</v>
      </c>
      <c r="E62" s="67">
        <f t="shared" si="16"/>
        <v>7.1796293304937642E-2</v>
      </c>
      <c r="F62" s="67">
        <f t="shared" si="16"/>
        <v>7.0269359067124615</v>
      </c>
      <c r="G62" s="67">
        <f t="shared" si="16"/>
        <v>6.5663745526403972</v>
      </c>
      <c r="H62" s="67">
        <f t="shared" si="16"/>
        <v>13.499920953875066</v>
      </c>
      <c r="I62" s="67">
        <f t="shared" si="16"/>
        <v>11.335654558524677</v>
      </c>
      <c r="J62" s="67">
        <f t="shared" si="16"/>
        <v>17.276670890157519</v>
      </c>
      <c r="K62" s="67">
        <f t="shared" si="16"/>
        <v>16.990931135783516</v>
      </c>
    </row>
    <row r="63" spans="1:17">
      <c r="A63" s="68" t="s">
        <v>25</v>
      </c>
      <c r="B63" s="67">
        <f>((B34/B26)^(1/8)-1)*100</f>
        <v>2.4739354023905591</v>
      </c>
      <c r="C63" s="67">
        <f t="shared" ref="C63:K63" si="17">((C34/C26)^(1/8)-1)*100</f>
        <v>1.8018448302851597</v>
      </c>
      <c r="D63" s="67">
        <f t="shared" si="17"/>
        <v>0.66058781242679387</v>
      </c>
      <c r="E63" s="67">
        <f t="shared" si="17"/>
        <v>0.9795842738398397</v>
      </c>
      <c r="F63" s="67">
        <f t="shared" si="17"/>
        <v>3.6614649628077478</v>
      </c>
      <c r="G63" s="67">
        <f t="shared" si="17"/>
        <v>6.1372211575952074</v>
      </c>
      <c r="H63" s="67">
        <f t="shared" si="17"/>
        <v>7.5942033089164251</v>
      </c>
      <c r="I63" s="67">
        <f t="shared" si="17"/>
        <v>5.7877682442387002</v>
      </c>
      <c r="J63" s="67">
        <f t="shared" si="17"/>
        <v>8.6607781463062814</v>
      </c>
      <c r="K63" s="67">
        <f t="shared" si="17"/>
        <v>13.14365451654651</v>
      </c>
    </row>
    <row r="64" spans="1:17">
      <c r="A64" s="69" t="s">
        <v>802</v>
      </c>
      <c r="B64" s="65">
        <f t="shared" ref="B64:G64" si="18">((B51/B31)^(1/20)-1)*100</f>
        <v>2.1910492494650491</v>
      </c>
      <c r="C64" s="65">
        <f t="shared" si="18"/>
        <v>1.5370397852932927</v>
      </c>
      <c r="D64" s="65">
        <f t="shared" si="18"/>
        <v>0.64390294812575188</v>
      </c>
      <c r="E64" s="65">
        <f t="shared" si="18"/>
        <v>-0.20824737514087976</v>
      </c>
      <c r="F64" s="65">
        <f t="shared" si="18"/>
        <v>3.1947654139190318</v>
      </c>
      <c r="G64" s="65">
        <f t="shared" si="18"/>
        <v>5.4399222498886957</v>
      </c>
      <c r="H64" s="65">
        <f>((H49/H31)^(1/18)-1)*100</f>
        <v>5.0754905780749704</v>
      </c>
      <c r="I64" s="65">
        <f>((I49/I31)^(1/18)-1)*100</f>
        <v>2.0828471369110702</v>
      </c>
      <c r="J64" s="65">
        <f>((J49/J31)^(1/18)-1)*100</f>
        <v>6.4492394741658909</v>
      </c>
      <c r="K64" s="65">
        <f>((K49/K31)^(1/18)-1)*100</f>
        <v>9.2994010177401378</v>
      </c>
    </row>
    <row r="65" spans="1:11">
      <c r="A65" s="69" t="s">
        <v>2127</v>
      </c>
      <c r="B65" s="65">
        <f>((B56/B34)^(1/22)-1)*100</f>
        <v>1.6128874909610236</v>
      </c>
      <c r="C65" s="65">
        <f t="shared" ref="C65:G65" si="19">((C56/C34)^(1/22)-1)*100</f>
        <v>1.0133534801368693</v>
      </c>
      <c r="D65" s="65">
        <f t="shared" si="19"/>
        <v>0.596309085089608</v>
      </c>
      <c r="E65" s="65">
        <f t="shared" si="19"/>
        <v>-0.83088337093137898</v>
      </c>
      <c r="F65" s="65">
        <f t="shared" si="19"/>
        <v>2.405877718866134</v>
      </c>
      <c r="G65" s="65">
        <f t="shared" si="19"/>
        <v>4.5963944294012071</v>
      </c>
      <c r="H65" s="65" t="s">
        <v>22</v>
      </c>
      <c r="I65" s="65" t="s">
        <v>22</v>
      </c>
      <c r="J65" s="65" t="s">
        <v>22</v>
      </c>
      <c r="K65" s="65" t="s">
        <v>22</v>
      </c>
    </row>
    <row r="66" spans="1:11">
      <c r="A66" s="69" t="s">
        <v>26</v>
      </c>
      <c r="B66" s="65">
        <f>((B45/B34)^(1/11)-1)*100</f>
        <v>1.8653721527462253</v>
      </c>
      <c r="C66" s="65">
        <f t="shared" ref="C66:H66" si="20">((C45/C34)^(1/11)-1)*100</f>
        <v>1.1781059163760599</v>
      </c>
      <c r="D66" s="65">
        <f t="shared" si="20"/>
        <v>0.68097795251673698</v>
      </c>
      <c r="E66" s="65">
        <f t="shared" si="20"/>
        <v>-1.0303734682867605</v>
      </c>
      <c r="F66" s="65">
        <f t="shared" si="20"/>
        <v>3.3712751483632841</v>
      </c>
      <c r="G66" s="65">
        <f t="shared" si="20"/>
        <v>5.4379955111500289</v>
      </c>
      <c r="H66" s="65">
        <f t="shared" si="20"/>
        <v>4.2953439144358674</v>
      </c>
      <c r="I66" s="65">
        <f>((I45/I34)^(1/11)-1)*100</f>
        <v>0.87833796859588809</v>
      </c>
      <c r="J66" s="65">
        <f>((J45/J34)^(1/11)-1)*100</f>
        <v>6.1254893902120466</v>
      </c>
      <c r="K66" s="65">
        <f>((K45/K34)^(1/11)-1)*100</f>
        <v>8.66591973992894</v>
      </c>
    </row>
    <row r="67" spans="1:11">
      <c r="A67" s="69" t="s">
        <v>27</v>
      </c>
      <c r="B67" s="65">
        <f t="shared" ref="B67:G67" si="21">((B51/B45)^(1/6)-1)*100</f>
        <v>1.8480763806028255</v>
      </c>
      <c r="C67" s="65">
        <f t="shared" si="21"/>
        <v>1.2787387888521851</v>
      </c>
      <c r="D67" s="65">
        <f t="shared" si="21"/>
        <v>0.56605907283227008</v>
      </c>
      <c r="E67" s="65">
        <f t="shared" si="21"/>
        <v>-1.6492126318745637E-2</v>
      </c>
      <c r="F67" s="65">
        <f t="shared" si="21"/>
        <v>1.8049902058097533</v>
      </c>
      <c r="G67" s="65">
        <f t="shared" si="21"/>
        <v>4.526667077377855</v>
      </c>
      <c r="H67" s="65">
        <f>((H49/H45)^(1/4)-1)*100</f>
        <v>4.3331272799428389</v>
      </c>
      <c r="I67" s="65">
        <f>((I49/I45)^(1/4)-1)*100</f>
        <v>1.6694326737218157</v>
      </c>
      <c r="J67" s="65">
        <f>((J49/J45)^(1/4)-1)*100</f>
        <v>5.0421675417682721</v>
      </c>
      <c r="K67" s="65">
        <f>((K49/K45)^(1/4)-1)*100</f>
        <v>6.9205511522968166</v>
      </c>
    </row>
    <row r="68" spans="1:11">
      <c r="A68" s="69" t="s">
        <v>1782</v>
      </c>
      <c r="B68" s="65">
        <f>((B56/B45)^(1/11)-1)*100</f>
        <v>1.3610286405098426</v>
      </c>
      <c r="C68" s="65">
        <f t="shared" ref="C68:G68" si="22">((C56/C45)^(1/11)-1)*100</f>
        <v>0.84886931700876023</v>
      </c>
      <c r="D68" s="65">
        <f t="shared" si="22"/>
        <v>0.51171142095485234</v>
      </c>
      <c r="E68" s="65">
        <f t="shared" si="22"/>
        <v>-0.63099116739111505</v>
      </c>
      <c r="F68" s="65">
        <f t="shared" si="22"/>
        <v>1.449496258220484</v>
      </c>
      <c r="G68" s="65">
        <f t="shared" si="22"/>
        <v>3.7615109675897429</v>
      </c>
      <c r="H68" s="65" t="s">
        <v>22</v>
      </c>
      <c r="I68" s="65" t="s">
        <v>22</v>
      </c>
      <c r="J68" s="65" t="s">
        <v>22</v>
      </c>
      <c r="K68" s="65" t="s">
        <v>22</v>
      </c>
    </row>
    <row r="69" spans="1:11">
      <c r="A69" s="69"/>
    </row>
    <row r="70" spans="1:11">
      <c r="A70" s="64" t="s">
        <v>1865</v>
      </c>
    </row>
    <row r="71" spans="1:11">
      <c r="A71" s="195" t="s">
        <v>1050</v>
      </c>
    </row>
  </sheetData>
  <mergeCells count="13">
    <mergeCell ref="A2:A4"/>
    <mergeCell ref="N2:N3"/>
    <mergeCell ref="D4:G4"/>
    <mergeCell ref="H4:K4"/>
    <mergeCell ref="O2:Q2"/>
    <mergeCell ref="N4:Q4"/>
    <mergeCell ref="M2:M3"/>
    <mergeCell ref="H2:H3"/>
    <mergeCell ref="I2:K2"/>
    <mergeCell ref="D2:D3"/>
    <mergeCell ref="E2:G2"/>
    <mergeCell ref="B2:B3"/>
    <mergeCell ref="C2:C3"/>
  </mergeCells>
  <pageMargins left="0.70866141732283472" right="0.70866141732283472" top="0.74803149606299213" bottom="0.74803149606299213" header="0.31496062992125984" footer="0.31496062992125984"/>
  <pageSetup scale="70" orientation="portrait" horizontalDpi="0" verticalDpi="0" r:id="rId1"/>
</worksheet>
</file>

<file path=xl/worksheets/sheet11.xml><?xml version="1.0" encoding="utf-8"?>
<worksheet xmlns="http://schemas.openxmlformats.org/spreadsheetml/2006/main" xmlns:r="http://schemas.openxmlformats.org/officeDocument/2006/relationships">
  <sheetPr codeName="Sheet11"/>
  <dimension ref="A1:AK116"/>
  <sheetViews>
    <sheetView view="pageBreakPre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3.28515625" style="64" customWidth="1"/>
    <col min="2" max="2" width="18.5703125" style="64" customWidth="1"/>
    <col min="3" max="5" width="10" style="64" customWidth="1"/>
    <col min="6" max="7" width="12" style="64" customWidth="1"/>
    <col min="8" max="8" width="10.85546875" style="64" customWidth="1"/>
    <col min="9" max="9" width="11.85546875" style="64" customWidth="1"/>
    <col min="10" max="10" width="11.42578125" style="64" customWidth="1"/>
    <col min="11" max="11" width="12.28515625" style="64" customWidth="1"/>
    <col min="12" max="12" width="10" style="64" customWidth="1"/>
    <col min="13" max="13" width="13.42578125" style="64" customWidth="1"/>
    <col min="14" max="14" width="12.28515625" style="64" customWidth="1"/>
    <col min="15" max="15" width="12.85546875" style="64" customWidth="1"/>
    <col min="16" max="17" width="10" style="64" customWidth="1"/>
    <col min="18" max="22" width="9.140625" style="64" hidden="1" customWidth="1" outlineLevel="1"/>
    <col min="23" max="23" width="9.85546875" style="64" hidden="1" customWidth="1" outlineLevel="1"/>
    <col min="24" max="24" width="10" style="64" hidden="1" customWidth="1" outlineLevel="1"/>
    <col min="25" max="25" width="9.140625" style="64" hidden="1" customWidth="1" outlineLevel="1"/>
    <col min="26" max="26" width="10.7109375" style="64" hidden="1" customWidth="1" outlineLevel="1"/>
    <col min="27" max="27" width="10.140625" style="64" hidden="1" customWidth="1" outlineLevel="1"/>
    <col min="28" max="28" width="11.140625" style="64" hidden="1" customWidth="1" outlineLevel="1"/>
    <col min="29" max="31" width="9.140625" style="64" hidden="1" customWidth="1" outlineLevel="1"/>
    <col min="32" max="32" width="9.140625" style="64" collapsed="1"/>
    <col min="33" max="16384" width="9.140625" style="64"/>
  </cols>
  <sheetData>
    <row r="1" spans="1:37">
      <c r="A1" s="282" t="s">
        <v>1950</v>
      </c>
      <c r="B1" s="282"/>
      <c r="C1" s="282"/>
      <c r="D1" s="282"/>
      <c r="E1" s="282"/>
      <c r="F1" s="282"/>
      <c r="G1" s="282"/>
      <c r="H1" s="282"/>
      <c r="I1" s="282"/>
      <c r="J1" s="282"/>
      <c r="K1" s="282"/>
      <c r="L1" s="282"/>
      <c r="M1" s="282"/>
      <c r="N1" s="282"/>
      <c r="O1" s="282"/>
      <c r="P1" s="132"/>
      <c r="Q1" s="132"/>
      <c r="R1" s="132"/>
      <c r="S1" s="132"/>
      <c r="T1" s="132"/>
      <c r="U1" s="132"/>
      <c r="V1" s="132"/>
      <c r="W1" s="132"/>
      <c r="X1" s="132"/>
      <c r="Y1" s="132"/>
      <c r="Z1" s="132"/>
      <c r="AA1" s="132"/>
      <c r="AB1" s="132"/>
      <c r="AC1" s="132"/>
      <c r="AD1" s="132"/>
    </row>
    <row r="2" spans="1:37" ht="30" customHeight="1">
      <c r="A2" s="96"/>
      <c r="B2" s="123" t="s">
        <v>1648</v>
      </c>
      <c r="C2" s="94" t="s">
        <v>1138</v>
      </c>
      <c r="D2" s="94"/>
      <c r="E2" s="94"/>
      <c r="F2" s="94"/>
      <c r="G2" s="94"/>
      <c r="H2" s="94"/>
      <c r="I2" s="94"/>
      <c r="J2" s="94" t="s">
        <v>1139</v>
      </c>
      <c r="K2" s="94"/>
      <c r="L2" s="94"/>
      <c r="M2" s="94" t="s">
        <v>1140</v>
      </c>
      <c r="N2" s="94"/>
      <c r="O2" s="94"/>
      <c r="P2" s="234"/>
      <c r="Q2" s="234"/>
      <c r="R2" s="230" t="s">
        <v>1138</v>
      </c>
      <c r="S2" s="230"/>
      <c r="T2" s="230"/>
      <c r="U2" s="230"/>
      <c r="V2" s="230"/>
      <c r="W2" s="230"/>
      <c r="X2" s="230"/>
      <c r="Y2" s="230" t="s">
        <v>1139</v>
      </c>
      <c r="Z2" s="230"/>
      <c r="AA2" s="230"/>
      <c r="AB2" s="230" t="s">
        <v>1140</v>
      </c>
      <c r="AC2" s="230"/>
      <c r="AD2" s="230"/>
      <c r="AE2" s="70"/>
      <c r="AF2" s="70"/>
    </row>
    <row r="3" spans="1:37" ht="120">
      <c r="A3" s="96"/>
      <c r="B3" s="126"/>
      <c r="C3" s="72" t="s">
        <v>1141</v>
      </c>
      <c r="D3" s="73" t="s">
        <v>1142</v>
      </c>
      <c r="E3" s="73" t="s">
        <v>1143</v>
      </c>
      <c r="F3" s="73" t="s">
        <v>1144</v>
      </c>
      <c r="G3" s="73" t="s">
        <v>1145</v>
      </c>
      <c r="H3" s="73" t="s">
        <v>1146</v>
      </c>
      <c r="I3" s="73" t="s">
        <v>1147</v>
      </c>
      <c r="J3" s="72" t="s">
        <v>1148</v>
      </c>
      <c r="K3" s="73" t="s">
        <v>1149</v>
      </c>
      <c r="L3" s="73" t="s">
        <v>1150</v>
      </c>
      <c r="M3" s="72" t="s">
        <v>1151</v>
      </c>
      <c r="N3" s="73" t="s">
        <v>1152</v>
      </c>
      <c r="O3" s="73" t="s">
        <v>1153</v>
      </c>
      <c r="P3" s="234"/>
      <c r="Q3" s="234"/>
      <c r="R3" s="41" t="s">
        <v>1141</v>
      </c>
      <c r="S3" s="62" t="s">
        <v>1142</v>
      </c>
      <c r="T3" s="62" t="s">
        <v>1143</v>
      </c>
      <c r="U3" s="62" t="s">
        <v>1144</v>
      </c>
      <c r="V3" s="62" t="s">
        <v>1145</v>
      </c>
      <c r="W3" s="62" t="s">
        <v>1146</v>
      </c>
      <c r="X3" s="62" t="s">
        <v>1147</v>
      </c>
      <c r="Y3" s="41" t="s">
        <v>1148</v>
      </c>
      <c r="Z3" s="62" t="s">
        <v>1149</v>
      </c>
      <c r="AA3" s="62" t="s">
        <v>1150</v>
      </c>
      <c r="AB3" s="41" t="s">
        <v>1151</v>
      </c>
      <c r="AC3" s="62" t="s">
        <v>1152</v>
      </c>
      <c r="AD3" s="62" t="s">
        <v>1153</v>
      </c>
      <c r="AE3" s="70"/>
      <c r="AF3" s="70"/>
      <c r="AH3" s="72"/>
      <c r="AI3" s="72"/>
      <c r="AJ3" s="72"/>
    </row>
    <row r="4" spans="1:37" hidden="1" outlineLevel="1">
      <c r="B4" s="135"/>
    </row>
    <row r="5" spans="1:37" collapsed="1">
      <c r="A5" s="66">
        <v>1981</v>
      </c>
      <c r="B5" s="115">
        <f>AVERAGE(M5,J5,C5)</f>
        <v>100</v>
      </c>
      <c r="C5" s="115">
        <f>R5/R$5*100</f>
        <v>100</v>
      </c>
      <c r="D5" s="115">
        <f>S5/S$5*100</f>
        <v>100</v>
      </c>
      <c r="E5" s="115">
        <f>T5/T$5*100</f>
        <v>100</v>
      </c>
      <c r="F5" s="29" t="s">
        <v>22</v>
      </c>
      <c r="G5" s="29" t="s">
        <v>22</v>
      </c>
      <c r="H5" s="115">
        <f t="shared" ref="H5:H31" si="0">W5/W$5*100</f>
        <v>100</v>
      </c>
      <c r="I5" s="115">
        <f t="shared" ref="I5:I31" si="1">X5/X$5*100</f>
        <v>100</v>
      </c>
      <c r="J5" s="115">
        <f>Y5/Y$5*100</f>
        <v>100</v>
      </c>
      <c r="K5" s="115">
        <f t="shared" ref="K5:K31" si="2">Z5/Z$5*100</f>
        <v>100</v>
      </c>
      <c r="L5" s="115">
        <f t="shared" ref="L5:L31" si="3">AA5/AA$5*100</f>
        <v>100</v>
      </c>
      <c r="M5" s="115">
        <f t="shared" ref="M5:M31" si="4">AB5/AB$5*100</f>
        <v>100</v>
      </c>
      <c r="N5" s="115">
        <f t="shared" ref="N5:N31" si="5">AC5/AC$5*100</f>
        <v>100</v>
      </c>
      <c r="O5" s="115">
        <f t="shared" ref="O5:O31" si="6">AD5/AD$5*100</f>
        <v>100</v>
      </c>
      <c r="P5" s="66"/>
      <c r="Q5" s="66"/>
      <c r="R5" s="64">
        <v>50.2</v>
      </c>
      <c r="S5" s="64">
        <v>50.2</v>
      </c>
      <c r="T5" s="64">
        <v>46.6</v>
      </c>
      <c r="W5" s="64">
        <v>57</v>
      </c>
      <c r="X5" s="64">
        <v>47.5</v>
      </c>
      <c r="Y5" s="64">
        <v>52.3</v>
      </c>
      <c r="Z5" s="64">
        <v>55.9</v>
      </c>
      <c r="AA5" s="64">
        <v>50.8</v>
      </c>
      <c r="AB5" s="64">
        <v>62</v>
      </c>
      <c r="AC5" s="64">
        <v>54.3</v>
      </c>
      <c r="AD5" s="64">
        <v>70.3</v>
      </c>
    </row>
    <row r="6" spans="1:37">
      <c r="A6" s="66">
        <v>1982</v>
      </c>
      <c r="B6" s="115">
        <f t="shared" ref="B6:B31" si="7">AVERAGE(M6,J6,C6)</f>
        <v>97.620108599095261</v>
      </c>
      <c r="C6" s="115">
        <f t="shared" ref="C6:C31" si="8">R6/R$5*100</f>
        <v>97.21115537848604</v>
      </c>
      <c r="D6" s="115">
        <f t="shared" ref="D6:D31" si="9">S6/S$5*100</f>
        <v>96.812749003984067</v>
      </c>
      <c r="E6" s="115">
        <f t="shared" ref="E6:E31" si="10">T6/T$5*100</f>
        <v>103.21888412017168</v>
      </c>
      <c r="F6" s="29" t="s">
        <v>22</v>
      </c>
      <c r="G6" s="29" t="s">
        <v>22</v>
      </c>
      <c r="H6" s="115">
        <f t="shared" si="0"/>
        <v>98.596491228070178</v>
      </c>
      <c r="I6" s="115">
        <f t="shared" si="1"/>
        <v>96.631578947368411</v>
      </c>
      <c r="J6" s="115">
        <f t="shared" ref="J6:J31" si="11">Y6/Y$5*100</f>
        <v>91.778202676864254</v>
      </c>
      <c r="K6" s="115">
        <f t="shared" si="2"/>
        <v>96.958855098389989</v>
      </c>
      <c r="L6" s="115">
        <f t="shared" si="3"/>
        <v>89.566929133858281</v>
      </c>
      <c r="M6" s="115">
        <f t="shared" si="4"/>
        <v>103.87096774193549</v>
      </c>
      <c r="N6" s="115">
        <f t="shared" si="5"/>
        <v>105.34069981583795</v>
      </c>
      <c r="O6" s="115">
        <f t="shared" si="6"/>
        <v>102.70270270270272</v>
      </c>
      <c r="P6" s="66"/>
      <c r="Q6" s="66"/>
      <c r="R6" s="64">
        <v>48.8</v>
      </c>
      <c r="S6" s="64">
        <v>48.6</v>
      </c>
      <c r="T6" s="64">
        <v>48.1</v>
      </c>
      <c r="W6" s="64">
        <v>56.2</v>
      </c>
      <c r="X6" s="64">
        <v>45.9</v>
      </c>
      <c r="Y6" s="64">
        <v>48</v>
      </c>
      <c r="Z6" s="64">
        <v>54.2</v>
      </c>
      <c r="AA6" s="64">
        <v>45.5</v>
      </c>
      <c r="AB6" s="64">
        <v>64.400000000000006</v>
      </c>
      <c r="AC6" s="64">
        <v>57.2</v>
      </c>
      <c r="AD6" s="64">
        <v>72.2</v>
      </c>
    </row>
    <row r="7" spans="1:37">
      <c r="A7" s="66">
        <v>1983</v>
      </c>
      <c r="B7" s="115">
        <f t="shared" si="7"/>
        <v>107.30185080111717</v>
      </c>
      <c r="C7" s="115">
        <f t="shared" si="8"/>
        <v>118.92430278884463</v>
      </c>
      <c r="D7" s="115">
        <f t="shared" si="9"/>
        <v>119.52191235059759</v>
      </c>
      <c r="E7" s="115">
        <f t="shared" si="10"/>
        <v>107.72532188841201</v>
      </c>
      <c r="F7" s="29" t="s">
        <v>22</v>
      </c>
      <c r="G7" s="29" t="s">
        <v>22</v>
      </c>
      <c r="H7" s="115">
        <f t="shared" si="0"/>
        <v>120.17543859649122</v>
      </c>
      <c r="I7" s="115">
        <f t="shared" si="1"/>
        <v>121.68421052631577</v>
      </c>
      <c r="J7" s="115">
        <f t="shared" si="11"/>
        <v>101.52963671128109</v>
      </c>
      <c r="K7" s="115">
        <f t="shared" si="2"/>
        <v>102.14669051878356</v>
      </c>
      <c r="L7" s="115">
        <f t="shared" si="3"/>
        <v>101.18110236220473</v>
      </c>
      <c r="M7" s="115">
        <f t="shared" si="4"/>
        <v>101.45161290322579</v>
      </c>
      <c r="N7" s="115">
        <f t="shared" si="5"/>
        <v>110.86556169429099</v>
      </c>
      <c r="O7" s="115">
        <f t="shared" si="6"/>
        <v>93.883357041251784</v>
      </c>
      <c r="P7" s="66"/>
      <c r="Q7" s="66"/>
      <c r="R7" s="64">
        <v>59.7</v>
      </c>
      <c r="S7" s="64">
        <v>60</v>
      </c>
      <c r="T7" s="64">
        <v>50.2</v>
      </c>
      <c r="W7" s="64">
        <v>68.5</v>
      </c>
      <c r="X7" s="64">
        <v>57.8</v>
      </c>
      <c r="Y7" s="64">
        <v>53.1</v>
      </c>
      <c r="Z7" s="64">
        <v>57.1</v>
      </c>
      <c r="AA7" s="64">
        <v>51.4</v>
      </c>
      <c r="AB7" s="64">
        <v>62.9</v>
      </c>
      <c r="AC7" s="64">
        <v>60.2</v>
      </c>
      <c r="AD7" s="64">
        <v>66</v>
      </c>
    </row>
    <row r="8" spans="1:37">
      <c r="A8" s="66">
        <v>1984</v>
      </c>
      <c r="B8" s="115">
        <f t="shared" si="7"/>
        <v>104.6409440262757</v>
      </c>
      <c r="C8" s="115">
        <f t="shared" si="8"/>
        <v>111.95219123505976</v>
      </c>
      <c r="D8" s="115">
        <f t="shared" si="9"/>
        <v>111.95219123505976</v>
      </c>
      <c r="E8" s="115">
        <f t="shared" si="10"/>
        <v>111.15879828326179</v>
      </c>
      <c r="F8" s="29" t="s">
        <v>22</v>
      </c>
      <c r="G8" s="29" t="s">
        <v>22</v>
      </c>
      <c r="H8" s="115">
        <f t="shared" si="0"/>
        <v>116.14035087719299</v>
      </c>
      <c r="I8" s="115">
        <f t="shared" si="1"/>
        <v>111.1578947368421</v>
      </c>
      <c r="J8" s="115">
        <f t="shared" si="11"/>
        <v>97.131931166347997</v>
      </c>
      <c r="K8" s="115">
        <f t="shared" si="2"/>
        <v>106.26118067978534</v>
      </c>
      <c r="L8" s="115">
        <f t="shared" si="3"/>
        <v>93.110236220472444</v>
      </c>
      <c r="M8" s="115">
        <f t="shared" si="4"/>
        <v>104.83870967741935</v>
      </c>
      <c r="N8" s="115">
        <f t="shared" si="5"/>
        <v>115.46961325966851</v>
      </c>
      <c r="O8" s="115">
        <f t="shared" si="6"/>
        <v>96.159317211948789</v>
      </c>
      <c r="P8" s="66"/>
      <c r="Q8" s="66"/>
      <c r="R8" s="64">
        <v>56.2</v>
      </c>
      <c r="S8" s="64">
        <v>56.2</v>
      </c>
      <c r="T8" s="64">
        <v>51.8</v>
      </c>
      <c r="W8" s="64">
        <v>66.2</v>
      </c>
      <c r="X8" s="64">
        <v>52.8</v>
      </c>
      <c r="Y8" s="64">
        <v>50.8</v>
      </c>
      <c r="Z8" s="64">
        <v>59.4</v>
      </c>
      <c r="AA8" s="64">
        <v>47.3</v>
      </c>
      <c r="AB8" s="64">
        <v>65</v>
      </c>
      <c r="AC8" s="64">
        <v>62.7</v>
      </c>
      <c r="AD8" s="64">
        <v>67.599999999999994</v>
      </c>
    </row>
    <row r="9" spans="1:37">
      <c r="A9" s="66">
        <v>1985</v>
      </c>
      <c r="B9" s="115">
        <f t="shared" si="7"/>
        <v>107.16374453664606</v>
      </c>
      <c r="C9" s="115">
        <f t="shared" si="8"/>
        <v>114.1434262948207</v>
      </c>
      <c r="D9" s="115">
        <f t="shared" si="9"/>
        <v>113.94422310756973</v>
      </c>
      <c r="E9" s="115">
        <f t="shared" si="10"/>
        <v>117.16738197424891</v>
      </c>
      <c r="F9" s="29" t="s">
        <v>22</v>
      </c>
      <c r="G9" s="29" t="s">
        <v>22</v>
      </c>
      <c r="H9" s="115">
        <f t="shared" si="0"/>
        <v>113.1578947368421</v>
      </c>
      <c r="I9" s="115">
        <f t="shared" si="1"/>
        <v>113.05263157894738</v>
      </c>
      <c r="J9" s="115">
        <f t="shared" si="11"/>
        <v>100.57361376673042</v>
      </c>
      <c r="K9" s="115">
        <f t="shared" si="2"/>
        <v>103.39892665474059</v>
      </c>
      <c r="L9" s="115">
        <f t="shared" si="3"/>
        <v>99.212598425196859</v>
      </c>
      <c r="M9" s="115">
        <f t="shared" si="4"/>
        <v>106.7741935483871</v>
      </c>
      <c r="N9" s="115">
        <f t="shared" si="5"/>
        <v>120.07366482504605</v>
      </c>
      <c r="O9" s="115">
        <f t="shared" si="6"/>
        <v>95.732574679943099</v>
      </c>
      <c r="P9" s="66"/>
      <c r="Q9" s="66"/>
      <c r="R9" s="64">
        <v>57.3</v>
      </c>
      <c r="S9" s="64">
        <v>57.2</v>
      </c>
      <c r="T9" s="64">
        <v>54.6</v>
      </c>
      <c r="W9" s="64">
        <v>64.5</v>
      </c>
      <c r="X9" s="64">
        <v>53.7</v>
      </c>
      <c r="Y9" s="64">
        <v>52.6</v>
      </c>
      <c r="Z9" s="64">
        <v>57.8</v>
      </c>
      <c r="AA9" s="64">
        <v>50.4</v>
      </c>
      <c r="AB9" s="64">
        <v>66.2</v>
      </c>
      <c r="AC9" s="64">
        <v>65.2</v>
      </c>
      <c r="AD9" s="64">
        <v>67.3</v>
      </c>
    </row>
    <row r="10" spans="1:37">
      <c r="A10" s="66">
        <v>1986</v>
      </c>
      <c r="B10" s="115">
        <f t="shared" si="7"/>
        <v>118.13438284117585</v>
      </c>
      <c r="C10" s="115">
        <f t="shared" si="8"/>
        <v>126.09561752988046</v>
      </c>
      <c r="D10" s="115">
        <f t="shared" si="9"/>
        <v>126.29482071713147</v>
      </c>
      <c r="E10" s="115">
        <f t="shared" si="10"/>
        <v>120.81545064377681</v>
      </c>
      <c r="F10" s="29" t="s">
        <v>22</v>
      </c>
      <c r="G10" s="29" t="s">
        <v>22</v>
      </c>
      <c r="H10" s="115">
        <f t="shared" si="0"/>
        <v>123.33333333333334</v>
      </c>
      <c r="I10" s="115">
        <f t="shared" si="1"/>
        <v>127.36842105263158</v>
      </c>
      <c r="J10" s="115">
        <f t="shared" si="11"/>
        <v>117.01720841300191</v>
      </c>
      <c r="K10" s="115">
        <f t="shared" si="2"/>
        <v>108.76565295169947</v>
      </c>
      <c r="L10" s="115">
        <f t="shared" si="3"/>
        <v>120.66929133858268</v>
      </c>
      <c r="M10" s="115">
        <f t="shared" si="4"/>
        <v>111.29032258064515</v>
      </c>
      <c r="N10" s="115">
        <f t="shared" si="5"/>
        <v>125.59852670349909</v>
      </c>
      <c r="O10" s="115">
        <f t="shared" si="6"/>
        <v>99.288762446657188</v>
      </c>
      <c r="P10" s="66"/>
      <c r="Q10" s="66"/>
      <c r="R10" s="64">
        <v>63.3</v>
      </c>
      <c r="S10" s="64">
        <v>63.4</v>
      </c>
      <c r="T10" s="64">
        <v>56.3</v>
      </c>
      <c r="W10" s="64">
        <v>70.3</v>
      </c>
      <c r="X10" s="64">
        <v>60.5</v>
      </c>
      <c r="Y10" s="64">
        <v>61.2</v>
      </c>
      <c r="Z10" s="64">
        <v>60.8</v>
      </c>
      <c r="AA10" s="64">
        <v>61.3</v>
      </c>
      <c r="AB10" s="64">
        <v>69</v>
      </c>
      <c r="AC10" s="64">
        <v>68.2</v>
      </c>
      <c r="AD10" s="64">
        <v>69.8</v>
      </c>
    </row>
    <row r="11" spans="1:37">
      <c r="A11" s="66">
        <v>1987</v>
      </c>
      <c r="B11" s="115">
        <f>AVERAGE(M11,J11,C11)</f>
        <v>120.48521717320772</v>
      </c>
      <c r="C11" s="115">
        <f>R11/R$5*100</f>
        <v>124.70119521912351</v>
      </c>
      <c r="D11" s="115">
        <f t="shared" si="9"/>
        <v>124.90039840637451</v>
      </c>
      <c r="E11" s="115">
        <f t="shared" si="10"/>
        <v>122.74678111587983</v>
      </c>
      <c r="F11" s="29" t="s">
        <v>22</v>
      </c>
      <c r="G11" s="29" t="s">
        <v>22</v>
      </c>
      <c r="H11" s="115">
        <f t="shared" si="0"/>
        <v>122.80701754385966</v>
      </c>
      <c r="I11" s="115">
        <f t="shared" si="1"/>
        <v>125.89473684210526</v>
      </c>
      <c r="J11" s="115">
        <f t="shared" si="11"/>
        <v>117.39961759082217</v>
      </c>
      <c r="K11" s="115">
        <f t="shared" si="2"/>
        <v>113.77459749552774</v>
      </c>
      <c r="L11" s="115">
        <f t="shared" si="3"/>
        <v>117.71653543307086</v>
      </c>
      <c r="M11" s="115">
        <f t="shared" si="4"/>
        <v>119.35483870967742</v>
      </c>
      <c r="N11" s="115">
        <f t="shared" si="5"/>
        <v>134.25414364640886</v>
      </c>
      <c r="O11" s="115">
        <f t="shared" si="6"/>
        <v>106.97012802275961</v>
      </c>
      <c r="P11" s="66"/>
      <c r="Q11" s="66"/>
      <c r="R11" s="64">
        <v>62.6</v>
      </c>
      <c r="S11" s="64">
        <v>62.7</v>
      </c>
      <c r="T11" s="64">
        <v>57.2</v>
      </c>
      <c r="W11" s="64">
        <v>70</v>
      </c>
      <c r="X11" s="64">
        <v>59.8</v>
      </c>
      <c r="Y11" s="64">
        <v>61.4</v>
      </c>
      <c r="Z11" s="64">
        <v>63.6</v>
      </c>
      <c r="AA11" s="64">
        <v>59.8</v>
      </c>
      <c r="AB11" s="64">
        <v>74</v>
      </c>
      <c r="AC11" s="64">
        <v>72.900000000000006</v>
      </c>
      <c r="AD11" s="64">
        <v>75.2</v>
      </c>
    </row>
    <row r="12" spans="1:37">
      <c r="A12" s="66">
        <v>1988</v>
      </c>
      <c r="B12" s="115">
        <f t="shared" si="7"/>
        <v>121.54835580681448</v>
      </c>
      <c r="C12" s="115">
        <f t="shared" si="8"/>
        <v>124.70119521912351</v>
      </c>
      <c r="D12" s="115">
        <f t="shared" si="9"/>
        <v>124.70119521912351</v>
      </c>
      <c r="E12" s="115">
        <f t="shared" si="10"/>
        <v>124.89270386266094</v>
      </c>
      <c r="F12" s="29" t="s">
        <v>22</v>
      </c>
      <c r="G12" s="29" t="s">
        <v>22</v>
      </c>
      <c r="H12" s="115">
        <f t="shared" si="0"/>
        <v>126.84210526315789</v>
      </c>
      <c r="I12" s="115">
        <f t="shared" si="1"/>
        <v>127.1578947368421</v>
      </c>
      <c r="J12" s="115">
        <f t="shared" si="11"/>
        <v>115.10516252390059</v>
      </c>
      <c r="K12" s="115">
        <f t="shared" si="2"/>
        <v>114.49016100178891</v>
      </c>
      <c r="L12" s="115">
        <f t="shared" si="3"/>
        <v>113.58267716535435</v>
      </c>
      <c r="M12" s="115">
        <f t="shared" si="4"/>
        <v>124.83870967741937</v>
      </c>
      <c r="N12" s="115">
        <f t="shared" si="5"/>
        <v>137.93738489871089</v>
      </c>
      <c r="O12" s="115">
        <f t="shared" si="6"/>
        <v>113.65576102418208</v>
      </c>
      <c r="P12" s="66"/>
      <c r="Q12" s="66"/>
      <c r="R12" s="64">
        <v>62.6</v>
      </c>
      <c r="S12" s="64">
        <v>62.6</v>
      </c>
      <c r="T12" s="64">
        <v>58.2</v>
      </c>
      <c r="W12" s="64">
        <v>72.3</v>
      </c>
      <c r="X12" s="64">
        <v>60.4</v>
      </c>
      <c r="Y12" s="64">
        <v>60.2</v>
      </c>
      <c r="Z12" s="64">
        <v>64</v>
      </c>
      <c r="AA12" s="64">
        <v>57.7</v>
      </c>
      <c r="AB12" s="64">
        <v>77.400000000000006</v>
      </c>
      <c r="AC12" s="64">
        <v>74.900000000000006</v>
      </c>
      <c r="AD12" s="64">
        <v>79.900000000000006</v>
      </c>
    </row>
    <row r="13" spans="1:37">
      <c r="A13" s="66">
        <v>1989</v>
      </c>
      <c r="B13" s="115">
        <f t="shared" si="7"/>
        <v>127.01430712930262</v>
      </c>
      <c r="C13" s="115">
        <f t="shared" si="8"/>
        <v>125.69721115537848</v>
      </c>
      <c r="D13" s="115">
        <f t="shared" si="9"/>
        <v>125.4980079681275</v>
      </c>
      <c r="E13" s="115">
        <f t="shared" si="10"/>
        <v>130.68669527896995</v>
      </c>
      <c r="F13" s="29" t="s">
        <v>22</v>
      </c>
      <c r="G13" s="29" t="s">
        <v>22</v>
      </c>
      <c r="H13" s="115">
        <f t="shared" si="0"/>
        <v>123.33333333333334</v>
      </c>
      <c r="I13" s="115">
        <f t="shared" si="1"/>
        <v>127.57894736842105</v>
      </c>
      <c r="J13" s="115">
        <f t="shared" si="11"/>
        <v>121.79732313575526</v>
      </c>
      <c r="K13" s="115">
        <f t="shared" si="2"/>
        <v>113.05903398926655</v>
      </c>
      <c r="L13" s="115">
        <f t="shared" si="3"/>
        <v>125.78740157480314</v>
      </c>
      <c r="M13" s="115">
        <f t="shared" si="4"/>
        <v>133.54838709677418</v>
      </c>
      <c r="N13" s="115">
        <f t="shared" si="5"/>
        <v>145.30386740331494</v>
      </c>
      <c r="O13" s="115">
        <f t="shared" si="6"/>
        <v>123.18634423897581</v>
      </c>
      <c r="P13" s="66"/>
      <c r="Q13" s="66"/>
      <c r="R13" s="64">
        <v>63.1</v>
      </c>
      <c r="S13" s="64">
        <v>63</v>
      </c>
      <c r="T13" s="64">
        <v>60.9</v>
      </c>
      <c r="W13" s="64">
        <v>70.3</v>
      </c>
      <c r="X13" s="64">
        <v>60.6</v>
      </c>
      <c r="Y13" s="64">
        <v>63.7</v>
      </c>
      <c r="Z13" s="64">
        <v>63.2</v>
      </c>
      <c r="AA13" s="64">
        <v>63.9</v>
      </c>
      <c r="AB13" s="64">
        <v>82.8</v>
      </c>
      <c r="AC13" s="64">
        <v>78.900000000000006</v>
      </c>
      <c r="AD13" s="64">
        <v>86.6</v>
      </c>
      <c r="AH13" s="139"/>
      <c r="AI13" s="139"/>
      <c r="AJ13" s="139"/>
      <c r="AK13" s="139"/>
    </row>
    <row r="14" spans="1:37">
      <c r="A14" s="66">
        <v>1990</v>
      </c>
      <c r="B14" s="115">
        <f t="shared" si="7"/>
        <v>125.24079589862349</v>
      </c>
      <c r="C14" s="115">
        <f t="shared" si="8"/>
        <v>123.70517928286853</v>
      </c>
      <c r="D14" s="115">
        <f t="shared" si="9"/>
        <v>122.70916334661355</v>
      </c>
      <c r="E14" s="115">
        <f t="shared" si="10"/>
        <v>140.12875536480686</v>
      </c>
      <c r="F14" s="29" t="s">
        <v>22</v>
      </c>
      <c r="G14" s="29" t="s">
        <v>22</v>
      </c>
      <c r="H14" s="115">
        <f t="shared" si="0"/>
        <v>118.94736842105263</v>
      </c>
      <c r="I14" s="115">
        <f t="shared" si="1"/>
        <v>125.05263157894737</v>
      </c>
      <c r="J14" s="115">
        <f t="shared" si="11"/>
        <v>117.01720841300191</v>
      </c>
      <c r="K14" s="115">
        <f t="shared" si="2"/>
        <v>115.56350626118068</v>
      </c>
      <c r="L14" s="115">
        <f t="shared" si="3"/>
        <v>115.94488188976378</v>
      </c>
      <c r="M14" s="115">
        <f t="shared" si="4"/>
        <v>135</v>
      </c>
      <c r="N14" s="115">
        <f t="shared" si="5"/>
        <v>150.09208103130754</v>
      </c>
      <c r="O14" s="115">
        <f t="shared" si="6"/>
        <v>122.33285917496444</v>
      </c>
      <c r="P14" s="66"/>
      <c r="Q14" s="66"/>
      <c r="R14" s="64">
        <v>62.1</v>
      </c>
      <c r="S14" s="64">
        <v>61.6</v>
      </c>
      <c r="T14" s="64">
        <v>65.3</v>
      </c>
      <c r="W14" s="64">
        <v>67.8</v>
      </c>
      <c r="X14" s="64">
        <v>59.4</v>
      </c>
      <c r="Y14" s="64">
        <v>61.2</v>
      </c>
      <c r="Z14" s="64">
        <v>64.599999999999994</v>
      </c>
      <c r="AA14" s="64">
        <v>58.9</v>
      </c>
      <c r="AB14" s="64">
        <v>83.7</v>
      </c>
      <c r="AC14" s="64">
        <v>81.5</v>
      </c>
      <c r="AD14" s="64">
        <v>86</v>
      </c>
      <c r="AH14" s="139"/>
      <c r="AI14" s="139"/>
      <c r="AJ14" s="139"/>
      <c r="AK14" s="139"/>
    </row>
    <row r="15" spans="1:37">
      <c r="A15" s="66">
        <v>1991</v>
      </c>
      <c r="B15" s="115">
        <f t="shared" si="7"/>
        <v>123.36940770809316</v>
      </c>
      <c r="C15" s="115">
        <f t="shared" si="8"/>
        <v>122.11155378486053</v>
      </c>
      <c r="D15" s="115">
        <f t="shared" si="9"/>
        <v>120.91633466135458</v>
      </c>
      <c r="E15" s="115">
        <f t="shared" si="10"/>
        <v>142.06008583690988</v>
      </c>
      <c r="F15" s="29" t="s">
        <v>22</v>
      </c>
      <c r="G15" s="29" t="s">
        <v>22</v>
      </c>
      <c r="H15" s="115">
        <f t="shared" si="0"/>
        <v>119.29824561403508</v>
      </c>
      <c r="I15" s="115">
        <f t="shared" si="1"/>
        <v>123.57894736842105</v>
      </c>
      <c r="J15" s="115">
        <f t="shared" si="11"/>
        <v>116.06118546845126</v>
      </c>
      <c r="K15" s="115">
        <f t="shared" si="2"/>
        <v>112.16457960644009</v>
      </c>
      <c r="L15" s="115">
        <f t="shared" si="3"/>
        <v>116.73228346456692</v>
      </c>
      <c r="M15" s="115">
        <f t="shared" si="4"/>
        <v>131.93548387096774</v>
      </c>
      <c r="N15" s="115">
        <f t="shared" si="5"/>
        <v>146.40883977900555</v>
      </c>
      <c r="O15" s="115">
        <f t="shared" si="6"/>
        <v>119.48790896159318</v>
      </c>
      <c r="P15" s="66"/>
      <c r="Q15" s="66"/>
      <c r="R15" s="64">
        <v>61.3</v>
      </c>
      <c r="S15" s="64">
        <v>60.7</v>
      </c>
      <c r="T15" s="64">
        <v>66.2</v>
      </c>
      <c r="W15" s="64">
        <v>68</v>
      </c>
      <c r="X15" s="64">
        <v>58.7</v>
      </c>
      <c r="Y15" s="64">
        <v>60.7</v>
      </c>
      <c r="Z15" s="64">
        <v>62.7</v>
      </c>
      <c r="AA15" s="64">
        <v>59.3</v>
      </c>
      <c r="AB15" s="64">
        <v>81.8</v>
      </c>
      <c r="AC15" s="64">
        <v>79.5</v>
      </c>
      <c r="AD15" s="64">
        <v>84</v>
      </c>
      <c r="AH15" s="139"/>
      <c r="AI15" s="139"/>
      <c r="AJ15" s="139"/>
      <c r="AK15" s="139"/>
    </row>
    <row r="16" spans="1:37">
      <c r="A16" s="66">
        <v>1992</v>
      </c>
      <c r="B16" s="115">
        <f t="shared" si="7"/>
        <v>133.40331226339529</v>
      </c>
      <c r="C16" s="115">
        <f t="shared" si="8"/>
        <v>141.43426294820716</v>
      </c>
      <c r="D16" s="115">
        <f t="shared" si="9"/>
        <v>141.43426294820716</v>
      </c>
      <c r="E16" s="115">
        <f t="shared" si="10"/>
        <v>139.69957081545064</v>
      </c>
      <c r="F16" s="29" t="s">
        <v>22</v>
      </c>
      <c r="G16" s="29" t="s">
        <v>22</v>
      </c>
      <c r="H16" s="115">
        <f t="shared" si="0"/>
        <v>130.17543859649123</v>
      </c>
      <c r="I16" s="115">
        <f t="shared" si="1"/>
        <v>149.26315789473685</v>
      </c>
      <c r="J16" s="115">
        <f t="shared" si="11"/>
        <v>126.19502868068835</v>
      </c>
      <c r="K16" s="115">
        <f t="shared" si="2"/>
        <v>114.6690518783542</v>
      </c>
      <c r="L16" s="115">
        <f t="shared" si="3"/>
        <v>131.88976377952756</v>
      </c>
      <c r="M16" s="115">
        <f t="shared" si="4"/>
        <v>132.58064516129033</v>
      </c>
      <c r="N16" s="115">
        <f t="shared" si="5"/>
        <v>144.75138121546962</v>
      </c>
      <c r="O16" s="115">
        <f t="shared" si="6"/>
        <v>121.76386913229018</v>
      </c>
      <c r="P16" s="66"/>
      <c r="Q16" s="66"/>
      <c r="R16" s="64">
        <v>71</v>
      </c>
      <c r="S16" s="64">
        <v>71</v>
      </c>
      <c r="T16" s="64">
        <v>65.099999999999994</v>
      </c>
      <c r="W16" s="64">
        <v>74.2</v>
      </c>
      <c r="X16" s="64">
        <v>70.900000000000006</v>
      </c>
      <c r="Y16" s="64">
        <v>66</v>
      </c>
      <c r="Z16" s="64">
        <v>64.099999999999994</v>
      </c>
      <c r="AA16" s="64">
        <v>67</v>
      </c>
      <c r="AB16" s="64">
        <v>82.2</v>
      </c>
      <c r="AC16" s="64">
        <v>78.599999999999994</v>
      </c>
      <c r="AD16" s="64">
        <v>85.6</v>
      </c>
      <c r="AH16" s="139"/>
      <c r="AI16" s="139"/>
      <c r="AJ16" s="139"/>
      <c r="AK16" s="139"/>
    </row>
    <row r="17" spans="1:37">
      <c r="A17" s="66">
        <v>1993</v>
      </c>
      <c r="B17" s="115">
        <f t="shared" si="7"/>
        <v>163.6274847565883</v>
      </c>
      <c r="C17" s="115">
        <f t="shared" si="8"/>
        <v>198.60557768924303</v>
      </c>
      <c r="D17" s="115">
        <f t="shared" si="9"/>
        <v>200.79681274900398</v>
      </c>
      <c r="E17" s="115">
        <f t="shared" si="10"/>
        <v>149.35622317596565</v>
      </c>
      <c r="F17" s="29" t="s">
        <v>22</v>
      </c>
      <c r="G17" s="29" t="s">
        <v>22</v>
      </c>
      <c r="H17" s="115">
        <f t="shared" si="0"/>
        <v>179.64912280701753</v>
      </c>
      <c r="I17" s="115">
        <f t="shared" si="1"/>
        <v>214.10526315789474</v>
      </c>
      <c r="J17" s="115">
        <f t="shared" si="11"/>
        <v>153.72848948374761</v>
      </c>
      <c r="K17" s="115">
        <f t="shared" si="2"/>
        <v>124.32915921288014</v>
      </c>
      <c r="L17" s="115">
        <f t="shared" si="3"/>
        <v>173.81889763779529</v>
      </c>
      <c r="M17" s="115">
        <f t="shared" si="4"/>
        <v>138.54838709677421</v>
      </c>
      <c r="N17" s="115">
        <f t="shared" si="5"/>
        <v>154.69613259668509</v>
      </c>
      <c r="O17" s="115">
        <f t="shared" si="6"/>
        <v>124.75106685633001</v>
      </c>
      <c r="P17" s="66"/>
      <c r="Q17" s="66"/>
      <c r="R17" s="64">
        <v>99.7</v>
      </c>
      <c r="S17" s="64">
        <v>100.8</v>
      </c>
      <c r="T17" s="64">
        <v>69.599999999999994</v>
      </c>
      <c r="W17" s="64">
        <v>102.4</v>
      </c>
      <c r="X17" s="64">
        <v>101.7</v>
      </c>
      <c r="Y17" s="64">
        <v>80.400000000000006</v>
      </c>
      <c r="Z17" s="64">
        <v>69.5</v>
      </c>
      <c r="AA17" s="64">
        <v>88.3</v>
      </c>
      <c r="AB17" s="64">
        <v>85.9</v>
      </c>
      <c r="AC17" s="64">
        <v>84</v>
      </c>
      <c r="AD17" s="64">
        <v>87.7</v>
      </c>
      <c r="AH17" s="139"/>
      <c r="AI17" s="139"/>
      <c r="AJ17" s="139"/>
      <c r="AK17" s="139"/>
    </row>
    <row r="18" spans="1:37">
      <c r="A18" s="66">
        <v>1994</v>
      </c>
      <c r="B18" s="115">
        <f t="shared" si="7"/>
        <v>182.97472418351018</v>
      </c>
      <c r="C18" s="115">
        <f t="shared" si="8"/>
        <v>226.49402390438246</v>
      </c>
      <c r="D18" s="115">
        <f t="shared" si="9"/>
        <v>228.48605577689241</v>
      </c>
      <c r="E18" s="115">
        <f t="shared" si="10"/>
        <v>177.25321888412014</v>
      </c>
      <c r="F18" s="29" t="s">
        <v>22</v>
      </c>
      <c r="G18" s="29" t="s">
        <v>22</v>
      </c>
      <c r="H18" s="115">
        <f t="shared" si="0"/>
        <v>210.1754385964912</v>
      </c>
      <c r="I18" s="115">
        <f t="shared" si="1"/>
        <v>242.31578947368422</v>
      </c>
      <c r="J18" s="115">
        <f t="shared" si="11"/>
        <v>170.17208413001913</v>
      </c>
      <c r="K18" s="115">
        <f t="shared" si="2"/>
        <v>145.08050089445436</v>
      </c>
      <c r="L18" s="115">
        <f t="shared" si="3"/>
        <v>185.82677165354335</v>
      </c>
      <c r="M18" s="115">
        <f t="shared" si="4"/>
        <v>152.25806451612905</v>
      </c>
      <c r="N18" s="115">
        <f t="shared" si="5"/>
        <v>166.4825046040516</v>
      </c>
      <c r="O18" s="115">
        <f t="shared" si="6"/>
        <v>139.68705547652917</v>
      </c>
      <c r="P18" s="66"/>
      <c r="Q18" s="66"/>
      <c r="R18" s="64">
        <v>113.7</v>
      </c>
      <c r="S18" s="64">
        <v>114.7</v>
      </c>
      <c r="T18" s="64">
        <v>82.6</v>
      </c>
      <c r="W18" s="64">
        <v>119.8</v>
      </c>
      <c r="X18" s="64">
        <v>115.1</v>
      </c>
      <c r="Y18" s="64">
        <v>89</v>
      </c>
      <c r="Z18" s="64">
        <v>81.099999999999994</v>
      </c>
      <c r="AA18" s="64">
        <v>94.4</v>
      </c>
      <c r="AB18" s="64">
        <v>94.4</v>
      </c>
      <c r="AC18" s="64">
        <v>90.4</v>
      </c>
      <c r="AD18" s="64">
        <v>98.2</v>
      </c>
      <c r="AH18" s="139"/>
      <c r="AI18" s="139"/>
      <c r="AJ18" s="139"/>
      <c r="AK18" s="139"/>
    </row>
    <row r="19" spans="1:37">
      <c r="A19" s="66">
        <v>1995</v>
      </c>
      <c r="B19" s="115">
        <f t="shared" si="7"/>
        <v>181.84240525101222</v>
      </c>
      <c r="C19" s="115">
        <f t="shared" si="8"/>
        <v>192.03187250996018</v>
      </c>
      <c r="D19" s="115">
        <f t="shared" si="9"/>
        <v>191.83266932270914</v>
      </c>
      <c r="E19" s="115">
        <f t="shared" si="10"/>
        <v>193.56223175965667</v>
      </c>
      <c r="F19" s="29" t="s">
        <v>22</v>
      </c>
      <c r="G19" s="29" t="s">
        <v>22</v>
      </c>
      <c r="H19" s="115">
        <f t="shared" si="0"/>
        <v>173.50877192982458</v>
      </c>
      <c r="I19" s="115">
        <f t="shared" si="1"/>
        <v>204.21052631578948</v>
      </c>
      <c r="J19" s="115">
        <f t="shared" si="11"/>
        <v>178.0114722753346</v>
      </c>
      <c r="K19" s="115">
        <f t="shared" si="2"/>
        <v>164.0429338103757</v>
      </c>
      <c r="L19" s="115">
        <f t="shared" si="3"/>
        <v>184.05511811023624</v>
      </c>
      <c r="M19" s="115">
        <f t="shared" si="4"/>
        <v>175.48387096774195</v>
      </c>
      <c r="N19" s="115">
        <f t="shared" si="5"/>
        <v>168.69244935543279</v>
      </c>
      <c r="O19" s="115">
        <f t="shared" si="6"/>
        <v>179.37411095305833</v>
      </c>
      <c r="P19" s="66"/>
      <c r="Q19" s="66"/>
      <c r="R19" s="64">
        <v>96.4</v>
      </c>
      <c r="S19" s="64">
        <v>96.3</v>
      </c>
      <c r="T19" s="64">
        <v>90.2</v>
      </c>
      <c r="W19" s="64">
        <v>98.9</v>
      </c>
      <c r="X19" s="64">
        <v>97</v>
      </c>
      <c r="Y19" s="64">
        <v>93.1</v>
      </c>
      <c r="Z19" s="64">
        <v>91.7</v>
      </c>
      <c r="AA19" s="64">
        <v>93.5</v>
      </c>
      <c r="AB19" s="64">
        <v>108.8</v>
      </c>
      <c r="AC19" s="64">
        <v>91.6</v>
      </c>
      <c r="AD19" s="64">
        <v>126.1</v>
      </c>
      <c r="AH19" s="139"/>
      <c r="AI19" s="139"/>
      <c r="AJ19" s="139"/>
      <c r="AK19" s="139"/>
    </row>
    <row r="20" spans="1:37">
      <c r="A20" s="66">
        <v>1996</v>
      </c>
      <c r="B20" s="115">
        <f t="shared" si="7"/>
        <v>187.59759047651576</v>
      </c>
      <c r="C20" s="115">
        <f t="shared" si="8"/>
        <v>225.49800796812747</v>
      </c>
      <c r="D20" s="115">
        <f t="shared" si="9"/>
        <v>226.29482071713144</v>
      </c>
      <c r="E20" s="115">
        <f t="shared" si="10"/>
        <v>204.93562231759657</v>
      </c>
      <c r="F20" s="29" t="s">
        <v>22</v>
      </c>
      <c r="G20" s="29" t="s">
        <v>22</v>
      </c>
      <c r="H20" s="115">
        <f t="shared" si="0"/>
        <v>207.54385964912279</v>
      </c>
      <c r="I20" s="115">
        <f t="shared" si="1"/>
        <v>241.68421052631578</v>
      </c>
      <c r="J20" s="115">
        <f t="shared" si="11"/>
        <v>178.58508604206503</v>
      </c>
      <c r="K20" s="115">
        <f t="shared" si="2"/>
        <v>164.0429338103757</v>
      </c>
      <c r="L20" s="115">
        <f t="shared" si="3"/>
        <v>185.03937007874015</v>
      </c>
      <c r="M20" s="115">
        <f t="shared" si="4"/>
        <v>158.70967741935485</v>
      </c>
      <c r="N20" s="115">
        <f t="shared" si="5"/>
        <v>168.50828729281767</v>
      </c>
      <c r="O20" s="115">
        <f t="shared" si="6"/>
        <v>149.78662873399716</v>
      </c>
      <c r="P20" s="66"/>
      <c r="Q20" s="66"/>
      <c r="R20" s="64">
        <v>113.2</v>
      </c>
      <c r="S20" s="64">
        <v>113.6</v>
      </c>
      <c r="T20" s="64">
        <v>95.5</v>
      </c>
      <c r="W20" s="64">
        <v>118.3</v>
      </c>
      <c r="X20" s="64">
        <v>114.8</v>
      </c>
      <c r="Y20" s="64">
        <v>93.4</v>
      </c>
      <c r="Z20" s="64">
        <v>91.7</v>
      </c>
      <c r="AA20" s="64">
        <v>94</v>
      </c>
      <c r="AB20" s="64">
        <v>98.4</v>
      </c>
      <c r="AC20" s="64">
        <v>91.5</v>
      </c>
      <c r="AD20" s="64">
        <v>105.3</v>
      </c>
      <c r="AH20" s="139"/>
      <c r="AI20" s="139"/>
      <c r="AJ20" s="139"/>
      <c r="AK20" s="139"/>
    </row>
    <row r="21" spans="1:37">
      <c r="A21" s="66">
        <v>1997</v>
      </c>
      <c r="B21" s="115">
        <f t="shared" si="7"/>
        <v>187.97738423964043</v>
      </c>
      <c r="C21" s="115">
        <f t="shared" si="8"/>
        <v>236.25498007968125</v>
      </c>
      <c r="D21" s="115">
        <f t="shared" si="9"/>
        <v>237.45019920318725</v>
      </c>
      <c r="E21" s="115">
        <f t="shared" si="10"/>
        <v>204.0772532188841</v>
      </c>
      <c r="F21" s="29" t="s">
        <v>22</v>
      </c>
      <c r="G21" s="29" t="s">
        <v>22</v>
      </c>
      <c r="H21" s="115">
        <f t="shared" si="0"/>
        <v>211.7543859649123</v>
      </c>
      <c r="I21" s="115">
        <f t="shared" si="1"/>
        <v>254.10526315789474</v>
      </c>
      <c r="J21" s="115">
        <f t="shared" si="11"/>
        <v>178.96749521988528</v>
      </c>
      <c r="K21" s="115">
        <f t="shared" si="2"/>
        <v>163.32737030411448</v>
      </c>
      <c r="L21" s="115">
        <f t="shared" si="3"/>
        <v>187.40157480314963</v>
      </c>
      <c r="M21" s="115">
        <f t="shared" si="4"/>
        <v>148.70967741935485</v>
      </c>
      <c r="N21" s="115">
        <f t="shared" si="5"/>
        <v>167.58747697974218</v>
      </c>
      <c r="O21" s="115">
        <f t="shared" si="6"/>
        <v>132.57467994310102</v>
      </c>
      <c r="P21" s="66"/>
      <c r="Q21" s="66"/>
      <c r="R21" s="64">
        <v>118.6</v>
      </c>
      <c r="S21" s="64">
        <v>119.2</v>
      </c>
      <c r="T21" s="64">
        <v>95.1</v>
      </c>
      <c r="W21" s="64">
        <v>120.7</v>
      </c>
      <c r="X21" s="64">
        <v>120.7</v>
      </c>
      <c r="Y21" s="64">
        <v>93.6</v>
      </c>
      <c r="Z21" s="64">
        <v>91.3</v>
      </c>
      <c r="AA21" s="64">
        <v>95.2</v>
      </c>
      <c r="AB21" s="64">
        <v>92.2</v>
      </c>
      <c r="AC21" s="64">
        <v>91</v>
      </c>
      <c r="AD21" s="64">
        <v>93.2</v>
      </c>
      <c r="AH21" s="139"/>
      <c r="AI21" s="139"/>
      <c r="AJ21" s="139"/>
      <c r="AK21" s="139"/>
    </row>
    <row r="22" spans="1:37">
      <c r="A22" s="66">
        <v>1998</v>
      </c>
      <c r="B22" s="115">
        <f t="shared" si="7"/>
        <v>181.94615563118114</v>
      </c>
      <c r="C22" s="115">
        <f t="shared" si="8"/>
        <v>209.9601593625498</v>
      </c>
      <c r="D22" s="115">
        <f t="shared" si="9"/>
        <v>210.55776892430279</v>
      </c>
      <c r="E22" s="115">
        <f t="shared" si="10"/>
        <v>209.01287553648072</v>
      </c>
      <c r="F22" s="29" t="s">
        <v>22</v>
      </c>
      <c r="G22" s="29" t="s">
        <v>22</v>
      </c>
      <c r="H22" s="115">
        <f t="shared" si="0"/>
        <v>190.52631578947367</v>
      </c>
      <c r="I22" s="115">
        <f t="shared" si="1"/>
        <v>222.31578947368419</v>
      </c>
      <c r="J22" s="115">
        <f t="shared" si="11"/>
        <v>175.71701720841301</v>
      </c>
      <c r="K22" s="115">
        <f t="shared" si="2"/>
        <v>168.51520572450806</v>
      </c>
      <c r="L22" s="115">
        <f t="shared" si="3"/>
        <v>177.75590551181102</v>
      </c>
      <c r="M22" s="115">
        <f t="shared" si="4"/>
        <v>160.16129032258064</v>
      </c>
      <c r="N22" s="115">
        <f t="shared" si="5"/>
        <v>170.902394106814</v>
      </c>
      <c r="O22" s="115">
        <f t="shared" si="6"/>
        <v>148.93314366998578</v>
      </c>
      <c r="P22" s="66"/>
      <c r="Q22" s="66"/>
      <c r="R22" s="64">
        <v>105.4</v>
      </c>
      <c r="S22" s="64">
        <v>105.7</v>
      </c>
      <c r="T22" s="64">
        <v>97.4</v>
      </c>
      <c r="W22" s="64">
        <v>108.6</v>
      </c>
      <c r="X22" s="64">
        <v>105.6</v>
      </c>
      <c r="Y22" s="64">
        <v>91.9</v>
      </c>
      <c r="Z22" s="64">
        <v>94.2</v>
      </c>
      <c r="AA22" s="64">
        <v>90.3</v>
      </c>
      <c r="AB22" s="64">
        <v>99.3</v>
      </c>
      <c r="AC22" s="64">
        <v>92.8</v>
      </c>
      <c r="AD22" s="64">
        <v>104.7</v>
      </c>
      <c r="AH22" s="139"/>
      <c r="AI22" s="139"/>
      <c r="AJ22" s="139"/>
      <c r="AK22" s="139"/>
    </row>
    <row r="23" spans="1:37">
      <c r="A23" s="66">
        <v>1999</v>
      </c>
      <c r="B23" s="115">
        <f t="shared" si="7"/>
        <v>201.58512519547011</v>
      </c>
      <c r="C23" s="115">
        <f t="shared" si="8"/>
        <v>235.05976095617527</v>
      </c>
      <c r="D23" s="115">
        <f t="shared" si="9"/>
        <v>236.25498007968125</v>
      </c>
      <c r="E23" s="115">
        <f t="shared" si="10"/>
        <v>211.1587982832618</v>
      </c>
      <c r="F23" s="29" t="s">
        <v>22</v>
      </c>
      <c r="G23" s="29" t="s">
        <v>22</v>
      </c>
      <c r="H23" s="115">
        <f t="shared" si="0"/>
        <v>209.82456140350877</v>
      </c>
      <c r="I23" s="115">
        <f t="shared" si="1"/>
        <v>252.63157894736841</v>
      </c>
      <c r="J23" s="115">
        <f t="shared" si="11"/>
        <v>201.14722753346084</v>
      </c>
      <c r="K23" s="115">
        <f t="shared" si="2"/>
        <v>183.72093023255815</v>
      </c>
      <c r="L23" s="115">
        <f t="shared" si="3"/>
        <v>210.23622047244098</v>
      </c>
      <c r="M23" s="115">
        <f t="shared" si="4"/>
        <v>168.54838709677421</v>
      </c>
      <c r="N23" s="115">
        <f t="shared" si="5"/>
        <v>174.03314917127074</v>
      </c>
      <c r="O23" s="115">
        <f t="shared" si="6"/>
        <v>160.73968705547654</v>
      </c>
      <c r="P23" s="66"/>
      <c r="Q23" s="66"/>
      <c r="R23" s="64">
        <v>118</v>
      </c>
      <c r="S23" s="64">
        <v>118.6</v>
      </c>
      <c r="T23" s="64">
        <v>98.4</v>
      </c>
      <c r="U23" s="64">
        <v>89.3</v>
      </c>
      <c r="V23" s="64">
        <v>95.2</v>
      </c>
      <c r="W23" s="64">
        <v>119.6</v>
      </c>
      <c r="X23" s="64">
        <v>120</v>
      </c>
      <c r="Y23" s="64">
        <v>105.2</v>
      </c>
      <c r="Z23" s="64">
        <v>102.7</v>
      </c>
      <c r="AA23" s="64">
        <v>106.8</v>
      </c>
      <c r="AB23" s="64">
        <v>104.5</v>
      </c>
      <c r="AC23" s="64">
        <v>94.5</v>
      </c>
      <c r="AD23" s="64">
        <v>113</v>
      </c>
      <c r="AH23" s="139"/>
      <c r="AI23" s="139"/>
      <c r="AJ23" s="139"/>
      <c r="AK23" s="139"/>
    </row>
    <row r="24" spans="1:37">
      <c r="A24" s="66">
        <v>2000</v>
      </c>
      <c r="B24" s="115">
        <f t="shared" si="7"/>
        <v>185.90175861860234</v>
      </c>
      <c r="C24" s="115">
        <f t="shared" si="8"/>
        <v>199.601593625498</v>
      </c>
      <c r="D24" s="115">
        <f t="shared" si="9"/>
        <v>199.80079681274898</v>
      </c>
      <c r="E24" s="115">
        <f t="shared" si="10"/>
        <v>214.37768240343348</v>
      </c>
      <c r="F24" s="29" t="s">
        <v>22</v>
      </c>
      <c r="G24" s="29" t="s">
        <v>22</v>
      </c>
      <c r="H24" s="115">
        <f t="shared" si="0"/>
        <v>172.98245614035085</v>
      </c>
      <c r="I24" s="115">
        <f t="shared" si="1"/>
        <v>211.78947368421052</v>
      </c>
      <c r="J24" s="115">
        <f t="shared" si="11"/>
        <v>188.91013384321224</v>
      </c>
      <c r="K24" s="115">
        <f t="shared" si="2"/>
        <v>192.84436493738818</v>
      </c>
      <c r="L24" s="115">
        <f t="shared" si="3"/>
        <v>182.28346456692915</v>
      </c>
      <c r="M24" s="115">
        <f t="shared" si="4"/>
        <v>169.1935483870968</v>
      </c>
      <c r="N24" s="115">
        <f t="shared" si="5"/>
        <v>177.90055248618785</v>
      </c>
      <c r="O24" s="115">
        <f t="shared" si="6"/>
        <v>159.03271692745378</v>
      </c>
      <c r="P24" s="66"/>
      <c r="Q24" s="66"/>
      <c r="R24" s="64">
        <v>100.2</v>
      </c>
      <c r="S24" s="64">
        <v>100.3</v>
      </c>
      <c r="T24" s="64">
        <v>99.9</v>
      </c>
      <c r="U24" s="64">
        <v>104.3</v>
      </c>
      <c r="V24" s="64">
        <v>96.7</v>
      </c>
      <c r="W24" s="64">
        <v>98.6</v>
      </c>
      <c r="X24" s="64">
        <v>100.6</v>
      </c>
      <c r="Y24" s="64">
        <v>98.8</v>
      </c>
      <c r="Z24" s="64">
        <v>107.8</v>
      </c>
      <c r="AA24" s="64">
        <v>92.6</v>
      </c>
      <c r="AB24" s="64">
        <v>104.9</v>
      </c>
      <c r="AC24" s="64">
        <v>96.6</v>
      </c>
      <c r="AD24" s="64">
        <v>111.8</v>
      </c>
      <c r="AH24" s="139"/>
      <c r="AI24" s="139"/>
      <c r="AJ24" s="139"/>
      <c r="AK24" s="139"/>
    </row>
    <row r="25" spans="1:37">
      <c r="A25" s="66">
        <v>2001</v>
      </c>
      <c r="B25" s="115">
        <f t="shared" si="7"/>
        <v>182.28458644297788</v>
      </c>
      <c r="C25" s="115">
        <f t="shared" si="8"/>
        <v>200</v>
      </c>
      <c r="D25" s="115">
        <f t="shared" si="9"/>
        <v>200.19920318725099</v>
      </c>
      <c r="E25" s="115">
        <f t="shared" si="10"/>
        <v>212.87553648068669</v>
      </c>
      <c r="F25" s="29" t="s">
        <v>22</v>
      </c>
      <c r="G25" s="29" t="s">
        <v>22</v>
      </c>
      <c r="H25" s="115">
        <f t="shared" si="0"/>
        <v>175.43859649122805</v>
      </c>
      <c r="I25" s="115">
        <f t="shared" si="1"/>
        <v>212</v>
      </c>
      <c r="J25" s="115">
        <f t="shared" si="11"/>
        <v>182.9827915869981</v>
      </c>
      <c r="K25" s="115">
        <f t="shared" si="2"/>
        <v>184.79427549194992</v>
      </c>
      <c r="L25" s="115">
        <f t="shared" si="3"/>
        <v>178.14960629921262</v>
      </c>
      <c r="M25" s="115">
        <f t="shared" si="4"/>
        <v>163.87096774193549</v>
      </c>
      <c r="N25" s="115">
        <f t="shared" si="5"/>
        <v>183.609576427256</v>
      </c>
      <c r="O25" s="115">
        <f t="shared" si="6"/>
        <v>146.79943100995735</v>
      </c>
      <c r="P25" s="66"/>
      <c r="Q25" s="66"/>
      <c r="R25" s="64">
        <v>100.4</v>
      </c>
      <c r="S25" s="64">
        <v>100.5</v>
      </c>
      <c r="T25" s="64">
        <v>99.2</v>
      </c>
      <c r="U25" s="64">
        <v>101.6</v>
      </c>
      <c r="V25" s="64">
        <v>96.9</v>
      </c>
      <c r="W25" s="64">
        <v>100</v>
      </c>
      <c r="X25" s="64">
        <v>100.7</v>
      </c>
      <c r="Y25" s="64">
        <v>95.7</v>
      </c>
      <c r="Z25" s="64">
        <v>103.3</v>
      </c>
      <c r="AA25" s="64">
        <v>90.5</v>
      </c>
      <c r="AB25" s="64">
        <v>101.6</v>
      </c>
      <c r="AC25" s="64">
        <v>99.7</v>
      </c>
      <c r="AD25" s="64">
        <v>103.2</v>
      </c>
      <c r="AH25" s="139"/>
      <c r="AI25" s="139"/>
      <c r="AJ25" s="139"/>
      <c r="AK25" s="139"/>
    </row>
    <row r="26" spans="1:37">
      <c r="A26" s="66">
        <v>2002</v>
      </c>
      <c r="B26" s="115">
        <f t="shared" si="7"/>
        <v>183.89936624725837</v>
      </c>
      <c r="C26" s="115">
        <f t="shared" si="8"/>
        <v>199.203187250996</v>
      </c>
      <c r="D26" s="115">
        <f t="shared" si="9"/>
        <v>199.203187250996</v>
      </c>
      <c r="E26" s="115">
        <f t="shared" si="10"/>
        <v>214.59227467811158</v>
      </c>
      <c r="F26" s="29" t="s">
        <v>22</v>
      </c>
      <c r="G26" s="29" t="s">
        <v>22</v>
      </c>
      <c r="H26" s="115">
        <f t="shared" si="0"/>
        <v>175.43859649122805</v>
      </c>
      <c r="I26" s="115">
        <f t="shared" si="1"/>
        <v>210.52631578947367</v>
      </c>
      <c r="J26" s="115">
        <f t="shared" si="11"/>
        <v>191.20458891013385</v>
      </c>
      <c r="K26" s="115">
        <f t="shared" si="2"/>
        <v>178.89087656529517</v>
      </c>
      <c r="L26" s="115">
        <f t="shared" si="3"/>
        <v>196.85039370078741</v>
      </c>
      <c r="M26" s="115">
        <f t="shared" si="4"/>
        <v>161.29032258064515</v>
      </c>
      <c r="N26" s="115">
        <f t="shared" si="5"/>
        <v>184.16206261510132</v>
      </c>
      <c r="O26" s="115">
        <f t="shared" si="6"/>
        <v>142.24751066856331</v>
      </c>
      <c r="P26" s="66"/>
      <c r="Q26" s="66"/>
      <c r="R26" s="64">
        <v>100</v>
      </c>
      <c r="S26" s="64">
        <v>100</v>
      </c>
      <c r="T26" s="64">
        <v>100</v>
      </c>
      <c r="U26" s="64">
        <v>100</v>
      </c>
      <c r="V26" s="64">
        <v>100</v>
      </c>
      <c r="W26" s="64">
        <v>100</v>
      </c>
      <c r="X26" s="64">
        <v>100</v>
      </c>
      <c r="Y26" s="64">
        <v>100</v>
      </c>
      <c r="Z26" s="64">
        <v>100</v>
      </c>
      <c r="AA26" s="64">
        <v>100</v>
      </c>
      <c r="AB26" s="64">
        <v>100</v>
      </c>
      <c r="AC26" s="64">
        <v>100</v>
      </c>
      <c r="AD26" s="64">
        <v>100</v>
      </c>
      <c r="AH26" s="139"/>
      <c r="AI26" s="139"/>
      <c r="AJ26" s="139"/>
      <c r="AK26" s="139"/>
    </row>
    <row r="27" spans="1:37">
      <c r="A27" s="66">
        <v>2003</v>
      </c>
      <c r="B27" s="115">
        <f t="shared" si="7"/>
        <v>179.76499806813169</v>
      </c>
      <c r="C27" s="115">
        <f t="shared" si="8"/>
        <v>178.28685258964143</v>
      </c>
      <c r="D27" s="115">
        <f t="shared" si="9"/>
        <v>177.49003984063742</v>
      </c>
      <c r="E27" s="115">
        <f t="shared" si="10"/>
        <v>215.45064377682402</v>
      </c>
      <c r="F27" s="29" t="s">
        <v>22</v>
      </c>
      <c r="G27" s="29" t="s">
        <v>22</v>
      </c>
      <c r="H27" s="115">
        <f t="shared" si="0"/>
        <v>152.80701754385964</v>
      </c>
      <c r="I27" s="115">
        <f t="shared" si="1"/>
        <v>188.21052631578951</v>
      </c>
      <c r="J27" s="115">
        <f t="shared" si="11"/>
        <v>194.07265774378587</v>
      </c>
      <c r="K27" s="115">
        <f t="shared" si="2"/>
        <v>168.33631484794276</v>
      </c>
      <c r="L27" s="115">
        <f t="shared" si="3"/>
        <v>209.44881889763784</v>
      </c>
      <c r="M27" s="115">
        <f t="shared" si="4"/>
        <v>166.93548387096774</v>
      </c>
      <c r="N27" s="115">
        <f t="shared" si="5"/>
        <v>185.2670349907919</v>
      </c>
      <c r="O27" s="115">
        <f t="shared" si="6"/>
        <v>151.92034139402563</v>
      </c>
      <c r="P27" s="66"/>
      <c r="Q27" s="66"/>
      <c r="R27" s="64">
        <v>89.5</v>
      </c>
      <c r="S27" s="64">
        <v>89.1</v>
      </c>
      <c r="T27" s="64">
        <v>100.4</v>
      </c>
      <c r="U27" s="64">
        <v>94.7</v>
      </c>
      <c r="V27" s="64">
        <v>108.8</v>
      </c>
      <c r="W27" s="64">
        <v>87.1</v>
      </c>
      <c r="X27" s="64">
        <v>89.4</v>
      </c>
      <c r="Y27" s="64">
        <v>101.5</v>
      </c>
      <c r="Z27" s="64">
        <v>94.1</v>
      </c>
      <c r="AA27" s="64">
        <v>106.4</v>
      </c>
      <c r="AB27" s="64">
        <v>103.5</v>
      </c>
      <c r="AC27" s="64">
        <v>100.6</v>
      </c>
      <c r="AD27" s="64">
        <v>106.8</v>
      </c>
      <c r="AH27" s="139"/>
      <c r="AI27" s="139"/>
      <c r="AJ27" s="139"/>
      <c r="AK27" s="139"/>
    </row>
    <row r="28" spans="1:37">
      <c r="A28" s="66">
        <v>2004</v>
      </c>
      <c r="B28" s="115">
        <f t="shared" si="7"/>
        <v>198.87436049097062</v>
      </c>
      <c r="C28" s="115">
        <f t="shared" si="8"/>
        <v>209.36254980079681</v>
      </c>
      <c r="D28" s="115">
        <f t="shared" si="9"/>
        <v>209.5617529880478</v>
      </c>
      <c r="E28" s="115">
        <f t="shared" si="10"/>
        <v>220.17167381974247</v>
      </c>
      <c r="F28" s="29" t="s">
        <v>22</v>
      </c>
      <c r="G28" s="29" t="s">
        <v>22</v>
      </c>
      <c r="H28" s="115">
        <f t="shared" si="0"/>
        <v>188.2456140350877</v>
      </c>
      <c r="I28" s="115">
        <f t="shared" si="1"/>
        <v>223.36842105263156</v>
      </c>
      <c r="J28" s="115">
        <f t="shared" si="11"/>
        <v>210.32504780114724</v>
      </c>
      <c r="K28" s="115">
        <f t="shared" si="2"/>
        <v>161.89624329159213</v>
      </c>
      <c r="L28" s="115">
        <f t="shared" si="3"/>
        <v>241.92913385826773</v>
      </c>
      <c r="M28" s="115">
        <f t="shared" si="4"/>
        <v>176.93548387096774</v>
      </c>
      <c r="N28" s="115">
        <f t="shared" si="5"/>
        <v>189.50276243093924</v>
      </c>
      <c r="O28" s="115">
        <f t="shared" si="6"/>
        <v>167.1408250355619</v>
      </c>
      <c r="P28" s="66"/>
      <c r="Q28" s="66"/>
      <c r="R28" s="64">
        <v>105.1</v>
      </c>
      <c r="S28" s="64">
        <v>105.2</v>
      </c>
      <c r="T28" s="64">
        <v>102.6</v>
      </c>
      <c r="U28" s="64">
        <v>95.8</v>
      </c>
      <c r="V28" s="64">
        <v>107.2</v>
      </c>
      <c r="W28" s="64">
        <v>107.3</v>
      </c>
      <c r="X28" s="64">
        <v>106.1</v>
      </c>
      <c r="Y28" s="64">
        <v>110</v>
      </c>
      <c r="Z28" s="64">
        <v>90.5</v>
      </c>
      <c r="AA28" s="64">
        <v>122.9</v>
      </c>
      <c r="AB28" s="64">
        <v>109.7</v>
      </c>
      <c r="AC28" s="64">
        <v>102.9</v>
      </c>
      <c r="AD28" s="64">
        <v>117.5</v>
      </c>
      <c r="AH28" s="139"/>
      <c r="AI28" s="139"/>
      <c r="AJ28" s="139"/>
      <c r="AK28" s="139"/>
    </row>
    <row r="29" spans="1:37">
      <c r="A29" s="66">
        <v>2005</v>
      </c>
      <c r="B29" s="115">
        <f t="shared" si="7"/>
        <v>178.67714896699309</v>
      </c>
      <c r="C29" s="115">
        <f t="shared" si="8"/>
        <v>188.84462151394422</v>
      </c>
      <c r="D29" s="115">
        <f t="shared" si="9"/>
        <v>188.24701195219123</v>
      </c>
      <c r="E29" s="115">
        <f t="shared" si="10"/>
        <v>220.60085836909869</v>
      </c>
      <c r="F29" s="29" t="s">
        <v>22</v>
      </c>
      <c r="G29" s="29" t="s">
        <v>22</v>
      </c>
      <c r="H29" s="115">
        <f t="shared" si="0"/>
        <v>176.49122807017542</v>
      </c>
      <c r="I29" s="115">
        <f t="shared" si="1"/>
        <v>196.21052631578948</v>
      </c>
      <c r="J29" s="115">
        <f t="shared" si="11"/>
        <v>176.86424474187382</v>
      </c>
      <c r="K29" s="115">
        <f t="shared" si="2"/>
        <v>157.60286225402504</v>
      </c>
      <c r="L29" s="115">
        <f t="shared" si="3"/>
        <v>187.5984251968504</v>
      </c>
      <c r="M29" s="115">
        <f t="shared" si="4"/>
        <v>170.32258064516128</v>
      </c>
      <c r="N29" s="115">
        <f t="shared" si="5"/>
        <v>194.47513812154696</v>
      </c>
      <c r="O29" s="115">
        <f t="shared" si="6"/>
        <v>150.35561877667143</v>
      </c>
      <c r="P29" s="66"/>
      <c r="Q29" s="66"/>
      <c r="R29" s="64">
        <v>94.8</v>
      </c>
      <c r="S29" s="64">
        <v>94.5</v>
      </c>
      <c r="T29" s="64">
        <v>102.8</v>
      </c>
      <c r="U29" s="64">
        <v>94</v>
      </c>
      <c r="V29" s="64">
        <v>101.2</v>
      </c>
      <c r="W29" s="64">
        <v>100.6</v>
      </c>
      <c r="X29" s="64">
        <v>93.2</v>
      </c>
      <c r="Y29" s="64">
        <v>92.5</v>
      </c>
      <c r="Z29" s="64">
        <v>88.1</v>
      </c>
      <c r="AA29" s="64">
        <v>95.3</v>
      </c>
      <c r="AB29" s="64">
        <v>105.6</v>
      </c>
      <c r="AC29" s="64">
        <v>105.6</v>
      </c>
      <c r="AD29" s="64">
        <v>105.7</v>
      </c>
      <c r="AH29" s="139"/>
      <c r="AI29" s="139"/>
      <c r="AJ29" s="139"/>
      <c r="AK29" s="139"/>
    </row>
    <row r="30" spans="1:37">
      <c r="A30" s="66">
        <v>2006</v>
      </c>
      <c r="B30" s="115">
        <f t="shared" si="7"/>
        <v>169.68485031071668</v>
      </c>
      <c r="C30" s="115">
        <f t="shared" si="8"/>
        <v>174.10358565737053</v>
      </c>
      <c r="D30" s="115">
        <f t="shared" si="9"/>
        <v>172.90836653386452</v>
      </c>
      <c r="E30" s="115">
        <f t="shared" si="10"/>
        <v>228.11158798283259</v>
      </c>
      <c r="F30" s="29" t="s">
        <v>22</v>
      </c>
      <c r="G30" s="29" t="s">
        <v>22</v>
      </c>
      <c r="H30" s="115">
        <f t="shared" si="0"/>
        <v>155.61403508771929</v>
      </c>
      <c r="I30" s="115">
        <f t="shared" si="1"/>
        <v>182.73684210526315</v>
      </c>
      <c r="J30" s="115">
        <f t="shared" si="11"/>
        <v>169.78967495219885</v>
      </c>
      <c r="K30" s="115">
        <f t="shared" si="2"/>
        <v>152.41502683363149</v>
      </c>
      <c r="L30" s="115">
        <f t="shared" si="3"/>
        <v>179.3307086614173</v>
      </c>
      <c r="M30" s="115">
        <f t="shared" si="4"/>
        <v>165.16129032258064</v>
      </c>
      <c r="N30" s="115">
        <f t="shared" si="5"/>
        <v>198.3425414364641</v>
      </c>
      <c r="O30" s="115">
        <f t="shared" si="6"/>
        <v>137.12660028449503</v>
      </c>
      <c r="P30" s="66"/>
      <c r="Q30" s="66"/>
      <c r="R30" s="64">
        <v>87.4</v>
      </c>
      <c r="S30" s="64">
        <v>86.8</v>
      </c>
      <c r="T30" s="64">
        <v>106.3</v>
      </c>
      <c r="U30" s="64">
        <v>91.6</v>
      </c>
      <c r="V30" s="64">
        <v>98.8</v>
      </c>
      <c r="W30" s="64">
        <v>88.7</v>
      </c>
      <c r="X30" s="64">
        <v>86.8</v>
      </c>
      <c r="Y30" s="64">
        <v>88.8</v>
      </c>
      <c r="Z30" s="64">
        <v>85.2</v>
      </c>
      <c r="AA30" s="64">
        <v>91.1</v>
      </c>
      <c r="AB30" s="64">
        <v>102.4</v>
      </c>
      <c r="AC30" s="64">
        <v>107.7</v>
      </c>
      <c r="AD30" s="64">
        <v>96.4</v>
      </c>
      <c r="AH30" s="139"/>
      <c r="AI30" s="139"/>
      <c r="AJ30" s="139"/>
      <c r="AK30" s="139"/>
    </row>
    <row r="31" spans="1:37">
      <c r="A31" s="66">
        <v>2007</v>
      </c>
      <c r="B31" s="115">
        <f t="shared" si="7"/>
        <v>164.69563920350177</v>
      </c>
      <c r="C31" s="115">
        <f t="shared" si="8"/>
        <v>161.75298804780874</v>
      </c>
      <c r="D31" s="115">
        <f t="shared" si="9"/>
        <v>159.56175298804777</v>
      </c>
      <c r="E31" s="115">
        <f t="shared" si="10"/>
        <v>240.34334763948496</v>
      </c>
      <c r="F31" s="29" t="s">
        <v>22</v>
      </c>
      <c r="G31" s="29" t="s">
        <v>22</v>
      </c>
      <c r="H31" s="115">
        <f t="shared" si="0"/>
        <v>141.92982456140354</v>
      </c>
      <c r="I31" s="115">
        <f t="shared" si="1"/>
        <v>167.57894736842104</v>
      </c>
      <c r="J31" s="115">
        <f t="shared" si="11"/>
        <v>167.49521988527724</v>
      </c>
      <c r="K31" s="115">
        <f t="shared" si="2"/>
        <v>148.3005366726297</v>
      </c>
      <c r="L31" s="115">
        <f t="shared" si="3"/>
        <v>178.54330708661419</v>
      </c>
      <c r="M31" s="115">
        <f t="shared" si="4"/>
        <v>164.83870967741936</v>
      </c>
      <c r="N31" s="115">
        <f t="shared" si="5"/>
        <v>198.15837937384899</v>
      </c>
      <c r="O31" s="115">
        <f t="shared" si="6"/>
        <v>136.55761024182078</v>
      </c>
      <c r="P31" s="66"/>
      <c r="Q31" s="66"/>
      <c r="R31" s="64">
        <v>81.2</v>
      </c>
      <c r="S31" s="64">
        <v>80.099999999999994</v>
      </c>
      <c r="T31" s="64">
        <v>112</v>
      </c>
      <c r="U31" s="64">
        <v>82.2</v>
      </c>
      <c r="V31" s="64">
        <v>86.2</v>
      </c>
      <c r="W31" s="64">
        <v>80.900000000000006</v>
      </c>
      <c r="X31" s="64">
        <v>79.599999999999994</v>
      </c>
      <c r="Y31" s="64">
        <v>87.6</v>
      </c>
      <c r="Z31" s="64">
        <v>82.9</v>
      </c>
      <c r="AA31" s="64">
        <v>90.7</v>
      </c>
      <c r="AB31" s="64">
        <v>102.2</v>
      </c>
      <c r="AC31" s="64">
        <v>107.6</v>
      </c>
      <c r="AD31" s="64">
        <v>96</v>
      </c>
      <c r="AH31" s="139"/>
      <c r="AI31" s="139"/>
      <c r="AJ31" s="139"/>
      <c r="AK31" s="139"/>
    </row>
    <row r="32" spans="1:37">
      <c r="A32" s="66">
        <v>2008</v>
      </c>
      <c r="B32" s="115">
        <f t="shared" ref="B32:B33" si="12">AVERAGE(M32,J32,C32)</f>
        <v>160.02783659662222</v>
      </c>
      <c r="C32" s="115">
        <f t="shared" ref="C32:C33" si="13">R32/R$5*100</f>
        <v>153.78486055776892</v>
      </c>
      <c r="D32" s="115">
        <f t="shared" ref="D32:D33" si="14">S32/S$5*100</f>
        <v>151.39442231075697</v>
      </c>
      <c r="E32" s="115">
        <f t="shared" ref="E32:E33" si="15">T32/T$5*100</f>
        <v>243.99141630901289</v>
      </c>
      <c r="F32" s="29" t="s">
        <v>22</v>
      </c>
      <c r="G32" s="29" t="s">
        <v>22</v>
      </c>
      <c r="H32" s="115">
        <f t="shared" ref="H32:H33" si="16">W32/W$5*100</f>
        <v>130.17543859649123</v>
      </c>
      <c r="I32" s="115">
        <f t="shared" ref="I32:I33" si="17">X32/X$5*100</f>
        <v>160</v>
      </c>
      <c r="J32" s="115">
        <f t="shared" ref="J32:J33" si="18">Y32/Y$5*100</f>
        <v>159.84703632887189</v>
      </c>
      <c r="K32" s="115">
        <f t="shared" ref="K32:K33" si="19">Z32/Z$5*100</f>
        <v>147.58497316636851</v>
      </c>
      <c r="L32" s="115">
        <f t="shared" ref="L32:L33" si="20">AA32/AA$5*100</f>
        <v>165.94488188976376</v>
      </c>
      <c r="M32" s="115">
        <f t="shared" ref="M32:M33" si="21">AB32/AB$5*100</f>
        <v>166.45161290322582</v>
      </c>
      <c r="N32" s="115">
        <f t="shared" ref="N32:N33" si="22">AC32/AC$5*100</f>
        <v>199.81583793738491</v>
      </c>
      <c r="O32" s="115">
        <f t="shared" ref="O32:O33" si="23">AD32/AD$5*100</f>
        <v>138.12233285917497</v>
      </c>
      <c r="P32" s="66"/>
      <c r="Q32" s="66"/>
      <c r="R32" s="64">
        <v>77.2</v>
      </c>
      <c r="S32" s="64">
        <v>76</v>
      </c>
      <c r="T32" s="64">
        <v>113.7</v>
      </c>
      <c r="U32" s="64">
        <v>78.3</v>
      </c>
      <c r="V32" s="64">
        <v>85.4</v>
      </c>
      <c r="W32" s="64">
        <v>74.2</v>
      </c>
      <c r="X32" s="64">
        <v>76</v>
      </c>
      <c r="Y32" s="64">
        <v>83.6</v>
      </c>
      <c r="Z32" s="64">
        <v>82.5</v>
      </c>
      <c r="AA32" s="64">
        <v>84.3</v>
      </c>
      <c r="AB32" s="64">
        <v>103.2</v>
      </c>
      <c r="AC32" s="64">
        <v>108.5</v>
      </c>
      <c r="AD32" s="64">
        <v>97.1</v>
      </c>
      <c r="AH32" s="139"/>
      <c r="AI32" s="139"/>
      <c r="AJ32" s="139"/>
      <c r="AK32" s="139"/>
    </row>
    <row r="33" spans="1:37">
      <c r="A33" s="66">
        <v>2009</v>
      </c>
      <c r="B33" s="115">
        <f t="shared" si="12"/>
        <v>157.68177685032808</v>
      </c>
      <c r="C33" s="115">
        <f t="shared" si="13"/>
        <v>153.78486055776892</v>
      </c>
      <c r="D33" s="115">
        <f t="shared" si="14"/>
        <v>151.19521912350598</v>
      </c>
      <c r="E33" s="115">
        <f t="shared" si="15"/>
        <v>248.71244635193133</v>
      </c>
      <c r="F33" s="29" t="s">
        <v>22</v>
      </c>
      <c r="G33" s="29" t="s">
        <v>22</v>
      </c>
      <c r="H33" s="115">
        <f t="shared" si="16"/>
        <v>125.43859649122805</v>
      </c>
      <c r="I33" s="115">
        <f t="shared" si="17"/>
        <v>164.63157894736841</v>
      </c>
      <c r="J33" s="115">
        <f t="shared" si="18"/>
        <v>155.06692160611854</v>
      </c>
      <c r="K33" s="115">
        <f t="shared" si="19"/>
        <v>150.80500894454383</v>
      </c>
      <c r="L33" s="115">
        <f t="shared" si="20"/>
        <v>155.51181102362207</v>
      </c>
      <c r="M33" s="115">
        <f t="shared" si="21"/>
        <v>164.19354838709677</v>
      </c>
      <c r="N33" s="115">
        <f t="shared" si="22"/>
        <v>200.18416206261512</v>
      </c>
      <c r="O33" s="115">
        <f t="shared" si="23"/>
        <v>133.57041251778094</v>
      </c>
      <c r="P33" s="66"/>
      <c r="Q33" s="66"/>
      <c r="R33" s="64">
        <v>77.2</v>
      </c>
      <c r="S33" s="64">
        <v>75.900000000000006</v>
      </c>
      <c r="T33" s="64">
        <v>115.9</v>
      </c>
      <c r="U33" s="64">
        <v>78</v>
      </c>
      <c r="V33" s="64">
        <v>86.8</v>
      </c>
      <c r="W33" s="64">
        <v>71.5</v>
      </c>
      <c r="X33" s="64">
        <v>78.2</v>
      </c>
      <c r="Y33" s="64">
        <v>81.099999999999994</v>
      </c>
      <c r="Z33" s="64">
        <v>84.3</v>
      </c>
      <c r="AA33" s="64">
        <v>79</v>
      </c>
      <c r="AB33" s="64">
        <v>101.8</v>
      </c>
      <c r="AC33" s="64">
        <v>108.7</v>
      </c>
      <c r="AD33" s="64">
        <v>93.9</v>
      </c>
      <c r="AH33" s="139"/>
      <c r="AI33" s="139"/>
      <c r="AJ33" s="139"/>
      <c r="AK33" s="139"/>
    </row>
    <row r="34" spans="1:37">
      <c r="A34" s="66">
        <v>2010</v>
      </c>
      <c r="B34" s="115">
        <f t="shared" ref="B34:B36" si="24">AVERAGE(M34,J34,C34)</f>
        <v>158.72045197773431</v>
      </c>
      <c r="C34" s="115">
        <f t="shared" ref="C34:C36" si="25">R34/R$5*100</f>
        <v>159.9601593625498</v>
      </c>
      <c r="D34" s="115">
        <f t="shared" ref="D34:D36" si="26">S34/S$5*100</f>
        <v>157.76892430278883</v>
      </c>
      <c r="E34" s="115">
        <f t="shared" ref="E34:E36" si="27">T34/T$5*100</f>
        <v>243.77682403433477</v>
      </c>
      <c r="F34" s="29" t="s">
        <v>22</v>
      </c>
      <c r="G34" s="29" t="s">
        <v>22</v>
      </c>
      <c r="H34" s="115">
        <f t="shared" ref="H34:H36" si="28">W34/W$5*100</f>
        <v>140.35087719298244</v>
      </c>
      <c r="I34" s="115">
        <f t="shared" ref="I34:I36" si="29">X34/X$5*100</f>
        <v>168.21052631578948</v>
      </c>
      <c r="J34" s="115">
        <f t="shared" ref="J34:J36" si="30">Y34/Y$5*100</f>
        <v>152.0076481835564</v>
      </c>
      <c r="K34" s="115">
        <f t="shared" ref="K34:K36" si="31">Z34/Z$5*100</f>
        <v>145.6171735241503</v>
      </c>
      <c r="L34" s="115">
        <f t="shared" ref="L34:L36" si="32">AA34/AA$5*100</f>
        <v>153.93700787401576</v>
      </c>
      <c r="M34" s="115">
        <f t="shared" ref="M34:M36" si="33">AB34/AB$5*100</f>
        <v>164.19354838709677</v>
      </c>
      <c r="N34" s="115">
        <f t="shared" ref="N34:N36" si="34">AC34/AC$5*100</f>
        <v>197.42173112338858</v>
      </c>
      <c r="O34" s="115">
        <f t="shared" ref="O34:O36" si="35">AD34/AD$5*100</f>
        <v>135.98862019914651</v>
      </c>
      <c r="P34" s="66"/>
      <c r="Q34" s="66"/>
      <c r="R34" s="64">
        <v>80.3</v>
      </c>
      <c r="S34" s="64">
        <v>79.2</v>
      </c>
      <c r="T34" s="64">
        <v>113.6</v>
      </c>
      <c r="U34" s="64">
        <v>76.400000000000006</v>
      </c>
      <c r="V34" s="64">
        <v>90.5</v>
      </c>
      <c r="W34" s="64">
        <v>80</v>
      </c>
      <c r="X34" s="64">
        <v>79.900000000000006</v>
      </c>
      <c r="Y34" s="64">
        <v>79.5</v>
      </c>
      <c r="Z34" s="64">
        <v>81.400000000000006</v>
      </c>
      <c r="AA34" s="64">
        <v>78.2</v>
      </c>
      <c r="AB34" s="64">
        <v>101.8</v>
      </c>
      <c r="AC34" s="64">
        <v>107.2</v>
      </c>
      <c r="AD34" s="64">
        <v>95.6</v>
      </c>
      <c r="AH34" s="139"/>
      <c r="AI34" s="139"/>
      <c r="AJ34" s="139"/>
      <c r="AK34" s="139"/>
    </row>
    <row r="35" spans="1:37">
      <c r="A35" s="66">
        <v>2011</v>
      </c>
      <c r="B35" s="115">
        <f t="shared" si="24"/>
        <v>154.59934762891319</v>
      </c>
      <c r="C35" s="115">
        <f t="shared" si="25"/>
        <v>154.58167330677287</v>
      </c>
      <c r="D35" s="115">
        <f t="shared" si="26"/>
        <v>152.19123505976094</v>
      </c>
      <c r="E35" s="115">
        <f t="shared" si="27"/>
        <v>245.70815450643778</v>
      </c>
      <c r="F35" s="29" t="s">
        <v>22</v>
      </c>
      <c r="G35" s="29" t="s">
        <v>22</v>
      </c>
      <c r="H35" s="115">
        <f t="shared" si="28"/>
        <v>135.08771929824562</v>
      </c>
      <c r="I35" s="115">
        <f t="shared" si="29"/>
        <v>162.5263157894737</v>
      </c>
      <c r="J35" s="115">
        <f t="shared" si="30"/>
        <v>145.50669216061186</v>
      </c>
      <c r="K35" s="115">
        <f t="shared" si="31"/>
        <v>143.47048300536673</v>
      </c>
      <c r="L35" s="115">
        <f t="shared" si="32"/>
        <v>144.48818897637796</v>
      </c>
      <c r="M35" s="115">
        <f t="shared" si="33"/>
        <v>163.70967741935485</v>
      </c>
      <c r="N35" s="115">
        <f t="shared" si="34"/>
        <v>198.89502762430939</v>
      </c>
      <c r="O35" s="115">
        <f t="shared" si="35"/>
        <v>133.71266002844951</v>
      </c>
      <c r="P35" s="66"/>
      <c r="Q35" s="66"/>
      <c r="R35" s="64">
        <v>77.599999999999994</v>
      </c>
      <c r="S35" s="64">
        <v>76.400000000000006</v>
      </c>
      <c r="T35" s="64">
        <v>114.5</v>
      </c>
      <c r="U35" s="64">
        <v>76.099999999999994</v>
      </c>
      <c r="V35" s="64">
        <v>82.1</v>
      </c>
      <c r="W35" s="64">
        <v>77</v>
      </c>
      <c r="X35" s="64">
        <v>77.2</v>
      </c>
      <c r="Y35" s="64">
        <v>76.099999999999994</v>
      </c>
      <c r="Z35" s="64">
        <v>80.2</v>
      </c>
      <c r="AA35" s="64">
        <v>73.400000000000006</v>
      </c>
      <c r="AB35" s="64">
        <v>101.5</v>
      </c>
      <c r="AC35" s="64">
        <v>108</v>
      </c>
      <c r="AD35" s="64">
        <v>94</v>
      </c>
      <c r="AH35" s="139"/>
      <c r="AI35" s="139"/>
      <c r="AJ35" s="139"/>
      <c r="AK35" s="139"/>
    </row>
    <row r="36" spans="1:37">
      <c r="A36" s="66">
        <v>2012</v>
      </c>
      <c r="B36" s="115">
        <f t="shared" si="24"/>
        <v>164.43466332863412</v>
      </c>
      <c r="C36" s="115">
        <f t="shared" si="25"/>
        <v>167.13147410358567</v>
      </c>
      <c r="D36" s="115">
        <f t="shared" si="26"/>
        <v>165.13944223107572</v>
      </c>
      <c r="E36" s="115">
        <f t="shared" si="27"/>
        <v>243.99141630901289</v>
      </c>
      <c r="F36" s="29" t="s">
        <v>22</v>
      </c>
      <c r="G36" s="29" t="s">
        <v>22</v>
      </c>
      <c r="H36" s="115">
        <f t="shared" si="28"/>
        <v>153.15789473684208</v>
      </c>
      <c r="I36" s="115">
        <f t="shared" si="29"/>
        <v>173.47368421052633</v>
      </c>
      <c r="J36" s="115">
        <f t="shared" si="30"/>
        <v>156.97896749521988</v>
      </c>
      <c r="K36" s="115">
        <f t="shared" si="31"/>
        <v>142.03935599284438</v>
      </c>
      <c r="L36" s="115">
        <f t="shared" si="32"/>
        <v>165.15748031496065</v>
      </c>
      <c r="M36" s="115">
        <f t="shared" si="33"/>
        <v>169.1935483870968</v>
      </c>
      <c r="N36" s="115">
        <f t="shared" si="34"/>
        <v>202.7624309392265</v>
      </c>
      <c r="O36" s="115">
        <f t="shared" si="35"/>
        <v>140.54054054054055</v>
      </c>
      <c r="P36" s="66"/>
      <c r="Q36" s="66"/>
      <c r="R36" s="64">
        <v>83.9</v>
      </c>
      <c r="S36" s="64">
        <v>82.9</v>
      </c>
      <c r="T36" s="64">
        <v>113.7</v>
      </c>
      <c r="U36" s="64">
        <v>77.5</v>
      </c>
      <c r="V36" s="64">
        <v>81.5</v>
      </c>
      <c r="W36" s="64">
        <v>87.3</v>
      </c>
      <c r="X36" s="64">
        <v>82.4</v>
      </c>
      <c r="Y36" s="64">
        <v>82.1</v>
      </c>
      <c r="Z36" s="64">
        <v>79.400000000000006</v>
      </c>
      <c r="AA36" s="64">
        <v>83.9</v>
      </c>
      <c r="AB36" s="64">
        <v>104.9</v>
      </c>
      <c r="AC36" s="64">
        <v>110.1</v>
      </c>
      <c r="AD36" s="64">
        <v>98.8</v>
      </c>
      <c r="AH36" s="139"/>
      <c r="AI36" s="139"/>
      <c r="AJ36" s="139"/>
      <c r="AK36" s="139"/>
    </row>
    <row r="37" spans="1:37">
      <c r="A37" s="66"/>
      <c r="B37" s="66"/>
      <c r="C37" s="66"/>
      <c r="D37" s="66"/>
      <c r="E37" s="66"/>
      <c r="F37" s="66"/>
      <c r="G37" s="66"/>
      <c r="H37" s="66"/>
      <c r="I37" s="66"/>
      <c r="J37" s="66"/>
      <c r="K37" s="66"/>
      <c r="L37" s="66"/>
      <c r="M37" s="66"/>
      <c r="N37" s="66"/>
      <c r="O37" s="66"/>
      <c r="P37" s="66"/>
      <c r="Q37" s="66"/>
      <c r="AH37" s="139"/>
    </row>
    <row r="38" spans="1:37">
      <c r="A38" s="66" t="s">
        <v>23</v>
      </c>
      <c r="B38" s="66"/>
      <c r="C38" s="66"/>
      <c r="D38" s="66"/>
      <c r="E38" s="66"/>
      <c r="F38" s="66"/>
      <c r="G38" s="66"/>
      <c r="H38" s="66"/>
      <c r="I38" s="66"/>
      <c r="J38" s="66"/>
      <c r="K38" s="66"/>
      <c r="L38" s="66"/>
      <c r="M38" s="66"/>
      <c r="N38" s="66"/>
      <c r="O38" s="66"/>
      <c r="P38" s="66"/>
      <c r="Q38" s="66"/>
    </row>
    <row r="39" spans="1:37">
      <c r="A39" s="64" t="s">
        <v>2117</v>
      </c>
      <c r="B39" s="67">
        <f>((B36/B5)^(1/31)-1)*100</f>
        <v>1.617271167265466</v>
      </c>
      <c r="C39" s="67">
        <f t="shared" ref="C39:E39" si="36">((C36/C5)^(1/31)-1)*100</f>
        <v>1.6706095282591038</v>
      </c>
      <c r="D39" s="67">
        <f t="shared" si="36"/>
        <v>1.631291756439146</v>
      </c>
      <c r="E39" s="67">
        <f t="shared" si="36"/>
        <v>2.9190936952375512</v>
      </c>
      <c r="F39" s="29" t="s">
        <v>22</v>
      </c>
      <c r="G39" s="29" t="s">
        <v>22</v>
      </c>
      <c r="H39" s="67">
        <f t="shared" ref="H39:O39" si="37">((H36/H5)^(1/31)-1)*100</f>
        <v>1.3846574919882171</v>
      </c>
      <c r="I39" s="67">
        <f t="shared" si="37"/>
        <v>1.7928357122598326</v>
      </c>
      <c r="J39" s="67">
        <f t="shared" si="37"/>
        <v>1.4652819968996367</v>
      </c>
      <c r="K39" s="67">
        <f t="shared" si="37"/>
        <v>1.1384770013541212</v>
      </c>
      <c r="L39" s="67">
        <f t="shared" si="37"/>
        <v>1.6316498383545319</v>
      </c>
      <c r="M39" s="67">
        <f t="shared" si="37"/>
        <v>1.7108349120274147</v>
      </c>
      <c r="N39" s="67">
        <f t="shared" si="37"/>
        <v>2.3064045788977916</v>
      </c>
      <c r="O39" s="67">
        <f t="shared" si="37"/>
        <v>1.1038733937496659</v>
      </c>
      <c r="R39" s="67">
        <f>((R31/R5)^(1/26)-1)*100</f>
        <v>1.8668275845079796</v>
      </c>
      <c r="S39" s="67">
        <f t="shared" ref="S39:AD39" si="38">((S31/S5)^(1/26)-1)*100</f>
        <v>1.8134030716705274</v>
      </c>
      <c r="T39" s="67">
        <f t="shared" si="38"/>
        <v>3.4302057691031118</v>
      </c>
      <c r="U39" s="29" t="s">
        <v>22</v>
      </c>
      <c r="V39" s="29" t="s">
        <v>22</v>
      </c>
      <c r="W39" s="67">
        <f t="shared" si="38"/>
        <v>1.3558889825294518</v>
      </c>
      <c r="X39" s="67">
        <f t="shared" si="38"/>
        <v>2.0055555110996659</v>
      </c>
      <c r="Y39" s="67">
        <f t="shared" si="38"/>
        <v>2.0035948460931152</v>
      </c>
      <c r="Z39" s="67">
        <f t="shared" si="38"/>
        <v>1.527200792169503</v>
      </c>
      <c r="AA39" s="67">
        <f t="shared" si="38"/>
        <v>2.2545037013418368</v>
      </c>
      <c r="AB39" s="67">
        <f t="shared" si="38"/>
        <v>1.9408923737492811</v>
      </c>
      <c r="AC39" s="67">
        <f t="shared" si="38"/>
        <v>2.6652704274060524</v>
      </c>
      <c r="AD39" s="67">
        <f t="shared" si="38"/>
        <v>1.2055799721208738</v>
      </c>
    </row>
    <row r="40" spans="1:37">
      <c r="A40" s="64" t="s">
        <v>25</v>
      </c>
      <c r="B40" s="67">
        <f>((B13/B5)^(1/8)-1)*100</f>
        <v>3.0342419990214031</v>
      </c>
      <c r="C40" s="67">
        <f>((C13/C5)^(1/8)-1)*100</f>
        <v>2.9000783073694913</v>
      </c>
      <c r="D40" s="67">
        <f>((D13/D5)^(1/8)-1)*100</f>
        <v>2.8796798338757812</v>
      </c>
      <c r="E40" s="67">
        <f>((E13/E5)^(1/8)-1)*100</f>
        <v>3.4019959610235739</v>
      </c>
      <c r="F40" s="29" t="s">
        <v>22</v>
      </c>
      <c r="G40" s="29" t="s">
        <v>22</v>
      </c>
      <c r="H40" s="67">
        <f t="shared" ref="H40:O40" si="39">((H13/H5)^(1/8)-1)*100</f>
        <v>2.6561703636099221</v>
      </c>
      <c r="I40" s="67">
        <f t="shared" si="39"/>
        <v>3.091385604284369</v>
      </c>
      <c r="J40" s="67">
        <f t="shared" si="39"/>
        <v>2.4954810127922</v>
      </c>
      <c r="K40" s="67">
        <f t="shared" si="39"/>
        <v>1.5460790357979759</v>
      </c>
      <c r="L40" s="67">
        <f t="shared" si="39"/>
        <v>2.9093045355380598</v>
      </c>
      <c r="M40" s="67">
        <f t="shared" si="39"/>
        <v>3.6823497189376608</v>
      </c>
      <c r="N40" s="67">
        <f t="shared" si="39"/>
        <v>4.7815085413035252</v>
      </c>
      <c r="O40" s="67">
        <f t="shared" si="39"/>
        <v>2.640869136073154</v>
      </c>
      <c r="R40" s="67">
        <f>((R13/R5)^(1/8)-1)*100</f>
        <v>2.9000783073694913</v>
      </c>
      <c r="S40" s="67">
        <f t="shared" ref="S40:AD40" si="40">((S13/S5)^(1/8)-1)*100</f>
        <v>2.8796798338757812</v>
      </c>
      <c r="T40" s="67">
        <f t="shared" si="40"/>
        <v>3.4019959610235739</v>
      </c>
      <c r="U40" s="29" t="s">
        <v>22</v>
      </c>
      <c r="V40" s="29" t="s">
        <v>22</v>
      </c>
      <c r="W40" s="67">
        <f t="shared" si="40"/>
        <v>2.6561703636099221</v>
      </c>
      <c r="X40" s="67">
        <f t="shared" si="40"/>
        <v>3.091385604284369</v>
      </c>
      <c r="Y40" s="67">
        <f t="shared" si="40"/>
        <v>2.4954810127922</v>
      </c>
      <c r="Z40" s="67">
        <f t="shared" si="40"/>
        <v>1.5460790357979759</v>
      </c>
      <c r="AA40" s="67">
        <f t="shared" si="40"/>
        <v>2.9093045355380598</v>
      </c>
      <c r="AB40" s="67">
        <f t="shared" si="40"/>
        <v>3.6823497189376608</v>
      </c>
      <c r="AC40" s="67">
        <f t="shared" si="40"/>
        <v>4.7815085413035252</v>
      </c>
      <c r="AD40" s="67">
        <f t="shared" si="40"/>
        <v>2.640869136073154</v>
      </c>
    </row>
    <row r="41" spans="1:37">
      <c r="A41" s="64" t="s">
        <v>2119</v>
      </c>
      <c r="B41" s="67">
        <f>((B36/B13)^(1/23)-1)*100</f>
        <v>1.1289932731055385</v>
      </c>
      <c r="C41" s="67">
        <f t="shared" ref="C41:E41" si="41">((C36/C13)^(1/23)-1)*100</f>
        <v>1.2464205850484911</v>
      </c>
      <c r="D41" s="67">
        <f t="shared" si="41"/>
        <v>1.2006301076946668</v>
      </c>
      <c r="E41" s="67">
        <f t="shared" si="41"/>
        <v>2.7516568620709725</v>
      </c>
      <c r="F41" s="29" t="s">
        <v>22</v>
      </c>
      <c r="G41" s="29" t="s">
        <v>22</v>
      </c>
      <c r="H41" s="67">
        <f>((H36/H13)^(1/23)-1)*100</f>
        <v>0.94609380348209537</v>
      </c>
      <c r="I41" s="67">
        <f t="shared" ref="I41:N41" si="42">((I36/I13)^(1/23)-1)*100</f>
        <v>1.3450108161466856</v>
      </c>
      <c r="J41" s="67">
        <f t="shared" si="42"/>
        <v>1.1093844188297508</v>
      </c>
      <c r="K41" s="67">
        <f t="shared" si="42"/>
        <v>0.99708622486653908</v>
      </c>
      <c r="L41" s="67">
        <f>((L36/L13)^(1/23)-1)*100</f>
        <v>1.1909765399394701</v>
      </c>
      <c r="M41" s="67">
        <f t="shared" si="42"/>
        <v>1.033914661641222</v>
      </c>
      <c r="N41" s="67">
        <f t="shared" si="42"/>
        <v>1.4592745830753762</v>
      </c>
      <c r="O41" s="67">
        <f>((O36/O13)^(1/23)-1)*100</f>
        <v>0.57467884567750094</v>
      </c>
      <c r="R41" s="67"/>
      <c r="S41" s="67"/>
      <c r="T41" s="67"/>
      <c r="U41" s="29"/>
      <c r="V41" s="29"/>
      <c r="W41" s="67"/>
      <c r="X41" s="67"/>
      <c r="Y41" s="67"/>
      <c r="Z41" s="67"/>
      <c r="AA41" s="67"/>
      <c r="AB41" s="67"/>
      <c r="AC41" s="67"/>
      <c r="AD41" s="67"/>
      <c r="AK41" s="67" t="e">
        <f>((AK31/AK13)^(1/18)-1)*100</f>
        <v>#DIV/0!</v>
      </c>
    </row>
    <row r="42" spans="1:37">
      <c r="A42" s="109" t="s">
        <v>26</v>
      </c>
      <c r="B42" s="67">
        <f>((B24/B13)^(1/11)-1)*100</f>
        <v>3.52355293910811</v>
      </c>
      <c r="C42" s="67">
        <f>((C24/C13)^(1/11)-1)*100</f>
        <v>4.293689878735707</v>
      </c>
      <c r="D42" s="67">
        <f>((D24/D13)^(1/11)-1)*100</f>
        <v>4.3181880198574607</v>
      </c>
      <c r="E42" s="67">
        <f>((E24/E13)^(1/11)-1)*100</f>
        <v>4.6021822532779533</v>
      </c>
      <c r="F42" s="29" t="s">
        <v>22</v>
      </c>
      <c r="G42" s="29" t="s">
        <v>22</v>
      </c>
      <c r="H42" s="67">
        <f t="shared" ref="H42:O42" si="43">((H24/H13)^(1/11)-1)*100</f>
        <v>3.1232301788526762</v>
      </c>
      <c r="I42" s="67">
        <f t="shared" si="43"/>
        <v>4.7156025457816719</v>
      </c>
      <c r="J42" s="67">
        <f t="shared" si="43"/>
        <v>4.0707932235909627</v>
      </c>
      <c r="K42" s="67">
        <f t="shared" si="43"/>
        <v>4.9740543791359171</v>
      </c>
      <c r="L42" s="67">
        <f t="shared" si="43"/>
        <v>3.4299644280860964</v>
      </c>
      <c r="M42" s="67">
        <f t="shared" si="43"/>
        <v>2.1740170433890205</v>
      </c>
      <c r="N42" s="67">
        <f t="shared" si="43"/>
        <v>1.8570092788735115</v>
      </c>
      <c r="O42" s="67">
        <f t="shared" si="43"/>
        <v>2.3490914881286074</v>
      </c>
      <c r="P42" s="109"/>
      <c r="Q42" s="109"/>
      <c r="R42" s="67">
        <f>((R24/R13)^(1/11)-1)*100</f>
        <v>4.293689878735707</v>
      </c>
      <c r="S42" s="67">
        <f t="shared" ref="S42:AD42" si="44">((S24/S13)^(1/11)-1)*100</f>
        <v>4.3181880198574829</v>
      </c>
      <c r="T42" s="67">
        <f t="shared" si="44"/>
        <v>4.6021822532779533</v>
      </c>
      <c r="U42" s="29" t="s">
        <v>22</v>
      </c>
      <c r="V42" s="29" t="s">
        <v>22</v>
      </c>
      <c r="W42" s="67">
        <f t="shared" si="44"/>
        <v>3.1232301788526762</v>
      </c>
      <c r="X42" s="67">
        <f t="shared" si="44"/>
        <v>4.7156025457816719</v>
      </c>
      <c r="Y42" s="67">
        <f t="shared" si="44"/>
        <v>4.0707932235909627</v>
      </c>
      <c r="Z42" s="67">
        <f t="shared" si="44"/>
        <v>4.9740543791359171</v>
      </c>
      <c r="AA42" s="67">
        <f t="shared" si="44"/>
        <v>3.4299644280860964</v>
      </c>
      <c r="AB42" s="67">
        <f t="shared" si="44"/>
        <v>2.1740170433890205</v>
      </c>
      <c r="AC42" s="67">
        <f t="shared" si="44"/>
        <v>1.8570092788735115</v>
      </c>
      <c r="AD42" s="67">
        <f t="shared" si="44"/>
        <v>2.3490914881286074</v>
      </c>
      <c r="AK42" s="67" t="e">
        <f>((AK24/AK13)^(1/11)-1)*100</f>
        <v>#DIV/0!</v>
      </c>
    </row>
    <row r="43" spans="1:37">
      <c r="A43" s="64" t="s">
        <v>2028</v>
      </c>
      <c r="B43" s="67">
        <f>((B36/B24)^(1/12)-1)*100</f>
        <v>-1.0173318693916911</v>
      </c>
      <c r="C43" s="67">
        <f>((C36/C24)^(1/12)-1)*100</f>
        <v>-1.4686303194742623</v>
      </c>
      <c r="D43" s="67">
        <f t="shared" ref="D43:E43" si="45">((D36/D24)^(1/12)-1)*100</f>
        <v>-1.5752168868531702</v>
      </c>
      <c r="E43" s="67">
        <f t="shared" si="45"/>
        <v>1.0841153598715847</v>
      </c>
      <c r="F43" s="29" t="s">
        <v>22</v>
      </c>
      <c r="G43" s="29" t="s">
        <v>22</v>
      </c>
      <c r="H43" s="67">
        <f>((H36/H24)^(1/12)-1)*100</f>
        <v>-1.0092129115963244</v>
      </c>
      <c r="I43" s="67">
        <f t="shared" ref="I43:O43" si="46">((I36/I24)^(1/12)-1)*100</f>
        <v>-1.649304391872175</v>
      </c>
      <c r="J43" s="67">
        <f t="shared" si="46"/>
        <v>-1.5311533687026535</v>
      </c>
      <c r="K43" s="67">
        <f t="shared" si="46"/>
        <v>-2.5159691466788203</v>
      </c>
      <c r="L43" s="67">
        <f t="shared" si="46"/>
        <v>-0.8188252807722618</v>
      </c>
      <c r="M43" s="67">
        <f t="shared" si="46"/>
        <v>0</v>
      </c>
      <c r="N43" s="67">
        <f t="shared" si="46"/>
        <v>1.0960489379797211</v>
      </c>
      <c r="O43" s="67">
        <f t="shared" si="46"/>
        <v>-1.0248287732372519</v>
      </c>
      <c r="P43" s="109"/>
      <c r="Q43" s="109"/>
      <c r="R43" s="67">
        <f>((R31/R24)^(1/7)-1)*100</f>
        <v>-2.9589532379736716</v>
      </c>
      <c r="S43" s="67">
        <f t="shared" ref="S43:AD43" si="47">((S31/S24)^(1/7)-1)*100</f>
        <v>-3.1616526776177323</v>
      </c>
      <c r="T43" s="67">
        <f t="shared" si="47"/>
        <v>1.6466849140988282</v>
      </c>
      <c r="U43" s="67">
        <f t="shared" si="47"/>
        <v>-3.3444520977536807</v>
      </c>
      <c r="V43" s="67">
        <f t="shared" si="47"/>
        <v>-1.6286379812713969</v>
      </c>
      <c r="W43" s="67">
        <f t="shared" si="47"/>
        <v>-2.7869620491859814</v>
      </c>
      <c r="X43" s="67">
        <f t="shared" si="47"/>
        <v>-3.2895099691990781</v>
      </c>
      <c r="Y43" s="67">
        <f t="shared" si="47"/>
        <v>-1.7041214214874922</v>
      </c>
      <c r="Z43" s="67">
        <f t="shared" si="47"/>
        <v>-3.6825203221123148</v>
      </c>
      <c r="AA43" s="67">
        <f t="shared" si="47"/>
        <v>-0.29573020464090938</v>
      </c>
      <c r="AB43" s="67">
        <f t="shared" si="47"/>
        <v>-0.37181900108228527</v>
      </c>
      <c r="AC43" s="67">
        <f t="shared" si="47"/>
        <v>1.5525270631685295</v>
      </c>
      <c r="AD43" s="67">
        <f t="shared" si="47"/>
        <v>-2.1531021345419732</v>
      </c>
      <c r="AK43" s="67" t="e">
        <f>((AK31/AK24)^(1/7)-1)*100</f>
        <v>#DIV/0!</v>
      </c>
    </row>
    <row r="44" spans="1:37">
      <c r="A44" s="232"/>
      <c r="B44" s="232"/>
      <c r="C44" s="232"/>
      <c r="D44" s="232"/>
      <c r="E44" s="232"/>
      <c r="F44" s="232"/>
      <c r="G44" s="232"/>
      <c r="H44" s="232"/>
      <c r="I44" s="232"/>
      <c r="J44" s="232"/>
      <c r="K44" s="232"/>
      <c r="L44" s="232"/>
      <c r="M44" s="232"/>
      <c r="N44" s="232"/>
      <c r="O44" s="232"/>
      <c r="P44" s="130"/>
      <c r="Q44" s="130"/>
      <c r="R44" s="130"/>
      <c r="S44" s="130"/>
      <c r="T44" s="130"/>
      <c r="U44" s="130"/>
      <c r="V44" s="130"/>
      <c r="W44" s="130"/>
      <c r="X44" s="130"/>
      <c r="Y44" s="130"/>
      <c r="Z44" s="130"/>
      <c r="AA44" s="130"/>
      <c r="AB44" s="130"/>
      <c r="AC44" s="130"/>
      <c r="AD44" s="130"/>
    </row>
    <row r="45" spans="1:37">
      <c r="A45" s="232" t="s">
        <v>1840</v>
      </c>
      <c r="B45" s="232"/>
      <c r="C45" s="232"/>
      <c r="D45" s="232"/>
      <c r="E45" s="232"/>
      <c r="F45" s="232"/>
      <c r="G45" s="232"/>
      <c r="H45" s="232"/>
      <c r="I45" s="232"/>
      <c r="J45" s="232"/>
      <c r="K45" s="232"/>
      <c r="L45" s="232"/>
      <c r="M45" s="232"/>
      <c r="N45" s="232"/>
      <c r="O45" s="232"/>
      <c r="P45" s="130"/>
      <c r="Q45" s="130"/>
      <c r="R45" s="130"/>
      <c r="S45" s="130"/>
      <c r="T45" s="130"/>
      <c r="U45" s="130"/>
      <c r="V45" s="130"/>
      <c r="W45" s="130"/>
      <c r="X45" s="130"/>
      <c r="Y45" s="130"/>
      <c r="Z45" s="130"/>
      <c r="AA45" s="130"/>
      <c r="AB45" s="130"/>
      <c r="AC45" s="130"/>
      <c r="AD45" s="130"/>
    </row>
    <row r="46" spans="1:37">
      <c r="A46" s="87" t="s">
        <v>1649</v>
      </c>
      <c r="B46" s="87"/>
      <c r="C46" s="87"/>
      <c r="D46" s="87"/>
      <c r="E46" s="87"/>
      <c r="F46" s="87"/>
      <c r="G46" s="87"/>
      <c r="H46" s="87"/>
      <c r="I46" s="87"/>
      <c r="J46" s="87"/>
      <c r="K46" s="87"/>
      <c r="L46" s="87"/>
      <c r="M46" s="87"/>
      <c r="N46" s="87"/>
      <c r="O46" s="87"/>
    </row>
    <row r="84" spans="17:30">
      <c r="Q84" s="64">
        <v>1981</v>
      </c>
      <c r="R84" s="64" t="e">
        <f>(R49/R$65)*100</f>
        <v>#DIV/0!</v>
      </c>
      <c r="S84" s="64" t="e">
        <f t="shared" ref="S84:AD84" si="48">(S49/S$65)*100</f>
        <v>#DIV/0!</v>
      </c>
      <c r="T84" s="64" t="e">
        <f t="shared" si="48"/>
        <v>#DIV/0!</v>
      </c>
      <c r="U84" s="64" t="e">
        <f t="shared" si="48"/>
        <v>#DIV/0!</v>
      </c>
      <c r="V84" s="64" t="e">
        <f t="shared" si="48"/>
        <v>#DIV/0!</v>
      </c>
      <c r="W84" s="64" t="e">
        <f t="shared" si="48"/>
        <v>#DIV/0!</v>
      </c>
      <c r="X84" s="64" t="e">
        <f t="shared" si="48"/>
        <v>#DIV/0!</v>
      </c>
      <c r="Y84" s="64" t="e">
        <f t="shared" si="48"/>
        <v>#DIV/0!</v>
      </c>
      <c r="Z84" s="64" t="e">
        <f t="shared" si="48"/>
        <v>#DIV/0!</v>
      </c>
      <c r="AA84" s="64" t="e">
        <f t="shared" si="48"/>
        <v>#DIV/0!</v>
      </c>
      <c r="AB84" s="64" t="e">
        <f t="shared" si="48"/>
        <v>#DIV/0!</v>
      </c>
      <c r="AC84" s="64" t="e">
        <f t="shared" si="48"/>
        <v>#DIV/0!</v>
      </c>
      <c r="AD84" s="64" t="e">
        <f t="shared" si="48"/>
        <v>#DIV/0!</v>
      </c>
    </row>
    <row r="85" spans="17:30">
      <c r="Q85" s="64">
        <v>1982</v>
      </c>
      <c r="R85" s="64" t="e">
        <f t="shared" ref="R85:AD116" si="49">(R50/R$65)*100</f>
        <v>#DIV/0!</v>
      </c>
      <c r="S85" s="64" t="e">
        <f t="shared" si="49"/>
        <v>#DIV/0!</v>
      </c>
      <c r="T85" s="64" t="e">
        <f t="shared" si="49"/>
        <v>#DIV/0!</v>
      </c>
      <c r="U85" s="64" t="e">
        <f t="shared" si="49"/>
        <v>#DIV/0!</v>
      </c>
      <c r="V85" s="64" t="e">
        <f t="shared" si="49"/>
        <v>#DIV/0!</v>
      </c>
      <c r="W85" s="64" t="e">
        <f t="shared" si="49"/>
        <v>#DIV/0!</v>
      </c>
      <c r="X85" s="64" t="e">
        <f t="shared" si="49"/>
        <v>#DIV/0!</v>
      </c>
      <c r="Y85" s="64" t="e">
        <f t="shared" si="49"/>
        <v>#DIV/0!</v>
      </c>
      <c r="Z85" s="64" t="e">
        <f t="shared" si="49"/>
        <v>#DIV/0!</v>
      </c>
      <c r="AA85" s="64" t="e">
        <f t="shared" si="49"/>
        <v>#DIV/0!</v>
      </c>
      <c r="AB85" s="64" t="e">
        <f t="shared" si="49"/>
        <v>#DIV/0!</v>
      </c>
      <c r="AC85" s="64" t="e">
        <f t="shared" si="49"/>
        <v>#DIV/0!</v>
      </c>
      <c r="AD85" s="64" t="e">
        <f t="shared" si="49"/>
        <v>#DIV/0!</v>
      </c>
    </row>
    <row r="86" spans="17:30">
      <c r="Q86" s="64">
        <v>1983</v>
      </c>
      <c r="R86" s="64" t="e">
        <f t="shared" si="49"/>
        <v>#DIV/0!</v>
      </c>
      <c r="S86" s="64" t="e">
        <f t="shared" si="49"/>
        <v>#DIV/0!</v>
      </c>
      <c r="T86" s="64" t="e">
        <f t="shared" si="49"/>
        <v>#DIV/0!</v>
      </c>
      <c r="U86" s="64" t="e">
        <f t="shared" si="49"/>
        <v>#DIV/0!</v>
      </c>
      <c r="V86" s="64" t="e">
        <f t="shared" si="49"/>
        <v>#DIV/0!</v>
      </c>
      <c r="W86" s="64" t="e">
        <f t="shared" si="49"/>
        <v>#DIV/0!</v>
      </c>
      <c r="X86" s="64" t="e">
        <f t="shared" si="49"/>
        <v>#DIV/0!</v>
      </c>
      <c r="Y86" s="64" t="e">
        <f t="shared" si="49"/>
        <v>#DIV/0!</v>
      </c>
      <c r="Z86" s="64" t="e">
        <f t="shared" si="49"/>
        <v>#DIV/0!</v>
      </c>
      <c r="AA86" s="64" t="e">
        <f t="shared" si="49"/>
        <v>#DIV/0!</v>
      </c>
      <c r="AB86" s="64" t="e">
        <f t="shared" si="49"/>
        <v>#DIV/0!</v>
      </c>
      <c r="AC86" s="64" t="e">
        <f t="shared" si="49"/>
        <v>#DIV/0!</v>
      </c>
      <c r="AD86" s="64" t="e">
        <f t="shared" si="49"/>
        <v>#DIV/0!</v>
      </c>
    </row>
    <row r="87" spans="17:30">
      <c r="Q87" s="64">
        <v>1984</v>
      </c>
      <c r="R87" s="64" t="e">
        <f t="shared" si="49"/>
        <v>#DIV/0!</v>
      </c>
      <c r="S87" s="64" t="e">
        <f t="shared" si="49"/>
        <v>#DIV/0!</v>
      </c>
      <c r="T87" s="64" t="e">
        <f t="shared" si="49"/>
        <v>#DIV/0!</v>
      </c>
      <c r="U87" s="64" t="e">
        <f t="shared" si="49"/>
        <v>#DIV/0!</v>
      </c>
      <c r="V87" s="64" t="e">
        <f t="shared" si="49"/>
        <v>#DIV/0!</v>
      </c>
      <c r="W87" s="64" t="e">
        <f t="shared" si="49"/>
        <v>#DIV/0!</v>
      </c>
      <c r="X87" s="64" t="e">
        <f t="shared" si="49"/>
        <v>#DIV/0!</v>
      </c>
      <c r="Y87" s="64" t="e">
        <f t="shared" si="49"/>
        <v>#DIV/0!</v>
      </c>
      <c r="Z87" s="64" t="e">
        <f t="shared" si="49"/>
        <v>#DIV/0!</v>
      </c>
      <c r="AA87" s="64" t="e">
        <f t="shared" si="49"/>
        <v>#DIV/0!</v>
      </c>
      <c r="AB87" s="64" t="e">
        <f t="shared" si="49"/>
        <v>#DIV/0!</v>
      </c>
      <c r="AC87" s="64" t="e">
        <f t="shared" si="49"/>
        <v>#DIV/0!</v>
      </c>
      <c r="AD87" s="64" t="e">
        <f t="shared" si="49"/>
        <v>#DIV/0!</v>
      </c>
    </row>
    <row r="88" spans="17:30">
      <c r="Q88" s="64">
        <v>1985</v>
      </c>
      <c r="R88" s="64" t="e">
        <f t="shared" si="49"/>
        <v>#DIV/0!</v>
      </c>
      <c r="S88" s="64" t="e">
        <f t="shared" si="49"/>
        <v>#DIV/0!</v>
      </c>
      <c r="T88" s="64" t="e">
        <f t="shared" si="49"/>
        <v>#DIV/0!</v>
      </c>
      <c r="U88" s="64" t="e">
        <f t="shared" si="49"/>
        <v>#DIV/0!</v>
      </c>
      <c r="V88" s="64" t="e">
        <f t="shared" si="49"/>
        <v>#DIV/0!</v>
      </c>
      <c r="W88" s="64" t="e">
        <f t="shared" si="49"/>
        <v>#DIV/0!</v>
      </c>
      <c r="X88" s="64" t="e">
        <f t="shared" si="49"/>
        <v>#DIV/0!</v>
      </c>
      <c r="Y88" s="64" t="e">
        <f t="shared" si="49"/>
        <v>#DIV/0!</v>
      </c>
      <c r="Z88" s="64" t="e">
        <f t="shared" si="49"/>
        <v>#DIV/0!</v>
      </c>
      <c r="AA88" s="64" t="e">
        <f t="shared" si="49"/>
        <v>#DIV/0!</v>
      </c>
      <c r="AB88" s="64" t="e">
        <f t="shared" si="49"/>
        <v>#DIV/0!</v>
      </c>
      <c r="AC88" s="64" t="e">
        <f t="shared" si="49"/>
        <v>#DIV/0!</v>
      </c>
      <c r="AD88" s="64" t="e">
        <f t="shared" si="49"/>
        <v>#DIV/0!</v>
      </c>
    </row>
    <row r="89" spans="17:30">
      <c r="Q89" s="64">
        <v>1986</v>
      </c>
      <c r="R89" s="64" t="e">
        <f t="shared" si="49"/>
        <v>#DIV/0!</v>
      </c>
      <c r="S89" s="64" t="e">
        <f t="shared" si="49"/>
        <v>#DIV/0!</v>
      </c>
      <c r="T89" s="64" t="e">
        <f t="shared" si="49"/>
        <v>#DIV/0!</v>
      </c>
      <c r="U89" s="64" t="e">
        <f t="shared" si="49"/>
        <v>#DIV/0!</v>
      </c>
      <c r="V89" s="64" t="e">
        <f t="shared" si="49"/>
        <v>#DIV/0!</v>
      </c>
      <c r="W89" s="64" t="e">
        <f t="shared" si="49"/>
        <v>#DIV/0!</v>
      </c>
      <c r="X89" s="64" t="e">
        <f t="shared" si="49"/>
        <v>#DIV/0!</v>
      </c>
      <c r="Y89" s="64" t="e">
        <f t="shared" si="49"/>
        <v>#DIV/0!</v>
      </c>
      <c r="Z89" s="64" t="e">
        <f t="shared" si="49"/>
        <v>#DIV/0!</v>
      </c>
      <c r="AA89" s="64" t="e">
        <f t="shared" si="49"/>
        <v>#DIV/0!</v>
      </c>
      <c r="AB89" s="64" t="e">
        <f t="shared" si="49"/>
        <v>#DIV/0!</v>
      </c>
      <c r="AC89" s="64" t="e">
        <f t="shared" si="49"/>
        <v>#DIV/0!</v>
      </c>
      <c r="AD89" s="64" t="e">
        <f t="shared" si="49"/>
        <v>#DIV/0!</v>
      </c>
    </row>
    <row r="90" spans="17:30">
      <c r="Q90" s="64">
        <v>1987</v>
      </c>
      <c r="R90" s="64" t="e">
        <f t="shared" si="49"/>
        <v>#DIV/0!</v>
      </c>
      <c r="S90" s="64" t="e">
        <f t="shared" si="49"/>
        <v>#DIV/0!</v>
      </c>
      <c r="T90" s="64" t="e">
        <f t="shared" si="49"/>
        <v>#DIV/0!</v>
      </c>
      <c r="U90" s="64" t="e">
        <f t="shared" si="49"/>
        <v>#DIV/0!</v>
      </c>
      <c r="V90" s="64" t="e">
        <f t="shared" si="49"/>
        <v>#DIV/0!</v>
      </c>
      <c r="W90" s="64" t="e">
        <f t="shared" si="49"/>
        <v>#DIV/0!</v>
      </c>
      <c r="X90" s="64" t="e">
        <f t="shared" si="49"/>
        <v>#DIV/0!</v>
      </c>
      <c r="Y90" s="64" t="e">
        <f t="shared" si="49"/>
        <v>#DIV/0!</v>
      </c>
      <c r="Z90" s="64" t="e">
        <f t="shared" si="49"/>
        <v>#DIV/0!</v>
      </c>
      <c r="AA90" s="64" t="e">
        <f t="shared" si="49"/>
        <v>#DIV/0!</v>
      </c>
      <c r="AB90" s="64" t="e">
        <f t="shared" si="49"/>
        <v>#DIV/0!</v>
      </c>
      <c r="AC90" s="64" t="e">
        <f t="shared" si="49"/>
        <v>#DIV/0!</v>
      </c>
      <c r="AD90" s="64" t="e">
        <f t="shared" si="49"/>
        <v>#DIV/0!</v>
      </c>
    </row>
    <row r="91" spans="17:30">
      <c r="Q91" s="64">
        <v>1988</v>
      </c>
      <c r="R91" s="64" t="e">
        <f t="shared" si="49"/>
        <v>#DIV/0!</v>
      </c>
      <c r="S91" s="64" t="e">
        <f t="shared" si="49"/>
        <v>#DIV/0!</v>
      </c>
      <c r="T91" s="64" t="e">
        <f t="shared" si="49"/>
        <v>#DIV/0!</v>
      </c>
      <c r="U91" s="64" t="e">
        <f t="shared" si="49"/>
        <v>#DIV/0!</v>
      </c>
      <c r="V91" s="64" t="e">
        <f t="shared" si="49"/>
        <v>#DIV/0!</v>
      </c>
      <c r="W91" s="64" t="e">
        <f t="shared" si="49"/>
        <v>#DIV/0!</v>
      </c>
      <c r="X91" s="64" t="e">
        <f t="shared" si="49"/>
        <v>#DIV/0!</v>
      </c>
      <c r="Y91" s="64" t="e">
        <f t="shared" si="49"/>
        <v>#DIV/0!</v>
      </c>
      <c r="Z91" s="64" t="e">
        <f t="shared" si="49"/>
        <v>#DIV/0!</v>
      </c>
      <c r="AA91" s="64" t="e">
        <f t="shared" si="49"/>
        <v>#DIV/0!</v>
      </c>
      <c r="AB91" s="64" t="e">
        <f t="shared" si="49"/>
        <v>#DIV/0!</v>
      </c>
      <c r="AC91" s="64" t="e">
        <f t="shared" si="49"/>
        <v>#DIV/0!</v>
      </c>
      <c r="AD91" s="64" t="e">
        <f t="shared" si="49"/>
        <v>#DIV/0!</v>
      </c>
    </row>
    <row r="92" spans="17:30">
      <c r="Q92" s="64">
        <v>1989</v>
      </c>
      <c r="R92" s="64" t="e">
        <f t="shared" si="49"/>
        <v>#DIV/0!</v>
      </c>
      <c r="S92" s="64" t="e">
        <f t="shared" si="49"/>
        <v>#DIV/0!</v>
      </c>
      <c r="T92" s="64" t="e">
        <f t="shared" si="49"/>
        <v>#DIV/0!</v>
      </c>
      <c r="U92" s="64" t="e">
        <f t="shared" si="49"/>
        <v>#DIV/0!</v>
      </c>
      <c r="V92" s="64" t="e">
        <f t="shared" si="49"/>
        <v>#DIV/0!</v>
      </c>
      <c r="W92" s="64" t="e">
        <f t="shared" si="49"/>
        <v>#DIV/0!</v>
      </c>
      <c r="X92" s="64" t="e">
        <f t="shared" si="49"/>
        <v>#DIV/0!</v>
      </c>
      <c r="Y92" s="64" t="e">
        <f t="shared" si="49"/>
        <v>#DIV/0!</v>
      </c>
      <c r="Z92" s="64" t="e">
        <f t="shared" si="49"/>
        <v>#DIV/0!</v>
      </c>
      <c r="AA92" s="64" t="e">
        <f t="shared" si="49"/>
        <v>#DIV/0!</v>
      </c>
      <c r="AB92" s="64" t="e">
        <f t="shared" si="49"/>
        <v>#DIV/0!</v>
      </c>
      <c r="AC92" s="64" t="e">
        <f t="shared" si="49"/>
        <v>#DIV/0!</v>
      </c>
      <c r="AD92" s="64" t="e">
        <f t="shared" si="49"/>
        <v>#DIV/0!</v>
      </c>
    </row>
    <row r="93" spans="17:30">
      <c r="Q93" s="64">
        <v>1990</v>
      </c>
      <c r="R93" s="64" t="e">
        <f t="shared" si="49"/>
        <v>#DIV/0!</v>
      </c>
      <c r="S93" s="64" t="e">
        <f t="shared" si="49"/>
        <v>#DIV/0!</v>
      </c>
      <c r="T93" s="64" t="e">
        <f t="shared" si="49"/>
        <v>#DIV/0!</v>
      </c>
      <c r="U93" s="64" t="e">
        <f t="shared" si="49"/>
        <v>#DIV/0!</v>
      </c>
      <c r="V93" s="64" t="e">
        <f t="shared" si="49"/>
        <v>#DIV/0!</v>
      </c>
      <c r="W93" s="64" t="e">
        <f t="shared" si="49"/>
        <v>#DIV/0!</v>
      </c>
      <c r="X93" s="64" t="e">
        <f t="shared" si="49"/>
        <v>#DIV/0!</v>
      </c>
      <c r="Y93" s="64" t="e">
        <f t="shared" si="49"/>
        <v>#DIV/0!</v>
      </c>
      <c r="Z93" s="64" t="e">
        <f t="shared" si="49"/>
        <v>#DIV/0!</v>
      </c>
      <c r="AA93" s="64" t="e">
        <f t="shared" si="49"/>
        <v>#DIV/0!</v>
      </c>
      <c r="AB93" s="64" t="e">
        <f t="shared" si="49"/>
        <v>#DIV/0!</v>
      </c>
      <c r="AC93" s="64" t="e">
        <f t="shared" si="49"/>
        <v>#DIV/0!</v>
      </c>
      <c r="AD93" s="64" t="e">
        <f t="shared" si="49"/>
        <v>#DIV/0!</v>
      </c>
    </row>
    <row r="94" spans="17:30">
      <c r="Q94" s="64">
        <v>1991</v>
      </c>
      <c r="R94" s="64" t="e">
        <f t="shared" si="49"/>
        <v>#DIV/0!</v>
      </c>
      <c r="S94" s="64" t="e">
        <f t="shared" si="49"/>
        <v>#DIV/0!</v>
      </c>
      <c r="T94" s="64" t="e">
        <f t="shared" si="49"/>
        <v>#DIV/0!</v>
      </c>
      <c r="U94" s="64" t="e">
        <f t="shared" si="49"/>
        <v>#DIV/0!</v>
      </c>
      <c r="V94" s="64" t="e">
        <f t="shared" si="49"/>
        <v>#DIV/0!</v>
      </c>
      <c r="W94" s="64" t="e">
        <f t="shared" si="49"/>
        <v>#DIV/0!</v>
      </c>
      <c r="X94" s="64" t="e">
        <f t="shared" si="49"/>
        <v>#DIV/0!</v>
      </c>
      <c r="Y94" s="64" t="e">
        <f t="shared" si="49"/>
        <v>#DIV/0!</v>
      </c>
      <c r="Z94" s="64" t="e">
        <f t="shared" si="49"/>
        <v>#DIV/0!</v>
      </c>
      <c r="AA94" s="64" t="e">
        <f t="shared" si="49"/>
        <v>#DIV/0!</v>
      </c>
      <c r="AB94" s="64" t="e">
        <f t="shared" si="49"/>
        <v>#DIV/0!</v>
      </c>
      <c r="AC94" s="64" t="e">
        <f t="shared" si="49"/>
        <v>#DIV/0!</v>
      </c>
      <c r="AD94" s="64" t="e">
        <f t="shared" si="49"/>
        <v>#DIV/0!</v>
      </c>
    </row>
    <row r="95" spans="17:30">
      <c r="Q95" s="64">
        <v>1992</v>
      </c>
      <c r="R95" s="64" t="e">
        <f t="shared" si="49"/>
        <v>#DIV/0!</v>
      </c>
      <c r="S95" s="64" t="e">
        <f t="shared" si="49"/>
        <v>#DIV/0!</v>
      </c>
      <c r="T95" s="64" t="e">
        <f t="shared" si="49"/>
        <v>#DIV/0!</v>
      </c>
      <c r="U95" s="64" t="e">
        <f t="shared" si="49"/>
        <v>#DIV/0!</v>
      </c>
      <c r="V95" s="64" t="e">
        <f t="shared" si="49"/>
        <v>#DIV/0!</v>
      </c>
      <c r="W95" s="64" t="e">
        <f t="shared" si="49"/>
        <v>#DIV/0!</v>
      </c>
      <c r="X95" s="64" t="e">
        <f t="shared" si="49"/>
        <v>#DIV/0!</v>
      </c>
      <c r="Y95" s="64" t="e">
        <f t="shared" si="49"/>
        <v>#DIV/0!</v>
      </c>
      <c r="Z95" s="64" t="e">
        <f t="shared" si="49"/>
        <v>#DIV/0!</v>
      </c>
      <c r="AA95" s="64" t="e">
        <f t="shared" si="49"/>
        <v>#DIV/0!</v>
      </c>
      <c r="AB95" s="64" t="e">
        <f t="shared" si="49"/>
        <v>#DIV/0!</v>
      </c>
      <c r="AC95" s="64" t="e">
        <f t="shared" si="49"/>
        <v>#DIV/0!</v>
      </c>
      <c r="AD95" s="64" t="e">
        <f t="shared" si="49"/>
        <v>#DIV/0!</v>
      </c>
    </row>
    <row r="96" spans="17:30">
      <c r="Q96" s="64">
        <v>1993</v>
      </c>
      <c r="R96" s="64" t="e">
        <f t="shared" si="49"/>
        <v>#DIV/0!</v>
      </c>
      <c r="S96" s="64" t="e">
        <f t="shared" si="49"/>
        <v>#DIV/0!</v>
      </c>
      <c r="T96" s="64" t="e">
        <f t="shared" si="49"/>
        <v>#DIV/0!</v>
      </c>
      <c r="U96" s="64" t="e">
        <f t="shared" si="49"/>
        <v>#DIV/0!</v>
      </c>
      <c r="V96" s="64" t="e">
        <f t="shared" si="49"/>
        <v>#DIV/0!</v>
      </c>
      <c r="W96" s="64" t="e">
        <f t="shared" si="49"/>
        <v>#DIV/0!</v>
      </c>
      <c r="X96" s="64" t="e">
        <f t="shared" si="49"/>
        <v>#DIV/0!</v>
      </c>
      <c r="Y96" s="64" t="e">
        <f t="shared" si="49"/>
        <v>#DIV/0!</v>
      </c>
      <c r="Z96" s="64" t="e">
        <f t="shared" si="49"/>
        <v>#DIV/0!</v>
      </c>
      <c r="AA96" s="64" t="e">
        <f t="shared" si="49"/>
        <v>#DIV/0!</v>
      </c>
      <c r="AB96" s="64" t="e">
        <f t="shared" si="49"/>
        <v>#DIV/0!</v>
      </c>
      <c r="AC96" s="64" t="e">
        <f t="shared" si="49"/>
        <v>#DIV/0!</v>
      </c>
      <c r="AD96" s="64" t="e">
        <f t="shared" si="49"/>
        <v>#DIV/0!</v>
      </c>
    </row>
    <row r="97" spans="17:30">
      <c r="Q97" s="64">
        <v>1994</v>
      </c>
      <c r="R97" s="64" t="e">
        <f t="shared" si="49"/>
        <v>#DIV/0!</v>
      </c>
      <c r="S97" s="64" t="e">
        <f t="shared" si="49"/>
        <v>#DIV/0!</v>
      </c>
      <c r="T97" s="64" t="e">
        <f t="shared" si="49"/>
        <v>#DIV/0!</v>
      </c>
      <c r="U97" s="64" t="e">
        <f t="shared" si="49"/>
        <v>#DIV/0!</v>
      </c>
      <c r="V97" s="64" t="e">
        <f t="shared" si="49"/>
        <v>#DIV/0!</v>
      </c>
      <c r="W97" s="64" t="e">
        <f t="shared" si="49"/>
        <v>#DIV/0!</v>
      </c>
      <c r="X97" s="64" t="e">
        <f t="shared" si="49"/>
        <v>#DIV/0!</v>
      </c>
      <c r="Y97" s="64" t="e">
        <f t="shared" si="49"/>
        <v>#DIV/0!</v>
      </c>
      <c r="Z97" s="64" t="e">
        <f t="shared" si="49"/>
        <v>#DIV/0!</v>
      </c>
      <c r="AA97" s="64" t="e">
        <f t="shared" si="49"/>
        <v>#DIV/0!</v>
      </c>
      <c r="AB97" s="64" t="e">
        <f t="shared" si="49"/>
        <v>#DIV/0!</v>
      </c>
      <c r="AC97" s="64" t="e">
        <f t="shared" si="49"/>
        <v>#DIV/0!</v>
      </c>
      <c r="AD97" s="64" t="e">
        <f t="shared" si="49"/>
        <v>#DIV/0!</v>
      </c>
    </row>
    <row r="98" spans="17:30">
      <c r="Q98" s="64">
        <v>1995</v>
      </c>
      <c r="R98" s="64" t="e">
        <f t="shared" si="49"/>
        <v>#DIV/0!</v>
      </c>
      <c r="S98" s="64" t="e">
        <f t="shared" si="49"/>
        <v>#DIV/0!</v>
      </c>
      <c r="T98" s="64" t="e">
        <f t="shared" si="49"/>
        <v>#DIV/0!</v>
      </c>
      <c r="U98" s="64" t="e">
        <f t="shared" si="49"/>
        <v>#DIV/0!</v>
      </c>
      <c r="V98" s="64" t="e">
        <f t="shared" si="49"/>
        <v>#DIV/0!</v>
      </c>
      <c r="W98" s="64" t="e">
        <f t="shared" si="49"/>
        <v>#DIV/0!</v>
      </c>
      <c r="X98" s="64" t="e">
        <f t="shared" si="49"/>
        <v>#DIV/0!</v>
      </c>
      <c r="Y98" s="64" t="e">
        <f t="shared" si="49"/>
        <v>#DIV/0!</v>
      </c>
      <c r="Z98" s="64" t="e">
        <f t="shared" si="49"/>
        <v>#DIV/0!</v>
      </c>
      <c r="AA98" s="64" t="e">
        <f t="shared" si="49"/>
        <v>#DIV/0!</v>
      </c>
      <c r="AB98" s="64" t="e">
        <f t="shared" si="49"/>
        <v>#DIV/0!</v>
      </c>
      <c r="AC98" s="64" t="e">
        <f t="shared" si="49"/>
        <v>#DIV/0!</v>
      </c>
      <c r="AD98" s="64" t="e">
        <f t="shared" si="49"/>
        <v>#DIV/0!</v>
      </c>
    </row>
    <row r="99" spans="17:30">
      <c r="Q99" s="64">
        <v>1996</v>
      </c>
      <c r="R99" s="64" t="e">
        <f t="shared" si="49"/>
        <v>#DIV/0!</v>
      </c>
      <c r="S99" s="64" t="e">
        <f t="shared" si="49"/>
        <v>#DIV/0!</v>
      </c>
      <c r="T99" s="64" t="e">
        <f t="shared" si="49"/>
        <v>#DIV/0!</v>
      </c>
      <c r="U99" s="64" t="e">
        <f t="shared" si="49"/>
        <v>#DIV/0!</v>
      </c>
      <c r="V99" s="64" t="e">
        <f t="shared" si="49"/>
        <v>#DIV/0!</v>
      </c>
      <c r="W99" s="64" t="e">
        <f t="shared" si="49"/>
        <v>#DIV/0!</v>
      </c>
      <c r="X99" s="64" t="e">
        <f t="shared" si="49"/>
        <v>#DIV/0!</v>
      </c>
      <c r="Y99" s="64" t="e">
        <f t="shared" si="49"/>
        <v>#DIV/0!</v>
      </c>
      <c r="Z99" s="64" t="e">
        <f t="shared" si="49"/>
        <v>#DIV/0!</v>
      </c>
      <c r="AA99" s="64" t="e">
        <f t="shared" si="49"/>
        <v>#DIV/0!</v>
      </c>
      <c r="AB99" s="64" t="e">
        <f t="shared" si="49"/>
        <v>#DIV/0!</v>
      </c>
      <c r="AC99" s="64" t="e">
        <f t="shared" si="49"/>
        <v>#DIV/0!</v>
      </c>
      <c r="AD99" s="64" t="e">
        <f t="shared" si="49"/>
        <v>#DIV/0!</v>
      </c>
    </row>
    <row r="100" spans="17:30">
      <c r="Q100" s="64">
        <v>1997</v>
      </c>
      <c r="R100" s="64" t="e">
        <f t="shared" si="49"/>
        <v>#DIV/0!</v>
      </c>
      <c r="S100" s="64" t="e">
        <f t="shared" si="49"/>
        <v>#DIV/0!</v>
      </c>
      <c r="T100" s="64" t="e">
        <f t="shared" si="49"/>
        <v>#DIV/0!</v>
      </c>
      <c r="U100" s="64" t="e">
        <f t="shared" si="49"/>
        <v>#DIV/0!</v>
      </c>
      <c r="V100" s="64" t="e">
        <f t="shared" si="49"/>
        <v>#DIV/0!</v>
      </c>
      <c r="W100" s="64" t="e">
        <f t="shared" si="49"/>
        <v>#DIV/0!</v>
      </c>
      <c r="X100" s="64" t="e">
        <f t="shared" si="49"/>
        <v>#DIV/0!</v>
      </c>
      <c r="Y100" s="64" t="e">
        <f t="shared" si="49"/>
        <v>#DIV/0!</v>
      </c>
      <c r="Z100" s="64" t="e">
        <f t="shared" si="49"/>
        <v>#DIV/0!</v>
      </c>
      <c r="AA100" s="64" t="e">
        <f t="shared" si="49"/>
        <v>#DIV/0!</v>
      </c>
      <c r="AB100" s="64" t="e">
        <f t="shared" si="49"/>
        <v>#DIV/0!</v>
      </c>
      <c r="AC100" s="64" t="e">
        <f t="shared" si="49"/>
        <v>#DIV/0!</v>
      </c>
      <c r="AD100" s="64" t="e">
        <f t="shared" si="49"/>
        <v>#DIV/0!</v>
      </c>
    </row>
    <row r="101" spans="17:30">
      <c r="Q101" s="64">
        <v>1998</v>
      </c>
      <c r="R101" s="64" t="e">
        <f t="shared" si="49"/>
        <v>#DIV/0!</v>
      </c>
      <c r="S101" s="64" t="e">
        <f t="shared" si="49"/>
        <v>#DIV/0!</v>
      </c>
      <c r="T101" s="64" t="e">
        <f t="shared" si="49"/>
        <v>#DIV/0!</v>
      </c>
      <c r="U101" s="64" t="e">
        <f t="shared" si="49"/>
        <v>#DIV/0!</v>
      </c>
      <c r="V101" s="64" t="e">
        <f t="shared" si="49"/>
        <v>#DIV/0!</v>
      </c>
      <c r="W101" s="64" t="e">
        <f t="shared" si="49"/>
        <v>#DIV/0!</v>
      </c>
      <c r="X101" s="64" t="e">
        <f t="shared" si="49"/>
        <v>#DIV/0!</v>
      </c>
      <c r="Y101" s="64" t="e">
        <f t="shared" si="49"/>
        <v>#DIV/0!</v>
      </c>
      <c r="Z101" s="64" t="e">
        <f t="shared" si="49"/>
        <v>#DIV/0!</v>
      </c>
      <c r="AA101" s="64" t="e">
        <f t="shared" si="49"/>
        <v>#DIV/0!</v>
      </c>
      <c r="AB101" s="64" t="e">
        <f t="shared" si="49"/>
        <v>#DIV/0!</v>
      </c>
      <c r="AC101" s="64" t="e">
        <f t="shared" si="49"/>
        <v>#DIV/0!</v>
      </c>
      <c r="AD101" s="64" t="e">
        <f t="shared" si="49"/>
        <v>#DIV/0!</v>
      </c>
    </row>
    <row r="102" spans="17:30">
      <c r="Q102" s="64">
        <v>1999</v>
      </c>
      <c r="R102" s="64" t="e">
        <f t="shared" si="49"/>
        <v>#DIV/0!</v>
      </c>
      <c r="S102" s="64" t="e">
        <f t="shared" si="49"/>
        <v>#DIV/0!</v>
      </c>
      <c r="T102" s="64" t="e">
        <f t="shared" si="49"/>
        <v>#DIV/0!</v>
      </c>
      <c r="U102" s="64" t="e">
        <f t="shared" si="49"/>
        <v>#DIV/0!</v>
      </c>
      <c r="V102" s="64" t="e">
        <f t="shared" si="49"/>
        <v>#DIV/0!</v>
      </c>
      <c r="W102" s="64" t="e">
        <f t="shared" si="49"/>
        <v>#DIV/0!</v>
      </c>
      <c r="X102" s="64" t="e">
        <f t="shared" si="49"/>
        <v>#DIV/0!</v>
      </c>
      <c r="Y102" s="64" t="e">
        <f t="shared" si="49"/>
        <v>#DIV/0!</v>
      </c>
      <c r="Z102" s="64" t="e">
        <f t="shared" si="49"/>
        <v>#DIV/0!</v>
      </c>
      <c r="AA102" s="64" t="e">
        <f t="shared" si="49"/>
        <v>#DIV/0!</v>
      </c>
      <c r="AB102" s="64" t="e">
        <f t="shared" si="49"/>
        <v>#DIV/0!</v>
      </c>
      <c r="AC102" s="64" t="e">
        <f t="shared" si="49"/>
        <v>#DIV/0!</v>
      </c>
      <c r="AD102" s="64" t="e">
        <f t="shared" si="49"/>
        <v>#DIV/0!</v>
      </c>
    </row>
    <row r="103" spans="17:30">
      <c r="Q103" s="64">
        <v>2000</v>
      </c>
      <c r="R103" s="64" t="e">
        <f t="shared" si="49"/>
        <v>#DIV/0!</v>
      </c>
      <c r="S103" s="64" t="e">
        <f t="shared" si="49"/>
        <v>#DIV/0!</v>
      </c>
      <c r="T103" s="64" t="e">
        <f t="shared" si="49"/>
        <v>#DIV/0!</v>
      </c>
      <c r="U103" s="64" t="e">
        <f t="shared" si="49"/>
        <v>#DIV/0!</v>
      </c>
      <c r="V103" s="64" t="e">
        <f t="shared" si="49"/>
        <v>#DIV/0!</v>
      </c>
      <c r="W103" s="64" t="e">
        <f t="shared" si="49"/>
        <v>#DIV/0!</v>
      </c>
      <c r="X103" s="64" t="e">
        <f t="shared" si="49"/>
        <v>#DIV/0!</v>
      </c>
      <c r="Y103" s="64" t="e">
        <f t="shared" si="49"/>
        <v>#DIV/0!</v>
      </c>
      <c r="Z103" s="64" t="e">
        <f t="shared" ref="S103:AD116" si="50">(Z68/Z$65)*100</f>
        <v>#DIV/0!</v>
      </c>
      <c r="AA103" s="64" t="e">
        <f t="shared" si="50"/>
        <v>#DIV/0!</v>
      </c>
      <c r="AB103" s="64" t="e">
        <f t="shared" si="50"/>
        <v>#DIV/0!</v>
      </c>
      <c r="AC103" s="64" t="e">
        <f t="shared" si="50"/>
        <v>#DIV/0!</v>
      </c>
      <c r="AD103" s="64" t="e">
        <f t="shared" si="50"/>
        <v>#DIV/0!</v>
      </c>
    </row>
    <row r="104" spans="17:30">
      <c r="Q104" s="64">
        <v>2001</v>
      </c>
      <c r="R104" s="64" t="e">
        <f t="shared" si="49"/>
        <v>#DIV/0!</v>
      </c>
      <c r="S104" s="64" t="e">
        <f t="shared" si="50"/>
        <v>#DIV/0!</v>
      </c>
      <c r="T104" s="64" t="e">
        <f t="shared" si="50"/>
        <v>#DIV/0!</v>
      </c>
      <c r="U104" s="64" t="e">
        <f t="shared" si="50"/>
        <v>#DIV/0!</v>
      </c>
      <c r="V104" s="64" t="e">
        <f t="shared" si="50"/>
        <v>#DIV/0!</v>
      </c>
      <c r="W104" s="64" t="e">
        <f t="shared" si="50"/>
        <v>#DIV/0!</v>
      </c>
      <c r="X104" s="64" t="e">
        <f t="shared" si="50"/>
        <v>#DIV/0!</v>
      </c>
      <c r="Y104" s="64" t="e">
        <f t="shared" si="50"/>
        <v>#DIV/0!</v>
      </c>
      <c r="Z104" s="64" t="e">
        <f t="shared" si="50"/>
        <v>#DIV/0!</v>
      </c>
      <c r="AA104" s="64" t="e">
        <f t="shared" si="50"/>
        <v>#DIV/0!</v>
      </c>
      <c r="AB104" s="64" t="e">
        <f t="shared" si="50"/>
        <v>#DIV/0!</v>
      </c>
      <c r="AC104" s="64" t="e">
        <f t="shared" si="50"/>
        <v>#DIV/0!</v>
      </c>
      <c r="AD104" s="64" t="e">
        <f t="shared" si="50"/>
        <v>#DIV/0!</v>
      </c>
    </row>
    <row r="105" spans="17:30">
      <c r="Q105" s="64">
        <v>2002</v>
      </c>
      <c r="R105" s="64" t="e">
        <f t="shared" si="49"/>
        <v>#DIV/0!</v>
      </c>
      <c r="S105" s="64" t="e">
        <f t="shared" si="50"/>
        <v>#DIV/0!</v>
      </c>
      <c r="T105" s="64" t="e">
        <f t="shared" si="50"/>
        <v>#DIV/0!</v>
      </c>
      <c r="U105" s="64" t="e">
        <f t="shared" si="50"/>
        <v>#DIV/0!</v>
      </c>
      <c r="V105" s="64" t="e">
        <f t="shared" si="50"/>
        <v>#DIV/0!</v>
      </c>
      <c r="W105" s="64" t="e">
        <f t="shared" si="50"/>
        <v>#DIV/0!</v>
      </c>
      <c r="X105" s="64" t="e">
        <f t="shared" si="50"/>
        <v>#DIV/0!</v>
      </c>
      <c r="Y105" s="64" t="e">
        <f t="shared" si="50"/>
        <v>#DIV/0!</v>
      </c>
      <c r="Z105" s="64" t="e">
        <f t="shared" si="50"/>
        <v>#DIV/0!</v>
      </c>
      <c r="AA105" s="64" t="e">
        <f t="shared" si="50"/>
        <v>#DIV/0!</v>
      </c>
      <c r="AB105" s="64" t="e">
        <f t="shared" si="50"/>
        <v>#DIV/0!</v>
      </c>
      <c r="AC105" s="64" t="e">
        <f t="shared" si="50"/>
        <v>#DIV/0!</v>
      </c>
      <c r="AD105" s="64" t="e">
        <f t="shared" si="50"/>
        <v>#DIV/0!</v>
      </c>
    </row>
    <row r="106" spans="17:30">
      <c r="Q106" s="64">
        <v>2003</v>
      </c>
      <c r="R106" s="64" t="e">
        <f t="shared" si="49"/>
        <v>#DIV/0!</v>
      </c>
      <c r="S106" s="64" t="e">
        <f t="shared" si="50"/>
        <v>#DIV/0!</v>
      </c>
      <c r="T106" s="64" t="e">
        <f t="shared" si="50"/>
        <v>#DIV/0!</v>
      </c>
      <c r="U106" s="64" t="e">
        <f t="shared" si="50"/>
        <v>#DIV/0!</v>
      </c>
      <c r="V106" s="64" t="e">
        <f t="shared" si="50"/>
        <v>#DIV/0!</v>
      </c>
      <c r="W106" s="64" t="e">
        <f t="shared" si="50"/>
        <v>#DIV/0!</v>
      </c>
      <c r="X106" s="64" t="e">
        <f t="shared" si="50"/>
        <v>#DIV/0!</v>
      </c>
      <c r="Y106" s="64" t="e">
        <f t="shared" si="50"/>
        <v>#DIV/0!</v>
      </c>
      <c r="Z106" s="64" t="e">
        <f t="shared" si="50"/>
        <v>#DIV/0!</v>
      </c>
      <c r="AA106" s="64" t="e">
        <f t="shared" si="50"/>
        <v>#DIV/0!</v>
      </c>
      <c r="AB106" s="64" t="e">
        <f t="shared" si="50"/>
        <v>#DIV/0!</v>
      </c>
      <c r="AC106" s="64" t="e">
        <f t="shared" si="50"/>
        <v>#DIV/0!</v>
      </c>
      <c r="AD106" s="64" t="e">
        <f t="shared" si="50"/>
        <v>#DIV/0!</v>
      </c>
    </row>
    <row r="107" spans="17:30">
      <c r="Q107" s="64">
        <v>2004</v>
      </c>
      <c r="R107" s="64" t="e">
        <f t="shared" si="49"/>
        <v>#DIV/0!</v>
      </c>
      <c r="S107" s="64" t="e">
        <f t="shared" si="50"/>
        <v>#DIV/0!</v>
      </c>
      <c r="T107" s="64" t="e">
        <f t="shared" si="50"/>
        <v>#DIV/0!</v>
      </c>
      <c r="U107" s="64" t="e">
        <f t="shared" si="50"/>
        <v>#DIV/0!</v>
      </c>
      <c r="V107" s="64" t="e">
        <f t="shared" si="50"/>
        <v>#DIV/0!</v>
      </c>
      <c r="W107" s="64" t="e">
        <f t="shared" si="50"/>
        <v>#DIV/0!</v>
      </c>
      <c r="X107" s="64" t="e">
        <f t="shared" si="50"/>
        <v>#DIV/0!</v>
      </c>
      <c r="Y107" s="64" t="e">
        <f t="shared" si="50"/>
        <v>#DIV/0!</v>
      </c>
      <c r="Z107" s="64" t="e">
        <f t="shared" si="50"/>
        <v>#DIV/0!</v>
      </c>
      <c r="AA107" s="64" t="e">
        <f t="shared" si="50"/>
        <v>#DIV/0!</v>
      </c>
      <c r="AB107" s="64" t="e">
        <f t="shared" si="50"/>
        <v>#DIV/0!</v>
      </c>
      <c r="AC107" s="64" t="e">
        <f t="shared" si="50"/>
        <v>#DIV/0!</v>
      </c>
      <c r="AD107" s="64" t="e">
        <f t="shared" si="50"/>
        <v>#DIV/0!</v>
      </c>
    </row>
    <row r="108" spans="17:30">
      <c r="Q108" s="64">
        <v>2005</v>
      </c>
      <c r="R108" s="64" t="e">
        <f t="shared" si="49"/>
        <v>#DIV/0!</v>
      </c>
      <c r="S108" s="64" t="e">
        <f t="shared" si="50"/>
        <v>#DIV/0!</v>
      </c>
      <c r="T108" s="64" t="e">
        <f t="shared" si="50"/>
        <v>#DIV/0!</v>
      </c>
      <c r="U108" s="64" t="e">
        <f t="shared" si="50"/>
        <v>#DIV/0!</v>
      </c>
      <c r="V108" s="64" t="e">
        <f t="shared" si="50"/>
        <v>#DIV/0!</v>
      </c>
      <c r="W108" s="64" t="e">
        <f t="shared" si="50"/>
        <v>#DIV/0!</v>
      </c>
      <c r="X108" s="64" t="e">
        <f t="shared" si="50"/>
        <v>#DIV/0!</v>
      </c>
      <c r="Y108" s="64" t="e">
        <f t="shared" si="50"/>
        <v>#DIV/0!</v>
      </c>
      <c r="Z108" s="64" t="e">
        <f t="shared" si="50"/>
        <v>#DIV/0!</v>
      </c>
      <c r="AA108" s="64" t="e">
        <f t="shared" si="50"/>
        <v>#DIV/0!</v>
      </c>
      <c r="AB108" s="64" t="e">
        <f t="shared" si="50"/>
        <v>#DIV/0!</v>
      </c>
      <c r="AC108" s="64" t="e">
        <f t="shared" si="50"/>
        <v>#DIV/0!</v>
      </c>
      <c r="AD108" s="64" t="e">
        <f t="shared" si="50"/>
        <v>#DIV/0!</v>
      </c>
    </row>
    <row r="109" spans="17:30">
      <c r="Q109" s="64">
        <v>2006</v>
      </c>
      <c r="R109" s="64" t="e">
        <f t="shared" si="49"/>
        <v>#DIV/0!</v>
      </c>
      <c r="S109" s="64" t="e">
        <f t="shared" si="50"/>
        <v>#DIV/0!</v>
      </c>
      <c r="T109" s="64" t="e">
        <f t="shared" si="50"/>
        <v>#DIV/0!</v>
      </c>
      <c r="U109" s="64" t="e">
        <f t="shared" si="50"/>
        <v>#DIV/0!</v>
      </c>
      <c r="V109" s="64" t="e">
        <f t="shared" si="50"/>
        <v>#DIV/0!</v>
      </c>
      <c r="W109" s="64" t="e">
        <f t="shared" si="50"/>
        <v>#DIV/0!</v>
      </c>
      <c r="X109" s="64" t="e">
        <f t="shared" si="50"/>
        <v>#DIV/0!</v>
      </c>
      <c r="Y109" s="64" t="e">
        <f t="shared" si="50"/>
        <v>#DIV/0!</v>
      </c>
      <c r="Z109" s="64" t="e">
        <f t="shared" si="50"/>
        <v>#DIV/0!</v>
      </c>
      <c r="AA109" s="64" t="e">
        <f t="shared" si="50"/>
        <v>#DIV/0!</v>
      </c>
      <c r="AB109" s="64" t="e">
        <f t="shared" si="50"/>
        <v>#DIV/0!</v>
      </c>
      <c r="AC109" s="64" t="e">
        <f t="shared" si="50"/>
        <v>#DIV/0!</v>
      </c>
      <c r="AD109" s="64" t="e">
        <f t="shared" si="50"/>
        <v>#DIV/0!</v>
      </c>
    </row>
    <row r="110" spans="17:30">
      <c r="Q110" s="64">
        <v>2007</v>
      </c>
      <c r="R110" s="64" t="e">
        <f t="shared" si="49"/>
        <v>#DIV/0!</v>
      </c>
      <c r="S110" s="64" t="e">
        <f t="shared" si="50"/>
        <v>#DIV/0!</v>
      </c>
      <c r="T110" s="64" t="e">
        <f t="shared" si="50"/>
        <v>#DIV/0!</v>
      </c>
      <c r="U110" s="64" t="e">
        <f t="shared" si="50"/>
        <v>#DIV/0!</v>
      </c>
      <c r="V110" s="64" t="e">
        <f t="shared" si="50"/>
        <v>#DIV/0!</v>
      </c>
      <c r="W110" s="64" t="e">
        <f t="shared" si="50"/>
        <v>#DIV/0!</v>
      </c>
      <c r="X110" s="64" t="e">
        <f t="shared" si="50"/>
        <v>#DIV/0!</v>
      </c>
      <c r="Y110" s="64" t="e">
        <f t="shared" si="50"/>
        <v>#DIV/0!</v>
      </c>
      <c r="Z110" s="64" t="e">
        <f t="shared" si="50"/>
        <v>#DIV/0!</v>
      </c>
      <c r="AA110" s="64" t="e">
        <f t="shared" si="50"/>
        <v>#DIV/0!</v>
      </c>
      <c r="AB110" s="64" t="e">
        <f t="shared" si="50"/>
        <v>#DIV/0!</v>
      </c>
      <c r="AC110" s="64" t="e">
        <f t="shared" si="50"/>
        <v>#DIV/0!</v>
      </c>
      <c r="AD110" s="64" t="e">
        <f t="shared" si="50"/>
        <v>#DIV/0!</v>
      </c>
    </row>
    <row r="111" spans="17:30">
      <c r="Q111" s="64">
        <v>2008</v>
      </c>
      <c r="R111" s="64" t="e">
        <f t="shared" si="49"/>
        <v>#DIV/0!</v>
      </c>
      <c r="S111" s="64" t="e">
        <f t="shared" si="50"/>
        <v>#DIV/0!</v>
      </c>
      <c r="T111" s="64" t="e">
        <f t="shared" si="50"/>
        <v>#DIV/0!</v>
      </c>
      <c r="U111" s="64" t="e">
        <f t="shared" si="50"/>
        <v>#DIV/0!</v>
      </c>
      <c r="V111" s="64" t="e">
        <f t="shared" si="50"/>
        <v>#DIV/0!</v>
      </c>
      <c r="W111" s="64" t="e">
        <f t="shared" si="50"/>
        <v>#DIV/0!</v>
      </c>
      <c r="X111" s="64" t="e">
        <f t="shared" si="50"/>
        <v>#DIV/0!</v>
      </c>
      <c r="Y111" s="64" t="e">
        <f t="shared" si="50"/>
        <v>#DIV/0!</v>
      </c>
      <c r="Z111" s="64" t="e">
        <f t="shared" si="50"/>
        <v>#DIV/0!</v>
      </c>
      <c r="AA111" s="64" t="e">
        <f t="shared" si="50"/>
        <v>#DIV/0!</v>
      </c>
      <c r="AB111" s="64" t="e">
        <f t="shared" si="50"/>
        <v>#DIV/0!</v>
      </c>
      <c r="AC111" s="64" t="e">
        <f t="shared" si="50"/>
        <v>#DIV/0!</v>
      </c>
      <c r="AD111" s="64" t="e">
        <f t="shared" si="50"/>
        <v>#DIV/0!</v>
      </c>
    </row>
    <row r="112" spans="17:30">
      <c r="Q112" s="64">
        <v>2009</v>
      </c>
      <c r="R112" s="64" t="e">
        <f t="shared" si="49"/>
        <v>#DIV/0!</v>
      </c>
      <c r="S112" s="64" t="e">
        <f t="shared" si="50"/>
        <v>#DIV/0!</v>
      </c>
      <c r="T112" s="64" t="e">
        <f t="shared" si="50"/>
        <v>#DIV/0!</v>
      </c>
      <c r="U112" s="64" t="e">
        <f t="shared" si="50"/>
        <v>#DIV/0!</v>
      </c>
      <c r="V112" s="64" t="e">
        <f t="shared" si="50"/>
        <v>#DIV/0!</v>
      </c>
      <c r="W112" s="64" t="e">
        <f t="shared" si="50"/>
        <v>#DIV/0!</v>
      </c>
      <c r="X112" s="64" t="e">
        <f t="shared" si="50"/>
        <v>#DIV/0!</v>
      </c>
      <c r="Y112" s="64" t="e">
        <f t="shared" si="50"/>
        <v>#DIV/0!</v>
      </c>
      <c r="Z112" s="64" t="e">
        <f t="shared" si="50"/>
        <v>#DIV/0!</v>
      </c>
      <c r="AA112" s="64" t="e">
        <f t="shared" si="50"/>
        <v>#DIV/0!</v>
      </c>
      <c r="AB112" s="64" t="e">
        <f t="shared" si="50"/>
        <v>#DIV/0!</v>
      </c>
      <c r="AC112" s="64" t="e">
        <f t="shared" si="50"/>
        <v>#DIV/0!</v>
      </c>
      <c r="AD112" s="64" t="e">
        <f t="shared" si="50"/>
        <v>#DIV/0!</v>
      </c>
    </row>
    <row r="113" spans="17:30">
      <c r="Q113" s="64">
        <v>2010</v>
      </c>
      <c r="R113" s="64" t="e">
        <f t="shared" si="49"/>
        <v>#DIV/0!</v>
      </c>
      <c r="S113" s="64" t="e">
        <f t="shared" si="50"/>
        <v>#DIV/0!</v>
      </c>
      <c r="T113" s="64" t="e">
        <f t="shared" si="50"/>
        <v>#DIV/0!</v>
      </c>
      <c r="U113" s="64" t="e">
        <f t="shared" si="50"/>
        <v>#DIV/0!</v>
      </c>
      <c r="V113" s="64" t="e">
        <f t="shared" si="50"/>
        <v>#DIV/0!</v>
      </c>
      <c r="W113" s="64" t="e">
        <f t="shared" si="50"/>
        <v>#DIV/0!</v>
      </c>
      <c r="X113" s="64" t="e">
        <f t="shared" si="50"/>
        <v>#DIV/0!</v>
      </c>
      <c r="Y113" s="64" t="e">
        <f t="shared" si="50"/>
        <v>#DIV/0!</v>
      </c>
      <c r="Z113" s="64" t="e">
        <f t="shared" si="50"/>
        <v>#DIV/0!</v>
      </c>
      <c r="AA113" s="64" t="e">
        <f t="shared" si="50"/>
        <v>#DIV/0!</v>
      </c>
      <c r="AB113" s="64" t="e">
        <f t="shared" si="50"/>
        <v>#DIV/0!</v>
      </c>
      <c r="AC113" s="64" t="e">
        <f t="shared" si="50"/>
        <v>#DIV/0!</v>
      </c>
      <c r="AD113" s="64" t="e">
        <f t="shared" si="50"/>
        <v>#DIV/0!</v>
      </c>
    </row>
    <row r="114" spans="17:30">
      <c r="Q114" s="64">
        <v>2011</v>
      </c>
      <c r="R114" s="64" t="e">
        <f t="shared" si="49"/>
        <v>#DIV/0!</v>
      </c>
      <c r="S114" s="64" t="e">
        <f t="shared" si="50"/>
        <v>#DIV/0!</v>
      </c>
      <c r="T114" s="64" t="e">
        <f t="shared" si="50"/>
        <v>#DIV/0!</v>
      </c>
      <c r="U114" s="64" t="e">
        <f t="shared" si="50"/>
        <v>#DIV/0!</v>
      </c>
      <c r="V114" s="64" t="e">
        <f t="shared" si="50"/>
        <v>#DIV/0!</v>
      </c>
      <c r="W114" s="64" t="e">
        <f t="shared" si="50"/>
        <v>#DIV/0!</v>
      </c>
      <c r="X114" s="64" t="e">
        <f t="shared" si="50"/>
        <v>#DIV/0!</v>
      </c>
      <c r="Y114" s="64" t="e">
        <f t="shared" si="50"/>
        <v>#DIV/0!</v>
      </c>
      <c r="Z114" s="64" t="e">
        <f t="shared" si="50"/>
        <v>#DIV/0!</v>
      </c>
      <c r="AA114" s="64" t="e">
        <f t="shared" si="50"/>
        <v>#DIV/0!</v>
      </c>
      <c r="AB114" s="64" t="e">
        <f t="shared" si="50"/>
        <v>#DIV/0!</v>
      </c>
      <c r="AC114" s="64" t="e">
        <f t="shared" si="50"/>
        <v>#DIV/0!</v>
      </c>
      <c r="AD114" s="64" t="e">
        <f t="shared" si="50"/>
        <v>#DIV/0!</v>
      </c>
    </row>
    <row r="115" spans="17:30">
      <c r="Q115" s="64">
        <v>2012</v>
      </c>
      <c r="R115" s="64" t="e">
        <f t="shared" si="49"/>
        <v>#DIV/0!</v>
      </c>
      <c r="S115" s="64" t="e">
        <f t="shared" si="50"/>
        <v>#DIV/0!</v>
      </c>
      <c r="T115" s="64" t="e">
        <f t="shared" si="50"/>
        <v>#DIV/0!</v>
      </c>
      <c r="U115" s="64" t="e">
        <f t="shared" si="50"/>
        <v>#DIV/0!</v>
      </c>
      <c r="V115" s="64" t="e">
        <f t="shared" si="50"/>
        <v>#DIV/0!</v>
      </c>
      <c r="W115" s="64" t="e">
        <f t="shared" si="50"/>
        <v>#DIV/0!</v>
      </c>
      <c r="X115" s="64" t="e">
        <f t="shared" si="50"/>
        <v>#DIV/0!</v>
      </c>
      <c r="Y115" s="64" t="e">
        <f t="shared" si="50"/>
        <v>#DIV/0!</v>
      </c>
      <c r="Z115" s="64" t="e">
        <f t="shared" si="50"/>
        <v>#DIV/0!</v>
      </c>
      <c r="AA115" s="64" t="e">
        <f t="shared" si="50"/>
        <v>#DIV/0!</v>
      </c>
      <c r="AB115" s="64" t="e">
        <f t="shared" si="50"/>
        <v>#DIV/0!</v>
      </c>
      <c r="AC115" s="64" t="e">
        <f t="shared" si="50"/>
        <v>#DIV/0!</v>
      </c>
      <c r="AD115" s="64" t="e">
        <f t="shared" si="50"/>
        <v>#DIV/0!</v>
      </c>
    </row>
    <row r="116" spans="17:30">
      <c r="Q116" s="64">
        <v>2013</v>
      </c>
      <c r="R116" s="64" t="e">
        <f t="shared" si="49"/>
        <v>#DIV/0!</v>
      </c>
      <c r="S116" s="64" t="e">
        <f t="shared" si="50"/>
        <v>#DIV/0!</v>
      </c>
      <c r="T116" s="64" t="e">
        <f t="shared" si="50"/>
        <v>#DIV/0!</v>
      </c>
      <c r="U116" s="64" t="e">
        <f t="shared" si="50"/>
        <v>#DIV/0!</v>
      </c>
      <c r="V116" s="64" t="e">
        <f t="shared" si="50"/>
        <v>#DIV/0!</v>
      </c>
      <c r="W116" s="64" t="e">
        <f t="shared" si="50"/>
        <v>#DIV/0!</v>
      </c>
      <c r="X116" s="64" t="e">
        <f t="shared" si="50"/>
        <v>#DIV/0!</v>
      </c>
      <c r="Y116" s="64" t="e">
        <f t="shared" si="50"/>
        <v>#DIV/0!</v>
      </c>
      <c r="Z116" s="64" t="e">
        <f t="shared" si="50"/>
        <v>#DIV/0!</v>
      </c>
      <c r="AA116" s="64" t="e">
        <f t="shared" si="50"/>
        <v>#DIV/0!</v>
      </c>
      <c r="AB116" s="64" t="e">
        <f t="shared" si="50"/>
        <v>#DIV/0!</v>
      </c>
      <c r="AC116" s="64" t="e">
        <f t="shared" si="50"/>
        <v>#DIV/0!</v>
      </c>
      <c r="AD116" s="64" t="e">
        <f t="shared" si="50"/>
        <v>#DIV/0!</v>
      </c>
    </row>
  </sheetData>
  <mergeCells count="12">
    <mergeCell ref="A46:O46"/>
    <mergeCell ref="R2:X2"/>
    <mergeCell ref="Y2:AA2"/>
    <mergeCell ref="AB2:AD2"/>
    <mergeCell ref="A1:O1"/>
    <mergeCell ref="A44:O44"/>
    <mergeCell ref="A45:O45"/>
    <mergeCell ref="A2:A3"/>
    <mergeCell ref="C2:I2"/>
    <mergeCell ref="J2:L2"/>
    <mergeCell ref="M2:O2"/>
    <mergeCell ref="B2:B3"/>
  </mergeCells>
  <pageMargins left="0.7" right="0.7" top="0.75" bottom="0.75" header="0.3" footer="0.3"/>
  <pageSetup scale="66" orientation="landscape" horizontalDpi="0" verticalDpi="0" r:id="rId1"/>
  <colBreaks count="1" manualBreakCount="1">
    <brk id="15" max="1048575" man="1"/>
  </colBreaks>
</worksheet>
</file>

<file path=xl/worksheets/sheet110.xml><?xml version="1.0" encoding="utf-8"?>
<worksheet xmlns="http://schemas.openxmlformats.org/spreadsheetml/2006/main" xmlns:r="http://schemas.openxmlformats.org/officeDocument/2006/relationships">
  <sheetPr codeName="Sheet103"/>
  <dimension ref="A1:N69"/>
  <sheetViews>
    <sheetView view="pageBreakPreview" zoomScaleNormal="55" zoomScaleSheetLayoutView="100"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2.140625" style="64" customWidth="1"/>
    <col min="2" max="2" width="9.7109375" style="64" customWidth="1"/>
    <col min="3" max="3" width="9.140625" style="64" customWidth="1"/>
    <col min="4" max="4" width="12.7109375" style="64" customWidth="1"/>
    <col min="5" max="5" width="16.85546875" style="64" customWidth="1"/>
    <col min="6" max="6" width="17.42578125" style="64" customWidth="1"/>
    <col min="7" max="7" width="10.85546875" style="64" customWidth="1"/>
    <col min="8" max="9" width="16.140625" style="64" customWidth="1"/>
    <col min="10" max="10" width="9.140625" style="64"/>
    <col min="11" max="11" width="17.5703125" style="64" hidden="1" customWidth="1" outlineLevel="1"/>
    <col min="12" max="12" width="16.28515625" style="64" hidden="1" customWidth="1" outlineLevel="1"/>
    <col min="13" max="13" width="17.5703125" style="64" hidden="1" customWidth="1" outlineLevel="1"/>
    <col min="14" max="14" width="9.140625" style="64" collapsed="1"/>
    <col min="15" max="16384" width="9.140625" style="64"/>
  </cols>
  <sheetData>
    <row r="1" spans="1:13">
      <c r="A1" s="66" t="s">
        <v>1997</v>
      </c>
    </row>
    <row r="2" spans="1:13" ht="75">
      <c r="A2" s="158"/>
      <c r="B2" s="76" t="s">
        <v>834</v>
      </c>
      <c r="C2" s="76" t="s">
        <v>835</v>
      </c>
      <c r="D2" s="76" t="s">
        <v>836</v>
      </c>
      <c r="E2" s="76" t="s">
        <v>837</v>
      </c>
      <c r="F2" s="76" t="s">
        <v>838</v>
      </c>
      <c r="G2" s="76" t="s">
        <v>841</v>
      </c>
      <c r="H2" s="76" t="s">
        <v>842</v>
      </c>
      <c r="I2" s="76" t="s">
        <v>843</v>
      </c>
      <c r="K2" s="76" t="s">
        <v>841</v>
      </c>
      <c r="L2" s="76" t="s">
        <v>842</v>
      </c>
      <c r="M2" s="76" t="s">
        <v>843</v>
      </c>
    </row>
    <row r="3" spans="1:13">
      <c r="A3" s="158"/>
      <c r="B3" s="107" t="s">
        <v>844</v>
      </c>
      <c r="C3" s="107"/>
      <c r="D3" s="107"/>
      <c r="E3" s="107"/>
      <c r="F3" s="107"/>
      <c r="G3" s="107" t="s">
        <v>999</v>
      </c>
      <c r="H3" s="107"/>
      <c r="I3" s="107"/>
      <c r="K3" s="107"/>
      <c r="L3" s="107"/>
      <c r="M3" s="107"/>
    </row>
    <row r="4" spans="1:13" hidden="1" outlineLevel="1">
      <c r="B4" s="135" t="s">
        <v>814</v>
      </c>
      <c r="C4" s="135" t="s">
        <v>815</v>
      </c>
      <c r="D4" s="135" t="s">
        <v>816</v>
      </c>
      <c r="E4" s="135" t="s">
        <v>817</v>
      </c>
      <c r="F4" s="135" t="s">
        <v>818</v>
      </c>
      <c r="G4" s="135" t="s">
        <v>825</v>
      </c>
      <c r="H4" s="135" t="s">
        <v>826</v>
      </c>
      <c r="I4" s="135" t="s">
        <v>827</v>
      </c>
      <c r="K4" s="135" t="s">
        <v>825</v>
      </c>
      <c r="L4" s="135" t="s">
        <v>826</v>
      </c>
      <c r="M4" s="135" t="s">
        <v>827</v>
      </c>
    </row>
    <row r="5" spans="1:13" collapsed="1">
      <c r="A5" s="66">
        <v>1961</v>
      </c>
      <c r="B5" s="31">
        <v>12.9</v>
      </c>
      <c r="C5" s="31">
        <v>26.1</v>
      </c>
      <c r="D5" s="31">
        <v>49.5</v>
      </c>
      <c r="E5" s="31">
        <v>0.3</v>
      </c>
      <c r="F5" s="31">
        <v>17.600000000000001</v>
      </c>
      <c r="G5" s="30">
        <f>K5/1000000</f>
        <v>11603.8</v>
      </c>
      <c r="H5" s="30">
        <f>L5/1000000</f>
        <v>472.6</v>
      </c>
      <c r="I5" s="30">
        <f>M5/1000000</f>
        <v>11131.2</v>
      </c>
      <c r="K5" s="30">
        <v>11603800000</v>
      </c>
      <c r="L5" s="30">
        <v>472600000</v>
      </c>
      <c r="M5" s="30">
        <v>11131200000</v>
      </c>
    </row>
    <row r="6" spans="1:13" hidden="1" outlineLevel="1">
      <c r="A6" s="49">
        <v>1962</v>
      </c>
      <c r="B6" s="31">
        <v>13.4</v>
      </c>
      <c r="C6" s="31">
        <v>26.8</v>
      </c>
      <c r="D6" s="31">
        <v>50</v>
      </c>
      <c r="E6" s="31">
        <v>0.3</v>
      </c>
      <c r="F6" s="31">
        <v>18.3</v>
      </c>
      <c r="G6" s="30">
        <f t="shared" ref="G6:G42" si="0">K6/1000000</f>
        <v>12457.9</v>
      </c>
      <c r="H6" s="30">
        <f t="shared" ref="H6:H42" si="1">L6/1000000</f>
        <v>490.4</v>
      </c>
      <c r="I6" s="30">
        <f t="shared" ref="I6:I42" si="2">M6/1000000</f>
        <v>11967.5</v>
      </c>
      <c r="K6" s="30">
        <v>12457900000</v>
      </c>
      <c r="L6" s="30">
        <v>490400000</v>
      </c>
      <c r="M6" s="30">
        <v>11967500000</v>
      </c>
    </row>
    <row r="7" spans="1:13" hidden="1" outlineLevel="1">
      <c r="A7" s="49">
        <v>1963</v>
      </c>
      <c r="B7" s="31">
        <v>14</v>
      </c>
      <c r="C7" s="31">
        <v>27.6</v>
      </c>
      <c r="D7" s="31">
        <v>50.7</v>
      </c>
      <c r="E7" s="31">
        <v>0.3</v>
      </c>
      <c r="F7" s="31">
        <v>19.100000000000001</v>
      </c>
      <c r="G7" s="30">
        <f t="shared" si="0"/>
        <v>13738</v>
      </c>
      <c r="H7" s="30">
        <f t="shared" si="1"/>
        <v>549.29999999999995</v>
      </c>
      <c r="I7" s="30">
        <f t="shared" si="2"/>
        <v>13188.7</v>
      </c>
      <c r="K7" s="30">
        <v>13738000000</v>
      </c>
      <c r="L7" s="30">
        <v>549300000</v>
      </c>
      <c r="M7" s="30">
        <v>13188700000</v>
      </c>
    </row>
    <row r="8" spans="1:13" hidden="1" outlineLevel="1">
      <c r="A8" s="49">
        <v>1964</v>
      </c>
      <c r="B8" s="31">
        <v>15</v>
      </c>
      <c r="C8" s="31">
        <v>29.1</v>
      </c>
      <c r="D8" s="31">
        <v>51.4</v>
      </c>
      <c r="E8" s="31">
        <v>0.3</v>
      </c>
      <c r="F8" s="31">
        <v>20.399999999999999</v>
      </c>
      <c r="G8" s="30">
        <f t="shared" si="0"/>
        <v>15104.5</v>
      </c>
      <c r="H8" s="30">
        <f t="shared" si="1"/>
        <v>564.79999999999995</v>
      </c>
      <c r="I8" s="30">
        <f t="shared" si="2"/>
        <v>14539.7</v>
      </c>
      <c r="K8" s="30">
        <v>15104500000</v>
      </c>
      <c r="L8" s="30">
        <v>564800000</v>
      </c>
      <c r="M8" s="30">
        <v>14539700000</v>
      </c>
    </row>
    <row r="9" spans="1:13" hidden="1" outlineLevel="1">
      <c r="A9" s="66">
        <v>1965</v>
      </c>
      <c r="B9" s="31">
        <v>16.399999999999999</v>
      </c>
      <c r="C9" s="31">
        <v>30.8</v>
      </c>
      <c r="D9" s="31">
        <v>53.1</v>
      </c>
      <c r="E9" s="31">
        <v>0.4</v>
      </c>
      <c r="F9" s="31">
        <v>22.3</v>
      </c>
      <c r="G9" s="30">
        <f t="shared" si="0"/>
        <v>16393.7</v>
      </c>
      <c r="H9" s="30">
        <f t="shared" si="1"/>
        <v>687.4</v>
      </c>
      <c r="I9" s="30">
        <f t="shared" si="2"/>
        <v>15706.3</v>
      </c>
      <c r="K9" s="30">
        <v>16393700000</v>
      </c>
      <c r="L9" s="30">
        <v>687400000</v>
      </c>
      <c r="M9" s="30">
        <v>15706300000</v>
      </c>
    </row>
    <row r="10" spans="1:13" hidden="1" outlineLevel="1">
      <c r="A10" s="49">
        <v>1966</v>
      </c>
      <c r="B10" s="31">
        <v>18.100000000000001</v>
      </c>
      <c r="C10" s="31">
        <v>32.9</v>
      </c>
      <c r="D10" s="31">
        <v>55</v>
      </c>
      <c r="E10" s="31">
        <v>0.4</v>
      </c>
      <c r="F10" s="31">
        <v>24.5</v>
      </c>
      <c r="G10" s="30">
        <f t="shared" si="0"/>
        <v>18200.5</v>
      </c>
      <c r="H10" s="30">
        <f t="shared" si="1"/>
        <v>787</v>
      </c>
      <c r="I10" s="30">
        <f t="shared" si="2"/>
        <v>17413.5</v>
      </c>
      <c r="K10" s="30">
        <v>18200500000</v>
      </c>
      <c r="L10" s="30">
        <v>787000000</v>
      </c>
      <c r="M10" s="30">
        <v>17413500000</v>
      </c>
    </row>
    <row r="11" spans="1:13" hidden="1" outlineLevel="1">
      <c r="A11" s="49">
        <v>1967</v>
      </c>
      <c r="B11" s="31">
        <v>19.399999999999999</v>
      </c>
      <c r="C11" s="31">
        <v>34.799999999999997</v>
      </c>
      <c r="D11" s="31">
        <v>55.8</v>
      </c>
      <c r="E11" s="31">
        <v>0.5</v>
      </c>
      <c r="F11" s="31">
        <v>26.3</v>
      </c>
      <c r="G11" s="30">
        <f t="shared" si="0"/>
        <v>18437.3</v>
      </c>
      <c r="H11" s="30">
        <f t="shared" si="1"/>
        <v>830.8</v>
      </c>
      <c r="I11" s="30">
        <f t="shared" si="2"/>
        <v>17606.400000000001</v>
      </c>
      <c r="K11" s="30">
        <v>18437300000</v>
      </c>
      <c r="L11" s="30">
        <v>830800000</v>
      </c>
      <c r="M11" s="30">
        <v>17606400000</v>
      </c>
    </row>
    <row r="12" spans="1:13" hidden="1" outlineLevel="1">
      <c r="A12" s="49">
        <v>1968</v>
      </c>
      <c r="B12" s="31">
        <v>20.399999999999999</v>
      </c>
      <c r="C12" s="31">
        <v>36.200000000000003</v>
      </c>
      <c r="D12" s="31">
        <v>56.2</v>
      </c>
      <c r="E12" s="31">
        <v>0.5</v>
      </c>
      <c r="F12" s="31">
        <v>27.6</v>
      </c>
      <c r="G12" s="30">
        <f t="shared" si="0"/>
        <v>20660.900000000001</v>
      </c>
      <c r="H12" s="30">
        <f t="shared" si="1"/>
        <v>885.3</v>
      </c>
      <c r="I12" s="30">
        <f t="shared" si="2"/>
        <v>19775.599999999999</v>
      </c>
      <c r="K12" s="30">
        <v>20660900000</v>
      </c>
      <c r="L12" s="30">
        <v>885300000</v>
      </c>
      <c r="M12" s="30">
        <v>19775600000</v>
      </c>
    </row>
    <row r="13" spans="1:13" hidden="1" outlineLevel="1">
      <c r="A13" s="66">
        <v>1969</v>
      </c>
      <c r="B13" s="31">
        <v>21.6</v>
      </c>
      <c r="C13" s="31">
        <v>37.9</v>
      </c>
      <c r="D13" s="31">
        <v>57</v>
      </c>
      <c r="E13" s="31">
        <v>0.5</v>
      </c>
      <c r="F13" s="31">
        <v>29.3</v>
      </c>
      <c r="G13" s="30">
        <f t="shared" si="0"/>
        <v>22115.5</v>
      </c>
      <c r="H13" s="30">
        <f t="shared" si="1"/>
        <v>1030.2</v>
      </c>
      <c r="I13" s="30">
        <f t="shared" si="2"/>
        <v>21085.3</v>
      </c>
      <c r="K13" s="30">
        <v>22115500000</v>
      </c>
      <c r="L13" s="30">
        <v>1030200000</v>
      </c>
      <c r="M13" s="30">
        <v>21085300000</v>
      </c>
    </row>
    <row r="14" spans="1:13" hidden="1" outlineLevel="1">
      <c r="A14" s="49">
        <v>1970</v>
      </c>
      <c r="B14" s="31">
        <v>22.9</v>
      </c>
      <c r="C14" s="31">
        <v>39.6</v>
      </c>
      <c r="D14" s="31">
        <v>57.7</v>
      </c>
      <c r="E14" s="31">
        <v>0.6</v>
      </c>
      <c r="F14" s="31">
        <v>30.9</v>
      </c>
      <c r="G14" s="30">
        <f t="shared" si="0"/>
        <v>23669.7</v>
      </c>
      <c r="H14" s="30">
        <f t="shared" si="1"/>
        <v>1109.3</v>
      </c>
      <c r="I14" s="30">
        <f t="shared" si="2"/>
        <v>22560.400000000001</v>
      </c>
      <c r="K14" s="30">
        <v>23669700000</v>
      </c>
      <c r="L14" s="30">
        <v>1109300000</v>
      </c>
      <c r="M14" s="30">
        <v>22560400000</v>
      </c>
    </row>
    <row r="15" spans="1:13" hidden="1" outlineLevel="1">
      <c r="A15" s="49">
        <v>1971</v>
      </c>
      <c r="B15" s="31">
        <v>24</v>
      </c>
      <c r="C15" s="31">
        <v>41.2</v>
      </c>
      <c r="D15" s="31">
        <v>58.3</v>
      </c>
      <c r="E15" s="31">
        <v>0.6</v>
      </c>
      <c r="F15" s="31">
        <v>32.5</v>
      </c>
      <c r="G15" s="30">
        <f t="shared" si="0"/>
        <v>25519.599999999999</v>
      </c>
      <c r="H15" s="30">
        <f t="shared" si="1"/>
        <v>1307.5999999999999</v>
      </c>
      <c r="I15" s="30">
        <f t="shared" si="2"/>
        <v>24212</v>
      </c>
      <c r="K15" s="30">
        <v>25519600000</v>
      </c>
      <c r="L15" s="30">
        <v>1307600000</v>
      </c>
      <c r="M15" s="30">
        <v>24212000000</v>
      </c>
    </row>
    <row r="16" spans="1:13" hidden="1" outlineLevel="1">
      <c r="A16" s="49">
        <v>1972</v>
      </c>
      <c r="B16" s="31">
        <v>25.6</v>
      </c>
      <c r="C16" s="31">
        <v>43.1</v>
      </c>
      <c r="D16" s="31">
        <v>59.4</v>
      </c>
      <c r="E16" s="31">
        <v>0.7</v>
      </c>
      <c r="F16" s="31">
        <v>34.5</v>
      </c>
      <c r="G16" s="30">
        <f t="shared" si="0"/>
        <v>28488.2</v>
      </c>
      <c r="H16" s="30">
        <f t="shared" si="1"/>
        <v>1442.9</v>
      </c>
      <c r="I16" s="30">
        <f t="shared" si="2"/>
        <v>27045.3</v>
      </c>
      <c r="K16" s="30">
        <v>28488200000</v>
      </c>
      <c r="L16" s="30">
        <v>1442900000</v>
      </c>
      <c r="M16" s="30">
        <v>27045300000</v>
      </c>
    </row>
    <row r="17" spans="1:13" collapsed="1">
      <c r="A17" s="66">
        <v>1973</v>
      </c>
      <c r="B17" s="31">
        <v>27.8</v>
      </c>
      <c r="C17" s="31">
        <v>45.3</v>
      </c>
      <c r="D17" s="31">
        <v>61.3</v>
      </c>
      <c r="E17" s="31">
        <v>0.8</v>
      </c>
      <c r="F17" s="31">
        <v>37.299999999999997</v>
      </c>
      <c r="G17" s="30">
        <f t="shared" si="0"/>
        <v>35739.800000000003</v>
      </c>
      <c r="H17" s="30">
        <f t="shared" si="1"/>
        <v>1727.9</v>
      </c>
      <c r="I17" s="30">
        <f t="shared" si="2"/>
        <v>34011.9</v>
      </c>
      <c r="K17" s="30">
        <v>35739800000</v>
      </c>
      <c r="L17" s="30">
        <v>1727900000</v>
      </c>
      <c r="M17" s="30">
        <v>34011900000</v>
      </c>
    </row>
    <row r="18" spans="1:13" hidden="1" outlineLevel="1">
      <c r="A18" s="49">
        <v>1974</v>
      </c>
      <c r="B18" s="31">
        <v>30</v>
      </c>
      <c r="C18" s="31">
        <v>48</v>
      </c>
      <c r="D18" s="31">
        <v>62.4</v>
      </c>
      <c r="E18" s="31">
        <v>0.9</v>
      </c>
      <c r="F18" s="31">
        <v>40.1</v>
      </c>
      <c r="G18" s="30">
        <f t="shared" si="0"/>
        <v>43155.199999999997</v>
      </c>
      <c r="H18" s="30">
        <f t="shared" si="1"/>
        <v>2126.8000000000002</v>
      </c>
      <c r="I18" s="30">
        <f t="shared" si="2"/>
        <v>41028.400000000001</v>
      </c>
      <c r="K18" s="30">
        <v>43155200000</v>
      </c>
      <c r="L18" s="30">
        <v>2126800000</v>
      </c>
      <c r="M18" s="30">
        <v>41028400000</v>
      </c>
    </row>
    <row r="19" spans="1:13" hidden="1" outlineLevel="1">
      <c r="A19" s="49">
        <v>1975</v>
      </c>
      <c r="B19" s="31">
        <v>32</v>
      </c>
      <c r="C19" s="31">
        <v>50.6</v>
      </c>
      <c r="D19" s="31">
        <v>63.3</v>
      </c>
      <c r="E19" s="31">
        <v>1.1000000000000001</v>
      </c>
      <c r="F19" s="31">
        <v>42.7</v>
      </c>
      <c r="G19" s="30">
        <f t="shared" si="0"/>
        <v>48111.4</v>
      </c>
      <c r="H19" s="30">
        <f t="shared" si="1"/>
        <v>2302.6</v>
      </c>
      <c r="I19" s="30">
        <f t="shared" si="2"/>
        <v>45808.800000000003</v>
      </c>
      <c r="K19" s="30">
        <v>48111400000</v>
      </c>
      <c r="L19" s="30">
        <v>2302600000</v>
      </c>
      <c r="M19" s="30">
        <v>45808800000</v>
      </c>
    </row>
    <row r="20" spans="1:13" hidden="1" outlineLevel="1">
      <c r="A20" s="49">
        <v>1976</v>
      </c>
      <c r="B20" s="31">
        <v>34.200000000000003</v>
      </c>
      <c r="C20" s="31">
        <v>53.2</v>
      </c>
      <c r="D20" s="31">
        <v>64.3</v>
      </c>
      <c r="E20" s="31">
        <v>1.3</v>
      </c>
      <c r="F20" s="31">
        <v>45.2</v>
      </c>
      <c r="G20" s="30">
        <f t="shared" si="0"/>
        <v>53913.1</v>
      </c>
      <c r="H20" s="30">
        <f t="shared" si="1"/>
        <v>2758.8</v>
      </c>
      <c r="I20" s="30">
        <f t="shared" si="2"/>
        <v>51154.3</v>
      </c>
      <c r="K20" s="30">
        <v>53913100000</v>
      </c>
      <c r="L20" s="30">
        <v>2758800000</v>
      </c>
      <c r="M20" s="30">
        <v>51154300000</v>
      </c>
    </row>
    <row r="21" spans="1:13" hidden="1" outlineLevel="1">
      <c r="A21" s="66">
        <v>1977</v>
      </c>
      <c r="B21" s="31">
        <v>36</v>
      </c>
      <c r="C21" s="31">
        <v>55.4</v>
      </c>
      <c r="D21" s="31">
        <v>65</v>
      </c>
      <c r="E21" s="31">
        <v>1.5</v>
      </c>
      <c r="F21" s="31">
        <v>47.3</v>
      </c>
      <c r="G21" s="30">
        <f t="shared" si="0"/>
        <v>58756.9</v>
      </c>
      <c r="H21" s="30">
        <f t="shared" si="1"/>
        <v>3163.6</v>
      </c>
      <c r="I21" s="30">
        <f t="shared" si="2"/>
        <v>55593.3</v>
      </c>
      <c r="K21" s="30">
        <v>58756900000</v>
      </c>
      <c r="L21" s="30">
        <v>3163600000</v>
      </c>
      <c r="M21" s="30">
        <v>55593300000</v>
      </c>
    </row>
    <row r="22" spans="1:13" hidden="1" outlineLevel="1">
      <c r="A22" s="49">
        <v>1978</v>
      </c>
      <c r="B22" s="31">
        <v>37.9</v>
      </c>
      <c r="C22" s="31">
        <v>57.5</v>
      </c>
      <c r="D22" s="31">
        <v>66</v>
      </c>
      <c r="E22" s="31">
        <v>1.9</v>
      </c>
      <c r="F22" s="31">
        <v>49.5</v>
      </c>
      <c r="G22" s="30">
        <f t="shared" si="0"/>
        <v>68109.8</v>
      </c>
      <c r="H22" s="30">
        <f t="shared" si="1"/>
        <v>3849</v>
      </c>
      <c r="I22" s="30">
        <f t="shared" si="2"/>
        <v>64260.800000000003</v>
      </c>
      <c r="K22" s="30">
        <v>68109800000</v>
      </c>
      <c r="L22" s="30">
        <v>3849000000</v>
      </c>
      <c r="M22" s="30">
        <v>64260800000</v>
      </c>
    </row>
    <row r="23" spans="1:13" hidden="1" outlineLevel="1">
      <c r="A23" s="49">
        <v>1979</v>
      </c>
      <c r="B23" s="31">
        <v>40.4</v>
      </c>
      <c r="C23" s="31">
        <v>60.1</v>
      </c>
      <c r="D23" s="31">
        <v>67.2</v>
      </c>
      <c r="E23" s="31">
        <v>2.2999999999999998</v>
      </c>
      <c r="F23" s="31">
        <v>52.3</v>
      </c>
      <c r="G23" s="30">
        <f t="shared" si="0"/>
        <v>82231.100000000006</v>
      </c>
      <c r="H23" s="30">
        <f t="shared" si="1"/>
        <v>4352.7</v>
      </c>
      <c r="I23" s="30">
        <f t="shared" si="2"/>
        <v>77878.399999999994</v>
      </c>
      <c r="K23" s="30">
        <v>82231100000</v>
      </c>
      <c r="L23" s="30">
        <v>4352700000</v>
      </c>
      <c r="M23" s="30">
        <v>77878400000</v>
      </c>
    </row>
    <row r="24" spans="1:13" hidden="1" outlineLevel="1">
      <c r="A24" s="49">
        <v>1980</v>
      </c>
      <c r="B24" s="31">
        <v>43.3</v>
      </c>
      <c r="C24" s="31">
        <v>62.6</v>
      </c>
      <c r="D24" s="31">
        <v>69.2</v>
      </c>
      <c r="E24" s="31">
        <v>3</v>
      </c>
      <c r="F24" s="31">
        <v>55.4</v>
      </c>
      <c r="G24" s="30">
        <f t="shared" si="0"/>
        <v>94705.7</v>
      </c>
      <c r="H24" s="30">
        <f t="shared" si="1"/>
        <v>5619</v>
      </c>
      <c r="I24" s="30">
        <f t="shared" si="2"/>
        <v>89086.7</v>
      </c>
      <c r="K24" s="30">
        <v>94705700000</v>
      </c>
      <c r="L24" s="30">
        <v>5619000000</v>
      </c>
      <c r="M24" s="30">
        <v>89086700000</v>
      </c>
    </row>
    <row r="25" spans="1:13" collapsed="1">
      <c r="A25" s="66">
        <v>1981</v>
      </c>
      <c r="B25" s="31">
        <v>46.5</v>
      </c>
      <c r="C25" s="31">
        <v>65.5</v>
      </c>
      <c r="D25" s="31">
        <v>71</v>
      </c>
      <c r="E25" s="31">
        <v>4</v>
      </c>
      <c r="F25" s="31">
        <v>58.5</v>
      </c>
      <c r="G25" s="30">
        <f t="shared" si="0"/>
        <v>102989.5</v>
      </c>
      <c r="H25" s="30">
        <f t="shared" si="1"/>
        <v>6998</v>
      </c>
      <c r="I25" s="30">
        <f t="shared" si="2"/>
        <v>95991.5</v>
      </c>
      <c r="K25" s="30">
        <v>102989500000</v>
      </c>
      <c r="L25" s="30">
        <v>6998000000</v>
      </c>
      <c r="M25" s="30">
        <v>95991500000</v>
      </c>
    </row>
    <row r="26" spans="1:13">
      <c r="A26" s="49">
        <v>1982</v>
      </c>
      <c r="B26" s="31">
        <v>47.6</v>
      </c>
      <c r="C26" s="31">
        <v>66.5</v>
      </c>
      <c r="D26" s="31">
        <v>71.5</v>
      </c>
      <c r="E26" s="31">
        <v>4.4000000000000004</v>
      </c>
      <c r="F26" s="31">
        <v>59.6</v>
      </c>
      <c r="G26" s="30">
        <f t="shared" si="0"/>
        <v>104596.5</v>
      </c>
      <c r="H26" s="30">
        <f t="shared" si="1"/>
        <v>6034.5</v>
      </c>
      <c r="I26" s="30">
        <f t="shared" si="2"/>
        <v>98562</v>
      </c>
      <c r="K26" s="30">
        <v>104596500000</v>
      </c>
      <c r="L26" s="30">
        <v>6034500000</v>
      </c>
      <c r="M26" s="30">
        <v>98562000000</v>
      </c>
    </row>
    <row r="27" spans="1:13">
      <c r="A27" s="49">
        <v>1983</v>
      </c>
      <c r="B27" s="31">
        <v>48.8</v>
      </c>
      <c r="C27" s="31">
        <v>67.099999999999994</v>
      </c>
      <c r="D27" s="31">
        <v>72.8</v>
      </c>
      <c r="E27" s="31">
        <v>5.4</v>
      </c>
      <c r="F27" s="31">
        <v>60.4</v>
      </c>
      <c r="G27" s="30">
        <f t="shared" si="0"/>
        <v>120960.3</v>
      </c>
      <c r="H27" s="30">
        <f t="shared" si="1"/>
        <v>7711.9</v>
      </c>
      <c r="I27" s="30">
        <f t="shared" si="2"/>
        <v>113248.3</v>
      </c>
      <c r="K27" s="30">
        <v>120960300000</v>
      </c>
      <c r="L27" s="30">
        <v>7711900000</v>
      </c>
      <c r="M27" s="30">
        <v>113248300000</v>
      </c>
    </row>
    <row r="28" spans="1:13">
      <c r="A28" s="49">
        <v>1984</v>
      </c>
      <c r="B28" s="31">
        <v>50.3</v>
      </c>
      <c r="C28" s="31">
        <v>67.8</v>
      </c>
      <c r="D28" s="31">
        <v>74.3</v>
      </c>
      <c r="E28" s="31">
        <v>6.6</v>
      </c>
      <c r="F28" s="31">
        <v>61.6</v>
      </c>
      <c r="G28" s="30">
        <f t="shared" si="0"/>
        <v>135508.4</v>
      </c>
      <c r="H28" s="30">
        <f t="shared" si="1"/>
        <v>8231</v>
      </c>
      <c r="I28" s="30">
        <f t="shared" si="2"/>
        <v>127277.4</v>
      </c>
      <c r="K28" s="30">
        <v>135508400000</v>
      </c>
      <c r="L28" s="30">
        <v>8231000000</v>
      </c>
      <c r="M28" s="30">
        <v>127277400000</v>
      </c>
    </row>
    <row r="29" spans="1:13">
      <c r="A29" s="66">
        <v>1985</v>
      </c>
      <c r="B29" s="31">
        <v>52.3</v>
      </c>
      <c r="C29" s="31">
        <v>69.099999999999994</v>
      </c>
      <c r="D29" s="31">
        <v>75.599999999999994</v>
      </c>
      <c r="E29" s="31">
        <v>7.9</v>
      </c>
      <c r="F29" s="31">
        <v>63.4</v>
      </c>
      <c r="G29" s="30">
        <f t="shared" si="0"/>
        <v>144963.4</v>
      </c>
      <c r="H29" s="30">
        <f t="shared" si="1"/>
        <v>9457.2999999999993</v>
      </c>
      <c r="I29" s="30">
        <f t="shared" si="2"/>
        <v>135506.1</v>
      </c>
      <c r="K29" s="30">
        <v>144963400000</v>
      </c>
      <c r="L29" s="30">
        <v>9457300000</v>
      </c>
      <c r="M29" s="30">
        <v>135506100000</v>
      </c>
    </row>
    <row r="30" spans="1:13">
      <c r="A30" s="49">
        <v>1986</v>
      </c>
      <c r="B30" s="31">
        <v>54.3</v>
      </c>
      <c r="C30" s="31">
        <v>70.8</v>
      </c>
      <c r="D30" s="31">
        <v>76.7</v>
      </c>
      <c r="E30" s="31">
        <v>9.4</v>
      </c>
      <c r="F30" s="31">
        <v>65.099999999999994</v>
      </c>
      <c r="G30" s="30">
        <f t="shared" si="0"/>
        <v>144808.29999999999</v>
      </c>
      <c r="H30" s="30">
        <f t="shared" si="1"/>
        <v>10584.1</v>
      </c>
      <c r="I30" s="30">
        <f t="shared" si="2"/>
        <v>134224.20000000001</v>
      </c>
      <c r="K30" s="30">
        <v>144808300000</v>
      </c>
      <c r="L30" s="30">
        <v>10584100000</v>
      </c>
      <c r="M30" s="30">
        <v>134224200000</v>
      </c>
    </row>
    <row r="31" spans="1:13">
      <c r="A31" s="49">
        <v>1987</v>
      </c>
      <c r="B31" s="31">
        <v>57.2</v>
      </c>
      <c r="C31" s="31">
        <v>73.099999999999994</v>
      </c>
      <c r="D31" s="31">
        <v>78.3</v>
      </c>
      <c r="E31" s="31">
        <v>12.2</v>
      </c>
      <c r="F31" s="31">
        <v>67.5</v>
      </c>
      <c r="G31" s="30">
        <f t="shared" si="0"/>
        <v>159490</v>
      </c>
      <c r="H31" s="30">
        <f t="shared" si="1"/>
        <v>12625.2</v>
      </c>
      <c r="I31" s="30">
        <f t="shared" si="2"/>
        <v>146864.9</v>
      </c>
      <c r="K31" s="30">
        <v>159490000000</v>
      </c>
      <c r="L31" s="30">
        <v>12625200000</v>
      </c>
      <c r="M31" s="30">
        <v>146864900000</v>
      </c>
    </row>
    <row r="32" spans="1:13">
      <c r="A32" s="49">
        <v>1988</v>
      </c>
      <c r="B32" s="31">
        <v>60.4</v>
      </c>
      <c r="C32" s="31">
        <v>76.099999999999994</v>
      </c>
      <c r="D32" s="31">
        <v>79.400000000000006</v>
      </c>
      <c r="E32" s="31">
        <v>14.3</v>
      </c>
      <c r="F32" s="31">
        <v>70.599999999999994</v>
      </c>
      <c r="G32" s="30">
        <f t="shared" si="0"/>
        <v>171036</v>
      </c>
      <c r="H32" s="30">
        <f t="shared" si="1"/>
        <v>14129.1</v>
      </c>
      <c r="I32" s="30">
        <f t="shared" si="2"/>
        <v>156906.9</v>
      </c>
      <c r="K32" s="30">
        <v>171036000000</v>
      </c>
      <c r="L32" s="30">
        <v>14129100000</v>
      </c>
      <c r="M32" s="30">
        <v>156906900000</v>
      </c>
    </row>
    <row r="33" spans="1:13">
      <c r="A33" s="66">
        <v>1989</v>
      </c>
      <c r="B33" s="31">
        <v>63.8</v>
      </c>
      <c r="C33" s="31">
        <v>79.099999999999994</v>
      </c>
      <c r="D33" s="31">
        <v>80.7</v>
      </c>
      <c r="E33" s="31">
        <v>17.100000000000001</v>
      </c>
      <c r="F33" s="31">
        <v>73.7</v>
      </c>
      <c r="G33" s="30">
        <f t="shared" si="0"/>
        <v>179146</v>
      </c>
      <c r="H33" s="30">
        <f t="shared" si="1"/>
        <v>16437.5</v>
      </c>
      <c r="I33" s="30">
        <f t="shared" si="2"/>
        <v>162708.5</v>
      </c>
      <c r="K33" s="30">
        <v>179146000000</v>
      </c>
      <c r="L33" s="30">
        <v>16437500000</v>
      </c>
      <c r="M33" s="30">
        <v>162708500000</v>
      </c>
    </row>
    <row r="34" spans="1:13">
      <c r="A34" s="49">
        <v>1990</v>
      </c>
      <c r="B34" s="31">
        <v>66</v>
      </c>
      <c r="C34" s="31">
        <v>81.3</v>
      </c>
      <c r="D34" s="31">
        <v>81.2</v>
      </c>
      <c r="E34" s="31">
        <v>19.2</v>
      </c>
      <c r="F34" s="31">
        <v>75.599999999999994</v>
      </c>
      <c r="G34" s="30">
        <f t="shared" si="0"/>
        <v>177797.7</v>
      </c>
      <c r="H34" s="30">
        <f t="shared" si="1"/>
        <v>15480.8</v>
      </c>
      <c r="I34" s="30">
        <f t="shared" si="2"/>
        <v>162316.9</v>
      </c>
      <c r="K34" s="30">
        <v>177797700000</v>
      </c>
      <c r="L34" s="30">
        <v>15480800000</v>
      </c>
      <c r="M34" s="30">
        <v>162316900000</v>
      </c>
    </row>
    <row r="35" spans="1:13">
      <c r="A35" s="49">
        <v>1991</v>
      </c>
      <c r="B35" s="31">
        <v>67.3</v>
      </c>
      <c r="C35" s="31">
        <v>82.4</v>
      </c>
      <c r="D35" s="31">
        <v>81.599999999999994</v>
      </c>
      <c r="E35" s="31">
        <v>21.4</v>
      </c>
      <c r="F35" s="31">
        <v>76.400000000000006</v>
      </c>
      <c r="G35" s="30">
        <f t="shared" si="0"/>
        <v>167849.5</v>
      </c>
      <c r="H35" s="30">
        <f t="shared" si="1"/>
        <v>15214.9</v>
      </c>
      <c r="I35" s="30">
        <f t="shared" si="2"/>
        <v>152634.6</v>
      </c>
      <c r="K35" s="30">
        <v>167849500000</v>
      </c>
      <c r="L35" s="30">
        <v>15214900000</v>
      </c>
      <c r="M35" s="30">
        <v>152634600000</v>
      </c>
    </row>
    <row r="36" spans="1:13">
      <c r="A36" s="49">
        <v>1992</v>
      </c>
      <c r="B36" s="31">
        <v>68.400000000000006</v>
      </c>
      <c r="C36" s="31">
        <v>82.5</v>
      </c>
      <c r="D36" s="31">
        <v>83</v>
      </c>
      <c r="E36" s="31">
        <v>25.6</v>
      </c>
      <c r="F36" s="31">
        <v>76.5</v>
      </c>
      <c r="G36" s="30">
        <f t="shared" si="0"/>
        <v>168622.1</v>
      </c>
      <c r="H36" s="30">
        <f t="shared" si="1"/>
        <v>15647.6</v>
      </c>
      <c r="I36" s="30">
        <f t="shared" si="2"/>
        <v>152974.6</v>
      </c>
      <c r="K36" s="30">
        <v>168622100000</v>
      </c>
      <c r="L36" s="30">
        <v>15647600000</v>
      </c>
      <c r="M36" s="30">
        <v>152974600000</v>
      </c>
    </row>
    <row r="37" spans="1:13">
      <c r="A37" s="66">
        <v>1993</v>
      </c>
      <c r="B37" s="31">
        <v>69.5</v>
      </c>
      <c r="C37" s="31">
        <v>82.8</v>
      </c>
      <c r="D37" s="31">
        <v>83.9</v>
      </c>
      <c r="E37" s="31">
        <v>28.8</v>
      </c>
      <c r="F37" s="31">
        <v>76.900000000000006</v>
      </c>
      <c r="G37" s="30">
        <f t="shared" si="0"/>
        <v>181280.1</v>
      </c>
      <c r="H37" s="30">
        <f t="shared" si="1"/>
        <v>16524.3</v>
      </c>
      <c r="I37" s="30">
        <f t="shared" si="2"/>
        <v>164755.79999999999</v>
      </c>
      <c r="K37" s="30">
        <v>181280100000</v>
      </c>
      <c r="L37" s="30">
        <v>16524300000</v>
      </c>
      <c r="M37" s="30">
        <v>164755800000</v>
      </c>
    </row>
    <row r="38" spans="1:13">
      <c r="A38" s="49">
        <v>1994</v>
      </c>
      <c r="B38" s="31">
        <v>71.7</v>
      </c>
      <c r="C38" s="31">
        <v>83.6</v>
      </c>
      <c r="D38" s="31">
        <v>85.8</v>
      </c>
      <c r="E38" s="31">
        <v>33.1</v>
      </c>
      <c r="F38" s="31">
        <v>78.400000000000006</v>
      </c>
      <c r="G38" s="30">
        <f t="shared" si="0"/>
        <v>208218.3</v>
      </c>
      <c r="H38" s="30">
        <f t="shared" si="1"/>
        <v>19831.900000000001</v>
      </c>
      <c r="I38" s="30">
        <f t="shared" si="2"/>
        <v>188386.4</v>
      </c>
      <c r="K38" s="30">
        <v>208218300000</v>
      </c>
      <c r="L38" s="30">
        <v>19831900000</v>
      </c>
      <c r="M38" s="30">
        <v>188386400000</v>
      </c>
    </row>
    <row r="39" spans="1:13">
      <c r="A39" s="49">
        <v>1995</v>
      </c>
      <c r="B39" s="31">
        <v>74.3</v>
      </c>
      <c r="C39" s="31">
        <v>84.5</v>
      </c>
      <c r="D39" s="31">
        <v>88</v>
      </c>
      <c r="E39" s="31">
        <v>37.1</v>
      </c>
      <c r="F39" s="31">
        <v>80.599999999999994</v>
      </c>
      <c r="G39" s="30">
        <f t="shared" si="0"/>
        <v>225939</v>
      </c>
      <c r="H39" s="30">
        <f t="shared" si="1"/>
        <v>21781.599999999999</v>
      </c>
      <c r="I39" s="30">
        <f t="shared" si="2"/>
        <v>204157.4</v>
      </c>
      <c r="K39" s="30">
        <v>225939000000</v>
      </c>
      <c r="L39" s="30">
        <v>21781600000</v>
      </c>
      <c r="M39" s="30">
        <v>204157400000</v>
      </c>
    </row>
    <row r="40" spans="1:13">
      <c r="A40" s="49">
        <v>1996</v>
      </c>
      <c r="B40" s="31">
        <v>77.099999999999994</v>
      </c>
      <c r="C40" s="31">
        <v>85.7</v>
      </c>
      <c r="D40" s="31">
        <v>90</v>
      </c>
      <c r="E40" s="31">
        <v>43</v>
      </c>
      <c r="F40" s="31">
        <v>82.6</v>
      </c>
      <c r="G40" s="30">
        <f t="shared" si="0"/>
        <v>236537.60000000001</v>
      </c>
      <c r="H40" s="30">
        <f t="shared" si="1"/>
        <v>22860.6</v>
      </c>
      <c r="I40" s="30">
        <f t="shared" si="2"/>
        <v>213677</v>
      </c>
      <c r="K40" s="30">
        <v>236537600000</v>
      </c>
      <c r="L40" s="30">
        <v>22860600000</v>
      </c>
      <c r="M40" s="30">
        <v>213677000000</v>
      </c>
    </row>
    <row r="41" spans="1:13">
      <c r="A41" s="66">
        <v>1997</v>
      </c>
      <c r="B41" s="31">
        <v>81.599999999999994</v>
      </c>
      <c r="C41" s="31">
        <v>88.6</v>
      </c>
      <c r="D41" s="31">
        <v>92.1</v>
      </c>
      <c r="E41" s="31">
        <v>51.9</v>
      </c>
      <c r="F41" s="31">
        <v>86.1</v>
      </c>
      <c r="G41" s="30">
        <f t="shared" si="0"/>
        <v>251011.1</v>
      </c>
      <c r="H41" s="30">
        <f t="shared" si="1"/>
        <v>24946.7</v>
      </c>
      <c r="I41" s="30">
        <f t="shared" si="2"/>
        <v>226064.4</v>
      </c>
      <c r="K41" s="30">
        <v>251011100000</v>
      </c>
      <c r="L41" s="30">
        <v>24946700000</v>
      </c>
      <c r="M41" s="30">
        <v>226064400000</v>
      </c>
    </row>
    <row r="42" spans="1:13">
      <c r="A42" s="49">
        <v>1998</v>
      </c>
      <c r="B42" s="31">
        <v>85.9</v>
      </c>
      <c r="C42" s="31">
        <v>91.2</v>
      </c>
      <c r="D42" s="31">
        <v>94.1</v>
      </c>
      <c r="E42" s="31">
        <v>63.3</v>
      </c>
      <c r="F42" s="31">
        <v>89.1</v>
      </c>
      <c r="G42" s="30">
        <f t="shared" si="0"/>
        <v>253514.5</v>
      </c>
      <c r="H42" s="30">
        <f t="shared" si="1"/>
        <v>29157.599999999999</v>
      </c>
      <c r="I42" s="30">
        <f t="shared" si="2"/>
        <v>224356.9</v>
      </c>
      <c r="K42" s="30">
        <v>253514500000</v>
      </c>
      <c r="L42" s="30">
        <v>29157600000</v>
      </c>
      <c r="M42" s="30">
        <v>224356900000</v>
      </c>
    </row>
    <row r="43" spans="1:13">
      <c r="A43" s="49">
        <v>1999</v>
      </c>
      <c r="B43" s="31">
        <v>90.8</v>
      </c>
      <c r="C43" s="31">
        <v>93.9</v>
      </c>
      <c r="D43" s="31">
        <v>96.7</v>
      </c>
      <c r="E43" s="31">
        <v>75.400000000000006</v>
      </c>
      <c r="F43" s="31">
        <v>92.8</v>
      </c>
      <c r="G43" s="30">
        <f t="shared" ref="G43:G52" si="3">K43/1000000</f>
        <v>284904.09999999998</v>
      </c>
      <c r="H43" s="30">
        <f t="shared" ref="H43:H52" si="4">L43/1000000</f>
        <v>31428.2</v>
      </c>
      <c r="I43" s="30">
        <f t="shared" ref="I43:I52" si="5">M43/1000000</f>
        <v>253475.9</v>
      </c>
      <c r="K43" s="30">
        <v>284904100000</v>
      </c>
      <c r="L43" s="30">
        <v>31428200000</v>
      </c>
      <c r="M43" s="30">
        <v>253475900000</v>
      </c>
    </row>
    <row r="44" spans="1:13">
      <c r="A44" s="49">
        <v>2000</v>
      </c>
      <c r="B44" s="31">
        <v>95</v>
      </c>
      <c r="C44" s="31">
        <v>96.9</v>
      </c>
      <c r="D44" s="31">
        <v>98.1</v>
      </c>
      <c r="E44" s="31">
        <v>87.6</v>
      </c>
      <c r="F44" s="31">
        <v>95.9</v>
      </c>
      <c r="G44" s="30">
        <f t="shared" si="3"/>
        <v>327914.5</v>
      </c>
      <c r="H44" s="30">
        <f t="shared" si="4"/>
        <v>32139.1</v>
      </c>
      <c r="I44" s="30">
        <f t="shared" si="5"/>
        <v>295775.40000000002</v>
      </c>
      <c r="K44" s="30">
        <v>327914500000</v>
      </c>
      <c r="L44" s="30">
        <v>32139100000</v>
      </c>
      <c r="M44" s="30">
        <v>295775400000</v>
      </c>
    </row>
    <row r="45" spans="1:13">
      <c r="A45" s="66">
        <v>2001</v>
      </c>
      <c r="B45" s="31">
        <v>97.6</v>
      </c>
      <c r="C45" s="31">
        <v>98.4</v>
      </c>
      <c r="D45" s="31">
        <v>99.2</v>
      </c>
      <c r="E45" s="31">
        <v>94.7</v>
      </c>
      <c r="F45" s="31">
        <v>98</v>
      </c>
      <c r="G45" s="30">
        <f t="shared" si="3"/>
        <v>333218.7</v>
      </c>
      <c r="H45" s="30">
        <f t="shared" si="4"/>
        <v>32622.7</v>
      </c>
      <c r="I45" s="30">
        <f t="shared" si="5"/>
        <v>300596</v>
      </c>
      <c r="K45" s="30">
        <v>333218700000</v>
      </c>
      <c r="L45" s="30">
        <v>32622700000</v>
      </c>
      <c r="M45" s="30">
        <v>300596000000</v>
      </c>
    </row>
    <row r="46" spans="1:13">
      <c r="A46" s="49">
        <v>2002</v>
      </c>
      <c r="B46" s="31">
        <v>100</v>
      </c>
      <c r="C46" s="31">
        <v>100</v>
      </c>
      <c r="D46" s="31">
        <v>100</v>
      </c>
      <c r="E46" s="31">
        <v>100</v>
      </c>
      <c r="F46" s="31">
        <v>100</v>
      </c>
      <c r="G46" s="30">
        <f t="shared" si="3"/>
        <v>340391.7</v>
      </c>
      <c r="H46" s="30">
        <f t="shared" si="4"/>
        <v>35256.400000000001</v>
      </c>
      <c r="I46" s="30">
        <f t="shared" si="5"/>
        <v>305135.3</v>
      </c>
      <c r="K46" s="30">
        <v>340391700000</v>
      </c>
      <c r="L46" s="30">
        <v>35256400000</v>
      </c>
      <c r="M46" s="30">
        <v>305135300000</v>
      </c>
    </row>
    <row r="47" spans="1:13">
      <c r="A47" s="49">
        <v>2003</v>
      </c>
      <c r="B47" s="31">
        <v>103.2</v>
      </c>
      <c r="C47" s="31">
        <v>102.2</v>
      </c>
      <c r="D47" s="31">
        <v>101</v>
      </c>
      <c r="E47" s="31">
        <v>108.5</v>
      </c>
      <c r="F47" s="31">
        <v>102.6</v>
      </c>
      <c r="G47" s="30">
        <f t="shared" si="3"/>
        <v>369766.1</v>
      </c>
      <c r="H47" s="30">
        <f t="shared" si="4"/>
        <v>39566.6</v>
      </c>
      <c r="I47" s="30">
        <f t="shared" si="5"/>
        <v>330199.5</v>
      </c>
      <c r="K47" s="30">
        <v>369766100000</v>
      </c>
      <c r="L47" s="30">
        <v>39566600000</v>
      </c>
      <c r="M47" s="30">
        <v>330199500000</v>
      </c>
    </row>
    <row r="48" spans="1:13">
      <c r="A48" s="49">
        <v>2004</v>
      </c>
      <c r="B48" s="31">
        <v>107.5</v>
      </c>
      <c r="C48" s="31">
        <v>104.9</v>
      </c>
      <c r="D48" s="31">
        <v>102.5</v>
      </c>
      <c r="E48" s="31">
        <v>122</v>
      </c>
      <c r="F48" s="31">
        <v>105.9</v>
      </c>
      <c r="G48" s="30">
        <f t="shared" si="3"/>
        <v>400079.1</v>
      </c>
      <c r="H48" s="30">
        <f t="shared" si="4"/>
        <v>43565</v>
      </c>
      <c r="I48" s="30">
        <f t="shared" si="5"/>
        <v>356514.1</v>
      </c>
      <c r="K48" s="30">
        <v>400079100000</v>
      </c>
      <c r="L48" s="30">
        <v>43565000000</v>
      </c>
      <c r="M48" s="30">
        <v>356514100000</v>
      </c>
    </row>
    <row r="49" spans="1:13">
      <c r="A49" s="66">
        <v>2005</v>
      </c>
      <c r="B49" s="31">
        <v>113</v>
      </c>
      <c r="C49" s="31">
        <v>108.3</v>
      </c>
      <c r="D49" s="31">
        <v>104.4</v>
      </c>
      <c r="E49" s="31">
        <v>137.5</v>
      </c>
      <c r="F49" s="31">
        <v>110.4</v>
      </c>
      <c r="G49" s="30">
        <f t="shared" si="3"/>
        <v>433690.5</v>
      </c>
      <c r="H49" s="30">
        <f t="shared" si="4"/>
        <v>44680.2</v>
      </c>
      <c r="I49" s="30">
        <f t="shared" si="5"/>
        <v>389010.3</v>
      </c>
      <c r="K49" s="135">
        <v>433690500000</v>
      </c>
      <c r="L49" s="135">
        <v>44680200000</v>
      </c>
      <c r="M49" s="135">
        <v>389010300000</v>
      </c>
    </row>
    <row r="50" spans="1:13">
      <c r="A50" s="49">
        <v>2006</v>
      </c>
      <c r="B50" s="31">
        <v>119.2</v>
      </c>
      <c r="C50" s="31">
        <v>112.3</v>
      </c>
      <c r="D50" s="31">
        <v>106.2</v>
      </c>
      <c r="E50" s="31">
        <v>153.80000000000001</v>
      </c>
      <c r="F50" s="31">
        <v>115.7</v>
      </c>
      <c r="G50" s="30">
        <f t="shared" si="3"/>
        <v>451919.3</v>
      </c>
      <c r="H50" s="30">
        <f t="shared" si="4"/>
        <v>46560.800000000003</v>
      </c>
      <c r="I50" s="30">
        <f t="shared" si="5"/>
        <v>405358.5</v>
      </c>
      <c r="K50" s="135">
        <v>451919300000</v>
      </c>
      <c r="L50" s="135">
        <v>46560800000</v>
      </c>
      <c r="M50" s="135">
        <v>405358500000</v>
      </c>
    </row>
    <row r="51" spans="1:13">
      <c r="A51" s="49">
        <v>2007</v>
      </c>
      <c r="B51" s="31">
        <v>124.5</v>
      </c>
      <c r="C51" s="31">
        <v>115.8</v>
      </c>
      <c r="D51" s="31">
        <v>107.5</v>
      </c>
      <c r="E51" s="31">
        <v>171.5</v>
      </c>
      <c r="F51" s="31">
        <v>119.9</v>
      </c>
      <c r="G51" s="30">
        <f t="shared" si="3"/>
        <v>475222.3</v>
      </c>
      <c r="H51" s="30">
        <f t="shared" si="4"/>
        <v>48781.2</v>
      </c>
      <c r="I51" s="30">
        <f t="shared" si="5"/>
        <v>426441.1</v>
      </c>
      <c r="K51" s="135">
        <v>475222300000</v>
      </c>
      <c r="L51" s="135">
        <v>48781200000</v>
      </c>
      <c r="M51" s="135">
        <v>426441100000</v>
      </c>
    </row>
    <row r="52" spans="1:13">
      <c r="A52" s="49">
        <v>2008</v>
      </c>
      <c r="B52" s="31">
        <v>129.4</v>
      </c>
      <c r="C52" s="31">
        <v>118.6</v>
      </c>
      <c r="D52" s="31">
        <v>109</v>
      </c>
      <c r="E52" s="31">
        <v>184.9</v>
      </c>
      <c r="F52" s="31">
        <v>124.1</v>
      </c>
      <c r="G52" s="30">
        <f t="shared" si="3"/>
        <v>513305.4</v>
      </c>
      <c r="H52" s="30">
        <f t="shared" si="4"/>
        <v>48940</v>
      </c>
      <c r="I52" s="30">
        <f t="shared" si="5"/>
        <v>464365.3</v>
      </c>
      <c r="K52" s="135">
        <v>513305400000</v>
      </c>
      <c r="L52" s="135">
        <v>48940000000</v>
      </c>
      <c r="M52" s="135">
        <v>464365300000</v>
      </c>
    </row>
    <row r="53" spans="1:13">
      <c r="A53" s="49">
        <v>2009</v>
      </c>
      <c r="B53" s="31">
        <v>128.9</v>
      </c>
      <c r="C53" s="31">
        <v>118.1</v>
      </c>
      <c r="D53" s="31">
        <v>109.2</v>
      </c>
      <c r="E53" s="31">
        <v>189.3</v>
      </c>
      <c r="F53" s="31">
        <v>123.3</v>
      </c>
      <c r="G53" s="30" t="s">
        <v>22</v>
      </c>
      <c r="H53" s="30" t="s">
        <v>22</v>
      </c>
      <c r="I53" s="30" t="s">
        <v>22</v>
      </c>
      <c r="K53" s="135" t="s">
        <v>22</v>
      </c>
      <c r="L53" s="135" t="s">
        <v>22</v>
      </c>
      <c r="M53" s="135" t="s">
        <v>22</v>
      </c>
    </row>
    <row r="54" spans="1:13">
      <c r="A54" s="49">
        <v>2010</v>
      </c>
      <c r="B54" s="31">
        <v>130.6</v>
      </c>
      <c r="C54" s="31">
        <v>118.5</v>
      </c>
      <c r="D54" s="31">
        <v>110.2</v>
      </c>
      <c r="E54" s="31">
        <v>202.1</v>
      </c>
      <c r="F54" s="31">
        <v>124.1</v>
      </c>
      <c r="G54" s="30" t="s">
        <v>22</v>
      </c>
      <c r="H54" s="30" t="s">
        <v>22</v>
      </c>
      <c r="I54" s="30" t="s">
        <v>22</v>
      </c>
      <c r="K54" s="135" t="s">
        <v>22</v>
      </c>
      <c r="L54" s="135" t="s">
        <v>22</v>
      </c>
      <c r="M54" s="135" t="s">
        <v>22</v>
      </c>
    </row>
    <row r="55" spans="1:13">
      <c r="A55" s="66">
        <v>2011</v>
      </c>
      <c r="B55" s="31">
        <v>135</v>
      </c>
      <c r="C55" s="31">
        <v>120.5</v>
      </c>
      <c r="D55" s="31">
        <v>112</v>
      </c>
      <c r="E55" s="31">
        <v>227.6</v>
      </c>
      <c r="F55" s="31">
        <v>127</v>
      </c>
      <c r="G55" s="30" t="s">
        <v>22</v>
      </c>
      <c r="H55" s="30" t="s">
        <v>22</v>
      </c>
      <c r="I55" s="30" t="s">
        <v>22</v>
      </c>
      <c r="K55" s="135" t="s">
        <v>22</v>
      </c>
      <c r="L55" s="135" t="s">
        <v>22</v>
      </c>
      <c r="M55" s="135" t="s">
        <v>22</v>
      </c>
    </row>
    <row r="57" spans="1:13">
      <c r="A57" s="66" t="s">
        <v>1048</v>
      </c>
    </row>
    <row r="58" spans="1:13">
      <c r="A58" s="64" t="s">
        <v>2122</v>
      </c>
      <c r="B58" s="67">
        <f>((B55/B5)^(1/50)-1)*100</f>
        <v>4.8081080024083178</v>
      </c>
      <c r="C58" s="67">
        <f t="shared" ref="C58:F58" si="6">((C55/C5)^(1/50)-1)*100</f>
        <v>3.1067103516722261</v>
      </c>
      <c r="D58" s="67">
        <f t="shared" si="6"/>
        <v>1.6464595868856513</v>
      </c>
      <c r="E58" s="67">
        <f t="shared" si="6"/>
        <v>14.182887144430056</v>
      </c>
      <c r="F58" s="67">
        <f t="shared" si="6"/>
        <v>4.0317300950360568</v>
      </c>
      <c r="G58" s="67" t="s">
        <v>22</v>
      </c>
      <c r="H58" s="67" t="s">
        <v>22</v>
      </c>
      <c r="I58" s="67" t="s">
        <v>22</v>
      </c>
    </row>
    <row r="59" spans="1:13">
      <c r="A59" s="109" t="s">
        <v>1047</v>
      </c>
      <c r="B59" s="67">
        <f>((B50/B5)^(1/45)-1)*100</f>
        <v>5.0653958195311599</v>
      </c>
      <c r="C59" s="67">
        <f>((C50/C5)^(1/45)-1)*100</f>
        <v>3.2959024944652748</v>
      </c>
      <c r="D59" s="67">
        <f>((D50/D5)^(1/45)-1)*100</f>
        <v>1.7108060210620613</v>
      </c>
      <c r="E59" s="67">
        <f>((E50/E5)^(1/45)-1)*100</f>
        <v>14.873157165648209</v>
      </c>
      <c r="F59" s="67">
        <f>((F50/F5)^(1/45)-1)*100</f>
        <v>4.2734620660498823</v>
      </c>
      <c r="G59" s="67">
        <f>((G48/G5)^(1/43)-1)*100</f>
        <v>8.5817595653968617</v>
      </c>
      <c r="H59" s="67">
        <f>((H48/H5)^(1/43)-1)*100</f>
        <v>11.093690814389202</v>
      </c>
      <c r="I59" s="67">
        <f>((I48/I5)^(1/43)-1)*100</f>
        <v>8.3957951304167278</v>
      </c>
    </row>
    <row r="60" spans="1:13">
      <c r="A60" s="68" t="s">
        <v>1031</v>
      </c>
      <c r="B60" s="67">
        <f t="shared" ref="B60:I60" si="7">((B17/B5)^(1/12)-1)*100</f>
        <v>6.607540443609583</v>
      </c>
      <c r="C60" s="67">
        <f t="shared" si="7"/>
        <v>4.7019590905620134</v>
      </c>
      <c r="D60" s="67">
        <f t="shared" si="7"/>
        <v>1.7976938813915044</v>
      </c>
      <c r="E60" s="67">
        <f t="shared" si="7"/>
        <v>8.5169038906142589</v>
      </c>
      <c r="F60" s="67">
        <f t="shared" si="7"/>
        <v>6.4591547422496953</v>
      </c>
      <c r="G60" s="67">
        <f t="shared" si="7"/>
        <v>9.8278942617163079</v>
      </c>
      <c r="H60" s="67">
        <f t="shared" si="7"/>
        <v>11.408606117068443</v>
      </c>
      <c r="I60" s="67">
        <f t="shared" si="7"/>
        <v>9.7549397353850829</v>
      </c>
    </row>
    <row r="61" spans="1:13">
      <c r="A61" s="68" t="s">
        <v>1032</v>
      </c>
      <c r="B61" s="67">
        <f t="shared" ref="B61:I61" si="8">((B25/B17)^(1/8)-1)*100</f>
        <v>6.6414446197130328</v>
      </c>
      <c r="C61" s="67">
        <f t="shared" si="8"/>
        <v>4.7171676927439066</v>
      </c>
      <c r="D61" s="67">
        <f t="shared" si="8"/>
        <v>1.8532131714693367</v>
      </c>
      <c r="E61" s="67">
        <f t="shared" si="8"/>
        <v>22.284454499385188</v>
      </c>
      <c r="F61" s="67">
        <f t="shared" si="8"/>
        <v>5.7866536441840255</v>
      </c>
      <c r="G61" s="67">
        <f t="shared" si="8"/>
        <v>14.14452994376858</v>
      </c>
      <c r="H61" s="67">
        <f t="shared" si="8"/>
        <v>19.105527449439606</v>
      </c>
      <c r="I61" s="67">
        <f t="shared" si="8"/>
        <v>13.847955419331125</v>
      </c>
    </row>
    <row r="62" spans="1:13">
      <c r="A62" s="68" t="s">
        <v>25</v>
      </c>
      <c r="B62" s="67">
        <f t="shared" ref="B62:I62" si="9">((B33/B25)^(1/8)-1)*100</f>
        <v>4.032962465475598</v>
      </c>
      <c r="C62" s="67">
        <f t="shared" si="9"/>
        <v>2.3863115606721719</v>
      </c>
      <c r="D62" s="67">
        <f t="shared" si="9"/>
        <v>1.6136141053440189</v>
      </c>
      <c r="E62" s="67">
        <f t="shared" si="9"/>
        <v>19.913206123936721</v>
      </c>
      <c r="F62" s="67">
        <f t="shared" si="9"/>
        <v>2.929284234402596</v>
      </c>
      <c r="G62" s="67">
        <f t="shared" si="9"/>
        <v>7.1647044949242344</v>
      </c>
      <c r="H62" s="67">
        <f t="shared" si="9"/>
        <v>11.264783820000401</v>
      </c>
      <c r="I62" s="67">
        <f t="shared" si="9"/>
        <v>6.8186740914090604</v>
      </c>
    </row>
    <row r="63" spans="1:13">
      <c r="A63" s="69" t="s">
        <v>802</v>
      </c>
      <c r="B63" s="65">
        <f>((B50/B30)^(1/20)-1)*100</f>
        <v>4.0096946278805889</v>
      </c>
      <c r="C63" s="65">
        <f>((C50/C30)^(1/20)-1)*100</f>
        <v>2.3333814424182142</v>
      </c>
      <c r="D63" s="65">
        <f>((D50/D30)^(1/20)-1)*100</f>
        <v>1.6404215586550475</v>
      </c>
      <c r="E63" s="65">
        <f>((E50/E30)^(1/20)-1)*100</f>
        <v>14.998301004231873</v>
      </c>
      <c r="F63" s="65">
        <f>((F50/F30)^(1/20)-1)*100</f>
        <v>2.917118570961974</v>
      </c>
      <c r="G63" s="65">
        <f>((G48/G30)^(1/18)-1)*100</f>
        <v>5.808261403755921</v>
      </c>
      <c r="H63" s="65">
        <f>((H48/H30)^(1/18)-1)*100</f>
        <v>8.1777608924862975</v>
      </c>
      <c r="I63" s="65">
        <f>((I48/I30)^(1/18)-1)*100</f>
        <v>5.5769753686113033</v>
      </c>
      <c r="K63" s="65" t="s">
        <v>22</v>
      </c>
    </row>
    <row r="64" spans="1:13">
      <c r="A64" s="69" t="s">
        <v>26</v>
      </c>
      <c r="B64" s="65">
        <f t="shared" ref="B64:I64" si="10">((B44/B33)^(1/11)-1)*100</f>
        <v>3.6856006477284486</v>
      </c>
      <c r="C64" s="65">
        <f t="shared" si="10"/>
        <v>1.8622794112759689</v>
      </c>
      <c r="D64" s="65">
        <f t="shared" si="10"/>
        <v>1.7908355610586568</v>
      </c>
      <c r="E64" s="65">
        <f t="shared" si="10"/>
        <v>16.011415785633098</v>
      </c>
      <c r="F64" s="65">
        <f t="shared" si="10"/>
        <v>2.4225434198485996</v>
      </c>
      <c r="G64" s="65">
        <f t="shared" si="10"/>
        <v>5.6497565155917417</v>
      </c>
      <c r="H64" s="65">
        <f t="shared" si="10"/>
        <v>6.2851379269381225</v>
      </c>
      <c r="I64" s="65">
        <f t="shared" si="10"/>
        <v>5.5833941519379593</v>
      </c>
      <c r="K64" s="65">
        <f>((K44/K33)^(1/11)-1)*100</f>
        <v>5.6497565155917417</v>
      </c>
    </row>
    <row r="65" spans="1:11">
      <c r="A65" s="69" t="s">
        <v>27</v>
      </c>
      <c r="B65" s="65">
        <f>((B50/B44)^(1/6)-1)*100</f>
        <v>3.8545292919677676</v>
      </c>
      <c r="C65" s="65">
        <f>((C50/C44)^(1/6)-1)*100</f>
        <v>2.4887028557437407</v>
      </c>
      <c r="D65" s="65">
        <f>((D50/D44)^(1/6)-1)*100</f>
        <v>1.331059805941881</v>
      </c>
      <c r="E65" s="65">
        <f>((E50/E44)^(1/6)-1)*100</f>
        <v>9.835324692159686</v>
      </c>
      <c r="F65" s="65">
        <f>((F50/F44)^(1/6)-1)*100</f>
        <v>3.177687991503042</v>
      </c>
      <c r="G65" s="65">
        <f>((G48/G44)^(1/4)-1)*100</f>
        <v>5.098449952143036</v>
      </c>
      <c r="H65" s="65">
        <f>((H48/H44)^(1/4)-1)*100</f>
        <v>7.9011322316907995</v>
      </c>
      <c r="I65" s="65">
        <f>((I48/I44)^(1/4)-1)*100</f>
        <v>4.7800653769325629</v>
      </c>
      <c r="K65" s="65" t="s">
        <v>22</v>
      </c>
    </row>
    <row r="66" spans="1:11">
      <c r="A66" s="69" t="s">
        <v>1782</v>
      </c>
      <c r="B66" s="65">
        <f>((B55/B44)^(1/11)-1)*100</f>
        <v>3.2460989362808945</v>
      </c>
      <c r="C66" s="65">
        <f t="shared" ref="C66:F66" si="11">((C55/C44)^(1/11)-1)*100</f>
        <v>2.0013105579787416</v>
      </c>
      <c r="D66" s="65">
        <f t="shared" si="11"/>
        <v>1.2119351756342489</v>
      </c>
      <c r="E66" s="65">
        <f t="shared" si="11"/>
        <v>9.0679385254043954</v>
      </c>
      <c r="F66" s="65">
        <f t="shared" si="11"/>
        <v>2.586344758632908</v>
      </c>
      <c r="G66" s="65" t="s">
        <v>22</v>
      </c>
      <c r="H66" s="65" t="s">
        <v>22</v>
      </c>
      <c r="I66" s="65" t="s">
        <v>22</v>
      </c>
      <c r="K66" s="65"/>
    </row>
    <row r="68" spans="1:11">
      <c r="A68" s="64" t="s">
        <v>1012</v>
      </c>
    </row>
    <row r="69" spans="1:11">
      <c r="A69" s="195" t="s">
        <v>1049</v>
      </c>
    </row>
  </sheetData>
  <mergeCells count="4">
    <mergeCell ref="K3:M3"/>
    <mergeCell ref="A2:A3"/>
    <mergeCell ref="B3:F3"/>
    <mergeCell ref="G3:I3"/>
  </mergeCells>
  <pageMargins left="0.70866141732283472" right="0.70866141732283472" top="0.74803149606299213" bottom="0.74803149606299213" header="0.31496062992125984" footer="0.31496062992125984"/>
  <pageSetup scale="70" orientation="portrait" horizontalDpi="0" verticalDpi="0" r:id="rId1"/>
</worksheet>
</file>

<file path=xl/worksheets/sheet111.xml><?xml version="1.0" encoding="utf-8"?>
<worksheet xmlns="http://schemas.openxmlformats.org/spreadsheetml/2006/main" xmlns:r="http://schemas.openxmlformats.org/officeDocument/2006/relationships">
  <sheetPr codeName="Sheet104"/>
  <dimension ref="A1:C61"/>
  <sheetViews>
    <sheetView view="pageBreakPreview" zoomScaleNormal="100" zoomScaleSheetLayoutView="100" workbookViewId="0">
      <selection activeCell="AC38" sqref="AC38"/>
    </sheetView>
  </sheetViews>
  <sheetFormatPr defaultRowHeight="15" outlineLevelRow="1"/>
  <cols>
    <col min="1" max="1" width="12.85546875" style="64" customWidth="1"/>
    <col min="2" max="3" width="16.28515625" style="64" customWidth="1"/>
    <col min="4" max="16384" width="9.140625" style="64"/>
  </cols>
  <sheetData>
    <row r="1" spans="1:3" ht="30" customHeight="1">
      <c r="A1" s="93" t="s">
        <v>1998</v>
      </c>
      <c r="B1" s="93"/>
      <c r="C1" s="93"/>
    </row>
    <row r="2" spans="1:3">
      <c r="B2" s="111" t="s">
        <v>833</v>
      </c>
      <c r="C2" s="111"/>
    </row>
    <row r="3" spans="1:3">
      <c r="B3" s="73" t="s">
        <v>1769</v>
      </c>
      <c r="C3" s="73" t="s">
        <v>1770</v>
      </c>
    </row>
    <row r="4" spans="1:3" hidden="1" outlineLevel="1">
      <c r="B4" s="64" t="s">
        <v>1647</v>
      </c>
    </row>
    <row r="5" spans="1:3" hidden="1" outlineLevel="1">
      <c r="A5" s="64">
        <v>1961</v>
      </c>
      <c r="B5" s="57">
        <v>76</v>
      </c>
      <c r="C5" s="31">
        <f t="shared" ref="C5:C32" si="0">B5/B$33*100</f>
        <v>83.060109289617486</v>
      </c>
    </row>
    <row r="6" spans="1:3" hidden="1" outlineLevel="1">
      <c r="A6" s="64">
        <v>1962</v>
      </c>
      <c r="B6" s="57">
        <v>76.8</v>
      </c>
      <c r="C6" s="31">
        <f t="shared" si="0"/>
        <v>83.93442622950819</v>
      </c>
    </row>
    <row r="7" spans="1:3" hidden="1" outlineLevel="1">
      <c r="A7" s="64">
        <v>1963</v>
      </c>
      <c r="B7" s="57">
        <v>77.7</v>
      </c>
      <c r="C7" s="31">
        <f t="shared" si="0"/>
        <v>84.918032786885249</v>
      </c>
    </row>
    <row r="8" spans="1:3" hidden="1" outlineLevel="1">
      <c r="A8" s="64">
        <v>1964</v>
      </c>
      <c r="B8" s="57">
        <v>78.5</v>
      </c>
      <c r="C8" s="31">
        <f t="shared" si="0"/>
        <v>85.792349726775953</v>
      </c>
    </row>
    <row r="9" spans="1:3" hidden="1" outlineLevel="1">
      <c r="A9" s="64">
        <v>1965</v>
      </c>
      <c r="B9" s="57">
        <v>79.400000000000006</v>
      </c>
      <c r="C9" s="31">
        <f t="shared" si="0"/>
        <v>86.775956284153011</v>
      </c>
    </row>
    <row r="10" spans="1:3" hidden="1" outlineLevel="1">
      <c r="A10" s="64">
        <v>1966</v>
      </c>
      <c r="B10" s="57">
        <v>80.099999999999994</v>
      </c>
      <c r="C10" s="31">
        <f t="shared" si="0"/>
        <v>87.540983606557361</v>
      </c>
    </row>
    <row r="11" spans="1:3" hidden="1" outlineLevel="1">
      <c r="A11" s="64">
        <v>1967</v>
      </c>
      <c r="B11" s="57">
        <v>80.7</v>
      </c>
      <c r="C11" s="31">
        <f t="shared" si="0"/>
        <v>88.196721311475414</v>
      </c>
    </row>
    <row r="12" spans="1:3" hidden="1" outlineLevel="1">
      <c r="A12" s="64">
        <v>1968</v>
      </c>
      <c r="B12" s="57">
        <v>81.099999999999994</v>
      </c>
      <c r="C12" s="31">
        <f t="shared" si="0"/>
        <v>88.63387978142076</v>
      </c>
    </row>
    <row r="13" spans="1:3" hidden="1" outlineLevel="1">
      <c r="A13" s="64">
        <v>1969</v>
      </c>
      <c r="B13" s="57">
        <v>81.5</v>
      </c>
      <c r="C13" s="31">
        <f t="shared" si="0"/>
        <v>89.071038251366119</v>
      </c>
    </row>
    <row r="14" spans="1:3" hidden="1" outlineLevel="1">
      <c r="A14" s="64">
        <v>1970</v>
      </c>
      <c r="B14" s="57">
        <v>81.900000000000006</v>
      </c>
      <c r="C14" s="31">
        <f t="shared" si="0"/>
        <v>89.508196721311478</v>
      </c>
    </row>
    <row r="15" spans="1:3" hidden="1" outlineLevel="1">
      <c r="A15" s="64">
        <v>1971</v>
      </c>
      <c r="B15" s="57">
        <v>82.4</v>
      </c>
      <c r="C15" s="31">
        <f t="shared" si="0"/>
        <v>90.054644808743177</v>
      </c>
    </row>
    <row r="16" spans="1:3" hidden="1" outlineLevel="1">
      <c r="A16" s="64">
        <v>1972</v>
      </c>
      <c r="B16" s="57">
        <v>83</v>
      </c>
      <c r="C16" s="31">
        <f t="shared" si="0"/>
        <v>90.710382513661202</v>
      </c>
    </row>
    <row r="17" spans="1:3" hidden="1" outlineLevel="1">
      <c r="A17" s="64">
        <v>1973</v>
      </c>
      <c r="B17" s="57">
        <v>83.6</v>
      </c>
      <c r="C17" s="31">
        <f t="shared" si="0"/>
        <v>91.366120218579226</v>
      </c>
    </row>
    <row r="18" spans="1:3" hidden="1" outlineLevel="1">
      <c r="A18" s="64">
        <v>1974</v>
      </c>
      <c r="B18" s="57">
        <v>84</v>
      </c>
      <c r="C18" s="31">
        <f t="shared" si="0"/>
        <v>91.803278688524586</v>
      </c>
    </row>
    <row r="19" spans="1:3" hidden="1" outlineLevel="1">
      <c r="A19" s="64">
        <v>1975</v>
      </c>
      <c r="B19" s="57">
        <v>84.5</v>
      </c>
      <c r="C19" s="31">
        <f t="shared" si="0"/>
        <v>92.349726775956285</v>
      </c>
    </row>
    <row r="20" spans="1:3" hidden="1" outlineLevel="1">
      <c r="A20" s="64">
        <v>1976</v>
      </c>
      <c r="B20" s="57">
        <v>85</v>
      </c>
      <c r="C20" s="31">
        <f t="shared" si="0"/>
        <v>92.896174863387984</v>
      </c>
    </row>
    <row r="21" spans="1:3" hidden="1" outlineLevel="1">
      <c r="A21" s="64">
        <v>1977</v>
      </c>
      <c r="B21" s="57">
        <v>85.5</v>
      </c>
      <c r="C21" s="31">
        <f t="shared" si="0"/>
        <v>93.442622950819683</v>
      </c>
    </row>
    <row r="22" spans="1:3" hidden="1" outlineLevel="1">
      <c r="A22" s="64">
        <v>1978</v>
      </c>
      <c r="B22" s="57">
        <v>85.9</v>
      </c>
      <c r="C22" s="31">
        <f t="shared" si="0"/>
        <v>93.879781420765028</v>
      </c>
    </row>
    <row r="23" spans="1:3" hidden="1" outlineLevel="1">
      <c r="A23" s="64">
        <v>1979</v>
      </c>
      <c r="B23" s="57">
        <v>86.2</v>
      </c>
      <c r="C23" s="31">
        <f t="shared" si="0"/>
        <v>94.207650273224047</v>
      </c>
    </row>
    <row r="24" spans="1:3" hidden="1" outlineLevel="1">
      <c r="A24" s="64">
        <v>1980</v>
      </c>
      <c r="B24" s="57">
        <v>86.8</v>
      </c>
      <c r="C24" s="31">
        <f t="shared" si="0"/>
        <v>94.863387978142072</v>
      </c>
    </row>
    <row r="25" spans="1:3" collapsed="1">
      <c r="A25" s="66">
        <v>1981</v>
      </c>
      <c r="B25" s="135">
        <v>87.3</v>
      </c>
      <c r="C25" s="31">
        <f t="shared" si="0"/>
        <v>95.409836065573771</v>
      </c>
    </row>
    <row r="26" spans="1:3">
      <c r="A26" s="66">
        <v>1982</v>
      </c>
      <c r="B26" s="135">
        <v>88.2</v>
      </c>
      <c r="C26" s="31">
        <f t="shared" si="0"/>
        <v>96.393442622950815</v>
      </c>
    </row>
    <row r="27" spans="1:3">
      <c r="A27" s="66">
        <v>1983</v>
      </c>
      <c r="B27" s="135">
        <v>89.1</v>
      </c>
      <c r="C27" s="31">
        <f t="shared" si="0"/>
        <v>97.377049180327873</v>
      </c>
    </row>
    <row r="28" spans="1:3">
      <c r="A28" s="66">
        <v>1984</v>
      </c>
      <c r="B28" s="135">
        <v>89.6</v>
      </c>
      <c r="C28" s="31">
        <f t="shared" si="0"/>
        <v>97.923497267759558</v>
      </c>
    </row>
    <row r="29" spans="1:3">
      <c r="A29" s="66">
        <v>1985</v>
      </c>
      <c r="B29" s="135">
        <v>90.1</v>
      </c>
      <c r="C29" s="31">
        <f t="shared" si="0"/>
        <v>98.469945355191243</v>
      </c>
    </row>
    <row r="30" spans="1:3">
      <c r="A30" s="66">
        <v>1986</v>
      </c>
      <c r="B30" s="135">
        <v>90.6</v>
      </c>
      <c r="C30" s="31">
        <f t="shared" si="0"/>
        <v>99.016393442622942</v>
      </c>
    </row>
    <row r="31" spans="1:3">
      <c r="A31" s="66">
        <v>1987</v>
      </c>
      <c r="B31" s="135">
        <v>91</v>
      </c>
      <c r="C31" s="31">
        <f t="shared" si="0"/>
        <v>99.453551912568301</v>
      </c>
    </row>
    <row r="32" spans="1:3">
      <c r="A32" s="66">
        <v>1988</v>
      </c>
      <c r="B32" s="135">
        <v>91.3</v>
      </c>
      <c r="C32" s="31">
        <f t="shared" si="0"/>
        <v>99.78142076502732</v>
      </c>
    </row>
    <row r="33" spans="1:3">
      <c r="A33" s="66">
        <v>1989</v>
      </c>
      <c r="B33" s="135">
        <v>91.5</v>
      </c>
      <c r="C33" s="31">
        <f>B33/B$33*100</f>
        <v>100</v>
      </c>
    </row>
    <row r="34" spans="1:3">
      <c r="A34" s="66">
        <v>1990</v>
      </c>
      <c r="B34" s="135">
        <v>92.2</v>
      </c>
      <c r="C34" s="31">
        <f t="shared" ref="C34:C55" si="1">B34/B$33*100</f>
        <v>100.76502732240438</v>
      </c>
    </row>
    <row r="35" spans="1:3">
      <c r="A35" s="66">
        <v>1991</v>
      </c>
      <c r="B35" s="135">
        <v>92.5</v>
      </c>
      <c r="C35" s="31">
        <f t="shared" si="1"/>
        <v>101.09289617486338</v>
      </c>
    </row>
    <row r="36" spans="1:3">
      <c r="A36" s="66">
        <v>1992</v>
      </c>
      <c r="B36" s="135">
        <v>93.2</v>
      </c>
      <c r="C36" s="31">
        <f t="shared" si="1"/>
        <v>101.85792349726776</v>
      </c>
    </row>
    <row r="37" spans="1:3">
      <c r="A37" s="66">
        <v>1993</v>
      </c>
      <c r="B37" s="135">
        <v>94.4</v>
      </c>
      <c r="C37" s="31">
        <f t="shared" si="1"/>
        <v>103.16939890710384</v>
      </c>
    </row>
    <row r="38" spans="1:3">
      <c r="A38" s="66">
        <v>1994</v>
      </c>
      <c r="B38" s="135">
        <v>95.3</v>
      </c>
      <c r="C38" s="31">
        <f t="shared" si="1"/>
        <v>104.15300546448087</v>
      </c>
    </row>
    <row r="39" spans="1:3">
      <c r="A39" s="66">
        <v>1995</v>
      </c>
      <c r="B39" s="135">
        <v>95.9</v>
      </c>
      <c r="C39" s="31">
        <f t="shared" si="1"/>
        <v>104.80874316939892</v>
      </c>
    </row>
    <row r="40" spans="1:3">
      <c r="A40" s="66">
        <v>1996</v>
      </c>
      <c r="B40" s="135">
        <v>96.4</v>
      </c>
      <c r="C40" s="31">
        <f t="shared" si="1"/>
        <v>105.35519125683062</v>
      </c>
    </row>
    <row r="41" spans="1:3">
      <c r="A41" s="66">
        <v>1997</v>
      </c>
      <c r="B41" s="135">
        <v>97.8</v>
      </c>
      <c r="C41" s="31">
        <f t="shared" si="1"/>
        <v>106.88524590163935</v>
      </c>
    </row>
    <row r="42" spans="1:3">
      <c r="A42" s="66">
        <v>1998</v>
      </c>
      <c r="B42" s="135">
        <v>98.4</v>
      </c>
      <c r="C42" s="31">
        <f t="shared" si="1"/>
        <v>107.54098360655739</v>
      </c>
    </row>
    <row r="43" spans="1:3">
      <c r="A43" s="66">
        <v>1999</v>
      </c>
      <c r="B43" s="135">
        <v>97.9</v>
      </c>
      <c r="C43" s="31">
        <f t="shared" si="1"/>
        <v>106.99453551912571</v>
      </c>
    </row>
    <row r="44" spans="1:3">
      <c r="A44" s="66">
        <v>2000</v>
      </c>
      <c r="B44" s="135">
        <v>98.6</v>
      </c>
      <c r="C44" s="31">
        <f t="shared" si="1"/>
        <v>107.75956284153006</v>
      </c>
    </row>
    <row r="45" spans="1:3">
      <c r="A45" s="66">
        <v>2001</v>
      </c>
      <c r="B45" s="135">
        <v>99.2</v>
      </c>
      <c r="C45" s="31">
        <f t="shared" si="1"/>
        <v>108.41530054644809</v>
      </c>
    </row>
    <row r="46" spans="1:3">
      <c r="A46" s="66">
        <v>2002</v>
      </c>
      <c r="B46" s="135">
        <v>100</v>
      </c>
      <c r="C46" s="31">
        <f t="shared" si="1"/>
        <v>109.28961748633881</v>
      </c>
    </row>
    <row r="47" spans="1:3">
      <c r="A47" s="66">
        <v>2003</v>
      </c>
      <c r="B47" s="135">
        <v>100.8</v>
      </c>
      <c r="C47" s="31">
        <f t="shared" si="1"/>
        <v>110.16393442622952</v>
      </c>
    </row>
    <row r="48" spans="1:3">
      <c r="A48" s="66">
        <v>2004</v>
      </c>
      <c r="B48" s="135">
        <v>101.2</v>
      </c>
      <c r="C48" s="31">
        <f t="shared" si="1"/>
        <v>110.60109289617486</v>
      </c>
    </row>
    <row r="49" spans="1:3">
      <c r="A49" s="66">
        <v>2005</v>
      </c>
      <c r="B49" s="135">
        <v>101.9</v>
      </c>
      <c r="C49" s="31">
        <f t="shared" si="1"/>
        <v>111.36612021857924</v>
      </c>
    </row>
    <row r="50" spans="1:3">
      <c r="A50" s="66">
        <v>2006</v>
      </c>
      <c r="B50" s="135">
        <v>102.7</v>
      </c>
      <c r="C50" s="31">
        <f t="shared" si="1"/>
        <v>112.24043715846994</v>
      </c>
    </row>
    <row r="51" spans="1:3">
      <c r="A51" s="66">
        <v>2007</v>
      </c>
      <c r="B51" s="135">
        <v>103.5</v>
      </c>
      <c r="C51" s="31">
        <f t="shared" si="1"/>
        <v>113.11475409836065</v>
      </c>
    </row>
    <row r="52" spans="1:3">
      <c r="A52" s="66">
        <v>2008</v>
      </c>
      <c r="B52" s="135">
        <v>103.2</v>
      </c>
      <c r="C52" s="31">
        <f t="shared" si="1"/>
        <v>112.78688524590163</v>
      </c>
    </row>
    <row r="53" spans="1:3">
      <c r="A53" s="66">
        <v>2009</v>
      </c>
      <c r="B53" s="135">
        <v>103.8</v>
      </c>
      <c r="C53" s="31">
        <f t="shared" si="1"/>
        <v>113.44262295081965</v>
      </c>
    </row>
    <row r="54" spans="1:3">
      <c r="A54" s="66">
        <v>2010</v>
      </c>
      <c r="B54" s="135">
        <v>104.7</v>
      </c>
      <c r="C54" s="31">
        <f t="shared" si="1"/>
        <v>114.42622950819671</v>
      </c>
    </row>
    <row r="55" spans="1:3">
      <c r="A55" s="66">
        <v>2011</v>
      </c>
      <c r="B55" s="135">
        <v>104.9</v>
      </c>
      <c r="C55" s="31">
        <f t="shared" si="1"/>
        <v>114.64480874316941</v>
      </c>
    </row>
    <row r="56" spans="1:3">
      <c r="A56" s="66"/>
      <c r="C56" s="139"/>
    </row>
    <row r="57" spans="1:3">
      <c r="A57" s="66" t="s">
        <v>2127</v>
      </c>
      <c r="B57" s="65">
        <f>((B55/B33)^(1/22)-1)*100</f>
        <v>0.62315422788592478</v>
      </c>
      <c r="C57" s="65">
        <f>((C55/C33)^(1/22)-1)*100</f>
        <v>0.62315422788592478</v>
      </c>
    </row>
    <row r="58" spans="1:3">
      <c r="A58" s="66" t="s">
        <v>26</v>
      </c>
      <c r="B58" s="65">
        <f>((B44/B33)^(1/11)-1)*100</f>
        <v>0.6816974997755576</v>
      </c>
      <c r="C58" s="65">
        <f>((C44/C33)^(1/11)-1)*100</f>
        <v>0.6816974997755576</v>
      </c>
    </row>
    <row r="59" spans="1:3">
      <c r="A59" s="66" t="s">
        <v>1782</v>
      </c>
      <c r="B59" s="65">
        <f>((B55/B44)^(1/11)-1)*100</f>
        <v>0.56464499708588356</v>
      </c>
      <c r="C59" s="65">
        <f>((C55/C44)^(1/11)-1)*100</f>
        <v>0.56464499708588356</v>
      </c>
    </row>
    <row r="61" spans="1:3">
      <c r="A61" s="64" t="s">
        <v>1646</v>
      </c>
    </row>
  </sheetData>
  <mergeCells count="2">
    <mergeCell ref="B2:C2"/>
    <mergeCell ref="A1:C1"/>
  </mergeCells>
  <pageMargins left="0.7" right="0.7" top="0.75" bottom="0.75" header="0.3" footer="0.3"/>
  <pageSetup orientation="portrait" horizontalDpi="0" verticalDpi="0" r:id="rId1"/>
</worksheet>
</file>

<file path=xl/worksheets/sheet112.xml><?xml version="1.0" encoding="utf-8"?>
<worksheet xmlns="http://schemas.openxmlformats.org/spreadsheetml/2006/main" xmlns:r="http://schemas.openxmlformats.org/officeDocument/2006/relationships">
  <sheetPr codeName="Sheet105"/>
  <dimension ref="A1:O65"/>
  <sheetViews>
    <sheetView view="pageBreakPreview" zoomScale="70" zoomScaleNormal="70" zoomScaleSheetLayoutView="70"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1.42578125" style="64" customWidth="1"/>
    <col min="2" max="2" width="8.28515625" style="64" customWidth="1"/>
    <col min="3" max="3" width="8" style="64" customWidth="1"/>
    <col min="4" max="4" width="8.7109375" style="64" customWidth="1"/>
    <col min="5" max="5" width="9.140625" style="64" customWidth="1"/>
    <col min="6" max="6" width="7.85546875" style="64" customWidth="1"/>
    <col min="7" max="7" width="9.85546875" style="64" customWidth="1"/>
    <col min="8" max="8" width="10" style="64" customWidth="1"/>
    <col min="9" max="9" width="10.140625" style="64" customWidth="1"/>
    <col min="10" max="10" width="9.42578125" style="64" customWidth="1"/>
    <col min="11" max="11" width="9.85546875" style="64" customWidth="1"/>
    <col min="12" max="14" width="13.85546875" style="64" customWidth="1"/>
    <col min="15" max="16384" width="9.140625" style="64"/>
  </cols>
  <sheetData>
    <row r="1" spans="1:15">
      <c r="A1" s="66" t="s">
        <v>1999</v>
      </c>
    </row>
    <row r="2" spans="1:15" ht="30" customHeight="1">
      <c r="A2" s="96"/>
      <c r="B2" s="97" t="s">
        <v>113</v>
      </c>
      <c r="C2" s="97"/>
      <c r="D2" s="98" t="s">
        <v>116</v>
      </c>
      <c r="E2" s="99"/>
      <c r="F2" s="97" t="s">
        <v>117</v>
      </c>
      <c r="G2" s="97" t="s">
        <v>118</v>
      </c>
      <c r="H2" s="101" t="s">
        <v>119</v>
      </c>
      <c r="I2" s="97" t="s">
        <v>120</v>
      </c>
      <c r="J2" s="97" t="s">
        <v>1004</v>
      </c>
      <c r="K2" s="97" t="s">
        <v>122</v>
      </c>
      <c r="L2" s="97" t="s">
        <v>1003</v>
      </c>
      <c r="M2" s="97"/>
      <c r="N2" s="97"/>
      <c r="O2" s="97" t="s">
        <v>1079</v>
      </c>
    </row>
    <row r="3" spans="1:15" ht="60" customHeight="1">
      <c r="A3" s="96"/>
      <c r="B3" s="73" t="s">
        <v>114</v>
      </c>
      <c r="C3" s="73" t="s">
        <v>115</v>
      </c>
      <c r="D3" s="73" t="s">
        <v>114</v>
      </c>
      <c r="E3" s="73" t="s">
        <v>115</v>
      </c>
      <c r="F3" s="97"/>
      <c r="G3" s="97"/>
      <c r="H3" s="102"/>
      <c r="I3" s="97"/>
      <c r="J3" s="97"/>
      <c r="K3" s="97"/>
      <c r="L3" s="73" t="s">
        <v>1009</v>
      </c>
      <c r="M3" s="73" t="s">
        <v>1010</v>
      </c>
      <c r="N3" s="73" t="s">
        <v>1011</v>
      </c>
      <c r="O3" s="97"/>
    </row>
    <row r="4" spans="1:15" ht="15" customHeight="1">
      <c r="A4" s="96"/>
      <c r="B4" s="98" t="s">
        <v>6</v>
      </c>
      <c r="C4" s="100"/>
      <c r="D4" s="100"/>
      <c r="E4" s="100"/>
      <c r="F4" s="100"/>
      <c r="G4" s="100"/>
      <c r="H4" s="100"/>
      <c r="I4" s="99"/>
      <c r="J4" s="97" t="s">
        <v>1002</v>
      </c>
      <c r="K4" s="97"/>
      <c r="L4" s="103" t="s">
        <v>6</v>
      </c>
      <c r="M4" s="103"/>
      <c r="N4" s="103"/>
      <c r="O4" s="103"/>
    </row>
    <row r="5" spans="1:15" hidden="1" outlineLevel="1"/>
    <row r="6" spans="1:15" collapsed="1">
      <c r="A6" s="66">
        <v>1961</v>
      </c>
      <c r="B6" s="28"/>
      <c r="C6" s="28">
        <f>'18'!C6*('18'!K6/'17'!K6)+'19'!C6*('19'!K6/'17'!K6)+'20'!C6*('20'!K6/'17'!K6)</f>
        <v>52.039425880242206</v>
      </c>
      <c r="D6" s="28">
        <f>F6/'17a'!B5*100</f>
        <v>34.641507863791155</v>
      </c>
      <c r="E6" s="28">
        <f>G6/'17a'!B5*100</f>
        <v>37.755223682720299</v>
      </c>
      <c r="F6" s="28">
        <f>'18'!F6*'18'!J6/'17'!J6+'19'!F6*'19'!J6/'17'!J6+'20'!D6*'20'!J6/'17'!J6</f>
        <v>30.222010095457044</v>
      </c>
      <c r="G6" s="28">
        <f>'18'!G6*'18'!K6/'17'!K6+'19'!G6*'19'!K6/'17'!K6+'20'!E6*'20'!K6/'17'!K6</f>
        <v>32.938483965014584</v>
      </c>
      <c r="H6" s="28"/>
      <c r="I6" s="28"/>
      <c r="J6" s="56">
        <f>'18'!J6+'19'!J6+'20'!J6</f>
        <v>4001.8</v>
      </c>
      <c r="K6" s="56">
        <f>'18'!K6+'19'!K6+'20'!K6</f>
        <v>1783.6</v>
      </c>
      <c r="L6" s="28"/>
      <c r="M6" s="28"/>
      <c r="N6" s="28"/>
      <c r="O6" s="31"/>
    </row>
    <row r="7" spans="1:15" hidden="1" outlineLevel="1">
      <c r="A7" s="66">
        <v>1962</v>
      </c>
      <c r="B7" s="28"/>
      <c r="C7" s="28">
        <f>'18'!C7*('18'!K7/'17'!K7)+'19'!C7*('19'!K7/'17'!K7)+'20'!C7*('20'!K7/'17'!K7)</f>
        <v>53.194752247543377</v>
      </c>
      <c r="D7" s="28">
        <f>F7/'17a'!B6*100</f>
        <v>33.87408335335553</v>
      </c>
      <c r="E7" s="28">
        <f>G7/'17a'!B6*100</f>
        <v>37.139590408418414</v>
      </c>
      <c r="F7" s="28">
        <f>'18'!F7*'18'!J7/'17'!J7+'19'!F7*'19'!J7/'17'!J7+'20'!D7*'20'!J7/'17'!J7</f>
        <v>30.920502661008605</v>
      </c>
      <c r="G7" s="28">
        <f>'18'!G7*'18'!K7/'17'!K7+'19'!G7*'19'!K7/'17'!K7+'20'!E7*'20'!K7/'17'!K7</f>
        <v>33.901280577043693</v>
      </c>
      <c r="H7" s="28"/>
      <c r="I7" s="28"/>
      <c r="J7" s="56">
        <f>'18'!J7+'19'!J7+'20'!J7</f>
        <v>4265.3</v>
      </c>
      <c r="K7" s="56">
        <f>'18'!K7+'19'!K7+'20'!K7</f>
        <v>1913.2</v>
      </c>
      <c r="L7" s="28"/>
      <c r="M7" s="28"/>
      <c r="N7" s="28"/>
      <c r="O7" s="31"/>
    </row>
    <row r="8" spans="1:15" hidden="1" outlineLevel="1">
      <c r="A8" s="66">
        <v>1963</v>
      </c>
      <c r="B8" s="28"/>
      <c r="C8" s="28">
        <f>'18'!C8*('18'!K8/'17'!K8)+'19'!C8*('19'!K8/'17'!K8)+'20'!C8*('20'!K8/'17'!K8)</f>
        <v>54.67230399371995</v>
      </c>
      <c r="D8" s="28">
        <f>F8/'17a'!B7*100</f>
        <v>35.169022224724777</v>
      </c>
      <c r="E8" s="28">
        <f>G8/'17a'!B7*100</f>
        <v>38.2310206289566</v>
      </c>
      <c r="F8" s="28">
        <f>'18'!F8*'18'!J8/'17'!J8+'19'!F8*'19'!J8/'17'!J8+'20'!D8*'20'!J8/'17'!J8</f>
        <v>31.99570234076819</v>
      </c>
      <c r="G8" s="28">
        <f>'18'!G8*'18'!K8/'17'!K8+'19'!G8*'19'!K8/'17'!K8+'20'!E8*'20'!K8/'17'!K8</f>
        <v>34.781414973996661</v>
      </c>
      <c r="H8" s="28"/>
      <c r="I8" s="28"/>
      <c r="J8" s="56">
        <f>'18'!J8+'19'!J8+'20'!J8</f>
        <v>4532.7000000000007</v>
      </c>
      <c r="K8" s="56">
        <f>'18'!K8+'19'!K8+'20'!K8</f>
        <v>2038.2</v>
      </c>
      <c r="L8" s="28"/>
      <c r="M8" s="28"/>
      <c r="N8" s="28"/>
      <c r="O8" s="31"/>
    </row>
    <row r="9" spans="1:15" hidden="1" outlineLevel="1">
      <c r="A9" s="66">
        <v>1964</v>
      </c>
      <c r="B9" s="28"/>
      <c r="C9" s="28">
        <f>'18'!C9*('18'!K9/'17'!K9)+'19'!C9*('19'!K9/'17'!K9)+'20'!C9*('20'!K9/'17'!K9)</f>
        <v>55.187183508850552</v>
      </c>
      <c r="D9" s="28">
        <f>F9/'17a'!B8*100</f>
        <v>35.127489819094585</v>
      </c>
      <c r="E9" s="28">
        <f>G9/'17a'!B8*100</f>
        <v>37.821464268726558</v>
      </c>
      <c r="F9" s="28">
        <f>'18'!F9*'18'!J9/'17'!J9+'19'!F9*'19'!J9/'17'!J9+'20'!D9*'20'!J9/'17'!J9</f>
        <v>33.776221245799945</v>
      </c>
      <c r="G9" s="28">
        <f>'18'!G9*'18'!K9/'17'!K9+'19'!G9*'19'!K9/'17'!K9+'20'!E9*'20'!K9/'17'!K9</f>
        <v>36.366565090746136</v>
      </c>
      <c r="H9" s="28"/>
      <c r="I9" s="28"/>
      <c r="J9" s="56">
        <f>'18'!J9+'19'!J9+'20'!J9</f>
        <v>5029.7</v>
      </c>
      <c r="K9" s="56">
        <f>'18'!K9+'19'!K9+'20'!K9</f>
        <v>2231.5</v>
      </c>
      <c r="L9" s="28"/>
      <c r="M9" s="28"/>
      <c r="N9" s="28"/>
      <c r="O9" s="31"/>
    </row>
    <row r="10" spans="1:15" hidden="1" outlineLevel="1">
      <c r="A10" s="66">
        <v>1965</v>
      </c>
      <c r="B10" s="28"/>
      <c r="C10" s="28">
        <f>'18'!C10*('18'!K10/'17'!K10)+'19'!C10*('19'!K10/'17'!K10)+'20'!C10*('20'!K10/'17'!K10)</f>
        <v>53.28207380614046</v>
      </c>
      <c r="D10" s="28">
        <f>F10/'17a'!B9*100</f>
        <v>35.308530845947246</v>
      </c>
      <c r="E10" s="28">
        <f>G10/'17a'!B9*100</f>
        <v>37.422454733745653</v>
      </c>
      <c r="F10" s="28">
        <f>'18'!F10*'18'!J10/'17'!J10+'19'!F10*'19'!J10/'17'!J10+'20'!D10*'20'!J10/'17'!J10</f>
        <v>34.740129583161682</v>
      </c>
      <c r="G10" s="28">
        <f>'18'!G10*'18'!K10/'17'!K10+'19'!G10*'19'!K10/'17'!K10+'20'!E10*'20'!K10/'17'!K10</f>
        <v>36.820023252809705</v>
      </c>
      <c r="H10" s="28"/>
      <c r="I10" s="28"/>
      <c r="J10" s="56">
        <f>'18'!J10+'19'!J10+'20'!J10</f>
        <v>5340.2</v>
      </c>
      <c r="K10" s="56">
        <f>'18'!K10+'19'!K10+'20'!K10</f>
        <v>2322.3000000000002</v>
      </c>
      <c r="L10" s="28"/>
      <c r="M10" s="28"/>
      <c r="N10" s="28"/>
      <c r="O10" s="31"/>
    </row>
    <row r="11" spans="1:15" hidden="1" outlineLevel="1">
      <c r="A11" s="66">
        <v>1966</v>
      </c>
      <c r="B11" s="28"/>
      <c r="C11" s="28">
        <f>'18'!C11*('18'!K11/'17'!K11)+'19'!C11*('19'!K11/'17'!K11)+'20'!C11*('20'!K11/'17'!K11)</f>
        <v>52.102333773667979</v>
      </c>
      <c r="D11" s="28">
        <f>F11/'17a'!B10*100</f>
        <v>35.09158301572343</v>
      </c>
      <c r="E11" s="28">
        <f>G11/'17a'!B10*100</f>
        <v>36.748695379605948</v>
      </c>
      <c r="F11" s="28">
        <f>'18'!F11*'18'!J11/'17'!J11+'19'!F11*'19'!J11/'17'!J11+'20'!D11*'20'!J11/'17'!J11</f>
        <v>35.559810431431913</v>
      </c>
      <c r="G11" s="28">
        <f>'18'!G11*'18'!K11/'17'!K11+'19'!G11*'19'!K11/'17'!K11+'20'!E11*'20'!K11/'17'!K11</f>
        <v>37.239033665585843</v>
      </c>
      <c r="H11" s="28"/>
      <c r="I11" s="28"/>
      <c r="J11" s="56">
        <f>'18'!J11+'19'!J11+'20'!J11</f>
        <v>5813.2</v>
      </c>
      <c r="K11" s="56">
        <f>'18'!K11+'19'!K11+'20'!K11</f>
        <v>2498.1000000000004</v>
      </c>
      <c r="L11" s="28"/>
      <c r="M11" s="28"/>
      <c r="N11" s="28"/>
      <c r="O11" s="31"/>
    </row>
    <row r="12" spans="1:15" hidden="1" outlineLevel="1">
      <c r="A12" s="66">
        <v>1967</v>
      </c>
      <c r="B12" s="28"/>
      <c r="C12" s="28">
        <f>'18'!C12*('18'!K12/'17'!K12)+'19'!C12*('19'!K12/'17'!K12)+'20'!C12*('20'!K12/'17'!K12)</f>
        <v>50.031666532679466</v>
      </c>
      <c r="D12" s="28">
        <f>F12/'17a'!B11*100</f>
        <v>34.553355276735395</v>
      </c>
      <c r="E12" s="28">
        <f>G12/'17a'!B11*100</f>
        <v>35.508972964002176</v>
      </c>
      <c r="F12" s="28">
        <f>'18'!F12*'18'!J12/'17'!J12+'19'!F12*'19'!J12/'17'!J12+'20'!D12*'20'!J12/'17'!J12</f>
        <v>34.571299812648739</v>
      </c>
      <c r="G12" s="28">
        <f>'18'!G12*'18'!K12/'17'!K12+'19'!G12*'19'!K12/'17'!K12+'20'!E12*'20'!K12/'17'!K12</f>
        <v>35.527413779242707</v>
      </c>
      <c r="H12" s="28"/>
      <c r="I12" s="28"/>
      <c r="J12" s="56">
        <f>'18'!J12+'19'!J12+'20'!J12</f>
        <v>5924.7000000000007</v>
      </c>
      <c r="K12" s="56">
        <f>'18'!K12+'19'!K12+'20'!K12</f>
        <v>2487.8000000000002</v>
      </c>
      <c r="L12" s="28"/>
      <c r="M12" s="28"/>
      <c r="N12" s="28"/>
      <c r="O12" s="31"/>
    </row>
    <row r="13" spans="1:15" hidden="1" outlineLevel="1">
      <c r="A13" s="66">
        <v>1968</v>
      </c>
      <c r="B13" s="28"/>
      <c r="C13" s="28">
        <f>'18'!C13*('18'!K13/'17'!K13)+'19'!C13*('19'!K13/'17'!K13)+'20'!C13*('20'!K13/'17'!K13)</f>
        <v>52.848178347726176</v>
      </c>
      <c r="D13" s="28">
        <f>F13/'17a'!B12*100</f>
        <v>36.837445812278389</v>
      </c>
      <c r="E13" s="28">
        <f>G13/'17a'!B12*100</f>
        <v>37.374671143514007</v>
      </c>
      <c r="F13" s="28">
        <f>'18'!F13*'18'!J13/'17'!J13+'19'!F13*'19'!J13/'17'!J13+'20'!D13*'20'!J13/'17'!J13</f>
        <v>36.266713476643872</v>
      </c>
      <c r="G13" s="28">
        <f>'18'!G13*'18'!K13/'17'!K13+'19'!G13*'19'!K13/'17'!K13+'20'!E13*'20'!K13/'17'!K13</f>
        <v>36.795615433082538</v>
      </c>
      <c r="H13" s="28"/>
      <c r="I13" s="28"/>
      <c r="J13" s="56">
        <f>'18'!J13+'19'!J13+'20'!J13</f>
        <v>6480.1</v>
      </c>
      <c r="K13" s="56">
        <f>'18'!K13+'19'!K13+'20'!K13</f>
        <v>2698.1</v>
      </c>
      <c r="L13" s="28"/>
      <c r="M13" s="28"/>
      <c r="N13" s="28"/>
      <c r="O13" s="31"/>
    </row>
    <row r="14" spans="1:15" hidden="1" outlineLevel="1">
      <c r="A14" s="66">
        <v>1969</v>
      </c>
      <c r="B14" s="28"/>
      <c r="C14" s="28">
        <f>'18'!C14*('18'!K14/'17'!K14)+'19'!C14*('19'!K14/'17'!K14)+'20'!C14*('20'!K14/'17'!K14)</f>
        <v>54.250142105778963</v>
      </c>
      <c r="D14" s="28">
        <f>F14/'17a'!B13*100</f>
        <v>38.018330285863193</v>
      </c>
      <c r="E14" s="28">
        <f>G14/'17a'!B13*100</f>
        <v>38.467322330277938</v>
      </c>
      <c r="F14" s="28">
        <f>'18'!F14*'18'!J14/'17'!J14+'19'!F14*'19'!J14/'17'!J14+'20'!D14*'20'!J14/'17'!J14</f>
        <v>38.419753845313224</v>
      </c>
      <c r="G14" s="28">
        <f>'18'!G14*'18'!K14/'17'!K14+'19'!G14*'19'!K14/'17'!K14+'20'!E14*'20'!K14/'17'!K14</f>
        <v>38.873486655123983</v>
      </c>
      <c r="H14" s="28"/>
      <c r="I14" s="28"/>
      <c r="J14" s="56">
        <f>'18'!J14+'19'!J14+'20'!J14</f>
        <v>7320.6</v>
      </c>
      <c r="K14" s="56">
        <f>'18'!K14+'19'!K14+'20'!K14</f>
        <v>3061.1</v>
      </c>
      <c r="L14" s="28"/>
      <c r="M14" s="28"/>
      <c r="N14" s="28"/>
      <c r="O14" s="31"/>
    </row>
    <row r="15" spans="1:15" hidden="1" outlineLevel="1">
      <c r="A15" s="66">
        <v>1970</v>
      </c>
      <c r="B15" s="28"/>
      <c r="C15" s="28">
        <f>'18'!C15*('18'!K15/'17'!K15)+'19'!C15*('19'!K15/'17'!K15)+'20'!C15*('20'!K15/'17'!K15)</f>
        <v>54.339427016860355</v>
      </c>
      <c r="D15" s="28">
        <f>F15/'17a'!B14*100</f>
        <v>38.615525583194582</v>
      </c>
      <c r="E15" s="28">
        <f>G15/'17a'!B14*100</f>
        <v>39.426922473143478</v>
      </c>
      <c r="F15" s="28">
        <f>'18'!F15*'18'!J15/'17'!J15+'19'!F15*'19'!J15/'17'!J15+'20'!D15*'20'!J15/'17'!J15</f>
        <v>38.542225656024939</v>
      </c>
      <c r="G15" s="28">
        <f>'18'!G15*'18'!K15/'17'!K15+'19'!G15*'19'!K15/'17'!K15+'20'!E15*'20'!K15/'17'!K15</f>
        <v>39.352082353731447</v>
      </c>
      <c r="H15" s="28"/>
      <c r="I15" s="28"/>
      <c r="J15" s="56">
        <f>'18'!J15+'19'!J15+'20'!J15</f>
        <v>7248.2</v>
      </c>
      <c r="K15" s="56">
        <f>'18'!K15+'19'!K15+'20'!K15</f>
        <v>2977.3999999999996</v>
      </c>
      <c r="L15" s="28"/>
      <c r="M15" s="28"/>
      <c r="N15" s="28"/>
      <c r="O15" s="31"/>
    </row>
    <row r="16" spans="1:15" hidden="1" outlineLevel="1">
      <c r="A16" s="66">
        <v>1971</v>
      </c>
      <c r="B16" s="28"/>
      <c r="C16" s="28">
        <f>'18'!C16*('18'!K16/'17'!K16)+'19'!C16*('19'!K16/'17'!K16)+'20'!C16*('20'!K16/'17'!K16)</f>
        <v>53.889156974876308</v>
      </c>
      <c r="D16" s="28">
        <f>F16/'17a'!B15*100</f>
        <v>39.197064987099317</v>
      </c>
      <c r="E16" s="28">
        <f>G16/'17a'!B15*100</f>
        <v>39.510817312242942</v>
      </c>
      <c r="F16" s="28">
        <f>'18'!F16*'18'!J16/'17'!J16+'19'!F16*'19'!J16/'17'!J16+'20'!D16*'20'!J16/'17'!J16</f>
        <v>38.871880870381965</v>
      </c>
      <c r="G16" s="28">
        <f>'18'!G16*'18'!K16/'17'!K16+'19'!G16*'19'!K16/'17'!K16+'20'!E16*'20'!K16/'17'!K16</f>
        <v>39.183030264087904</v>
      </c>
      <c r="H16" s="28"/>
      <c r="I16" s="28"/>
      <c r="J16" s="56">
        <f>'18'!J16+'19'!J16+'20'!J16</f>
        <v>7665.6</v>
      </c>
      <c r="K16" s="56">
        <f>'18'!K16+'19'!K16+'20'!K16</f>
        <v>3112.6</v>
      </c>
      <c r="L16" s="28"/>
      <c r="M16" s="28"/>
      <c r="N16" s="28"/>
      <c r="O16" s="31"/>
    </row>
    <row r="17" spans="1:15" hidden="1" outlineLevel="1">
      <c r="A17" s="66">
        <v>1972</v>
      </c>
      <c r="B17" s="28"/>
      <c r="C17" s="28">
        <f>'18'!C17*('18'!K17/'17'!K17)+'19'!C17*('19'!K17/'17'!K17)+'20'!C17*('20'!K17/'17'!K17)</f>
        <v>54.979575132602783</v>
      </c>
      <c r="D17" s="28">
        <f>F17/'17a'!B16*100</f>
        <v>39.924612549285143</v>
      </c>
      <c r="E17" s="28">
        <f>G17/'17a'!B16*100</f>
        <v>39.549209021084728</v>
      </c>
      <c r="F17" s="28">
        <f>'18'!F17*'18'!J17/'17'!J17+'19'!F17*'19'!J17/'17'!J17+'20'!D17*'20'!J17/'17'!J17</f>
        <v>41.303321086617672</v>
      </c>
      <c r="G17" s="28">
        <f>'18'!G17*'18'!K17/'17'!K17+'19'!G17*'19'!K17/'17'!K17+'20'!E17*'20'!K17/'17'!K17</f>
        <v>40.914953824614308</v>
      </c>
      <c r="H17" s="28"/>
      <c r="I17" s="28"/>
      <c r="J17" s="56">
        <f>'18'!J17+'19'!J17+'20'!J17</f>
        <v>8982</v>
      </c>
      <c r="K17" s="56">
        <f>'18'!K17+'19'!K17+'20'!K17</f>
        <v>3714.1</v>
      </c>
      <c r="L17" s="28"/>
      <c r="M17" s="28"/>
      <c r="N17" s="28"/>
      <c r="O17" s="31"/>
    </row>
    <row r="18" spans="1:15" collapsed="1">
      <c r="A18" s="66">
        <v>1973</v>
      </c>
      <c r="B18" s="28"/>
      <c r="C18" s="28">
        <f>'18'!C18*('18'!K18/'17'!K18)+'19'!C18*('19'!K18/'17'!K18)+'20'!C18*('20'!K18/'17'!K18)</f>
        <v>55.123107969719484</v>
      </c>
      <c r="D18" s="28">
        <f>F18/'17a'!B17*100</f>
        <v>40.970262976203344</v>
      </c>
      <c r="E18" s="28">
        <f>G18/'17a'!B17*100</f>
        <v>39.686035894696687</v>
      </c>
      <c r="F18" s="28">
        <f>'18'!F18*'18'!J18/'17'!J18+'19'!F18*'19'!J18/'17'!J18+'20'!D18*'20'!J18/'17'!J18</f>
        <v>45.982480528614474</v>
      </c>
      <c r="G18" s="28">
        <f>'18'!G18*'18'!K18/'17'!K18+'19'!G18*'19'!K18/'17'!K18+'20'!E18*'20'!K18/'17'!K18</f>
        <v>44.541143752133486</v>
      </c>
      <c r="H18" s="28"/>
      <c r="I18" s="28"/>
      <c r="J18" s="56">
        <f>'18'!J18+'19'!J18+'20'!J18</f>
        <v>11516.9</v>
      </c>
      <c r="K18" s="56">
        <f>'18'!K18+'19'!K18+'20'!K18</f>
        <v>4980.1000000000004</v>
      </c>
      <c r="L18" s="28"/>
      <c r="M18" s="28"/>
      <c r="N18" s="28"/>
      <c r="O18" s="31"/>
    </row>
    <row r="19" spans="1:15" hidden="1" outlineLevel="1">
      <c r="A19" s="66">
        <v>1974</v>
      </c>
      <c r="B19" s="28"/>
      <c r="C19" s="28">
        <f>'18'!C19*('18'!K19/'17'!K19)+'19'!C19*('19'!K19/'17'!K19)+'20'!C19*('20'!K19/'17'!K19)</f>
        <v>59.384653803605119</v>
      </c>
      <c r="D19" s="28">
        <f>F19/'17a'!B18*100</f>
        <v>41.321720802751656</v>
      </c>
      <c r="E19" s="28">
        <f>G19/'17a'!B18*100</f>
        <v>40.404869086604982</v>
      </c>
      <c r="F19" s="28">
        <f>'18'!F19*'18'!J19/'17'!J19+'19'!F19*'19'!J19/'17'!J19+'20'!D19*'20'!J19/'17'!J19</f>
        <v>47.215353202514976</v>
      </c>
      <c r="G19" s="28">
        <f>'18'!G19*'18'!K19/'17'!K19+'19'!G19*'19'!K19/'17'!K19+'20'!E19*'20'!K19/'17'!K19</f>
        <v>46.167732804060648</v>
      </c>
      <c r="H19" s="28"/>
      <c r="I19" s="28"/>
      <c r="J19" s="56">
        <f>'18'!J19+'19'!J19+'20'!J19</f>
        <v>14202.9</v>
      </c>
      <c r="K19" s="56">
        <f>'18'!K19+'19'!K19+'20'!K19</f>
        <v>6146.8</v>
      </c>
      <c r="L19" s="28"/>
      <c r="M19" s="28"/>
      <c r="N19" s="28"/>
      <c r="O19" s="31"/>
    </row>
    <row r="20" spans="1:15" hidden="1" outlineLevel="1">
      <c r="A20" s="66">
        <v>1975</v>
      </c>
      <c r="B20" s="28"/>
      <c r="C20" s="28">
        <f>'18'!C20*('18'!K20/'17'!K20)+'19'!C20*('19'!K20/'17'!K20)+'20'!C20*('20'!K20/'17'!K20)</f>
        <v>50.525879401585755</v>
      </c>
      <c r="D20" s="28">
        <f>F20/'17a'!B19*100</f>
        <v>40.644887323043015</v>
      </c>
      <c r="E20" s="28">
        <f>G20/'17a'!B19*100</f>
        <v>39.275541020929232</v>
      </c>
      <c r="F20" s="28">
        <f>'18'!F20*'18'!J20/'17'!J20+'19'!F20*'19'!J20/'17'!J20+'20'!D20*'20'!J20/'17'!J20</f>
        <v>41.02348126037495</v>
      </c>
      <c r="G20" s="28">
        <f>'18'!G20*'18'!K20/'17'!K20+'19'!G20*'19'!K20/'17'!K20+'20'!E20*'20'!K20/'17'!K20</f>
        <v>39.641379941769969</v>
      </c>
      <c r="H20" s="28"/>
      <c r="I20" s="28"/>
      <c r="J20" s="56">
        <f>'18'!J20+'19'!J20+'20'!J20</f>
        <v>13132.599999999999</v>
      </c>
      <c r="K20" s="56">
        <f>'18'!K20+'19'!K20+'20'!K20</f>
        <v>5461.1</v>
      </c>
      <c r="L20" s="28"/>
      <c r="M20" s="28"/>
      <c r="N20" s="28"/>
      <c r="O20" s="31"/>
    </row>
    <row r="21" spans="1:15" hidden="1" outlineLevel="1">
      <c r="A21" s="66">
        <v>1976</v>
      </c>
      <c r="B21" s="28"/>
      <c r="C21" s="28">
        <f>'18'!C21*('18'!K21/'17'!K21)+'19'!C21*('19'!K21/'17'!K21)+'20'!C21*('20'!K21/'17'!K21)</f>
        <v>57.053326661814651</v>
      </c>
      <c r="D21" s="28">
        <f>F21/'17a'!B20*100</f>
        <v>42.516197233021877</v>
      </c>
      <c r="E21" s="28">
        <f>G21/'17a'!B20*100</f>
        <v>42.111063210015701</v>
      </c>
      <c r="F21" s="28">
        <f>'18'!F21*'18'!J21/'17'!J21+'19'!F21*'19'!J21/'17'!J21+'20'!D21*'20'!J21/'17'!J21</f>
        <v>45.213882297545958</v>
      </c>
      <c r="G21" s="28">
        <f>'18'!G21*'18'!K21/'17'!K21+'19'!G21*'19'!K21/'17'!K21+'20'!E21*'20'!K21/'17'!K21</f>
        <v>44.783042212518197</v>
      </c>
      <c r="H21" s="28"/>
      <c r="I21" s="28"/>
      <c r="J21" s="56">
        <f>'18'!J21+'19'!J21+'20'!J21</f>
        <v>16140.699999999999</v>
      </c>
      <c r="K21" s="56">
        <f>'18'!K21+'19'!K21+'20'!K21</f>
        <v>6595.2</v>
      </c>
      <c r="L21" s="28"/>
      <c r="M21" s="28"/>
      <c r="N21" s="28"/>
      <c r="O21" s="31"/>
    </row>
    <row r="22" spans="1:15" hidden="1" outlineLevel="1">
      <c r="A22" s="66">
        <v>1977</v>
      </c>
      <c r="B22" s="28"/>
      <c r="C22" s="28">
        <f>'18'!C22*('18'!K22/'17'!K22)+'19'!C22*('19'!K22/'17'!K22)+'20'!C22*('20'!K22/'17'!K22)</f>
        <v>59.164077656966207</v>
      </c>
      <c r="D22" s="28">
        <f>F22/'17a'!B21*100</f>
        <v>44.616584338314084</v>
      </c>
      <c r="E22" s="28">
        <f>G22/'17a'!B21*100</f>
        <v>44.728813645198386</v>
      </c>
      <c r="F22" s="28">
        <f>'18'!F22*'18'!J22/'17'!J22+'19'!F22*'19'!J22/'17'!J22+'20'!D22*'20'!J22/'17'!J22</f>
        <v>47.802280258666144</v>
      </c>
      <c r="G22" s="28">
        <f>'18'!G22*'18'!K22/'17'!K22+'19'!G22*'19'!K22/'17'!K22+'20'!E22*'20'!K22/'17'!K22</f>
        <v>47.922522918665386</v>
      </c>
      <c r="H22" s="28"/>
      <c r="I22" s="28"/>
      <c r="J22" s="56">
        <f>'18'!J22+'19'!J22+'20'!J22</f>
        <v>18015.5</v>
      </c>
      <c r="K22" s="56">
        <f>'18'!K22+'19'!K22+'20'!K22</f>
        <v>7504.8</v>
      </c>
      <c r="L22" s="28"/>
      <c r="M22" s="28"/>
      <c r="N22" s="28"/>
      <c r="O22" s="31"/>
    </row>
    <row r="23" spans="1:15" hidden="1" outlineLevel="1">
      <c r="A23" s="66">
        <v>1978</v>
      </c>
      <c r="B23" s="28"/>
      <c r="C23" s="28">
        <f>'18'!C23*('18'!K23/'17'!K23)+'19'!C23*('19'!K23/'17'!K23)+'20'!C23*('20'!K23/'17'!K23)</f>
        <v>61.749084442250293</v>
      </c>
      <c r="D23" s="28">
        <f>F23/'17a'!B22*100</f>
        <v>44.252118073956972</v>
      </c>
      <c r="E23" s="28">
        <f>G23/'17a'!B22*100</f>
        <v>44.877834353509918</v>
      </c>
      <c r="F23" s="28">
        <f>'18'!F23*'18'!J23/'17'!J23+'19'!F23*'19'!J23/'17'!J23+'20'!D23*'20'!J23/'17'!J23</f>
        <v>50.654781097786774</v>
      </c>
      <c r="G23" s="28">
        <f>'18'!G23*'18'!K23/'17'!K23+'19'!G23*'19'!K23/'17'!K23+'20'!E23*'20'!K23/'17'!K23</f>
        <v>51.371029778066998</v>
      </c>
      <c r="H23" s="28"/>
      <c r="I23" s="28"/>
      <c r="J23" s="56">
        <f>'18'!J23+'19'!J23+'20'!J23</f>
        <v>21064.199999999997</v>
      </c>
      <c r="K23" s="56">
        <f>'18'!K23+'19'!K23+'20'!K23</f>
        <v>8912.6</v>
      </c>
      <c r="L23" s="28"/>
      <c r="M23" s="28"/>
      <c r="N23" s="28"/>
      <c r="O23" s="31"/>
    </row>
    <row r="24" spans="1:15" hidden="1" outlineLevel="1">
      <c r="A24" s="66">
        <v>1979</v>
      </c>
      <c r="B24" s="28"/>
      <c r="C24" s="28">
        <f>'18'!C24*('18'!K24/'17'!K24)+'19'!C24*('19'!K24/'17'!K24)+'20'!C24*('20'!K24/'17'!K24)</f>
        <v>61.137365603738765</v>
      </c>
      <c r="D24" s="28">
        <f>F24/'17a'!B23*100</f>
        <v>43.622104139309585</v>
      </c>
      <c r="E24" s="28">
        <f>G24/'17a'!B23*100</f>
        <v>43.310379362479729</v>
      </c>
      <c r="F24" s="28">
        <f>'18'!F24*'18'!J24/'17'!J24+'19'!F24*'19'!J24/'17'!J24+'20'!D24*'20'!J24/'17'!J24</f>
        <v>52.065594648787524</v>
      </c>
      <c r="G24" s="28">
        <f>'18'!G24*'18'!K24/'17'!K24+'19'!G24*'19'!K24/'17'!K24+'20'!E24*'20'!K24/'17'!K24</f>
        <v>51.693532452507974</v>
      </c>
      <c r="H24" s="28"/>
      <c r="I24" s="28"/>
      <c r="J24" s="56">
        <f>'18'!J24+'19'!J24+'20'!J24</f>
        <v>25534.400000000001</v>
      </c>
      <c r="K24" s="56">
        <f>'18'!K24+'19'!K24+'20'!K24</f>
        <v>10891.3</v>
      </c>
      <c r="L24" s="28"/>
      <c r="M24" s="28"/>
      <c r="N24" s="28"/>
      <c r="O24" s="31"/>
    </row>
    <row r="25" spans="1:15" hidden="1" outlineLevel="1">
      <c r="A25" s="66">
        <v>1980</v>
      </c>
      <c r="B25" s="28"/>
      <c r="C25" s="28">
        <f>'18'!C25*('18'!K25/'17'!K25)+'19'!C25*('19'!K25/'17'!K25)+'20'!C25*('20'!K25/'17'!K25)</f>
        <v>63.476439303284138</v>
      </c>
      <c r="D25" s="28">
        <f>F25/'17a'!B24*100</f>
        <v>45.734039808103851</v>
      </c>
      <c r="E25" s="28">
        <f>G25/'17a'!B24*100</f>
        <v>45.984322360314913</v>
      </c>
      <c r="F25" s="28">
        <f>'18'!F25*'18'!J25/'17'!J25+'19'!F25*'19'!J25/'17'!J25+'20'!D25*'20'!J25/'17'!J25</f>
        <v>52.672710411986102</v>
      </c>
      <c r="G25" s="28">
        <f>'18'!G25*'18'!K25/'17'!K25+'19'!G25*'19'!K25/'17'!K25+'20'!E25*'20'!K25/'17'!K25</f>
        <v>52.960965297167931</v>
      </c>
      <c r="H25" s="28"/>
      <c r="I25" s="28"/>
      <c r="J25" s="56">
        <f>'18'!J25+'19'!J25+'20'!J25</f>
        <v>27551.9</v>
      </c>
      <c r="K25" s="56">
        <f>'18'!K25+'19'!K25+'20'!K25</f>
        <v>11281.5</v>
      </c>
      <c r="L25" s="28"/>
      <c r="M25" s="28"/>
      <c r="N25" s="28"/>
      <c r="O25" s="31"/>
    </row>
    <row r="26" spans="1:15" collapsed="1">
      <c r="A26" s="66">
        <v>1981</v>
      </c>
      <c r="B26" s="28"/>
      <c r="C26" s="28">
        <f>'18'!C26*('18'!K26/'17'!K26)+'19'!C26*('19'!K26/'17'!K26)+'20'!C26*('20'!K26/'17'!K26)</f>
        <v>60.86831271500089</v>
      </c>
      <c r="D26" s="28">
        <f>F26/'17a'!B25*100</f>
        <v>45.965403160908103</v>
      </c>
      <c r="E26" s="28">
        <f>G26/'17a'!B25*100</f>
        <v>46.209576015106336</v>
      </c>
      <c r="F26" s="28">
        <f>'18'!F26*'18'!J26/'17'!J26+'19'!F26*'19'!J26/'17'!J26+'20'!D26*'20'!J26/'17'!J26</f>
        <v>50.073819357477852</v>
      </c>
      <c r="G26" s="28">
        <f>'18'!G26*'18'!K26/'17'!K26+'19'!G26*'19'!K26/'17'!K26+'20'!E26*'20'!K26/'17'!K26</f>
        <v>50.339816532577586</v>
      </c>
      <c r="H26" s="28"/>
      <c r="I26" s="28"/>
      <c r="J26" s="56">
        <f>'18'!J26+'19'!J26+'20'!J26</f>
        <v>27868.3</v>
      </c>
      <c r="K26" s="56">
        <f>'18'!K26+'19'!K26+'20'!K26</f>
        <v>10726.7</v>
      </c>
      <c r="L26" s="28"/>
      <c r="M26" s="28"/>
      <c r="N26" s="28"/>
      <c r="O26" s="31"/>
    </row>
    <row r="27" spans="1:15">
      <c r="A27" s="66">
        <v>1982</v>
      </c>
      <c r="B27" s="28"/>
      <c r="C27" s="28">
        <f>'18'!C27*('18'!K27/'17'!K27)+'19'!C27*('19'!K27/'17'!K27)+'20'!C27*('20'!K27/'17'!K27)</f>
        <v>58.479244344454116</v>
      </c>
      <c r="D27" s="28">
        <f>F27/'17a'!B26*100</f>
        <v>50.326889797110084</v>
      </c>
      <c r="E27" s="28">
        <f>G27/'17a'!B26*100</f>
        <v>49.67611938471768</v>
      </c>
      <c r="F27" s="28">
        <f>'18'!F27*'18'!J27/'17'!J27+'19'!F27*'19'!J27/'17'!J27+'20'!D27*'20'!J27/'17'!J27</f>
        <v>47.771398258290475</v>
      </c>
      <c r="G27" s="28">
        <f>'18'!G27*'18'!K27/'17'!K27+'19'!G27*'19'!K27/'17'!K27+'20'!E27*'20'!K27/'17'!K27</f>
        <v>47.153672571874331</v>
      </c>
      <c r="H27" s="28"/>
      <c r="I27" s="28"/>
      <c r="J27" s="56">
        <f>'18'!J27+'19'!J27+'20'!J27</f>
        <v>25354.400000000001</v>
      </c>
      <c r="K27" s="56">
        <f>'18'!K27+'19'!K27+'20'!K27</f>
        <v>8845.2999999999993</v>
      </c>
      <c r="L27" s="28"/>
      <c r="M27" s="28"/>
      <c r="N27" s="28"/>
      <c r="O27" s="31"/>
    </row>
    <row r="28" spans="1:15">
      <c r="A28" s="66">
        <v>1983</v>
      </c>
      <c r="B28" s="28"/>
      <c r="C28" s="28">
        <f>'18'!C28*('18'!K28/'17'!K28)+'19'!C28*('19'!K28/'17'!K28)+'20'!C28*('20'!K28/'17'!K28)</f>
        <v>68.494619043613966</v>
      </c>
      <c r="D28" s="28">
        <f>F28/'17a'!B27*100</f>
        <v>56.520450953088819</v>
      </c>
      <c r="E28" s="28">
        <f>G28/'17a'!B27*100</f>
        <v>58.153512260005947</v>
      </c>
      <c r="F28" s="28">
        <f>'18'!F28*'18'!J28/'17'!J28+'19'!F28*'19'!J28/'17'!J28+'20'!D28*'20'!J28/'17'!J28</f>
        <v>54.787338374213647</v>
      </c>
      <c r="G28" s="28">
        <f>'18'!G28*'18'!K28/'17'!K28+'19'!G28*'19'!K28/'17'!K28+'20'!E28*'20'!K28/'17'!K28</f>
        <v>56.370324371302807</v>
      </c>
      <c r="H28" s="28"/>
      <c r="I28" s="28"/>
      <c r="J28" s="56">
        <f>'18'!J28+'19'!J28+'20'!J28</f>
        <v>29280.6</v>
      </c>
      <c r="K28" s="56">
        <f>'18'!K28+'19'!K28+'20'!K28</f>
        <v>10700.7</v>
      </c>
      <c r="L28" s="28"/>
      <c r="M28" s="28"/>
      <c r="N28" s="28"/>
      <c r="O28" s="31"/>
    </row>
    <row r="29" spans="1:15">
      <c r="A29" s="66">
        <v>1984</v>
      </c>
      <c r="B29" s="28"/>
      <c r="C29" s="28">
        <f>'18'!C29*('18'!K29/'17'!K29)+'19'!C29*('19'!K29/'17'!K29)+'20'!C29*('20'!K29/'17'!K29)</f>
        <v>73.910362848297211</v>
      </c>
      <c r="D29" s="28">
        <f>F29/'17a'!B28*100</f>
        <v>60.021892611842041</v>
      </c>
      <c r="E29" s="28">
        <f>G29/'17a'!B28*100</f>
        <v>61.523936006815042</v>
      </c>
      <c r="F29" s="28">
        <f>'18'!F29*'18'!J29/'17'!J29+'19'!F29*'19'!J29/'17'!J29+'20'!D29*'20'!J29/'17'!J29</f>
        <v>58.788078933715212</v>
      </c>
      <c r="G29" s="28">
        <f>'18'!G29*'18'!K29/'17'!K29+'19'!G29*'19'!K29/'17'!K29+'20'!E29*'20'!K29/'17'!K29</f>
        <v>60.25924623323013</v>
      </c>
      <c r="H29" s="28"/>
      <c r="I29" s="28"/>
      <c r="J29" s="56">
        <f>'18'!J29+'19'!J29+'20'!J29</f>
        <v>32959.300000000003</v>
      </c>
      <c r="K29" s="56">
        <f>'18'!K29+'19'!K29+'20'!K29</f>
        <v>12112.5</v>
      </c>
      <c r="L29" s="28"/>
      <c r="M29" s="28"/>
      <c r="N29" s="28"/>
      <c r="O29" s="31"/>
    </row>
    <row r="30" spans="1:15">
      <c r="A30" s="66">
        <v>1985</v>
      </c>
      <c r="B30" s="28"/>
      <c r="C30" s="28">
        <f>'18'!C30*('18'!K30/'17'!K30)+'19'!C30*('19'!K30/'17'!K30)+'20'!C30*('20'!K30/'17'!K30)</f>
        <v>75.670859274730361</v>
      </c>
      <c r="D30" s="28">
        <f>F30/'17a'!B29*100</f>
        <v>62.619670292852845</v>
      </c>
      <c r="E30" s="28">
        <f>G30/'17a'!B29*100</f>
        <v>63.280831743735135</v>
      </c>
      <c r="F30" s="28">
        <f>'18'!F30*'18'!J30/'17'!J30+'19'!F30*'19'!J30/'17'!J30+'20'!D30*'20'!J30/'17'!J30</f>
        <v>60.872069975397011</v>
      </c>
      <c r="G30" s="28">
        <f>'18'!G30*'18'!K30/'17'!K30+'19'!G30*'19'!K30/'17'!K30+'20'!E30*'20'!K30/'17'!K30</f>
        <v>61.514779621023095</v>
      </c>
      <c r="H30" s="28"/>
      <c r="I30" s="28"/>
      <c r="J30" s="56">
        <f>'18'!J30+'19'!J30+'20'!J30</f>
        <v>34589.300000000003</v>
      </c>
      <c r="K30" s="56">
        <f>'18'!K30+'19'!K30+'20'!K30</f>
        <v>12544.3</v>
      </c>
      <c r="L30" s="28"/>
      <c r="M30" s="28"/>
      <c r="N30" s="28"/>
      <c r="O30" s="31"/>
    </row>
    <row r="31" spans="1:15">
      <c r="A31" s="66">
        <v>1986</v>
      </c>
      <c r="B31" s="28"/>
      <c r="C31" s="28">
        <f>'18'!C31*('18'!K31/'17'!K31)+'19'!C31*('19'!K31/'17'!K31)+'20'!C31*('20'!K31/'17'!K31)</f>
        <v>74.546025645529596</v>
      </c>
      <c r="D31" s="28">
        <f>F31/'17a'!B30*100</f>
        <v>61.018789427264885</v>
      </c>
      <c r="E31" s="28">
        <f>G31/'17a'!B30*100</f>
        <v>60.070661008831358</v>
      </c>
      <c r="F31" s="28">
        <f>'18'!F31*'18'!J31/'17'!J31+'19'!F31*'19'!J31/'17'!J31+'20'!D31*'20'!J31/'17'!J31</f>
        <v>61.679066735352855</v>
      </c>
      <c r="G31" s="28">
        <f>'18'!G31*'18'!K31/'17'!K31+'19'!G31*'19'!K31/'17'!K31+'20'!E31*'20'!K31/'17'!K31</f>
        <v>60.720678728262776</v>
      </c>
      <c r="H31" s="28"/>
      <c r="I31" s="28"/>
      <c r="J31" s="56">
        <f>'18'!J31+'19'!J31+'20'!J31</f>
        <v>37659.199999999997</v>
      </c>
      <c r="K31" s="56">
        <f>'18'!K31+'19'!K31+'20'!K31</f>
        <v>14232.5</v>
      </c>
      <c r="L31" s="28"/>
      <c r="M31" s="28"/>
      <c r="N31" s="28"/>
      <c r="O31" s="31"/>
    </row>
    <row r="32" spans="1:15">
      <c r="A32" s="66">
        <v>1987</v>
      </c>
      <c r="B32" s="28"/>
      <c r="C32" s="28">
        <f>'18'!C32*('18'!K32/'17'!K32)+'19'!C32*('19'!K32/'17'!K32)+'20'!C32*('20'!K32/'17'!K32)</f>
        <v>76.823643691050151</v>
      </c>
      <c r="D32" s="28">
        <f>F32/'17a'!B31*100</f>
        <v>60.633564996314803</v>
      </c>
      <c r="E32" s="28">
        <f>G32/'17a'!B31*100</f>
        <v>60.235645295909968</v>
      </c>
      <c r="F32" s="28">
        <f>'18'!F32*'18'!J32/'17'!J32+'19'!F32*'19'!J32/'17'!J32+'20'!D32*'20'!J32/'17'!J32</f>
        <v>66.004307369291695</v>
      </c>
      <c r="G32" s="28">
        <f>'18'!G32*'18'!K32/'17'!K32+'19'!G32*'19'!K32/'17'!K32+'20'!E32*'20'!K32/'17'!K32</f>
        <v>65.571141115329652</v>
      </c>
      <c r="H32" s="28"/>
      <c r="I32" s="28"/>
      <c r="J32" s="56">
        <f>'18'!J32+'19'!J32+'20'!J32</f>
        <v>44008.3</v>
      </c>
      <c r="K32" s="56">
        <f>'18'!K32+'19'!K32+'20'!K32</f>
        <v>17567.900000000001</v>
      </c>
      <c r="L32" s="28"/>
      <c r="M32" s="28"/>
      <c r="N32" s="28"/>
      <c r="O32" s="31"/>
    </row>
    <row r="33" spans="1:15">
      <c r="A33" s="66">
        <v>1988</v>
      </c>
      <c r="B33" s="28"/>
      <c r="C33" s="28">
        <f>'18'!C33*('18'!K33/'17'!K33)+'19'!C33*('19'!K33/'17'!K33)+'20'!C33*('20'!K33/'17'!K33)</f>
        <v>75.176826655125822</v>
      </c>
      <c r="D33" s="28">
        <f>F33/'17a'!B32*100</f>
        <v>62.573601416433313</v>
      </c>
      <c r="E33" s="28">
        <f>G33/'17a'!B32*100</f>
        <v>61.767734679195271</v>
      </c>
      <c r="F33" s="28">
        <f>'18'!F33*'18'!J33/'17'!J33+'19'!F33*'19'!J33/'17'!J33+'20'!D33*'20'!J33/'17'!J33</f>
        <v>67.987777627288168</v>
      </c>
      <c r="G33" s="28">
        <f>'18'!G33*'18'!K33/'17'!K33+'19'!G33*'19'!K33/'17'!K33+'20'!E33*'20'!K33/'17'!K33</f>
        <v>67.112183330518491</v>
      </c>
      <c r="H33" s="28"/>
      <c r="I33" s="28"/>
      <c r="J33" s="56">
        <f>'18'!J33+'19'!J33+'20'!J33</f>
        <v>47991.5</v>
      </c>
      <c r="K33" s="56">
        <f>'18'!K33+'19'!K33+'20'!K33</f>
        <v>18947.2</v>
      </c>
      <c r="L33" s="28"/>
      <c r="M33" s="28"/>
      <c r="N33" s="28"/>
      <c r="O33" s="31"/>
    </row>
    <row r="34" spans="1:15">
      <c r="A34" s="66">
        <v>1989</v>
      </c>
      <c r="B34" s="28"/>
      <c r="C34" s="28">
        <f>'18'!C34*('18'!K34/'17'!K34)+'19'!C34*('19'!K34/'17'!K34)+'20'!C34*('20'!K34/'17'!K34)</f>
        <v>70.363521055029878</v>
      </c>
      <c r="D34" s="28">
        <f>F34/'17a'!B33*100</f>
        <v>62.028652823368404</v>
      </c>
      <c r="E34" s="28">
        <f>G34/'17a'!B33*100</f>
        <v>61.046882677429913</v>
      </c>
      <c r="F34" s="28">
        <f>'18'!F34*'18'!J34/'17'!J34+'19'!F34*'19'!J34/'17'!J34+'20'!D34*'20'!J34/'17'!J34</f>
        <v>67.481217698377179</v>
      </c>
      <c r="G34" s="28">
        <f>'18'!G34*'18'!K34/'17'!K34+'19'!G34*'19'!K34/'17'!K34+'20'!E34*'20'!K34/'17'!K34</f>
        <v>66.413146058380448</v>
      </c>
      <c r="H34" s="28"/>
      <c r="I34" s="28"/>
      <c r="J34" s="56">
        <f>'18'!J34+'19'!J34+'20'!J34</f>
        <v>48933.3</v>
      </c>
      <c r="K34" s="56">
        <f>'18'!K34+'19'!K34+'20'!K34</f>
        <v>18653.5</v>
      </c>
      <c r="L34" s="28"/>
      <c r="M34" s="28"/>
      <c r="N34" s="28"/>
      <c r="O34" s="31"/>
    </row>
    <row r="35" spans="1:15">
      <c r="A35" s="66">
        <v>1990</v>
      </c>
      <c r="B35" s="28"/>
      <c r="C35" s="28">
        <f>'18'!C35*('18'!K35/'17'!K35)+'19'!C35*('19'!K35/'17'!K35)+'20'!C35*('20'!K35/'17'!K35)</f>
        <v>68.909639992331051</v>
      </c>
      <c r="D35" s="28">
        <f>F35/'17a'!B34*100</f>
        <v>64.507781416921716</v>
      </c>
      <c r="E35" s="28">
        <f>G35/'17a'!B34*100</f>
        <v>63.708354135050939</v>
      </c>
      <c r="F35" s="28">
        <f>'18'!F35*'18'!J35/'17'!J35+'19'!F35*'19'!J35/'17'!J35+'20'!D35*'20'!J35/'17'!J35</f>
        <v>65.071121541991005</v>
      </c>
      <c r="G35" s="28">
        <f>'18'!G35*'18'!K35/'17'!K35+'19'!G35*'19'!K35/'17'!K35+'20'!E35*'20'!K35/'17'!K35</f>
        <v>64.264712940114165</v>
      </c>
      <c r="H35" s="28"/>
      <c r="I35" s="28"/>
      <c r="J35" s="56">
        <f>'18'!J35+'19'!J35+'20'!J35</f>
        <v>45463.3</v>
      </c>
      <c r="K35" s="56">
        <f>'18'!K35+'19'!K35+'20'!K35</f>
        <v>16169.1</v>
      </c>
      <c r="L35" s="28"/>
      <c r="M35" s="28"/>
      <c r="N35" s="28"/>
      <c r="O35" s="31"/>
    </row>
    <row r="36" spans="1:15">
      <c r="A36" s="66">
        <v>1991</v>
      </c>
      <c r="B36" s="28"/>
      <c r="C36" s="28">
        <f>'18'!C36*('18'!K36/'17'!K36)+'19'!C36*('19'!K36/'17'!K36)+'20'!C36*('20'!K36/'17'!K36)</f>
        <v>68.618913210735144</v>
      </c>
      <c r="D36" s="28">
        <f>F36/'17a'!B35*100</f>
        <v>67.034654650558323</v>
      </c>
      <c r="E36" s="28">
        <f>G36/'17a'!B35*100</f>
        <v>65.798016438434047</v>
      </c>
      <c r="F36" s="28">
        <f>'18'!F36*'18'!J36/'17'!J36+'19'!F36*'19'!J36/'17'!J36+'20'!D36*'20'!J36/'17'!J36</f>
        <v>62.893971990067683</v>
      </c>
      <c r="G36" s="28">
        <f>'18'!G36*'18'!K36/'17'!K36+'19'!G36*'19'!K36/'17'!K36+'20'!E36*'20'!K36/'17'!K36</f>
        <v>61.733720035602758</v>
      </c>
      <c r="H36" s="28"/>
      <c r="I36" s="28"/>
      <c r="J36" s="56">
        <f>'18'!J36+'19'!J36+'20'!J36</f>
        <v>40514.199999999997</v>
      </c>
      <c r="K36" s="56">
        <f>'18'!K36+'19'!K36+'20'!K36</f>
        <v>13257.4</v>
      </c>
      <c r="L36" s="28"/>
      <c r="M36" s="28"/>
      <c r="N36" s="28"/>
      <c r="O36" s="31"/>
    </row>
    <row r="37" spans="1:15">
      <c r="A37" s="66">
        <v>1992</v>
      </c>
      <c r="B37" s="28"/>
      <c r="C37" s="28">
        <f>'18'!C37*('18'!K37/'17'!K37)+'19'!C37*('19'!K37/'17'!K37)+'20'!C37*('20'!K37/'17'!K37)</f>
        <v>72.471562914003187</v>
      </c>
      <c r="D37" s="28">
        <f>F37/'17a'!B36*100</f>
        <v>70.612252558854522</v>
      </c>
      <c r="E37" s="28">
        <f>G37/'17a'!B36*100</f>
        <v>68.956047560533719</v>
      </c>
      <c r="F37" s="28">
        <f>'18'!F37*'18'!J37/'17'!J37+'19'!F37*'19'!J37/'17'!J37+'20'!D37*'20'!J37/'17'!J37</f>
        <v>66.065759720886717</v>
      </c>
      <c r="G37" s="28">
        <f>'18'!G37*'18'!K37/'17'!K37+'19'!G37*'19'!K37/'17'!K37+'20'!E37*'20'!K37/'17'!K37</f>
        <v>64.516192365329061</v>
      </c>
      <c r="H37" s="28"/>
      <c r="I37" s="28"/>
      <c r="J37" s="56">
        <f>'18'!J37+'19'!J37+'20'!J37</f>
        <v>42534.7</v>
      </c>
      <c r="K37" s="56">
        <f>'18'!K37+'19'!K37+'20'!K37</f>
        <v>13813.3</v>
      </c>
      <c r="L37" s="28"/>
      <c r="M37" s="28"/>
      <c r="N37" s="28"/>
      <c r="O37" s="31"/>
    </row>
    <row r="38" spans="1:15">
      <c r="A38" s="66">
        <v>1993</v>
      </c>
      <c r="B38" s="28"/>
      <c r="C38" s="28">
        <f>'18'!C38*('18'!K38/'17'!K38)+'19'!C38*('19'!K38/'17'!K38)+'20'!C38*('20'!K38/'17'!K38)</f>
        <v>75.16456612897575</v>
      </c>
      <c r="D38" s="28">
        <f>F38/'17a'!B37*100</f>
        <v>71.789156251591763</v>
      </c>
      <c r="E38" s="28">
        <f>G38/'17a'!B37*100</f>
        <v>70.443687158615262</v>
      </c>
      <c r="F38" s="28">
        <f>'18'!F38*'18'!J38/'17'!J38+'19'!F38*'19'!J38/'17'!J38+'20'!D38*'20'!J38/'17'!J38</f>
        <v>70.351502113042059</v>
      </c>
      <c r="G38" s="28">
        <f>'18'!G38*'18'!K38/'17'!K38+'19'!G38*'19'!K38/'17'!K38+'20'!E38*'20'!K38/'17'!K38</f>
        <v>69.032977468375137</v>
      </c>
      <c r="H38" s="28"/>
      <c r="I38" s="28"/>
      <c r="J38" s="56">
        <f>'18'!J38+'19'!J38+'20'!J38</f>
        <v>48295.3</v>
      </c>
      <c r="K38" s="56">
        <f>'18'!K38+'19'!K38+'20'!K38</f>
        <v>17122.599999999999</v>
      </c>
      <c r="L38" s="28"/>
      <c r="M38" s="28"/>
      <c r="N38" s="28"/>
      <c r="O38" s="31"/>
    </row>
    <row r="39" spans="1:15">
      <c r="A39" s="66">
        <v>1994</v>
      </c>
      <c r="B39" s="28"/>
      <c r="C39" s="28">
        <f>'18'!C39*('18'!K39/'17'!K39)+'19'!C39*('19'!K39/'17'!K39)+'20'!C39*('20'!K39/'17'!K39)</f>
        <v>74.737249933127785</v>
      </c>
      <c r="D39" s="28">
        <f>F39/'17a'!B38*100</f>
        <v>72.527316123254423</v>
      </c>
      <c r="E39" s="28">
        <f>G39/'17a'!B38*100</f>
        <v>68.755718313430165</v>
      </c>
      <c r="F39" s="28">
        <f>'18'!F39*'18'!J39/'17'!J39+'19'!F39*'19'!J39/'17'!J39+'20'!D39*'20'!J39/'17'!J39</f>
        <v>75.548382675579674</v>
      </c>
      <c r="G39" s="28">
        <f>'18'!G39*'18'!K39/'17'!K39+'19'!G39*'19'!K39/'17'!K39+'20'!E39*'20'!K39/'17'!K39</f>
        <v>71.619682016772003</v>
      </c>
      <c r="H39" s="28"/>
      <c r="I39" s="28"/>
      <c r="J39" s="56">
        <f>'18'!J39+'19'!J39+'20'!J39</f>
        <v>58296.899999999994</v>
      </c>
      <c r="K39" s="56">
        <f>'18'!K39+'19'!K39+'20'!K39</f>
        <v>21309.300000000003</v>
      </c>
      <c r="L39" s="28"/>
      <c r="M39" s="28"/>
      <c r="N39" s="28"/>
      <c r="O39" s="31"/>
    </row>
    <row r="40" spans="1:15">
      <c r="A40" s="66">
        <v>1995</v>
      </c>
      <c r="B40" s="28"/>
      <c r="C40" s="28">
        <f>'18'!C40*('18'!K40/'17'!K40)+'19'!C40*('19'!K40/'17'!K40)+'20'!C40*('20'!K40/'17'!K40)</f>
        <v>73.020140230612782</v>
      </c>
      <c r="D40" s="28">
        <f>F40/'17a'!B39*100</f>
        <v>70.74138282589152</v>
      </c>
      <c r="E40" s="28">
        <f>G40/'17a'!B39*100</f>
        <v>67.021568078202193</v>
      </c>
      <c r="F40" s="28">
        <f>'18'!F40*'18'!J40/'17'!J40+'19'!F40*'19'!J40/'17'!J40+'20'!D40*'20'!J40/'17'!J40</f>
        <v>78.285678460562622</v>
      </c>
      <c r="G40" s="28">
        <f>'18'!G40*'18'!K40/'17'!K40+'19'!G40*'19'!K40/'17'!K40+'20'!E40*'20'!K40/'17'!K40</f>
        <v>74.169159817052545</v>
      </c>
      <c r="H40" s="28"/>
      <c r="I40" s="28"/>
      <c r="J40" s="56">
        <f>'18'!J40+'19'!J40+'20'!J40</f>
        <v>71418.3</v>
      </c>
      <c r="K40" s="56">
        <f>'18'!K40+'19'!K40+'20'!K40</f>
        <v>27483.3</v>
      </c>
      <c r="L40" s="28"/>
      <c r="M40" s="28"/>
      <c r="N40" s="28"/>
      <c r="O40" s="31"/>
    </row>
    <row r="41" spans="1:15">
      <c r="A41" s="66">
        <v>1996</v>
      </c>
      <c r="B41" s="28"/>
      <c r="C41" s="28">
        <f>'18'!C41*('18'!K41/'17'!K41)+'19'!C41*('19'!K41/'17'!K41)+'20'!C41*('20'!K41/'17'!K41)</f>
        <v>74.093570966459595</v>
      </c>
      <c r="D41" s="28">
        <f>F41/'17a'!B40*100</f>
        <v>74.601815862273583</v>
      </c>
      <c r="E41" s="28">
        <f>G41/'17a'!B40*100</f>
        <v>70.78738600545185</v>
      </c>
      <c r="F41" s="28">
        <f>'18'!F41*'18'!J41/'17'!J41+'19'!F41*'19'!J41/'17'!J41+'20'!D41*'20'!J41/'17'!J41</f>
        <v>80.236791013607103</v>
      </c>
      <c r="G41" s="28">
        <f>'18'!G41*'18'!K41/'17'!K41+'19'!G41*'19'!K41/'17'!K41+'20'!E41*'20'!K41/'17'!K41</f>
        <v>76.134241930580785</v>
      </c>
      <c r="H41" s="28"/>
      <c r="I41" s="28"/>
      <c r="J41" s="56">
        <f>'18'!J41+'19'!J41+'20'!J41</f>
        <v>68236.5</v>
      </c>
      <c r="K41" s="56">
        <f>'18'!K41+'19'!K41+'20'!K41</f>
        <v>25658.6</v>
      </c>
      <c r="L41" s="28"/>
      <c r="M41" s="28"/>
      <c r="N41" s="28"/>
      <c r="O41" s="31"/>
    </row>
    <row r="42" spans="1:15">
      <c r="A42" s="66">
        <v>1997</v>
      </c>
      <c r="B42" s="28"/>
      <c r="C42" s="28">
        <f>'18'!C42*('18'!K42/'17'!K42)+'19'!C42*('19'!K42/'17'!K42)+'20'!C42*('20'!K42/'17'!K42)</f>
        <v>76.466177663999503</v>
      </c>
      <c r="D42" s="28">
        <f>F42/'17a'!B41*100</f>
        <v>78.011493155391136</v>
      </c>
      <c r="E42" s="28">
        <f>G42/'17a'!B41*100</f>
        <v>73.213422705494764</v>
      </c>
      <c r="F42" s="28">
        <f>'18'!F42*'18'!J42/'17'!J42+'19'!F42*'19'!J42/'17'!J42+'20'!D42*'20'!J42/'17'!J42</f>
        <v>85.265061010578194</v>
      </c>
      <c r="G42" s="28">
        <f>'18'!G42*'18'!K42/'17'!K42+'19'!G42*'19'!K42/'17'!K42+'20'!E42*'20'!K42/'17'!K42</f>
        <v>80.020862327846103</v>
      </c>
      <c r="H42" s="28"/>
      <c r="I42" s="28"/>
      <c r="J42" s="56">
        <f>'18'!J42+'19'!J42+'20'!J42</f>
        <v>70446.8</v>
      </c>
      <c r="K42" s="56">
        <f>'18'!K42+'19'!K42+'20'!K42</f>
        <v>25507.699999999997</v>
      </c>
      <c r="L42" s="28"/>
      <c r="M42" s="28"/>
      <c r="N42" s="28"/>
      <c r="O42" s="31"/>
    </row>
    <row r="43" spans="1:15">
      <c r="A43" s="66">
        <v>1998</v>
      </c>
      <c r="B43" s="28"/>
      <c r="C43" s="28">
        <f>'18'!C43*('18'!K43/'17'!K43)+'19'!C43*('19'!K43/'17'!K43)+'20'!C43*('20'!K43/'17'!K43)</f>
        <v>79.465293647470787</v>
      </c>
      <c r="D43" s="28">
        <f>F43/'17a'!B42*100</f>
        <v>82.620726580566384</v>
      </c>
      <c r="E43" s="28">
        <f>G43/'17a'!B42*100</f>
        <v>79.758718991352183</v>
      </c>
      <c r="F43" s="28">
        <f>'18'!F43*'18'!J43/'17'!J43+'19'!F43*'19'!J43/'17'!J43+'20'!D43*'20'!J43/'17'!J43</f>
        <v>86.05154610982531</v>
      </c>
      <c r="G43" s="28">
        <f>'18'!G43*'18'!K43/'17'!K43+'19'!G43*'19'!K43/'17'!K43+'20'!E43*'20'!K43/'17'!K43</f>
        <v>83.070693868229739</v>
      </c>
      <c r="H43" s="28"/>
      <c r="I43" s="28"/>
      <c r="J43" s="56">
        <f>'18'!J43+'19'!J43+'20'!J43</f>
        <v>69477.600000000006</v>
      </c>
      <c r="K43" s="56">
        <f>'18'!K43+'19'!K43+'20'!K43</f>
        <v>26273</v>
      </c>
      <c r="L43" s="28"/>
      <c r="M43" s="28"/>
      <c r="N43" s="28"/>
      <c r="O43" s="31"/>
    </row>
    <row r="44" spans="1:15">
      <c r="A44" s="66">
        <v>1999</v>
      </c>
      <c r="B44" s="28"/>
      <c r="C44" s="28">
        <f>'18'!C44*('18'!K44/'17'!K44)+'19'!C44*('19'!K44/'17'!K44)+'20'!C44*('20'!K44/'17'!K44)</f>
        <v>83.179509978265173</v>
      </c>
      <c r="D44" s="28">
        <f>F44/'17a'!B43*100</f>
        <v>82.0710143959394</v>
      </c>
      <c r="E44" s="28">
        <f>G44/'17a'!B43*100</f>
        <v>78.318216617346764</v>
      </c>
      <c r="F44" s="28">
        <f>'18'!F44*'18'!J44/'17'!J44+'19'!F44*'19'!J44/'17'!J44+'20'!D44*'20'!J44/'17'!J44</f>
        <v>91.819908199732012</v>
      </c>
      <c r="G44" s="28">
        <f>'18'!G44*'18'!K44/'17'!K44+'19'!G44*'19'!K44/'17'!K44+'20'!E44*'20'!K44/'17'!K44</f>
        <v>87.621330296696101</v>
      </c>
      <c r="H44" s="28"/>
      <c r="I44" s="28"/>
      <c r="J44" s="56">
        <f>'18'!J44+'19'!J44+'20'!J44</f>
        <v>77537.899999999994</v>
      </c>
      <c r="K44" s="56">
        <f>'18'!K44+'19'!K44+'20'!K44</f>
        <v>28847.699999999997</v>
      </c>
      <c r="L44" s="28"/>
      <c r="M44" s="28"/>
      <c r="N44" s="28"/>
      <c r="O44" s="31"/>
    </row>
    <row r="45" spans="1:15">
      <c r="A45" s="66">
        <v>2000</v>
      </c>
      <c r="B45" s="28"/>
      <c r="C45" s="28">
        <f>'18'!C45*('18'!K45/'17'!K45)+'19'!C45*('19'!K45/'17'!K45)+'20'!C45*('20'!K45/'17'!K45)</f>
        <v>88.833529989557803</v>
      </c>
      <c r="D45" s="28">
        <f>F45/'17a'!B44*100</f>
        <v>87.901251405177263</v>
      </c>
      <c r="E45" s="28">
        <f>G45/'17a'!B44*100</f>
        <v>84.932343550232829</v>
      </c>
      <c r="F45" s="28">
        <f>'18'!F45*'18'!J45/'17'!J45+'19'!F45*'19'!J45/'17'!J45+'20'!D45*'20'!J45/'17'!J45</f>
        <v>97.772714154593828</v>
      </c>
      <c r="G45" s="28">
        <f>'18'!G45*'18'!K45/'17'!K45+'19'!G45*'19'!K45/'17'!K45+'20'!E45*'20'!K45/'17'!K45</f>
        <v>94.470392806348357</v>
      </c>
      <c r="H45" s="28"/>
      <c r="I45" s="28"/>
      <c r="J45" s="56">
        <f>'18'!J45+'19'!J45+'20'!J45</f>
        <v>85308.700000000012</v>
      </c>
      <c r="K45" s="56">
        <f>'18'!K45+'19'!K45+'20'!K45</f>
        <v>32272.9</v>
      </c>
      <c r="L45" s="28"/>
      <c r="M45" s="28"/>
      <c r="N45" s="28"/>
      <c r="O45" s="31"/>
    </row>
    <row r="46" spans="1:15">
      <c r="A46" s="66">
        <v>2001</v>
      </c>
      <c r="B46" s="28"/>
      <c r="C46" s="28">
        <f>'18'!C46*('18'!K46/'17'!K46)+'19'!C46*('19'!K46/'17'!K46)+'20'!C46*('20'!K46/'17'!K46)</f>
        <v>89.859787814509446</v>
      </c>
      <c r="D46" s="28">
        <f>F46/'17a'!B45*100</f>
        <v>90.402695995771381</v>
      </c>
      <c r="E46" s="28">
        <f>G46/'17a'!B45*100</f>
        <v>88.174834881885786</v>
      </c>
      <c r="F46" s="28">
        <f>'18'!F46*'18'!J46/'17'!J46+'19'!F46*'19'!J46/'17'!J46+'20'!D46*'20'!J46/'17'!J46</f>
        <v>93.123980018738692</v>
      </c>
      <c r="G46" s="28">
        <f>'18'!G46*'18'!K46/'17'!K46+'19'!G46*'19'!K46/'17'!K46+'20'!E46*'20'!K46/'17'!K46</f>
        <v>90.829056271512044</v>
      </c>
      <c r="H46" s="28"/>
      <c r="I46" s="28"/>
      <c r="J46" s="56">
        <f>'18'!J46+'19'!J46+'20'!J46</f>
        <v>79834.8</v>
      </c>
      <c r="K46" s="56">
        <f>'18'!K46+'19'!K46+'20'!K46</f>
        <v>29983.200000000001</v>
      </c>
      <c r="L46" s="28"/>
      <c r="M46" s="28"/>
      <c r="N46" s="28"/>
      <c r="O46" s="31"/>
    </row>
    <row r="47" spans="1:15">
      <c r="A47" s="66">
        <v>2002</v>
      </c>
      <c r="B47" s="28"/>
      <c r="C47" s="28">
        <f>'18'!C47*('18'!K47/'17'!K47)+'19'!C47*('19'!K47/'17'!K47)+'20'!C47*('20'!K47/'17'!K47)</f>
        <v>100</v>
      </c>
      <c r="D47" s="28">
        <f>F47/'17a'!B46*100</f>
        <v>100</v>
      </c>
      <c r="E47" s="28">
        <f>G47/'17a'!B46*100</f>
        <v>100</v>
      </c>
      <c r="F47" s="28">
        <f>'18'!F47*'18'!J47/'17'!J47+'19'!F47*'19'!J47/'17'!J47+'20'!D47*'20'!J47/'17'!J47</f>
        <v>100</v>
      </c>
      <c r="G47" s="28">
        <f>'18'!G47*'18'!K47/'17'!K47+'19'!G47*'19'!K47/'17'!K47+'20'!E47*'20'!K47/'17'!K47</f>
        <v>100</v>
      </c>
      <c r="H47" s="28"/>
      <c r="I47" s="28"/>
      <c r="J47" s="56">
        <f>'18'!J47+'19'!J47+'20'!J47</f>
        <v>81171.100000000006</v>
      </c>
      <c r="K47" s="56">
        <f>'18'!K47+'19'!K47+'20'!K47</f>
        <v>29739.3</v>
      </c>
      <c r="L47" s="28"/>
      <c r="M47" s="28"/>
      <c r="N47" s="28"/>
      <c r="O47" s="31"/>
    </row>
    <row r="48" spans="1:15">
      <c r="A48" s="66">
        <v>2003</v>
      </c>
      <c r="B48" s="28"/>
      <c r="C48" s="28">
        <f>'18'!C48*('18'!K48/'17'!K48)+'19'!C48*('19'!K48/'17'!K48)+'20'!C48*('20'!K48/'17'!K48)</f>
        <v>99.587949443692409</v>
      </c>
      <c r="D48" s="28">
        <f>F48/'17a'!B47*100</f>
        <v>99.866941422161432</v>
      </c>
      <c r="E48" s="28">
        <f>G48/'17a'!B47*100</f>
        <v>99.055669856801984</v>
      </c>
      <c r="F48" s="28">
        <f>'18'!F48*'18'!J48/'17'!J48+'19'!F48*'19'!J48/'17'!J48+'20'!D48*'20'!J48/'17'!J48</f>
        <v>100.6652830273522</v>
      </c>
      <c r="G48" s="28">
        <f>'18'!G48*'18'!K48/'17'!K48+'19'!G48*'19'!K48/'17'!K48+'20'!E48*'20'!K48/'17'!K48</f>
        <v>99.847526114243934</v>
      </c>
      <c r="H48" s="28"/>
      <c r="I48" s="28"/>
      <c r="J48" s="56">
        <f>'18'!J48+'19'!J48+'20'!J48</f>
        <v>80059.399999999994</v>
      </c>
      <c r="K48" s="56">
        <f>'18'!K48+'19'!K48+'20'!K48</f>
        <v>27628.6</v>
      </c>
      <c r="L48" s="28"/>
      <c r="M48" s="28"/>
      <c r="N48" s="28"/>
      <c r="O48" s="31"/>
    </row>
    <row r="49" spans="1:15">
      <c r="A49" s="66">
        <v>2004</v>
      </c>
      <c r="B49" s="28"/>
      <c r="C49" s="28">
        <f>'18'!C49*('18'!K49/'17'!K49)+'19'!C49*('19'!K49/'17'!K49)+'20'!C49*('20'!K49/'17'!K49)</f>
        <v>103.29441023333548</v>
      </c>
      <c r="D49" s="28">
        <f>F49/'17a'!B48*100</f>
        <v>100.72518150723209</v>
      </c>
      <c r="E49" s="28">
        <f>G49/'17a'!B48*100</f>
        <v>101.21379767834513</v>
      </c>
      <c r="F49" s="28">
        <f>'18'!F49*'18'!J49/'17'!J49+'19'!F49*'19'!J49/'17'!J49+'20'!D49*'20'!J49/'17'!J49</f>
        <v>102.74359645280346</v>
      </c>
      <c r="G49" s="28">
        <f>'18'!G49*'18'!K49/'17'!K49+'19'!G49*'19'!K49/'17'!K49+'20'!E49*'20'!K49/'17'!K49</f>
        <v>103.24200392106448</v>
      </c>
      <c r="H49" s="28"/>
      <c r="I49" s="28"/>
      <c r="J49" s="56">
        <f>'18'!J49+'19'!J49+'20'!J49</f>
        <v>85836.800000000003</v>
      </c>
      <c r="K49" s="56">
        <f>'18'!K49+'19'!K49+'20'!K49</f>
        <v>31113.999999999996</v>
      </c>
      <c r="L49" s="28"/>
      <c r="M49" s="28"/>
      <c r="N49" s="28"/>
      <c r="O49" s="31"/>
    </row>
    <row r="50" spans="1:15">
      <c r="A50" s="66">
        <v>2005</v>
      </c>
      <c r="B50" s="28"/>
      <c r="C50" s="28">
        <f>'18'!C50*('18'!K50/'17'!K50)+'19'!C50*('19'!K50/'17'!K50)+'20'!C50*('20'!K50/'17'!K50)</f>
        <v>107.63288859082907</v>
      </c>
      <c r="D50" s="28">
        <f>F50/'17a'!B49*100</f>
        <v>103.8182542427285</v>
      </c>
      <c r="E50" s="28">
        <f>G50/'17a'!B49*100</f>
        <v>108.28935306767676</v>
      </c>
      <c r="F50" s="28">
        <f>'18'!F50*'18'!J50/'17'!J50+'19'!F50*'19'!J50/'17'!J50+'20'!D50*'20'!J50/'17'!J50</f>
        <v>103.580618126755</v>
      </c>
      <c r="G50" s="28">
        <f>'18'!G50*'18'!K50/'17'!K50+'19'!G50*'19'!K50/'17'!K50+'20'!E50*'20'!K50/'17'!K50</f>
        <v>108.04148277307402</v>
      </c>
      <c r="H50" s="28"/>
      <c r="I50" s="28"/>
      <c r="J50" s="56">
        <f>'18'!J50+'19'!J50+'20'!J50</f>
        <v>83012.100000000006</v>
      </c>
      <c r="K50" s="56">
        <f>'18'!K50+'19'!K50+'20'!K50</f>
        <v>29822.5</v>
      </c>
      <c r="L50" s="28"/>
      <c r="M50" s="28"/>
      <c r="N50" s="28"/>
      <c r="O50" s="31"/>
    </row>
    <row r="51" spans="1:15">
      <c r="A51" s="66">
        <v>2006</v>
      </c>
      <c r="B51" s="28"/>
      <c r="C51" s="28">
        <f>'18'!C51*('18'!K51/'17'!K51)+'19'!C51*('19'!K51/'17'!K51)+'20'!C51*('20'!K51/'17'!K51)</f>
        <v>107.16955383739267</v>
      </c>
      <c r="D51" s="28">
        <f>F51/'17a'!B50*100</f>
        <v>108.01256598305811</v>
      </c>
      <c r="E51" s="28">
        <f>G51/'17a'!B50*100</f>
        <v>111.44031720345356</v>
      </c>
      <c r="F51" s="28">
        <f>'18'!F51*'18'!J51/'17'!J51+'19'!F51*'19'!J51/'17'!J51+'20'!D51*'20'!J51/'17'!J51</f>
        <v>100.96407061987816</v>
      </c>
      <c r="G51" s="28">
        <f>'18'!G51*'18'!K51/'17'!K51+'19'!G51*'19'!K51/'17'!K51+'20'!E51*'20'!K51/'17'!K51</f>
        <v>104.16813963845571</v>
      </c>
      <c r="H51" s="28"/>
      <c r="I51" s="28"/>
      <c r="J51" s="56">
        <f>'18'!J51+'19'!J51+'20'!J51</f>
        <v>77779.8</v>
      </c>
      <c r="K51" s="56">
        <f>'18'!K51+'19'!K51+'20'!K51</f>
        <v>27393.599999999999</v>
      </c>
      <c r="L51" s="28"/>
      <c r="M51" s="28"/>
      <c r="N51" s="28"/>
      <c r="O51" s="31"/>
    </row>
    <row r="52" spans="1:15">
      <c r="A52" s="66">
        <v>2007</v>
      </c>
      <c r="B52" s="28"/>
      <c r="C52" s="28">
        <f>'18'!C52*('18'!K52/'17'!K52)+'19'!C52*('19'!K52/'17'!K52)+'20'!C52*('20'!K52/'17'!K52)</f>
        <v>105.94113344107075</v>
      </c>
      <c r="D52" s="28">
        <f>F52/'17a'!B51*100</f>
        <v>108.46554312313678</v>
      </c>
      <c r="E52" s="28">
        <f>G52/'17a'!B51*100</f>
        <v>113.34676282134475</v>
      </c>
      <c r="F52" s="28">
        <f>'18'!F52*'18'!J52/'17'!J52+'19'!F52*'19'!J52/'17'!J52+'20'!D52*'20'!J52/'17'!J52</f>
        <v>94.992346845162317</v>
      </c>
      <c r="G52" s="28">
        <f>'18'!G52*'18'!K52/'17'!K52+'19'!G52*'19'!K52/'17'!K52+'20'!E52*'20'!K52/'17'!K52</f>
        <v>99.267239140434498</v>
      </c>
      <c r="H52" s="28"/>
      <c r="I52" s="28"/>
      <c r="J52" s="56">
        <f>'18'!J52+'19'!J52+'20'!J52</f>
        <v>71396.7</v>
      </c>
      <c r="K52" s="56">
        <f>'18'!K52+'19'!K52+'20'!K52</f>
        <v>24565.9</v>
      </c>
      <c r="L52" s="28"/>
      <c r="M52" s="28"/>
      <c r="N52" s="28"/>
      <c r="O52" s="31"/>
    </row>
    <row r="53" spans="1:15">
      <c r="A53" s="66">
        <v>2008</v>
      </c>
      <c r="B53" s="28"/>
      <c r="C53" s="28">
        <f>'18'!C53*('18'!K53/'17'!K53)+'19'!C53*('19'!K53/'17'!K53)+'20'!C53*('20'!K53/'17'!K53)</f>
        <v>105.72606407061029</v>
      </c>
      <c r="D53" s="28">
        <f>F53/'17a'!B52*100</f>
        <v>114.0181189176143</v>
      </c>
      <c r="E53" s="28">
        <f>G53/'17a'!B52*100</f>
        <v>120.9222876013512</v>
      </c>
      <c r="F53" s="28">
        <f>'18'!F53*'18'!J53/'17'!J53+'19'!F53*'19'!J53/'17'!J53+'20'!D53*'20'!J53/'17'!J53</f>
        <v>87.546171068149079</v>
      </c>
      <c r="G53" s="28">
        <f>'18'!G53*'18'!K53/'17'!K53+'19'!G53*'19'!K53/'17'!K53+'20'!E53*'20'!K53/'17'!K53</f>
        <v>92.847377037934734</v>
      </c>
      <c r="H53" s="28"/>
      <c r="I53" s="28"/>
      <c r="J53" s="56">
        <f>'18'!J53+'19'!J53+'20'!J53</f>
        <v>64273.799999999996</v>
      </c>
      <c r="K53" s="56">
        <f>'18'!K53+'19'!K53+'20'!K53</f>
        <v>21866.5</v>
      </c>
      <c r="L53" s="28"/>
      <c r="M53" s="28"/>
      <c r="N53" s="28"/>
      <c r="O53" s="31"/>
    </row>
    <row r="54" spans="1:15">
      <c r="A54" s="66"/>
      <c r="J54" s="32"/>
      <c r="K54" s="32"/>
    </row>
    <row r="55" spans="1:15">
      <c r="A55" s="66" t="s">
        <v>23</v>
      </c>
    </row>
    <row r="56" spans="1:15">
      <c r="A56" s="64" t="s">
        <v>2118</v>
      </c>
      <c r="B56" s="67" t="s">
        <v>22</v>
      </c>
      <c r="C56" s="67">
        <f t="shared" ref="C56:G56" si="0">((C53/C6)^(1/47)-1)*100</f>
        <v>1.5196217152985581</v>
      </c>
      <c r="D56" s="67">
        <f t="shared" si="0"/>
        <v>2.5670874107541763</v>
      </c>
      <c r="E56" s="67">
        <f t="shared" si="0"/>
        <v>2.5075710047615551</v>
      </c>
      <c r="F56" s="67">
        <f t="shared" si="0"/>
        <v>2.2887693083410099</v>
      </c>
      <c r="G56" s="67">
        <f t="shared" si="0"/>
        <v>2.2294144014568973</v>
      </c>
      <c r="H56" s="67"/>
      <c r="I56" s="67"/>
      <c r="J56" s="67">
        <f t="shared" ref="J56:K56" si="1">((J53/J6)^(1/47)-1)*100</f>
        <v>6.0852157030318654</v>
      </c>
      <c r="K56" s="67">
        <f t="shared" si="1"/>
        <v>5.4773445029963508</v>
      </c>
      <c r="L56" s="67"/>
      <c r="M56" s="67"/>
      <c r="N56" s="67"/>
      <c r="O56" s="67"/>
    </row>
    <row r="57" spans="1:15">
      <c r="A57" s="68" t="s">
        <v>1031</v>
      </c>
      <c r="B57" s="67" t="s">
        <v>22</v>
      </c>
      <c r="C57" s="67">
        <f t="shared" ref="C57:K57" si="2">((C18/C6)^(1/12)-1)*100</f>
        <v>0.48088078262216172</v>
      </c>
      <c r="D57" s="67">
        <f t="shared" si="2"/>
        <v>1.4081041776878189</v>
      </c>
      <c r="E57" s="67">
        <f t="shared" si="2"/>
        <v>0.41649446497531439</v>
      </c>
      <c r="F57" s="67">
        <f t="shared" si="2"/>
        <v>3.5592955276675609</v>
      </c>
      <c r="G57" s="67">
        <f t="shared" si="2"/>
        <v>2.546650590464461</v>
      </c>
      <c r="H57" s="67"/>
      <c r="I57" s="67"/>
      <c r="J57" s="67">
        <f t="shared" si="2"/>
        <v>9.208561015505845</v>
      </c>
      <c r="K57" s="67">
        <f t="shared" si="2"/>
        <v>8.9335649751322244</v>
      </c>
      <c r="L57" s="67"/>
      <c r="M57" s="67"/>
      <c r="N57" s="67"/>
      <c r="O57" s="67"/>
    </row>
    <row r="58" spans="1:15">
      <c r="A58" s="68" t="s">
        <v>1032</v>
      </c>
      <c r="B58" s="67" t="s">
        <v>22</v>
      </c>
      <c r="C58" s="67">
        <f t="shared" ref="C58:K58" si="3">((C26/C18)^(1/8)-1)*100</f>
        <v>1.2470074994239244</v>
      </c>
      <c r="D58" s="67">
        <f t="shared" si="3"/>
        <v>1.4484206356504936</v>
      </c>
      <c r="E58" s="67">
        <f t="shared" si="3"/>
        <v>1.920555692893533</v>
      </c>
      <c r="F58" s="67">
        <f t="shared" si="3"/>
        <v>1.0711693504211972</v>
      </c>
      <c r="G58" s="67">
        <f t="shared" si="3"/>
        <v>1.5415487020945307</v>
      </c>
      <c r="H58" s="67"/>
      <c r="I58" s="67"/>
      <c r="J58" s="67">
        <f t="shared" si="3"/>
        <v>11.679088361346079</v>
      </c>
      <c r="K58" s="67">
        <f t="shared" si="3"/>
        <v>10.066082415318011</v>
      </c>
      <c r="L58" s="67"/>
      <c r="M58" s="67"/>
      <c r="N58" s="67"/>
      <c r="O58" s="67"/>
    </row>
    <row r="59" spans="1:15">
      <c r="A59" s="69" t="s">
        <v>1783</v>
      </c>
      <c r="B59" s="67" t="s">
        <v>22</v>
      </c>
      <c r="C59" s="67">
        <f>((C53/C26)^(1/27)-1)*100</f>
        <v>2.0660107727383359</v>
      </c>
      <c r="D59" s="67">
        <f>((D53/D26)^(1/27)-1)*100</f>
        <v>3.4219438502605781</v>
      </c>
      <c r="E59" s="67">
        <f>((E53/E26)^(1/27)-1)*100</f>
        <v>3.6270475610108655</v>
      </c>
      <c r="F59" s="67">
        <f>((F53/F26)^(1/27)-1)*100</f>
        <v>2.090695944416221</v>
      </c>
      <c r="G59" s="67">
        <f>((G53/G26)^(1/27)-1)*100</f>
        <v>2.2931595589233522</v>
      </c>
      <c r="H59" s="67"/>
      <c r="I59" s="67"/>
      <c r="J59" s="67">
        <f>((J53/J26)^(1/27)-1)*100</f>
        <v>3.1434398524426532</v>
      </c>
      <c r="K59" s="67">
        <f>((K53/K26)^(1/27)-1)*100</f>
        <v>2.6729504404277016</v>
      </c>
      <c r="L59" s="67"/>
      <c r="M59" s="67"/>
      <c r="N59" s="67"/>
      <c r="O59" s="67"/>
    </row>
    <row r="60" spans="1:15">
      <c r="A60" s="68" t="s">
        <v>25</v>
      </c>
      <c r="B60" s="67" t="s">
        <v>22</v>
      </c>
      <c r="C60" s="67">
        <f t="shared" ref="C60:K60" si="4">((C34/C26)^(1/8)-1)*100</f>
        <v>1.8285448321503139</v>
      </c>
      <c r="D60" s="67">
        <f t="shared" si="4"/>
        <v>3.8174026766586655</v>
      </c>
      <c r="E60" s="67">
        <f t="shared" si="4"/>
        <v>3.541973541801724</v>
      </c>
      <c r="F60" s="67">
        <f t="shared" si="4"/>
        <v>3.799801756440857</v>
      </c>
      <c r="G60" s="67">
        <f t="shared" si="4"/>
        <v>3.5244193170906879</v>
      </c>
      <c r="H60" s="67"/>
      <c r="I60" s="67"/>
      <c r="J60" s="67">
        <f t="shared" si="4"/>
        <v>7.2906196402114709</v>
      </c>
      <c r="K60" s="67">
        <f t="shared" si="4"/>
        <v>7.1610041759461174</v>
      </c>
      <c r="L60" s="67"/>
      <c r="M60" s="67"/>
      <c r="N60" s="67"/>
      <c r="O60" s="67"/>
    </row>
    <row r="61" spans="1:15">
      <c r="A61" s="69" t="s">
        <v>2134</v>
      </c>
      <c r="B61" s="67" t="s">
        <v>22</v>
      </c>
      <c r="C61" s="65">
        <f>((C53/C31)^(1/22)-1)*100</f>
        <v>1.6010207981224767</v>
      </c>
      <c r="D61" s="65">
        <f>((D53/D31)^(1/22)-1)*100</f>
        <v>2.8824686561239821</v>
      </c>
      <c r="E61" s="65">
        <f>((E53/E31)^(1/22)-1)*100</f>
        <v>3.2312267573805009</v>
      </c>
      <c r="F61" s="65">
        <f>((F53/F31)^(1/22)-1)*100</f>
        <v>1.6046554358173815</v>
      </c>
      <c r="G61" s="65">
        <f>((G53/G31)^(1/22)-1)*100</f>
        <v>1.9490819175249863</v>
      </c>
      <c r="H61" s="65"/>
      <c r="I61" s="65"/>
      <c r="J61" s="65">
        <f>((J53/J31)^(1/22)-1)*100</f>
        <v>2.4596477589070798</v>
      </c>
      <c r="K61" s="65">
        <f>((K53/K31)^(1/22)-1)*100</f>
        <v>1.9711190940825629</v>
      </c>
      <c r="L61" s="65"/>
      <c r="M61" s="65"/>
      <c r="N61" s="65"/>
      <c r="O61" s="65"/>
    </row>
    <row r="62" spans="1:15">
      <c r="A62" s="69" t="s">
        <v>26</v>
      </c>
      <c r="B62" s="67" t="s">
        <v>22</v>
      </c>
      <c r="C62" s="65">
        <f t="shared" ref="C62:K62" si="5">((C45/C34)^(1/11)-1)*100</f>
        <v>2.1416028595577119</v>
      </c>
      <c r="D62" s="65">
        <f t="shared" si="5"/>
        <v>3.2200066306768305</v>
      </c>
      <c r="E62" s="65">
        <f t="shared" si="5"/>
        <v>3.0474472866148128</v>
      </c>
      <c r="F62" s="65">
        <f t="shared" si="5"/>
        <v>3.4283326793785651</v>
      </c>
      <c r="G62" s="65">
        <f t="shared" si="5"/>
        <v>3.2554250636249726</v>
      </c>
      <c r="H62" s="65"/>
      <c r="I62" s="65"/>
      <c r="J62" s="65">
        <f t="shared" si="5"/>
        <v>5.1827298584551595</v>
      </c>
      <c r="K62" s="65">
        <f t="shared" si="5"/>
        <v>5.1098517894023088</v>
      </c>
      <c r="L62" s="65"/>
      <c r="M62" s="65"/>
      <c r="N62" s="65"/>
      <c r="O62" s="65"/>
    </row>
    <row r="63" spans="1:15">
      <c r="A63" s="69" t="s">
        <v>1779</v>
      </c>
      <c r="B63" s="67" t="s">
        <v>22</v>
      </c>
      <c r="C63" s="65">
        <f>((C53/C45)^(1/8)-1)*100</f>
        <v>2.1999405306942998</v>
      </c>
      <c r="D63" s="65">
        <f>((D53/D45)^(1/8)-1)*100</f>
        <v>3.3052401707724943</v>
      </c>
      <c r="E63" s="65">
        <f>((E53/E45)^(1/8)-1)*100</f>
        <v>4.5151277753684438</v>
      </c>
      <c r="F63" s="65">
        <f>((F53/F45)^(1/8)-1)*100</f>
        <v>-1.3714983018153548</v>
      </c>
      <c r="G63" s="65">
        <f>((G53/G45)^(1/8)-1)*100</f>
        <v>-0.21638360030318271</v>
      </c>
      <c r="H63" s="65"/>
      <c r="I63" s="65"/>
      <c r="J63" s="65">
        <f>((J53/J45)^(1/8)-1)*100</f>
        <v>-3.4771622366624455</v>
      </c>
      <c r="K63" s="65">
        <f>((K53/K45)^(1/8)-1)*100</f>
        <v>-4.7494131108340332</v>
      </c>
      <c r="L63" s="65"/>
      <c r="M63" s="65"/>
      <c r="N63" s="65"/>
      <c r="O63" s="65"/>
    </row>
    <row r="65" spans="1:1">
      <c r="A65" s="64" t="s">
        <v>2135</v>
      </c>
    </row>
  </sheetData>
  <mergeCells count="14">
    <mergeCell ref="J4:K4"/>
    <mergeCell ref="L4:O4"/>
    <mergeCell ref="I2:I3"/>
    <mergeCell ref="J2:J3"/>
    <mergeCell ref="K2:K3"/>
    <mergeCell ref="L2:N2"/>
    <mergeCell ref="O2:O3"/>
    <mergeCell ref="A2:A4"/>
    <mergeCell ref="B2:C2"/>
    <mergeCell ref="D2:E2"/>
    <mergeCell ref="F2:F3"/>
    <mergeCell ref="G2:G3"/>
    <mergeCell ref="B4:I4"/>
    <mergeCell ref="H2:H3"/>
  </mergeCells>
  <pageMargins left="0.70866141732283472" right="0.70866141732283472" top="0.74803149606299213" bottom="0.74803149606299213" header="0.31496062992125984" footer="0.31496062992125984"/>
  <pageSetup scale="66" orientation="landscape" horizontalDpi="0" verticalDpi="0" r:id="rId1"/>
</worksheet>
</file>

<file path=xl/worksheets/sheet113.xml><?xml version="1.0" encoding="utf-8"?>
<worksheet xmlns="http://schemas.openxmlformats.org/spreadsheetml/2006/main" xmlns:r="http://schemas.openxmlformats.org/officeDocument/2006/relationships">
  <sheetPr codeName="Sheet106"/>
  <dimension ref="A1:M64"/>
  <sheetViews>
    <sheetView view="pageBreakPreview" zoomScaleNormal="70" zoomScaleSheetLayoutView="100"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2.28515625" style="64" customWidth="1"/>
    <col min="2" max="2" width="12.140625" style="64" customWidth="1"/>
    <col min="3" max="3" width="13.140625" style="64" customWidth="1"/>
    <col min="4" max="4" width="12.140625" style="64" customWidth="1"/>
    <col min="5" max="5" width="13.7109375" style="64" customWidth="1"/>
    <col min="6" max="6" width="15.5703125" style="64" customWidth="1"/>
    <col min="7" max="7" width="12.140625" style="64" customWidth="1"/>
    <col min="8" max="8" width="14.28515625" style="64" customWidth="1"/>
    <col min="9" max="16384" width="9.140625" style="64"/>
  </cols>
  <sheetData>
    <row r="1" spans="1:7">
      <c r="A1" s="93" t="s">
        <v>2000</v>
      </c>
      <c r="B1" s="93"/>
      <c r="C1" s="93"/>
      <c r="D1" s="93"/>
      <c r="E1" s="93"/>
      <c r="F1" s="93"/>
      <c r="G1" s="93"/>
    </row>
    <row r="2" spans="1:7" ht="45">
      <c r="A2" s="96"/>
      <c r="B2" s="73" t="s">
        <v>1006</v>
      </c>
      <c r="C2" s="73" t="s">
        <v>833</v>
      </c>
      <c r="D2" s="98" t="s">
        <v>744</v>
      </c>
      <c r="E2" s="99"/>
      <c r="F2" s="73" t="s">
        <v>840</v>
      </c>
      <c r="G2" s="73" t="s">
        <v>1082</v>
      </c>
    </row>
    <row r="3" spans="1:7" ht="30" customHeight="1">
      <c r="A3" s="96"/>
      <c r="B3" s="97" t="s">
        <v>844</v>
      </c>
      <c r="C3" s="97"/>
      <c r="D3" s="73" t="s">
        <v>1005</v>
      </c>
      <c r="E3" s="73" t="s">
        <v>844</v>
      </c>
      <c r="F3" s="73" t="s">
        <v>1002</v>
      </c>
      <c r="G3" s="73" t="s">
        <v>1083</v>
      </c>
    </row>
    <row r="4" spans="1:7" hidden="1" outlineLevel="1"/>
    <row r="5" spans="1:7" collapsed="1">
      <c r="A5" s="66">
        <v>1961</v>
      </c>
      <c r="B5" s="28">
        <f>C5*E5/100</f>
        <v>87.242189959769135</v>
      </c>
      <c r="C5" s="28">
        <f>'18a'!C5*'18a'!D5/'17a'!D5+'19a'!C5*'19a'!D5/'17a'!D5+'20a'!C5*'20a'!D5/'17a'!D5</f>
        <v>79.484239043824715</v>
      </c>
      <c r="D5" s="56">
        <f>'18a'!D5+'19a'!D5+'20a'!D5</f>
        <v>627.5</v>
      </c>
      <c r="E5" s="58">
        <f>D5/D$46*100</f>
        <v>109.76036382718209</v>
      </c>
      <c r="F5" s="56">
        <f>'18a'!F5+'19a'!F5+'20a'!F5</f>
        <v>1154.3</v>
      </c>
      <c r="G5" s="28">
        <f>F5/'17'!K6*100</f>
        <v>64.717425431711149</v>
      </c>
    </row>
    <row r="6" spans="1:7" hidden="1" outlineLevel="1">
      <c r="A6" s="66">
        <v>1962</v>
      </c>
      <c r="B6" s="28">
        <f t="shared" ref="B6:B47" si="0">C6*E6/100</f>
        <v>91.280706664334431</v>
      </c>
      <c r="C6" s="28">
        <f>'18a'!C6*'18a'!D6/'17a'!D6+'19a'!C6*'19a'!D6/'17a'!D6+'20a'!C6*'20a'!D6/'17a'!D6</f>
        <v>80.210851521672296</v>
      </c>
      <c r="D6" s="56">
        <f>'18a'!D6+'19a'!D6+'20a'!D6</f>
        <v>650.6</v>
      </c>
      <c r="E6" s="58">
        <f t="shared" ref="E6:E48" si="1">D6/D$46*100</f>
        <v>113.80094455133812</v>
      </c>
      <c r="F6" s="56">
        <f>'18a'!F6+'19a'!F6+'20a'!F6</f>
        <v>1239.9000000000001</v>
      </c>
      <c r="G6" s="28">
        <f>F6/'17'!K7*100</f>
        <v>64.807652101191721</v>
      </c>
    </row>
    <row r="7" spans="1:7" hidden="1" outlineLevel="1">
      <c r="A7" s="66">
        <v>1963</v>
      </c>
      <c r="B7" s="28">
        <f t="shared" si="0"/>
        <v>90.976945950673439</v>
      </c>
      <c r="C7" s="28">
        <f>'18a'!C7*'18a'!D7/'17a'!D7+'19a'!C7*'19a'!D7/'17a'!D7+'20a'!C7*'20a'!D7/'17a'!D7</f>
        <v>80.700574088440661</v>
      </c>
      <c r="D7" s="56">
        <f>'18a'!D7+'19a'!D7+'20a'!D7</f>
        <v>644.5</v>
      </c>
      <c r="E7" s="58">
        <f t="shared" si="1"/>
        <v>112.73395137309777</v>
      </c>
      <c r="F7" s="56">
        <f>'18a'!F7+'19a'!F7+'20a'!F7</f>
        <v>1305</v>
      </c>
      <c r="G7" s="28">
        <f>F7/'17'!K8*100</f>
        <v>64.027082720047105</v>
      </c>
    </row>
    <row r="8" spans="1:7" hidden="1" outlineLevel="1">
      <c r="A8" s="66">
        <v>1964</v>
      </c>
      <c r="B8" s="28">
        <f t="shared" si="0"/>
        <v>96.153244708763339</v>
      </c>
      <c r="C8" s="28">
        <f>'18a'!C8*'18a'!D8/'17a'!D8+'19a'!C8*'19a'!D8/'17a'!D8+'20a'!C8*'20a'!D8/'17a'!D8</f>
        <v>81.474447902771601</v>
      </c>
      <c r="D8" s="56">
        <f>'18a'!D8+'19a'!D8+'20a'!D8</f>
        <v>674.7</v>
      </c>
      <c r="E8" s="58">
        <f t="shared" si="1"/>
        <v>118.01644218995978</v>
      </c>
      <c r="F8" s="56">
        <f>'18a'!F8+'19a'!F8+'20a'!F8</f>
        <v>1417.8000000000002</v>
      </c>
      <c r="G8" s="28">
        <f>F8/'17'!K9*100</f>
        <v>63.535738292628288</v>
      </c>
    </row>
    <row r="9" spans="1:7" hidden="1" outlineLevel="1">
      <c r="A9" s="66">
        <v>1965</v>
      </c>
      <c r="B9" s="28">
        <f t="shared" si="0"/>
        <v>98.390187161098481</v>
      </c>
      <c r="C9" s="28">
        <f>'18a'!C9*'18a'!D9/'17a'!D9+'19a'!C9*'19a'!D9/'17a'!D9+'20a'!C9*'20a'!D9/'17a'!D9</f>
        <v>82.20030688294608</v>
      </c>
      <c r="D9" s="56">
        <f>'18a'!D9+'19a'!D9+'20a'!D9</f>
        <v>684.3</v>
      </c>
      <c r="E9" s="58">
        <f t="shared" si="1"/>
        <v>119.69564456882979</v>
      </c>
      <c r="F9" s="56">
        <f>'18a'!F9+'19a'!F9+'20a'!F9</f>
        <v>1532.3</v>
      </c>
      <c r="G9" s="28">
        <f>F9/'17'!K10*100</f>
        <v>65.982000602850604</v>
      </c>
    </row>
    <row r="10" spans="1:7" hidden="1" outlineLevel="1">
      <c r="A10" s="66">
        <v>1966</v>
      </c>
      <c r="B10" s="28">
        <f t="shared" si="0"/>
        <v>101.3343012069267</v>
      </c>
      <c r="C10" s="28">
        <f>'18a'!C10*'18a'!D10/'17a'!D10+'19a'!C10*'19a'!D10/'17a'!D10+'20a'!C10*'20a'!D10/'17a'!D10</f>
        <v>82.654900841774861</v>
      </c>
      <c r="D10" s="56">
        <f>'18a'!D10+'19a'!D10+'20a'!D10</f>
        <v>700.9</v>
      </c>
      <c r="E10" s="58">
        <f t="shared" si="1"/>
        <v>122.59926534895924</v>
      </c>
      <c r="F10" s="56">
        <f>'18a'!F10+'19a'!F10+'20a'!F10</f>
        <v>1723.3000000000002</v>
      </c>
      <c r="G10" s="28">
        <f>F10/'17'!K11*100</f>
        <v>68.984428165405703</v>
      </c>
    </row>
    <row r="11" spans="1:7" hidden="1" outlineLevel="1">
      <c r="A11" s="66">
        <v>1967</v>
      </c>
      <c r="B11" s="28">
        <f t="shared" si="0"/>
        <v>100.05193283190484</v>
      </c>
      <c r="C11" s="28">
        <f>'18a'!C11*'18a'!D11/'17a'!D11+'19a'!C11*'19a'!D11/'17a'!D11+'20a'!C11*'20a'!D11/'17a'!D11</f>
        <v>82.958216098622188</v>
      </c>
      <c r="D11" s="56">
        <f>'18a'!D11+'19a'!D11+'20a'!D11</f>
        <v>689.5</v>
      </c>
      <c r="E11" s="58">
        <f t="shared" si="1"/>
        <v>120.60521252405107</v>
      </c>
      <c r="F11" s="56">
        <f>'18a'!F11+'19a'!F11+'20a'!F11</f>
        <v>1831.1</v>
      </c>
      <c r="G11" s="28">
        <f>F11/'17'!K12*100</f>
        <v>73.603183535653983</v>
      </c>
    </row>
    <row r="12" spans="1:7" hidden="1" outlineLevel="1">
      <c r="A12" s="66">
        <v>1968</v>
      </c>
      <c r="B12" s="28">
        <f t="shared" si="0"/>
        <v>98.450673430120702</v>
      </c>
      <c r="C12" s="28">
        <f>'18a'!C12*'18a'!D12/'17a'!D12+'19a'!C12*'19a'!D12/'17a'!D12+'20a'!C12*'20a'!D12/'17a'!D12</f>
        <v>83.248409998520927</v>
      </c>
      <c r="D12" s="56">
        <f>'18a'!D12+'19a'!D12+'20a'!D12</f>
        <v>676.1</v>
      </c>
      <c r="E12" s="58">
        <f t="shared" si="1"/>
        <v>118.26132587021165</v>
      </c>
      <c r="F12" s="56">
        <f>'18a'!F12+'19a'!F12+'20a'!F12</f>
        <v>1929.3</v>
      </c>
      <c r="G12" s="28">
        <f>F12/'17'!K13*100</f>
        <v>71.505874504280783</v>
      </c>
    </row>
    <row r="13" spans="1:7" hidden="1" outlineLevel="1">
      <c r="A13" s="66">
        <v>1969</v>
      </c>
      <c r="B13" s="28">
        <f t="shared" si="0"/>
        <v>101.0558684624803</v>
      </c>
      <c r="C13" s="28">
        <f>'18a'!C13*'18a'!D13/'17a'!D13+'19a'!C13*'19a'!D13/'17a'!D13+'20a'!C13*'20a'!D13/'17a'!D13</f>
        <v>83.536205899363793</v>
      </c>
      <c r="D13" s="56">
        <f>'18a'!D13+'19a'!D13+'20a'!D13</f>
        <v>691.59999999999991</v>
      </c>
      <c r="E13" s="58">
        <f t="shared" si="1"/>
        <v>120.97253804442887</v>
      </c>
      <c r="F13" s="56">
        <f>'18a'!F13+'19a'!F13+'20a'!F13</f>
        <v>2145.3000000000002</v>
      </c>
      <c r="G13" s="28">
        <f>F13/'17'!K14*100</f>
        <v>70.082650027767798</v>
      </c>
    </row>
    <row r="14" spans="1:7" hidden="1" outlineLevel="1">
      <c r="A14" s="66">
        <v>1970</v>
      </c>
      <c r="B14" s="28">
        <f t="shared" si="0"/>
        <v>99.810180164421894</v>
      </c>
      <c r="C14" s="28">
        <f>'18a'!C14*'18a'!D14/'17a'!D14+'19a'!C14*'19a'!D14/'17a'!D14+'20a'!C14*'20a'!D14/'17a'!D14</f>
        <v>83.827648009402083</v>
      </c>
      <c r="D14" s="56">
        <f>'18a'!D14+'19a'!D14+'20a'!D14</f>
        <v>680.7</v>
      </c>
      <c r="E14" s="58">
        <f t="shared" si="1"/>
        <v>119.06594367675353</v>
      </c>
      <c r="F14" s="56">
        <f>'18a'!F14+'19a'!F14+'20a'!F14</f>
        <v>2222.6000000000004</v>
      </c>
      <c r="G14" s="28">
        <f>F14/'17'!K15*100</f>
        <v>74.649022637200275</v>
      </c>
    </row>
    <row r="15" spans="1:7" hidden="1" outlineLevel="1">
      <c r="A15" s="66">
        <v>1971</v>
      </c>
      <c r="B15" s="28">
        <f t="shared" si="0"/>
        <v>99.170386566380984</v>
      </c>
      <c r="C15" s="28">
        <f>'18a'!C15*'18a'!D15/'17a'!D15+'19a'!C15*'19a'!D15/'17a'!D15+'20a'!C15*'20a'!D15/'17a'!D15</f>
        <v>84.43143708116159</v>
      </c>
      <c r="D15" s="56">
        <f>'18a'!D15+'19a'!D15+'20a'!D15</f>
        <v>671.5</v>
      </c>
      <c r="E15" s="58">
        <f t="shared" si="1"/>
        <v>117.45670806366975</v>
      </c>
      <c r="F15" s="56">
        <f>'18a'!F15+'19a'!F15+'20a'!F15</f>
        <v>2379</v>
      </c>
      <c r="G15" s="28">
        <f>F15/'17'!K16*100</f>
        <v>76.431279316327178</v>
      </c>
    </row>
    <row r="16" spans="1:7" hidden="1" outlineLevel="1">
      <c r="A16" s="66">
        <v>1972</v>
      </c>
      <c r="B16" s="28">
        <f t="shared" si="0"/>
        <v>103.45327969214622</v>
      </c>
      <c r="C16" s="28">
        <f>'18a'!C16*'18a'!D16/'17a'!D16+'19a'!C16*'19a'!D16/'17a'!D16+'20a'!C16*'20a'!D16/'17a'!D16</f>
        <v>85.28369142033165</v>
      </c>
      <c r="D16" s="56">
        <f>'18a'!D16+'19a'!D16+'20a'!D16</f>
        <v>693.5</v>
      </c>
      <c r="E16" s="58">
        <f t="shared" si="1"/>
        <v>121.30488018191359</v>
      </c>
      <c r="F16" s="56">
        <f>'18a'!F16+'19a'!F16+'20a'!F16</f>
        <v>2683.2</v>
      </c>
      <c r="G16" s="28">
        <f>F16/'17'!K17*100</f>
        <v>72.243612180609034</v>
      </c>
    </row>
    <row r="17" spans="1:7" collapsed="1">
      <c r="A17" s="66">
        <v>1973</v>
      </c>
      <c r="B17" s="28">
        <f t="shared" si="0"/>
        <v>112.23379394787474</v>
      </c>
      <c r="C17" s="28">
        <f>'18a'!C17*'18a'!D17/'17a'!D17+'19a'!C17*'19a'!D17/'17a'!D17+'20a'!C17*'20a'!D17/'17a'!D17</f>
        <v>86.451172190784149</v>
      </c>
      <c r="D17" s="56">
        <f>'18a'!D17+'19a'!D17+'20a'!D17</f>
        <v>742.2</v>
      </c>
      <c r="E17" s="58">
        <f t="shared" si="1"/>
        <v>129.82333391638971</v>
      </c>
      <c r="F17" s="56">
        <f>'18a'!F17+'19a'!F17+'20a'!F17</f>
        <v>3168.6000000000004</v>
      </c>
      <c r="G17" s="28">
        <f>F17/'17'!K18*100</f>
        <v>63.625228409068093</v>
      </c>
    </row>
    <row r="18" spans="1:7" hidden="1" outlineLevel="1">
      <c r="A18" s="66">
        <v>1974</v>
      </c>
      <c r="B18" s="28">
        <f t="shared" si="0"/>
        <v>114.26279517229315</v>
      </c>
      <c r="C18" s="28">
        <f>'18a'!C18*'18a'!D18/'17a'!D18+'19a'!C18*'19a'!D18/'17a'!D18+'20a'!C18*'20a'!D18/'17a'!D18</f>
        <v>87.180088082210062</v>
      </c>
      <c r="D18" s="56">
        <f>'18a'!D18+'19a'!D18+'20a'!D18</f>
        <v>749.3</v>
      </c>
      <c r="E18" s="58">
        <f t="shared" si="1"/>
        <v>131.06524400909566</v>
      </c>
      <c r="F18" s="56">
        <f>'18a'!F18+'19a'!F18+'20a'!F18</f>
        <v>3793.3999999999996</v>
      </c>
      <c r="G18" s="28">
        <f>F18/'17'!K19*100</f>
        <v>61.713411856575775</v>
      </c>
    </row>
    <row r="19" spans="1:7" hidden="1" outlineLevel="1">
      <c r="A19" s="66">
        <v>1975</v>
      </c>
      <c r="B19" s="28">
        <f t="shared" si="0"/>
        <v>100.93146755291235</v>
      </c>
      <c r="C19" s="28">
        <f>'18a'!C19*'18a'!D19/'17a'!D19+'19a'!C19*'19a'!D19/'17a'!D19+'20a'!C19*'20a'!D19/'17a'!D19</f>
        <v>87.707128742970042</v>
      </c>
      <c r="D19" s="56">
        <f>'18a'!D19+'19a'!D19+'20a'!D19</f>
        <v>657.90000000000009</v>
      </c>
      <c r="E19" s="58">
        <f t="shared" si="1"/>
        <v>115.0778380269372</v>
      </c>
      <c r="F19" s="56">
        <f>'18a'!F19+'19a'!F19+'20a'!F19</f>
        <v>3873.1</v>
      </c>
      <c r="G19" s="28">
        <f>F19/'17'!K20*100</f>
        <v>70.921609199611794</v>
      </c>
    </row>
    <row r="20" spans="1:7" hidden="1" outlineLevel="1">
      <c r="A20" s="66">
        <v>1976</v>
      </c>
      <c r="B20" s="28">
        <f t="shared" si="0"/>
        <v>106.34507608885778</v>
      </c>
      <c r="C20" s="28">
        <f>'18a'!C20*'18a'!D20/'17a'!D20+'19a'!C20*'19a'!D20/'17a'!D20+'20a'!C20*'20a'!D20/'17a'!D20</f>
        <v>88.176185641769393</v>
      </c>
      <c r="D20" s="56">
        <f>'18a'!D20+'19a'!D20+'20a'!D20</f>
        <v>689.5</v>
      </c>
      <c r="E20" s="58">
        <f t="shared" si="1"/>
        <v>120.60521252405107</v>
      </c>
      <c r="F20" s="56">
        <f>'18a'!F20+'19a'!F20+'20a'!F20</f>
        <v>4717</v>
      </c>
      <c r="G20" s="28">
        <f>F20/'17'!K21*100</f>
        <v>71.521712760795737</v>
      </c>
    </row>
    <row r="21" spans="1:7" hidden="1" outlineLevel="1">
      <c r="A21" s="66">
        <v>1977</v>
      </c>
      <c r="B21" s="28">
        <f t="shared" si="0"/>
        <v>107.14016092356128</v>
      </c>
      <c r="C21" s="28">
        <f>'18a'!C21*'18a'!D21/'17a'!D21+'19a'!C21*'19a'!D21/'17a'!D21+'20a'!C21*'20a'!D21/'17a'!D21</f>
        <v>88.809670871393351</v>
      </c>
      <c r="D21" s="56">
        <f>'18a'!D21+'19a'!D21+'20a'!D21</f>
        <v>689.7</v>
      </c>
      <c r="E21" s="58">
        <f t="shared" si="1"/>
        <v>120.64019590694419</v>
      </c>
      <c r="F21" s="56">
        <f>'18a'!F21+'19a'!F21+'20a'!F21</f>
        <v>5246.2</v>
      </c>
      <c r="G21" s="28">
        <f>F21/'17'!K22*100</f>
        <v>69.904594392921865</v>
      </c>
    </row>
    <row r="22" spans="1:7" hidden="1" outlineLevel="1">
      <c r="A22" s="66">
        <v>1978</v>
      </c>
      <c r="B22" s="28">
        <f t="shared" si="0"/>
        <v>114.46860241385342</v>
      </c>
      <c r="C22" s="28">
        <f>'18a'!C22*'18a'!D22/'17a'!D22+'19a'!C22*'19a'!D22/'17a'!D22+'20a'!C22*'20a'!D22/'17a'!D22</f>
        <v>89.279263301500691</v>
      </c>
      <c r="D22" s="56">
        <f>'18a'!D22+'19a'!D22+'20a'!D22</f>
        <v>733</v>
      </c>
      <c r="E22" s="58">
        <f t="shared" si="1"/>
        <v>128.21409830330592</v>
      </c>
      <c r="F22" s="56">
        <f>'18a'!F22+'19a'!F22+'20a'!F22</f>
        <v>5951.6</v>
      </c>
      <c r="G22" s="28">
        <f>F22/'17'!K23*100</f>
        <v>66.777371361892151</v>
      </c>
    </row>
    <row r="23" spans="1:7" hidden="1" outlineLevel="1">
      <c r="A23" s="66">
        <v>1979</v>
      </c>
      <c r="B23" s="28">
        <f t="shared" si="0"/>
        <v>119.35599090432042</v>
      </c>
      <c r="C23" s="28">
        <f>'18a'!C23*'18a'!D23/'17a'!D23+'19a'!C23*'19a'!D23/'17a'!D23+'20a'!C23*'20a'!D23/'17a'!D23</f>
        <v>89.642433000525486</v>
      </c>
      <c r="D23" s="56">
        <f>'18a'!D23+'19a'!D23+'20a'!D23</f>
        <v>761.2</v>
      </c>
      <c r="E23" s="58">
        <f t="shared" si="1"/>
        <v>133.14675529123664</v>
      </c>
      <c r="F23" s="56">
        <f>'18a'!F23+'19a'!F23+'20a'!F23</f>
        <v>6726</v>
      </c>
      <c r="G23" s="28">
        <f>F23/'17'!K24*100</f>
        <v>61.755713275733847</v>
      </c>
    </row>
    <row r="24" spans="1:7" hidden="1" outlineLevel="1">
      <c r="A24" s="66">
        <v>1980</v>
      </c>
      <c r="B24" s="28">
        <f t="shared" si="0"/>
        <v>115.17178590169669</v>
      </c>
      <c r="C24" s="28">
        <f>'18a'!C24*'18a'!D24/'17a'!D24+'19a'!C24*'19a'!D24/'17a'!D24+'20a'!C24*'20a'!D24/'17a'!D24</f>
        <v>89.950423497267764</v>
      </c>
      <c r="D24" s="56">
        <f>'18a'!D24+'19a'!D24+'20a'!D24</f>
        <v>732</v>
      </c>
      <c r="E24" s="58">
        <f t="shared" si="1"/>
        <v>128.03918138884029</v>
      </c>
      <c r="F24" s="56">
        <f>'18a'!F24+'19a'!F24+'20a'!F24</f>
        <v>7255.4</v>
      </c>
      <c r="G24" s="28">
        <f>F24/'17'!K25*100</f>
        <v>64.312369808979298</v>
      </c>
    </row>
    <row r="25" spans="1:7" collapsed="1">
      <c r="A25" s="66">
        <v>1981</v>
      </c>
      <c r="B25" s="28">
        <f t="shared" si="0"/>
        <v>108.93806192058771</v>
      </c>
      <c r="C25" s="28">
        <f>'18a'!C25*'18a'!D25/'17a'!D25+'19a'!C25*'19a'!D25/'17a'!D25+'20a'!C25*'20a'!D25/'17a'!D25</f>
        <v>90.117045290117218</v>
      </c>
      <c r="D25" s="56">
        <f>'18a'!D25+'19a'!D25+'20a'!D25</f>
        <v>691.09999999999991</v>
      </c>
      <c r="E25" s="58">
        <f t="shared" si="1"/>
        <v>120.88507958719606</v>
      </c>
      <c r="F25" s="56">
        <f>'18a'!F25+'19a'!F25+'20a'!F25</f>
        <v>7616.6</v>
      </c>
      <c r="G25" s="28">
        <f>F25/'17'!K26*100</f>
        <v>71.005994387835955</v>
      </c>
    </row>
    <row r="26" spans="1:7">
      <c r="A26" s="66">
        <v>1982</v>
      </c>
      <c r="B26" s="28">
        <f t="shared" si="0"/>
        <v>94.922214448137126</v>
      </c>
      <c r="C26" s="28">
        <f>'18a'!C26*'18a'!D26/'17a'!D26+'19a'!C26*'19a'!D26/'17a'!D26+'20a'!C26*'20a'!D26/'17a'!D26</f>
        <v>90.853892516323469</v>
      </c>
      <c r="D26" s="56">
        <f>'18a'!D26+'19a'!D26+'20a'!D26</f>
        <v>597.29999999999995</v>
      </c>
      <c r="E26" s="58">
        <f t="shared" si="1"/>
        <v>104.47787301032008</v>
      </c>
      <c r="F26" s="56">
        <f>'18a'!F26+'19a'!F26+'20a'!F26</f>
        <v>6837.1</v>
      </c>
      <c r="G26" s="28">
        <f>F26/'17'!K27*100</f>
        <v>77.296417306366109</v>
      </c>
    </row>
    <row r="27" spans="1:7">
      <c r="A27" s="66">
        <v>1983</v>
      </c>
      <c r="B27" s="28">
        <f t="shared" si="0"/>
        <v>96.933654014343176</v>
      </c>
      <c r="C27" s="28">
        <f>'18a'!C27*'18a'!D27/'17a'!D27+'19a'!C27*'19a'!D27/'17a'!D27+'20a'!C27*'20a'!D27/'17a'!D27</f>
        <v>91.856406431294559</v>
      </c>
      <c r="D27" s="56">
        <f>'18a'!D27+'19a'!D27+'20a'!D27</f>
        <v>603.29999999999995</v>
      </c>
      <c r="E27" s="58">
        <f t="shared" si="1"/>
        <v>105.52737449711384</v>
      </c>
      <c r="F27" s="56">
        <f>'18a'!F27+'19a'!F27+'20a'!F27</f>
        <v>8197.2999999999993</v>
      </c>
      <c r="G27" s="28">
        <f>F27/'17'!K28*100</f>
        <v>76.605268814189714</v>
      </c>
    </row>
    <row r="28" spans="1:7">
      <c r="A28" s="66">
        <v>1984</v>
      </c>
      <c r="B28" s="28">
        <f t="shared" si="0"/>
        <v>97.944393912891371</v>
      </c>
      <c r="C28" s="28">
        <f>'18a'!C28*'18a'!D28/'17a'!D28+'19a'!C28*'19a'!D28/'17a'!D28+'20a'!C28*'20a'!D28/'17a'!D28</f>
        <v>92.553404958677689</v>
      </c>
      <c r="D28" s="56">
        <f>'18a'!D28+'19a'!D28+'20a'!D28</f>
        <v>605</v>
      </c>
      <c r="E28" s="58">
        <f t="shared" si="1"/>
        <v>105.82473325170542</v>
      </c>
      <c r="F28" s="56">
        <f>'18a'!F28+'19a'!F28+'20a'!F28</f>
        <v>8713.7000000000007</v>
      </c>
      <c r="G28" s="28">
        <f>F28/'17'!K29*100</f>
        <v>71.939731682146544</v>
      </c>
    </row>
    <row r="29" spans="1:7">
      <c r="A29" s="66">
        <v>1985</v>
      </c>
      <c r="B29" s="28">
        <f t="shared" si="0"/>
        <v>97.209183138009436</v>
      </c>
      <c r="C29" s="28">
        <f>'18a'!C29*'18a'!D29/'17a'!D29+'19a'!C29*'19a'!D29/'17a'!D29+'20a'!C29*'20a'!D29/'17a'!D29</f>
        <v>93.058422638981924</v>
      </c>
      <c r="D29" s="56">
        <f>'18a'!D29+'19a'!D29+'20a'!D29</f>
        <v>597.19999999999993</v>
      </c>
      <c r="E29" s="58">
        <f t="shared" si="1"/>
        <v>104.46038131887352</v>
      </c>
      <c r="F29" s="56">
        <f>'18a'!F29+'19a'!F29+'20a'!F29</f>
        <v>9113.9000000000015</v>
      </c>
      <c r="G29" s="28">
        <f>F29/'17'!K30*100</f>
        <v>72.653715233213518</v>
      </c>
    </row>
    <row r="30" spans="1:7">
      <c r="A30" s="66">
        <v>1986</v>
      </c>
      <c r="B30" s="28">
        <f t="shared" si="0"/>
        <v>101.08208850795873</v>
      </c>
      <c r="C30" s="28">
        <f>'18a'!C30*'18a'!D30/'17a'!D30+'19a'!C30*'19a'!D30/'17a'!D30+'20a'!C30*'20a'!D30/'17a'!D30</f>
        <v>93.569672927461141</v>
      </c>
      <c r="D30" s="56">
        <f>'18a'!D30+'19a'!D30+'20a'!D30</f>
        <v>617.6</v>
      </c>
      <c r="E30" s="58">
        <f t="shared" si="1"/>
        <v>108.02868637397236</v>
      </c>
      <c r="F30" s="56">
        <f>'18a'!F30+'19a'!F30+'20a'!F30</f>
        <v>9445.2999999999993</v>
      </c>
      <c r="G30" s="28">
        <f>F30/'17'!K31*100</f>
        <v>66.364307043737909</v>
      </c>
    </row>
    <row r="31" spans="1:7">
      <c r="A31" s="66">
        <v>1987</v>
      </c>
      <c r="B31" s="28">
        <f t="shared" si="0"/>
        <v>108.85770509008222</v>
      </c>
      <c r="C31" s="28">
        <f>'18a'!C31*'18a'!D31/'17a'!D31+'19a'!C31*'19a'!D31/'17a'!D31+'20a'!C31*'20a'!D31/'17a'!D31</f>
        <v>94.17970641646491</v>
      </c>
      <c r="D31" s="56">
        <f>'18a'!D31+'19a'!D31+'20a'!D31</f>
        <v>660.8</v>
      </c>
      <c r="E31" s="58">
        <f t="shared" si="1"/>
        <v>115.58509707888751</v>
      </c>
      <c r="F31" s="56">
        <f>'18a'!F31+'19a'!F31+'20a'!F31</f>
        <v>10333.9</v>
      </c>
      <c r="G31" s="28">
        <f>F31/'17'!K32*100</f>
        <v>58.822625356474013</v>
      </c>
    </row>
    <row r="32" spans="1:7">
      <c r="A32" s="66">
        <v>1988</v>
      </c>
      <c r="B32" s="28">
        <f t="shared" si="0"/>
        <v>108.65249256603116</v>
      </c>
      <c r="C32" s="28">
        <f>'18a'!C32*'18a'!D32/'17a'!D32+'19a'!C32*'19a'!D32/'17a'!D32+'20a'!C32*'20a'!D32/'17a'!D32</f>
        <v>94.689984756097573</v>
      </c>
      <c r="D32" s="56">
        <f>'18a'!D32+'19a'!D32+'20a'!D32</f>
        <v>656</v>
      </c>
      <c r="E32" s="58">
        <f t="shared" si="1"/>
        <v>114.74549588945251</v>
      </c>
      <c r="F32" s="56">
        <f>'18a'!F32+'19a'!F32+'20a'!F32</f>
        <v>10903.5</v>
      </c>
      <c r="G32" s="28">
        <f>F32/'17'!K33*100</f>
        <v>57.546761526769131</v>
      </c>
    </row>
    <row r="33" spans="1:7">
      <c r="A33" s="66">
        <v>1989</v>
      </c>
      <c r="B33" s="28">
        <f t="shared" si="0"/>
        <v>108.79039706139579</v>
      </c>
      <c r="C33" s="28">
        <f>'18a'!C33*'18a'!D33/'17a'!D33+'19a'!C33*'19a'!D33/'17a'!D33+'20a'!C33*'20a'!D33/'17a'!D33</f>
        <v>95.04197738386307</v>
      </c>
      <c r="D33" s="56">
        <f>'18a'!D33+'19a'!D33+'20a'!D33</f>
        <v>654.4</v>
      </c>
      <c r="E33" s="58">
        <f t="shared" si="1"/>
        <v>114.46562882630748</v>
      </c>
      <c r="F33" s="56">
        <f>'18a'!F33+'19a'!F33+'20a'!F33</f>
        <v>11306.099999999999</v>
      </c>
      <c r="G33" s="28">
        <f>F33/'17'!K34*100</f>
        <v>60.611145361460302</v>
      </c>
    </row>
    <row r="34" spans="1:7">
      <c r="A34" s="66">
        <v>1990</v>
      </c>
      <c r="B34" s="28">
        <f t="shared" si="0"/>
        <v>100.87329018716107</v>
      </c>
      <c r="C34" s="28">
        <f>'18a'!C34*'18a'!D34/'17a'!D34+'19a'!C34*'19a'!D34/'17a'!D34+'20a'!C34*'20a'!D34/'17a'!D34</f>
        <v>95.431507529372823</v>
      </c>
      <c r="D34" s="56">
        <f>'18a'!D34+'19a'!D34+'20a'!D34</f>
        <v>604.29999999999995</v>
      </c>
      <c r="E34" s="58">
        <f t="shared" si="1"/>
        <v>105.70229141157948</v>
      </c>
      <c r="F34" s="56">
        <f>'18a'!F34+'19a'!F34+'20a'!F34</f>
        <v>11103.8</v>
      </c>
      <c r="G34" s="28">
        <f>F34/'17'!K35*100</f>
        <v>68.672962626243887</v>
      </c>
    </row>
    <row r="35" spans="1:7">
      <c r="A35" s="66">
        <v>1991</v>
      </c>
      <c r="B35" s="28">
        <f t="shared" si="0"/>
        <v>93.823071541017995</v>
      </c>
      <c r="C35" s="28">
        <f>'18a'!C35*'18a'!D35/'17a'!D35+'19a'!C35*'19a'!D35/'17a'!D35+'20a'!C35*'20a'!D35/'17a'!D35</f>
        <v>96.07495969908652</v>
      </c>
      <c r="D35" s="56">
        <f>'18a'!D35+'19a'!D35+'20a'!D35</f>
        <v>558.29999999999995</v>
      </c>
      <c r="E35" s="58">
        <f t="shared" si="1"/>
        <v>97.656113346160552</v>
      </c>
      <c r="F35" s="56">
        <f>'18a'!F35+'19a'!F35+'20a'!F35</f>
        <v>10905.4</v>
      </c>
      <c r="G35" s="28">
        <f>F35/'17'!K36*100</f>
        <v>82.258964804561984</v>
      </c>
    </row>
    <row r="36" spans="1:7">
      <c r="A36" s="66">
        <v>1992</v>
      </c>
      <c r="B36" s="28">
        <f t="shared" si="0"/>
        <v>93.561325870211618</v>
      </c>
      <c r="C36" s="28">
        <f>'18a'!C36*'18a'!D36/'17a'!D36+'19a'!C36*'19a'!D36/'17a'!D36+'20a'!C36*'20a'!D36/'17a'!D36</f>
        <v>96.550559566787001</v>
      </c>
      <c r="D36" s="56">
        <f>'18a'!D36+'19a'!D36+'20a'!D36</f>
        <v>554</v>
      </c>
      <c r="E36" s="58">
        <f t="shared" si="1"/>
        <v>96.90397061395835</v>
      </c>
      <c r="F36" s="56">
        <f>'18a'!F36+'19a'!F36+'20a'!F36</f>
        <v>11194.2</v>
      </c>
      <c r="G36" s="28">
        <f>F36/'17'!K37*100</f>
        <v>81.03928822222062</v>
      </c>
    </row>
    <row r="37" spans="1:7">
      <c r="A37" s="66">
        <v>1993</v>
      </c>
      <c r="B37" s="28">
        <f t="shared" si="0"/>
        <v>97.997393737974434</v>
      </c>
      <c r="C37" s="28">
        <f>'18a'!C37*'18a'!D37/'17a'!D37+'19a'!C37*'19a'!D37/'17a'!D37+'20a'!C37*'20a'!D37/'17a'!D37</f>
        <v>97.401095271209996</v>
      </c>
      <c r="D37" s="56">
        <f>'18a'!D37+'19a'!D37+'20a'!D37</f>
        <v>575.20000000000005</v>
      </c>
      <c r="E37" s="58">
        <f t="shared" si="1"/>
        <v>100.61220920062969</v>
      </c>
      <c r="F37" s="56">
        <f>'18a'!F37+'19a'!F37+'20a'!F37</f>
        <v>11821.900000000001</v>
      </c>
      <c r="G37" s="28">
        <f>F37/'17'!K38*100</f>
        <v>69.042668753577161</v>
      </c>
    </row>
    <row r="38" spans="1:7">
      <c r="A38" s="66">
        <v>1994</v>
      </c>
      <c r="B38" s="28">
        <f t="shared" si="0"/>
        <v>104.16541892601015</v>
      </c>
      <c r="C38" s="28">
        <f>'18a'!C38*'18a'!D38/'17a'!D38+'19a'!C38*'19a'!D38/'17a'!D38+'20a'!C38*'20a'!D38/'17a'!D38</f>
        <v>97.769446724675745</v>
      </c>
      <c r="D38" s="56">
        <f>'18a'!D38+'19a'!D38+'20a'!D38</f>
        <v>609.1</v>
      </c>
      <c r="E38" s="58">
        <f t="shared" si="1"/>
        <v>106.54189260101452</v>
      </c>
      <c r="F38" s="56">
        <f>'18a'!F38+'19a'!F38+'20a'!F38</f>
        <v>12531.4</v>
      </c>
      <c r="G38" s="28">
        <f>F38/'17'!K39*100</f>
        <v>58.807187472136569</v>
      </c>
    </row>
    <row r="39" spans="1:7">
      <c r="A39" s="66">
        <v>1995</v>
      </c>
      <c r="B39" s="28">
        <f t="shared" si="0"/>
        <v>110.66461430820358</v>
      </c>
      <c r="C39" s="28">
        <f>'18a'!C39*'18a'!D39/'17a'!D39+'19a'!C39*'19a'!D39/'17a'!D39+'20a'!C39*'20a'!D39/'17a'!D39</f>
        <v>98.103519925569827</v>
      </c>
      <c r="D39" s="56">
        <f>'18a'!D39+'19a'!D39+'20a'!D39</f>
        <v>644.90000000000009</v>
      </c>
      <c r="E39" s="58">
        <f t="shared" si="1"/>
        <v>112.80391813888404</v>
      </c>
      <c r="F39" s="56">
        <f>'18a'!F39+'19a'!F39+'20a'!F39</f>
        <v>13684.8</v>
      </c>
      <c r="G39" s="28">
        <f>F39/'17'!K40*100</f>
        <v>49.793147111154774</v>
      </c>
    </row>
    <row r="40" spans="1:7">
      <c r="A40" s="66">
        <v>1996</v>
      </c>
      <c r="B40" s="28">
        <f t="shared" si="0"/>
        <v>107.55340213398632</v>
      </c>
      <c r="C40" s="28">
        <f>'18a'!C40*'18a'!D40/'17a'!D40+'19a'!C40*'19a'!D40/'17a'!D40+'20a'!C40*'20a'!D40/'17a'!D40</f>
        <v>98.365509518477054</v>
      </c>
      <c r="D40" s="56">
        <f>'18a'!D40+'19a'!D40+'20a'!D40</f>
        <v>625.09999999999991</v>
      </c>
      <c r="E40" s="58">
        <f t="shared" si="1"/>
        <v>109.34056323246455</v>
      </c>
      <c r="F40" s="56">
        <f>'18a'!F40+'19a'!F40+'20a'!F40</f>
        <v>13778.9</v>
      </c>
      <c r="G40" s="28">
        <f>F40/'17'!K41*100</f>
        <v>53.700903400809082</v>
      </c>
    </row>
    <row r="41" spans="1:7">
      <c r="A41" s="66">
        <v>1997</v>
      </c>
      <c r="B41" s="28">
        <f t="shared" si="0"/>
        <v>109.29807591394088</v>
      </c>
      <c r="C41" s="28">
        <f>'18a'!C41*'18a'!D41/'17a'!D41+'19a'!C41*'19a'!D41/'17a'!D41+'20a'!C41*'20a'!D41/'17a'!D41</f>
        <v>98.97942341200698</v>
      </c>
      <c r="D41" s="56">
        <f>'18a'!D41+'19a'!D41+'20a'!D41</f>
        <v>631.29999999999995</v>
      </c>
      <c r="E41" s="58">
        <f t="shared" si="1"/>
        <v>110.42504810215146</v>
      </c>
      <c r="F41" s="56">
        <f>'18a'!F41+'19a'!F41+'20a'!F41</f>
        <v>14359.9</v>
      </c>
      <c r="G41" s="28">
        <f>F41/'17'!K42*100</f>
        <v>56.296334048150179</v>
      </c>
    </row>
    <row r="42" spans="1:7">
      <c r="A42" s="66">
        <v>1998</v>
      </c>
      <c r="B42" s="28">
        <f t="shared" si="0"/>
        <v>104.15249256603113</v>
      </c>
      <c r="C42" s="28">
        <f>'18a'!C42*'18a'!D42/'17a'!D42+'19a'!C42*'19a'!D42/'17a'!D42+'20a'!C42*'20a'!D42/'17a'!D42</f>
        <v>99.438844355377412</v>
      </c>
      <c r="D42" s="56">
        <f>'18a'!D42+'19a'!D42+'20a'!D42</f>
        <v>598.80000000000007</v>
      </c>
      <c r="E42" s="58">
        <f t="shared" si="1"/>
        <v>104.74024838201854</v>
      </c>
      <c r="F42" s="56">
        <f>'18a'!F42+'19a'!F42+'20a'!F42</f>
        <v>13965.3</v>
      </c>
      <c r="G42" s="28">
        <f>F42/'17'!K43*100</f>
        <v>53.154569329730137</v>
      </c>
    </row>
    <row r="43" spans="1:7">
      <c r="A43" s="66">
        <v>1999</v>
      </c>
      <c r="B43" s="28">
        <f t="shared" si="0"/>
        <v>111.87860766136083</v>
      </c>
      <c r="C43" s="28">
        <f>'18a'!C43*'18a'!D43/'17a'!D43+'19a'!C43*'19a'!D43/'17a'!D43+'20a'!C43*'20a'!D43/'17a'!D43</f>
        <v>99.565691158156909</v>
      </c>
      <c r="D43" s="56">
        <f>'18a'!D43+'19a'!D43+'20a'!D43</f>
        <v>642.4</v>
      </c>
      <c r="E43" s="58">
        <f t="shared" si="1"/>
        <v>112.36662585271995</v>
      </c>
      <c r="F43" s="56">
        <f>'18a'!F43+'19a'!F43+'20a'!F43</f>
        <v>15196.5</v>
      </c>
      <c r="G43" s="28">
        <f>F43/'17'!K44*100</f>
        <v>52.678376439022877</v>
      </c>
    </row>
    <row r="44" spans="1:7">
      <c r="A44" s="66">
        <v>2000</v>
      </c>
      <c r="B44" s="28">
        <f t="shared" si="0"/>
        <v>111.23017316774532</v>
      </c>
      <c r="C44" s="28">
        <f>'18a'!C44*'18a'!D44/'17a'!D44+'19a'!C44*'19a'!D44/'17a'!D44+'20a'!C44*'20a'!D44/'17a'!D44</f>
        <v>100.14218897637797</v>
      </c>
      <c r="D44" s="56">
        <f>'18a'!D44+'19a'!D44+'20a'!D44</f>
        <v>635</v>
      </c>
      <c r="E44" s="58">
        <f t="shared" si="1"/>
        <v>111.0722406856743</v>
      </c>
      <c r="F44" s="56">
        <f>'18a'!F44+'19a'!F44+'20a'!F44</f>
        <v>15982.9</v>
      </c>
      <c r="G44" s="28">
        <f>F44/'17'!K45*100</f>
        <v>49.524213814066911</v>
      </c>
    </row>
    <row r="45" spans="1:7">
      <c r="A45" s="66">
        <v>2001</v>
      </c>
      <c r="B45" s="28">
        <f t="shared" si="0"/>
        <v>103.01018016442187</v>
      </c>
      <c r="C45" s="28">
        <f>'18a'!C45*'18a'!D45/'17a'!D45+'19a'!C45*'19a'!D45/'17a'!D45+'20a'!C45*'20a'!D45/'17a'!D45</f>
        <v>100.35944103612815</v>
      </c>
      <c r="D45" s="56">
        <f>'18a'!D45+'19a'!D45+'20a'!D45</f>
        <v>586.79999999999995</v>
      </c>
      <c r="E45" s="58">
        <f t="shared" si="1"/>
        <v>102.64124540843098</v>
      </c>
      <c r="F45" s="56">
        <f>'18a'!F45+'19a'!F45+'20a'!F45</f>
        <v>15883.9</v>
      </c>
      <c r="G45" s="28">
        <f>F45/'17'!K46*100</f>
        <v>52.97599989327356</v>
      </c>
    </row>
    <row r="46" spans="1:7">
      <c r="A46" s="66">
        <v>2002</v>
      </c>
      <c r="B46" s="28">
        <f t="shared" si="0"/>
        <v>100</v>
      </c>
      <c r="C46" s="28">
        <f>'18a'!C46*'18a'!D46/'17a'!D46+'19a'!C46*'19a'!D46/'17a'!D46+'20a'!C46*'20a'!D46/'17a'!D46</f>
        <v>100</v>
      </c>
      <c r="D46" s="56">
        <f>'18a'!D46+'19a'!D46+'20a'!D46</f>
        <v>571.70000000000005</v>
      </c>
      <c r="E46" s="58">
        <f t="shared" si="1"/>
        <v>100</v>
      </c>
      <c r="F46" s="56">
        <f>'18a'!F46+'19a'!F46+'20a'!F46</f>
        <v>16370.099999999999</v>
      </c>
      <c r="G46" s="28">
        <f>F46/'17'!K47*100</f>
        <v>55.045344039705036</v>
      </c>
    </row>
    <row r="47" spans="1:7">
      <c r="A47" s="66">
        <v>2003</v>
      </c>
      <c r="B47" s="28">
        <f t="shared" si="0"/>
        <v>100.79940528249082</v>
      </c>
      <c r="C47" s="28">
        <f>'18a'!C47*'18a'!D47/'17a'!D47+'19a'!C47*'19a'!D47/'17a'!D47+'20a'!C47*'20a'!D47/'17a'!D47</f>
        <v>100.65855021834062</v>
      </c>
      <c r="D47" s="56">
        <f>'18a'!D47+'19a'!D47+'20a'!D47</f>
        <v>572.5</v>
      </c>
      <c r="E47" s="58">
        <f t="shared" si="1"/>
        <v>100.1399335315725</v>
      </c>
      <c r="F47" s="56">
        <f>'18a'!F47+'19a'!F47+'20a'!F47</f>
        <v>16675.3</v>
      </c>
      <c r="G47" s="28">
        <f>F47/'17'!K48*100</f>
        <v>60.355211628529858</v>
      </c>
    </row>
    <row r="48" spans="1:7">
      <c r="A48" s="66">
        <v>2004</v>
      </c>
      <c r="B48" s="28">
        <f>C48*E48/100</f>
        <v>102.00388315550113</v>
      </c>
      <c r="C48" s="28">
        <f>'18a'!C48*'18a'!D48/'17a'!D48+'19a'!C48*'19a'!D48/'17a'!D48+'20a'!C48*'20a'!D48/'17a'!D48</f>
        <v>101.17213740458016</v>
      </c>
      <c r="D48" s="56">
        <f>'18a'!D48+'19a'!D48+'20a'!D48</f>
        <v>576.4</v>
      </c>
      <c r="E48" s="58">
        <f t="shared" si="1"/>
        <v>100.82210949798845</v>
      </c>
      <c r="F48" s="56">
        <f>'18a'!F48+'19a'!F48+'20a'!F48</f>
        <v>17696.600000000002</v>
      </c>
      <c r="G48" s="28">
        <f>F48/'17'!K49*100</f>
        <v>56.87664716847722</v>
      </c>
    </row>
    <row r="49" spans="1:13">
      <c r="A49" s="66">
        <v>2005</v>
      </c>
      <c r="B49" s="28">
        <f t="shared" ref="B49:B52" si="2">C49*E49/100</f>
        <v>99.771103725730256</v>
      </c>
      <c r="C49" s="28">
        <f>'18a'!C49*'18a'!D49/'17a'!D49+'19a'!C49*'19a'!D49/'17a'!D49+'20a'!C49*'20a'!D49/'17a'!D49</f>
        <v>102.00132331902716</v>
      </c>
      <c r="D49" s="56">
        <f>'18a'!D49+'19a'!D49+'20a'!D49</f>
        <v>559.20000000000005</v>
      </c>
      <c r="E49" s="58">
        <f t="shared" ref="E49:E52" si="3">D49/D$46*100</f>
        <v>97.813538569179642</v>
      </c>
      <c r="F49" s="56">
        <f>'18a'!F49+'19a'!F49+'20a'!F49</f>
        <v>18314</v>
      </c>
      <c r="G49" s="28">
        <f>F49/'17'!K50*100</f>
        <v>61.410009221225579</v>
      </c>
    </row>
    <row r="50" spans="1:13">
      <c r="A50" s="66">
        <v>2006</v>
      </c>
      <c r="B50" s="28">
        <f t="shared" si="2"/>
        <v>93.474374672030748</v>
      </c>
      <c r="C50" s="28">
        <f>'18a'!C50*'18a'!D50/'17a'!D50+'19a'!C50*'19a'!D50/'17a'!D50+'20a'!C50*'20a'!D50/'17a'!D50</f>
        <v>101.49914529914528</v>
      </c>
      <c r="D50" s="56">
        <f>'18a'!D50+'19a'!D50+'20a'!D50</f>
        <v>526.5</v>
      </c>
      <c r="E50" s="58">
        <f t="shared" si="3"/>
        <v>92.093755466153567</v>
      </c>
      <c r="F50" s="56">
        <f>'18a'!F50+'19a'!F50+'20a'!F50</f>
        <v>17450.599999999999</v>
      </c>
      <c r="G50" s="28">
        <f>F50/'17'!K51*100</f>
        <v>63.703200747619881</v>
      </c>
    </row>
    <row r="51" spans="1:13">
      <c r="A51" s="66">
        <v>2007</v>
      </c>
      <c r="B51" s="28">
        <f t="shared" si="2"/>
        <v>87.578362777680596</v>
      </c>
      <c r="C51" s="28">
        <f>'18a'!C51*'18a'!D51/'17a'!D51+'19a'!C51*'19a'!D51/'17a'!D51+'20a'!C51*'20a'!D51/'17a'!D51</f>
        <v>102.49447287615149</v>
      </c>
      <c r="D51" s="56">
        <f>'18a'!D51+'19a'!D51+'20a'!D51</f>
        <v>488.5</v>
      </c>
      <c r="E51" s="58">
        <f t="shared" si="3"/>
        <v>85.446912716459678</v>
      </c>
      <c r="F51" s="56">
        <f>'18a'!F51+'19a'!F51+'20a'!F51</f>
        <v>16376</v>
      </c>
      <c r="G51" s="28">
        <f>F51/'17'!K52*100</f>
        <v>66.661510467762213</v>
      </c>
    </row>
    <row r="52" spans="1:13">
      <c r="A52" s="66">
        <v>2008</v>
      </c>
      <c r="B52" s="28">
        <f t="shared" si="2"/>
        <v>76.782683225467892</v>
      </c>
      <c r="C52" s="28">
        <f>'18a'!C52*'18a'!D52/'17a'!D52+'19a'!C52*'19a'!D52/'17a'!D52+'20a'!C52*'20a'!D52/'17a'!D52</f>
        <v>102.971287825475</v>
      </c>
      <c r="D52" s="56">
        <f>'18a'!D52+'19a'!D52+'20a'!D52</f>
        <v>426.3</v>
      </c>
      <c r="E52" s="58">
        <f t="shared" si="3"/>
        <v>74.567080636697568</v>
      </c>
      <c r="F52" s="56">
        <f>'18a'!F52+'19a'!F52+'20a'!F52</f>
        <v>14747.3</v>
      </c>
      <c r="G52" s="28">
        <f>F52/'17'!K53*100</f>
        <v>67.442434774655297</v>
      </c>
    </row>
    <row r="53" spans="1:13">
      <c r="A53" s="66"/>
      <c r="D53" s="32"/>
      <c r="E53" s="32"/>
      <c r="F53" s="32"/>
      <c r="G53" s="32"/>
    </row>
    <row r="54" spans="1:13">
      <c r="A54" s="66" t="s">
        <v>23</v>
      </c>
    </row>
    <row r="55" spans="1:13">
      <c r="A55" s="64" t="s">
        <v>2118</v>
      </c>
      <c r="B55" s="67">
        <f>((B52/B5)^(1/47)-1)*100</f>
        <v>-0.2713522528904222</v>
      </c>
      <c r="C55" s="67">
        <f t="shared" ref="C55:G55" si="4">((C52/C5)^(1/47)-1)*100</f>
        <v>0.55235272331970453</v>
      </c>
      <c r="D55" s="67">
        <f t="shared" si="4"/>
        <v>-0.81918021200024782</v>
      </c>
      <c r="E55" s="67">
        <f t="shared" si="4"/>
        <v>-0.81918021200024782</v>
      </c>
      <c r="F55" s="67">
        <f t="shared" si="4"/>
        <v>5.569944692360318</v>
      </c>
      <c r="G55" s="67">
        <f t="shared" si="4"/>
        <v>8.7791544051740722E-2</v>
      </c>
      <c r="H55" s="67"/>
      <c r="I55" s="67"/>
      <c r="J55" s="67"/>
      <c r="K55" s="67"/>
      <c r="L55" s="67"/>
      <c r="M55" s="67"/>
    </row>
    <row r="56" spans="1:13">
      <c r="A56" s="68" t="s">
        <v>1031</v>
      </c>
      <c r="B56" s="67">
        <f>((B17/B5)^(1/12)-1)*100</f>
        <v>2.1213209411847345</v>
      </c>
      <c r="C56" s="67">
        <f t="shared" ref="C56:G56" si="5">((C17/C5)^(1/12)-1)*100</f>
        <v>0.70263212589363189</v>
      </c>
      <c r="D56" s="67">
        <f t="shared" si="5"/>
        <v>1.4087902027402288</v>
      </c>
      <c r="E56" s="67">
        <f t="shared" si="5"/>
        <v>1.4087902027402288</v>
      </c>
      <c r="F56" s="67">
        <f t="shared" si="5"/>
        <v>8.7791665148732712</v>
      </c>
      <c r="G56" s="67">
        <f t="shared" si="5"/>
        <v>-0.14173635122856076</v>
      </c>
      <c r="H56" s="67"/>
      <c r="I56" s="67"/>
      <c r="J56" s="67"/>
      <c r="K56" s="67"/>
      <c r="L56" s="67"/>
      <c r="M56" s="67"/>
    </row>
    <row r="57" spans="1:13">
      <c r="A57" s="68" t="s">
        <v>1032</v>
      </c>
      <c r="B57" s="67">
        <f>((B25/B17)^(1/8)-1)*100</f>
        <v>-0.37186511417875989</v>
      </c>
      <c r="C57" s="67">
        <f t="shared" ref="C57:G57" si="6">((C25/C17)^(1/8)-1)*100</f>
        <v>0.52046922744932722</v>
      </c>
      <c r="D57" s="67">
        <f t="shared" si="6"/>
        <v>-0.88771406310189649</v>
      </c>
      <c r="E57" s="67">
        <f t="shared" si="6"/>
        <v>-0.88771406310188539</v>
      </c>
      <c r="F57" s="67">
        <f t="shared" si="6"/>
        <v>11.586515548740062</v>
      </c>
      <c r="G57" s="67">
        <f t="shared" si="6"/>
        <v>1.3813820752563322</v>
      </c>
      <c r="H57" s="67"/>
      <c r="I57" s="67"/>
      <c r="J57" s="67"/>
      <c r="K57" s="67"/>
      <c r="L57" s="67"/>
      <c r="M57" s="67"/>
    </row>
    <row r="58" spans="1:13">
      <c r="A58" s="69" t="s">
        <v>1783</v>
      </c>
      <c r="B58" s="67">
        <f>((B52/B25)^(1/27)-1)*100</f>
        <v>-1.287200623275675</v>
      </c>
      <c r="C58" s="67">
        <f t="shared" ref="C58:G58" si="7">((C52/C25)^(1/27)-1)*100</f>
        <v>0.49507651752276338</v>
      </c>
      <c r="D58" s="67">
        <f t="shared" si="7"/>
        <v>-1.7734969737424722</v>
      </c>
      <c r="E58" s="67">
        <f t="shared" si="7"/>
        <v>-1.7734969737424722</v>
      </c>
      <c r="F58" s="67">
        <f t="shared" si="7"/>
        <v>2.4773363367809775</v>
      </c>
      <c r="G58" s="67">
        <f t="shared" si="7"/>
        <v>-0.19052155685367334</v>
      </c>
      <c r="H58" s="67"/>
      <c r="I58" s="67"/>
      <c r="J58" s="67"/>
      <c r="K58" s="67"/>
      <c r="L58" s="67"/>
      <c r="M58" s="67"/>
    </row>
    <row r="59" spans="1:13">
      <c r="A59" s="68" t="s">
        <v>25</v>
      </c>
      <c r="B59" s="67">
        <f>((B33/B25)^(1/8)-1)*100</f>
        <v>-1.6953728145763236E-2</v>
      </c>
      <c r="C59" s="67">
        <f t="shared" ref="C59:G59" si="8">((C33/C25)^(1/8)-1)*100</f>
        <v>0.66733347006757704</v>
      </c>
      <c r="D59" s="67">
        <f t="shared" si="8"/>
        <v>-0.67975099232842062</v>
      </c>
      <c r="E59" s="67">
        <f t="shared" si="8"/>
        <v>-0.67975099232842062</v>
      </c>
      <c r="F59" s="67">
        <f t="shared" si="8"/>
        <v>5.0615876114082026</v>
      </c>
      <c r="G59" s="67">
        <f t="shared" si="8"/>
        <v>-1.9591236389413846</v>
      </c>
      <c r="H59" s="65"/>
      <c r="I59" s="65"/>
      <c r="J59" s="65"/>
      <c r="K59" s="65"/>
      <c r="L59" s="65"/>
      <c r="M59" s="65"/>
    </row>
    <row r="60" spans="1:13">
      <c r="A60" s="69" t="s">
        <v>2134</v>
      </c>
      <c r="B60" s="65">
        <f>((B52/B30)^(1/22)-1)*100</f>
        <v>-1.2420125965071582</v>
      </c>
      <c r="C60" s="65">
        <f t="shared" ref="C60:G60" si="9">((C52/C30)^(1/22)-1)*100</f>
        <v>0.43614776144620393</v>
      </c>
      <c r="D60" s="65">
        <f t="shared" si="9"/>
        <v>-1.6708728832763309</v>
      </c>
      <c r="E60" s="65">
        <f t="shared" si="9"/>
        <v>-1.6708728832763309</v>
      </c>
      <c r="F60" s="65">
        <f t="shared" si="9"/>
        <v>2.0458405267948621</v>
      </c>
      <c r="G60" s="65">
        <f t="shared" si="9"/>
        <v>7.3277054695619626E-2</v>
      </c>
      <c r="H60" s="65"/>
      <c r="I60" s="65"/>
      <c r="J60" s="65"/>
      <c r="K60" s="65"/>
      <c r="L60" s="65"/>
      <c r="M60" s="65"/>
    </row>
    <row r="61" spans="1:13">
      <c r="A61" s="69" t="s">
        <v>26</v>
      </c>
      <c r="B61" s="65">
        <f>((B44/B33)^(1/11)-1)*100</f>
        <v>0.20182719949546346</v>
      </c>
      <c r="C61" s="65">
        <f t="shared" ref="C61:G61" si="10">((C44/C33)^(1/11)-1)*100</f>
        <v>0.47633456166038535</v>
      </c>
      <c r="D61" s="65">
        <f t="shared" si="10"/>
        <v>-0.27320598762134995</v>
      </c>
      <c r="E61" s="65">
        <f t="shared" si="10"/>
        <v>-0.27320598762134995</v>
      </c>
      <c r="F61" s="65">
        <f t="shared" si="10"/>
        <v>3.1971072506412845</v>
      </c>
      <c r="G61" s="65">
        <f t="shared" si="10"/>
        <v>-1.8197576213820343</v>
      </c>
      <c r="H61" s="65"/>
      <c r="I61" s="65"/>
      <c r="J61" s="65"/>
      <c r="K61" s="65"/>
      <c r="L61" s="65"/>
      <c r="M61" s="65"/>
    </row>
    <row r="62" spans="1:13">
      <c r="A62" s="69" t="s">
        <v>1779</v>
      </c>
      <c r="B62" s="65">
        <f>((B52/B44)^(1/8)-1)*100</f>
        <v>-4.527106722618135</v>
      </c>
      <c r="C62" s="65">
        <f t="shared" ref="C62:G62" si="11">((C52/C44)^(1/8)-1)*100</f>
        <v>0.34884611378587227</v>
      </c>
      <c r="D62" s="65">
        <f t="shared" si="11"/>
        <v>-4.8590023953789636</v>
      </c>
      <c r="E62" s="65">
        <f t="shared" si="11"/>
        <v>-4.8590023953789636</v>
      </c>
      <c r="F62" s="65">
        <f t="shared" si="11"/>
        <v>-1.0007016440340633</v>
      </c>
      <c r="G62" s="65">
        <f t="shared" si="11"/>
        <v>3.9356308336052415</v>
      </c>
      <c r="H62" s="65"/>
      <c r="I62" s="65"/>
      <c r="J62" s="65"/>
      <c r="K62" s="65"/>
      <c r="L62" s="65"/>
      <c r="M62" s="65"/>
    </row>
    <row r="64" spans="1:13" ht="30" customHeight="1">
      <c r="A64" s="104" t="s">
        <v>1012</v>
      </c>
      <c r="B64" s="104"/>
      <c r="C64" s="104"/>
      <c r="D64" s="104"/>
      <c r="E64" s="104"/>
      <c r="F64" s="104"/>
    </row>
  </sheetData>
  <mergeCells count="5">
    <mergeCell ref="A1:G1"/>
    <mergeCell ref="A2:A3"/>
    <mergeCell ref="D2:E2"/>
    <mergeCell ref="B3:C3"/>
    <mergeCell ref="A64:F64"/>
  </mergeCells>
  <pageMargins left="0.70866141732283472" right="0.70866141732283472" top="0.74803149606299213" bottom="0.74803149606299213" header="0.31496062992125984" footer="0.31496062992125984"/>
  <pageSetup scale="87" orientation="portrait" horizontalDpi="0" verticalDpi="0" r:id="rId1"/>
</worksheet>
</file>

<file path=xl/worksheets/sheet114.xml><?xml version="1.0" encoding="utf-8"?>
<worksheet xmlns="http://schemas.openxmlformats.org/spreadsheetml/2006/main" xmlns:r="http://schemas.openxmlformats.org/officeDocument/2006/relationships">
  <sheetPr codeName="Sheet107"/>
  <dimension ref="A1:M65"/>
  <sheetViews>
    <sheetView view="pageBreakPreview" zoomScaleNormal="70" zoomScaleSheetLayoutView="100"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2" style="64" customWidth="1"/>
    <col min="2" max="2" width="7.7109375" style="64" customWidth="1"/>
    <col min="3" max="3" width="13.42578125" style="64" customWidth="1"/>
    <col min="4" max="6" width="9.28515625" style="64" bestFit="1" customWidth="1"/>
    <col min="7" max="7" width="9.28515625" style="64" customWidth="1"/>
    <col min="8" max="8" width="9.140625" style="64" customWidth="1"/>
    <col min="9" max="9" width="13.5703125" style="64" customWidth="1"/>
    <col min="10" max="10" width="8.5703125" style="64" customWidth="1"/>
    <col min="11" max="11" width="9.85546875" style="64" customWidth="1"/>
    <col min="12" max="12" width="9.42578125" style="64" customWidth="1"/>
    <col min="13" max="16384" width="9.140625" style="64"/>
  </cols>
  <sheetData>
    <row r="1" spans="1:12">
      <c r="A1" s="66" t="s">
        <v>2159</v>
      </c>
    </row>
    <row r="2" spans="1:12" ht="15" customHeight="1">
      <c r="A2" s="96"/>
      <c r="B2" s="97" t="s">
        <v>834</v>
      </c>
      <c r="C2" s="105" t="s">
        <v>128</v>
      </c>
      <c r="D2" s="106"/>
      <c r="E2" s="106"/>
      <c r="F2" s="106"/>
      <c r="G2" s="97" t="s">
        <v>1084</v>
      </c>
      <c r="H2" s="97" t="s">
        <v>841</v>
      </c>
      <c r="I2" s="107" t="s">
        <v>1008</v>
      </c>
      <c r="J2" s="107"/>
      <c r="K2" s="107"/>
      <c r="L2" s="107"/>
    </row>
    <row r="3" spans="1:12" ht="45">
      <c r="A3" s="96"/>
      <c r="B3" s="97"/>
      <c r="C3" s="73" t="s">
        <v>1007</v>
      </c>
      <c r="D3" s="73" t="s">
        <v>124</v>
      </c>
      <c r="E3" s="73" t="s">
        <v>125</v>
      </c>
      <c r="F3" s="75" t="s">
        <v>126</v>
      </c>
      <c r="G3" s="97"/>
      <c r="H3" s="97"/>
      <c r="I3" s="73" t="s">
        <v>1007</v>
      </c>
      <c r="J3" s="73" t="s">
        <v>124</v>
      </c>
      <c r="K3" s="73" t="s">
        <v>125</v>
      </c>
      <c r="L3" s="73" t="s">
        <v>126</v>
      </c>
    </row>
    <row r="4" spans="1:12" ht="30">
      <c r="A4" s="96"/>
      <c r="B4" s="98" t="s">
        <v>844</v>
      </c>
      <c r="C4" s="100"/>
      <c r="D4" s="100"/>
      <c r="E4" s="100"/>
      <c r="F4" s="100"/>
      <c r="G4" s="73" t="s">
        <v>784</v>
      </c>
      <c r="H4" s="97" t="s">
        <v>1002</v>
      </c>
      <c r="I4" s="97"/>
      <c r="J4" s="97"/>
      <c r="K4" s="97"/>
      <c r="L4" s="97"/>
    </row>
    <row r="5" spans="1:12" hidden="1" outlineLevel="1"/>
    <row r="6" spans="1:12" collapsed="1">
      <c r="A6" s="66">
        <v>1961</v>
      </c>
      <c r="B6" s="28"/>
      <c r="C6" s="28">
        <f>I6/I$47*100</f>
        <v>4.3128875270017248</v>
      </c>
      <c r="D6" s="28">
        <f t="shared" ref="D6:F21" si="0">J6/J$47*100</f>
        <v>3.5743079817253429</v>
      </c>
      <c r="E6" s="28">
        <f t="shared" si="0"/>
        <v>4.4926014847258076</v>
      </c>
      <c r="F6" s="28">
        <f t="shared" si="0"/>
        <v>3.773136165866898</v>
      </c>
      <c r="G6" s="28">
        <f>H6/'17'!K6*100</f>
        <v>35.282574568288858</v>
      </c>
      <c r="H6" s="56">
        <f>'18b'!H6+'19b'!H6+'20b'!H6</f>
        <v>629.29999999999995</v>
      </c>
      <c r="I6" s="56">
        <f>'18b'!I6+'19b'!I6+'20b'!I6</f>
        <v>2218.1999999999998</v>
      </c>
      <c r="J6" s="56">
        <f>'18b'!J6+'19b'!J6+'20b'!J6</f>
        <v>159.60000000000002</v>
      </c>
      <c r="K6" s="56">
        <f>'18b'!K6+'19b'!K6+'20b'!K6</f>
        <v>1788.9</v>
      </c>
      <c r="L6" s="56">
        <f>'18b'!L6+'19b'!L6+'20b'!L6</f>
        <v>269.7</v>
      </c>
    </row>
    <row r="7" spans="1:12" hidden="1" outlineLevel="1">
      <c r="A7" s="66">
        <v>1962</v>
      </c>
      <c r="B7" s="28"/>
      <c r="C7" s="28">
        <f t="shared" ref="C7:C49" si="1">I7/I$47*100</f>
        <v>4.5734262199140998</v>
      </c>
      <c r="D7" s="28">
        <f t="shared" si="0"/>
        <v>3.820657529337991</v>
      </c>
      <c r="E7" s="28">
        <f t="shared" si="0"/>
        <v>4.7721176931499691</v>
      </c>
      <c r="F7" s="28">
        <f t="shared" si="0"/>
        <v>3.9368206046531151</v>
      </c>
      <c r="G7" s="28">
        <f>H7/'17'!K7*100</f>
        <v>35.192347898808272</v>
      </c>
      <c r="H7" s="56">
        <f>'18b'!H7+'19b'!H7+'20b'!H7</f>
        <v>673.3</v>
      </c>
      <c r="I7" s="56">
        <f>'18b'!I7+'19b'!I7+'20b'!I7</f>
        <v>2352.1999999999998</v>
      </c>
      <c r="J7" s="56">
        <f>'18b'!J7+'19b'!J7+'20b'!J7</f>
        <v>170.6</v>
      </c>
      <c r="K7" s="56">
        <f>'18b'!K7+'19b'!K7+'20b'!K7</f>
        <v>1900.2</v>
      </c>
      <c r="L7" s="56">
        <f>'18b'!L7+'19b'!L7+'20b'!L7</f>
        <v>281.39999999999998</v>
      </c>
    </row>
    <row r="8" spans="1:12" hidden="1" outlineLevel="1">
      <c r="A8" s="66">
        <v>1963</v>
      </c>
      <c r="B8" s="28"/>
      <c r="C8" s="28">
        <f t="shared" si="1"/>
        <v>4.8502971890985958</v>
      </c>
      <c r="D8" s="28">
        <f t="shared" si="0"/>
        <v>3.9617486338797812</v>
      </c>
      <c r="E8" s="28">
        <f t="shared" si="0"/>
        <v>5.0915647884918682</v>
      </c>
      <c r="F8" s="28">
        <f t="shared" si="0"/>
        <v>4.0585346745197901</v>
      </c>
      <c r="G8" s="28">
        <f>H8/'17'!K8*100</f>
        <v>35.972917279952895</v>
      </c>
      <c r="H8" s="56">
        <f>'18b'!H8+'19b'!H8+'20b'!H8</f>
        <v>733.2</v>
      </c>
      <c r="I8" s="56">
        <f>'18b'!I8+'19b'!I8+'20b'!I8</f>
        <v>2494.6000000000004</v>
      </c>
      <c r="J8" s="56">
        <f>'18b'!J8+'19b'!J8+'20b'!J8</f>
        <v>176.9</v>
      </c>
      <c r="K8" s="56">
        <f>'18b'!K8+'19b'!K8+'20b'!K8</f>
        <v>2027.4</v>
      </c>
      <c r="L8" s="56">
        <f>'18b'!L8+'19b'!L8+'20b'!L8</f>
        <v>290.10000000000002</v>
      </c>
    </row>
    <row r="9" spans="1:12" hidden="1" outlineLevel="1">
      <c r="A9" s="66">
        <v>1964</v>
      </c>
      <c r="B9" s="28"/>
      <c r="C9" s="28">
        <f t="shared" si="1"/>
        <v>5.440592317219469</v>
      </c>
      <c r="D9" s="28">
        <f t="shared" si="0"/>
        <v>4.3379915793245534</v>
      </c>
      <c r="E9" s="28">
        <f t="shared" si="0"/>
        <v>5.738997659397068</v>
      </c>
      <c r="F9" s="28">
        <f t="shared" si="0"/>
        <v>4.4656472530393545</v>
      </c>
      <c r="G9" s="28">
        <f>H9/'17'!K9*100</f>
        <v>36.459780416760026</v>
      </c>
      <c r="H9" s="56">
        <f>'18b'!H9+'19b'!H9+'20b'!H9</f>
        <v>813.59999999999991</v>
      </c>
      <c r="I9" s="56">
        <f>'18b'!I9+'19b'!I9+'20b'!I9</f>
        <v>2798.2</v>
      </c>
      <c r="J9" s="56">
        <f>'18b'!J9+'19b'!J9+'20b'!J9</f>
        <v>193.7</v>
      </c>
      <c r="K9" s="56">
        <f>'18b'!K9+'19b'!K9+'20b'!K9</f>
        <v>2285.1999999999998</v>
      </c>
      <c r="L9" s="56">
        <f>'18b'!L9+'19b'!L9+'20b'!L9</f>
        <v>319.2</v>
      </c>
    </row>
    <row r="10" spans="1:12" hidden="1" outlineLevel="1">
      <c r="A10" s="66">
        <v>1965</v>
      </c>
      <c r="B10" s="28"/>
      <c r="C10" s="28">
        <f t="shared" si="1"/>
        <v>5.8679535463399182</v>
      </c>
      <c r="D10" s="28">
        <f t="shared" si="0"/>
        <v>4.6851204873241947</v>
      </c>
      <c r="E10" s="28">
        <f t="shared" si="0"/>
        <v>6.1375531156137297</v>
      </c>
      <c r="F10" s="28">
        <f t="shared" si="0"/>
        <v>5.1021978483190882</v>
      </c>
      <c r="G10" s="28">
        <f>H10/'17'!K10*100</f>
        <v>34.026611548895488</v>
      </c>
      <c r="H10" s="56">
        <f>'18b'!H10+'19b'!H10+'20b'!H10</f>
        <v>790.2</v>
      </c>
      <c r="I10" s="56">
        <f>'18b'!I10+'19b'!I10+'20b'!I10</f>
        <v>3018</v>
      </c>
      <c r="J10" s="56">
        <f>'18b'!J10+'19b'!J10+'20b'!J10</f>
        <v>209.2</v>
      </c>
      <c r="K10" s="56">
        <f>'18b'!K10+'19b'!K10+'20b'!K10</f>
        <v>2443.9</v>
      </c>
      <c r="L10" s="56">
        <f>'18b'!L10+'19b'!L10+'20b'!L10</f>
        <v>364.70000000000005</v>
      </c>
    </row>
    <row r="11" spans="1:12" hidden="1" outlineLevel="1">
      <c r="A11" s="66">
        <v>1966</v>
      </c>
      <c r="B11" s="28"/>
      <c r="C11" s="28">
        <f t="shared" si="1"/>
        <v>6.4454161716755571</v>
      </c>
      <c r="D11" s="28">
        <f t="shared" si="0"/>
        <v>4.9740213204335753</v>
      </c>
      <c r="E11" s="28">
        <f t="shared" si="0"/>
        <v>6.7613790470832864</v>
      </c>
      <c r="F11" s="28">
        <f t="shared" si="0"/>
        <v>5.6058422753536012</v>
      </c>
      <c r="G11" s="28">
        <f>H11/'17'!K11*100</f>
        <v>31.015571834594287</v>
      </c>
      <c r="H11" s="56">
        <f>'18b'!H11+'19b'!H11+'20b'!H11</f>
        <v>774.8</v>
      </c>
      <c r="I11" s="56">
        <f>'18b'!I11+'19b'!I11+'20b'!I11</f>
        <v>3315</v>
      </c>
      <c r="J11" s="56">
        <f>'18b'!J11+'19b'!J11+'20b'!J11</f>
        <v>222.10000000000002</v>
      </c>
      <c r="K11" s="56">
        <f>'18b'!K11+'19b'!K11+'20b'!K11</f>
        <v>2692.3</v>
      </c>
      <c r="L11" s="56">
        <f>'18b'!L11+'19b'!L11+'20b'!L11</f>
        <v>400.70000000000005</v>
      </c>
    </row>
    <row r="12" spans="1:12" hidden="1" outlineLevel="1">
      <c r="A12" s="66">
        <v>1967</v>
      </c>
      <c r="B12" s="28"/>
      <c r="C12" s="28">
        <f t="shared" si="1"/>
        <v>6.6826230413420475</v>
      </c>
      <c r="D12" s="28">
        <f t="shared" si="0"/>
        <v>5.2360476574397561</v>
      </c>
      <c r="E12" s="28">
        <f t="shared" si="0"/>
        <v>6.9979507167468631</v>
      </c>
      <c r="F12" s="28">
        <f t="shared" si="0"/>
        <v>5.831083255221813</v>
      </c>
      <c r="G12" s="28">
        <f>H12/'17'!K12*100</f>
        <v>26.388777232896533</v>
      </c>
      <c r="H12" s="56">
        <f>'18b'!H12+'19b'!H12+'20b'!H12</f>
        <v>656.5</v>
      </c>
      <c r="I12" s="56">
        <f>'18b'!I12+'19b'!I12+'20b'!I12</f>
        <v>3437</v>
      </c>
      <c r="J12" s="56">
        <f>'18b'!J12+'19b'!J12+'20b'!J12</f>
        <v>233.8</v>
      </c>
      <c r="K12" s="56">
        <f>'18b'!K12+'19b'!K12+'20b'!K12</f>
        <v>2786.5</v>
      </c>
      <c r="L12" s="56">
        <f>'18b'!L12+'19b'!L12+'20b'!L12</f>
        <v>416.79999999999995</v>
      </c>
    </row>
    <row r="13" spans="1:12" hidden="1" outlineLevel="1">
      <c r="A13" s="66">
        <v>1968</v>
      </c>
      <c r="B13" s="28"/>
      <c r="C13" s="28">
        <f t="shared" si="1"/>
        <v>7.3536073915216065</v>
      </c>
      <c r="D13" s="28">
        <f t="shared" si="0"/>
        <v>5.4958344531040026</v>
      </c>
      <c r="E13" s="28">
        <f t="shared" si="0"/>
        <v>7.7533727786874538</v>
      </c>
      <c r="F13" s="28">
        <f t="shared" si="0"/>
        <v>6.288560276444831</v>
      </c>
      <c r="G13" s="28">
        <f>H13/'17'!K13*100</f>
        <v>28.490419183870134</v>
      </c>
      <c r="H13" s="56">
        <f>'18b'!H13+'19b'!H13+'20b'!H13</f>
        <v>768.7</v>
      </c>
      <c r="I13" s="56">
        <f>'18b'!I13+'19b'!I13+'20b'!I13</f>
        <v>3782.1000000000004</v>
      </c>
      <c r="J13" s="56">
        <f>'18b'!J13+'19b'!J13+'20b'!J13</f>
        <v>245.39999999999998</v>
      </c>
      <c r="K13" s="56">
        <f>'18b'!K13+'19b'!K13+'20b'!K13</f>
        <v>3087.3</v>
      </c>
      <c r="L13" s="56">
        <f>'18b'!L13+'19b'!L13+'20b'!L13</f>
        <v>449.5</v>
      </c>
    </row>
    <row r="14" spans="1:12" hidden="1" outlineLevel="1">
      <c r="A14" s="66">
        <v>1969</v>
      </c>
      <c r="B14" s="28"/>
      <c r="C14" s="28">
        <f t="shared" si="1"/>
        <v>8.2814362292662747</v>
      </c>
      <c r="D14" s="28">
        <f t="shared" si="0"/>
        <v>6.0333243751679646</v>
      </c>
      <c r="E14" s="28">
        <f t="shared" si="0"/>
        <v>8.7159834048238523</v>
      </c>
      <c r="F14" s="28">
        <f t="shared" si="0"/>
        <v>7.2678688845674948</v>
      </c>
      <c r="G14" s="28">
        <f>H14/'17'!K14*100</f>
        <v>29.920616771748719</v>
      </c>
      <c r="H14" s="56">
        <f>'18b'!H14+'19b'!H14+'20b'!H14</f>
        <v>915.9</v>
      </c>
      <c r="I14" s="56">
        <f>'18b'!I14+'19b'!I14+'20b'!I14</f>
        <v>4259.3</v>
      </c>
      <c r="J14" s="56">
        <f>'18b'!J14+'19b'!J14+'20b'!J14</f>
        <v>269.39999999999998</v>
      </c>
      <c r="K14" s="56">
        <f>'18b'!K14+'19b'!K14+'20b'!K14</f>
        <v>3470.6</v>
      </c>
      <c r="L14" s="56">
        <f>'18b'!L14+'19b'!L14+'20b'!L14</f>
        <v>519.5</v>
      </c>
    </row>
    <row r="15" spans="1:12" hidden="1" outlineLevel="1">
      <c r="A15" s="66">
        <v>1970</v>
      </c>
      <c r="B15" s="28"/>
      <c r="C15" s="28">
        <f t="shared" si="1"/>
        <v>8.3037958932102462</v>
      </c>
      <c r="D15" s="28">
        <f t="shared" si="0"/>
        <v>6.1744154797097561</v>
      </c>
      <c r="E15" s="28">
        <f t="shared" si="0"/>
        <v>8.662491084613297</v>
      </c>
      <c r="F15" s="28">
        <f t="shared" si="0"/>
        <v>7.6372081310594728</v>
      </c>
      <c r="G15" s="28">
        <f>H15/'17'!K15*100</f>
        <v>25.35097736279976</v>
      </c>
      <c r="H15" s="56">
        <f>'18b'!H15+'19b'!H15+'20b'!H15</f>
        <v>754.8</v>
      </c>
      <c r="I15" s="56">
        <f>'18b'!I15+'19b'!I15+'20b'!I15</f>
        <v>4270.8</v>
      </c>
      <c r="J15" s="56">
        <f>'18b'!J15+'19b'!J15+'20b'!J15</f>
        <v>275.70000000000005</v>
      </c>
      <c r="K15" s="56">
        <f>'18b'!K15+'19b'!K15+'20b'!K15</f>
        <v>3449.2999999999997</v>
      </c>
      <c r="L15" s="56">
        <f>'18b'!L15+'19b'!L15+'20b'!L15</f>
        <v>545.9</v>
      </c>
    </row>
    <row r="16" spans="1:12" hidden="1" outlineLevel="1">
      <c r="A16" s="66">
        <v>1971</v>
      </c>
      <c r="B16" s="28"/>
      <c r="C16" s="28">
        <f t="shared" si="1"/>
        <v>8.8524826032092925</v>
      </c>
      <c r="D16" s="28">
        <f t="shared" si="0"/>
        <v>7.121741467347487</v>
      </c>
      <c r="E16" s="28">
        <f t="shared" si="0"/>
        <v>9.2152450601223546</v>
      </c>
      <c r="F16" s="28">
        <f t="shared" si="0"/>
        <v>7.9128135536311373</v>
      </c>
      <c r="G16" s="28">
        <f>H16/'17'!K16*100</f>
        <v>23.568720683672815</v>
      </c>
      <c r="H16" s="56">
        <f>'18b'!H16+'19b'!H16+'20b'!H16</f>
        <v>733.6</v>
      </c>
      <c r="I16" s="56">
        <f>'18b'!I16+'19b'!I16+'20b'!I16</f>
        <v>4553</v>
      </c>
      <c r="J16" s="56">
        <f>'18b'!J16+'19b'!J16+'20b'!J16</f>
        <v>318</v>
      </c>
      <c r="K16" s="56">
        <f>'18b'!K16+'19b'!K16+'20b'!K16</f>
        <v>3669.4</v>
      </c>
      <c r="L16" s="56">
        <f>'18b'!L16+'19b'!L16+'20b'!L16</f>
        <v>565.6</v>
      </c>
    </row>
    <row r="17" spans="1:12" hidden="1" outlineLevel="1">
      <c r="A17" s="66">
        <v>1972</v>
      </c>
      <c r="B17" s="28"/>
      <c r="C17" s="28">
        <f t="shared" si="1"/>
        <v>10.242475973082854</v>
      </c>
      <c r="D17" s="28">
        <f t="shared" si="0"/>
        <v>7.9391740571530933</v>
      </c>
      <c r="E17" s="28">
        <f t="shared" si="0"/>
        <v>10.682140094628668</v>
      </c>
      <c r="F17" s="28">
        <f t="shared" si="0"/>
        <v>9.2348801745967357</v>
      </c>
      <c r="G17" s="28">
        <f>H17/'17'!K17*100</f>
        <v>27.756387819390969</v>
      </c>
      <c r="H17" s="56">
        <f>'18b'!H17+'19b'!H17+'20b'!H17</f>
        <v>1030.9000000000001</v>
      </c>
      <c r="I17" s="56">
        <f>'18b'!I17+'19b'!I17+'20b'!I17</f>
        <v>5267.9</v>
      </c>
      <c r="J17" s="56">
        <f>'18b'!J17+'19b'!J17+'20b'!J17</f>
        <v>354.5</v>
      </c>
      <c r="K17" s="56">
        <f>'18b'!K17+'19b'!K17+'20b'!K17</f>
        <v>4253.5</v>
      </c>
      <c r="L17" s="56">
        <f>'18b'!L17+'19b'!L17+'20b'!L17</f>
        <v>660.1</v>
      </c>
    </row>
    <row r="18" spans="1:12" collapsed="1">
      <c r="A18" s="66">
        <v>1973</v>
      </c>
      <c r="B18" s="28"/>
      <c r="C18" s="28">
        <f t="shared" si="1"/>
        <v>12.709621849474745</v>
      </c>
      <c r="D18" s="28">
        <f t="shared" si="0"/>
        <v>9.1485263817970068</v>
      </c>
      <c r="E18" s="28">
        <f t="shared" si="0"/>
        <v>13.400705194531227</v>
      </c>
      <c r="F18" s="28">
        <f t="shared" si="0"/>
        <v>11.085773443948572</v>
      </c>
      <c r="G18" s="28">
        <f>H18/'17'!K18*100</f>
        <v>36.370755607317122</v>
      </c>
      <c r="H18" s="56">
        <f>'18b'!H18+'19b'!H18+'20b'!H18</f>
        <v>1811.3000000000002</v>
      </c>
      <c r="I18" s="56">
        <f>'18b'!I18+'19b'!I18+'20b'!I18</f>
        <v>6536.8</v>
      </c>
      <c r="J18" s="56">
        <f>'18b'!J18+'19b'!J18+'20b'!J18</f>
        <v>408.5</v>
      </c>
      <c r="K18" s="56">
        <f>'18b'!K18+'19b'!K18+'20b'!K18</f>
        <v>5336</v>
      </c>
      <c r="L18" s="56">
        <f>'18b'!L18+'19b'!L18+'20b'!L18</f>
        <v>792.4</v>
      </c>
    </row>
    <row r="19" spans="1:12" hidden="1" outlineLevel="1">
      <c r="A19" s="66">
        <v>1974</v>
      </c>
      <c r="B19" s="28"/>
      <c r="C19" s="28">
        <f t="shared" si="1"/>
        <v>15.663625104264087</v>
      </c>
      <c r="D19" s="28">
        <f t="shared" si="0"/>
        <v>13.522350622592491</v>
      </c>
      <c r="E19" s="28">
        <f t="shared" si="0"/>
        <v>16.383969381297277</v>
      </c>
      <c r="F19" s="28">
        <f t="shared" si="0"/>
        <v>12.989829180598496</v>
      </c>
      <c r="G19" s="28">
        <f>H19/'17'!K19*100</f>
        <v>38.284961280666366</v>
      </c>
      <c r="H19" s="56">
        <f>'18b'!H19+'19b'!H19+'20b'!H19</f>
        <v>2353.3000000000002</v>
      </c>
      <c r="I19" s="56">
        <f>'18b'!I19+'19b'!I19+'20b'!I19</f>
        <v>8056.1</v>
      </c>
      <c r="J19" s="56">
        <f>'18b'!J19+'19b'!J19+'20b'!J19</f>
        <v>603.79999999999995</v>
      </c>
      <c r="K19" s="56">
        <f>'18b'!K19+'19b'!K19+'20b'!K19</f>
        <v>6523.9</v>
      </c>
      <c r="L19" s="56">
        <f>'18b'!L19+'19b'!L19+'20b'!L19</f>
        <v>928.5</v>
      </c>
    </row>
    <row r="20" spans="1:12" hidden="1" outlineLevel="1">
      <c r="A20" s="66">
        <v>1975</v>
      </c>
      <c r="B20" s="28"/>
      <c r="C20" s="28">
        <f t="shared" si="1"/>
        <v>14.915840169233494</v>
      </c>
      <c r="D20" s="28">
        <f t="shared" si="0"/>
        <v>13.356624563289435</v>
      </c>
      <c r="E20" s="28">
        <f t="shared" si="0"/>
        <v>15.407546184214491</v>
      </c>
      <c r="F20" s="28">
        <f t="shared" si="0"/>
        <v>13.15071559479008</v>
      </c>
      <c r="G20" s="28">
        <f>H20/'17'!K20*100</f>
        <v>29.078390800388199</v>
      </c>
      <c r="H20" s="56">
        <f>'18b'!H20+'19b'!H20+'20b'!H20</f>
        <v>1588</v>
      </c>
      <c r="I20" s="56">
        <f>'18b'!I20+'19b'!I20+'20b'!I20</f>
        <v>7671.5</v>
      </c>
      <c r="J20" s="56">
        <f>'18b'!J20+'19b'!J20+'20b'!J20</f>
        <v>596.4</v>
      </c>
      <c r="K20" s="56">
        <f>'18b'!K20+'19b'!K20+'20b'!K20</f>
        <v>6135.1</v>
      </c>
      <c r="L20" s="56">
        <f>'18b'!L20+'19b'!L20+'20b'!L20</f>
        <v>940</v>
      </c>
    </row>
    <row r="21" spans="1:12" hidden="1" outlineLevel="1">
      <c r="A21" s="66">
        <v>1976</v>
      </c>
      <c r="B21" s="28"/>
      <c r="C21" s="28">
        <f t="shared" si="1"/>
        <v>18.559493232799102</v>
      </c>
      <c r="D21" s="28">
        <f t="shared" si="0"/>
        <v>17.421392098898146</v>
      </c>
      <c r="E21" s="28">
        <f t="shared" si="0"/>
        <v>19.198971340170974</v>
      </c>
      <c r="F21" s="28">
        <f t="shared" si="0"/>
        <v>15.709509086584871</v>
      </c>
      <c r="G21" s="28">
        <f>H21/'17'!K21*100</f>
        <v>28.478287239204271</v>
      </c>
      <c r="H21" s="56">
        <f>'18b'!H21+'19b'!H21+'20b'!H21</f>
        <v>1878.2</v>
      </c>
      <c r="I21" s="56">
        <f>'18b'!I21+'19b'!I21+'20b'!I21</f>
        <v>9545.5</v>
      </c>
      <c r="J21" s="56">
        <f>'18b'!J21+'19b'!J21+'20b'!J21</f>
        <v>777.90000000000009</v>
      </c>
      <c r="K21" s="56">
        <f>'18b'!K21+'19b'!K21+'20b'!K21</f>
        <v>7644.8</v>
      </c>
      <c r="L21" s="56">
        <f>'18b'!L21+'19b'!L21+'20b'!L21</f>
        <v>1122.9000000000001</v>
      </c>
    </row>
    <row r="22" spans="1:12" hidden="1" outlineLevel="1">
      <c r="A22" s="66">
        <v>1977</v>
      </c>
      <c r="B22" s="28"/>
      <c r="C22" s="28">
        <f t="shared" si="1"/>
        <v>20.435955117349351</v>
      </c>
      <c r="D22" s="28">
        <f t="shared" ref="D22:D49" si="2">J22/J$47*100</f>
        <v>20.65752933799158</v>
      </c>
      <c r="E22" s="28">
        <f t="shared" ref="E22:E49" si="3">K22/K$47*100</f>
        <v>20.926044983776507</v>
      </c>
      <c r="F22" s="28">
        <f t="shared" ref="F22:F49" si="4">L22/L$47*100</f>
        <v>17.567397417423301</v>
      </c>
      <c r="G22" s="28">
        <f>H22/'17'!K22*100</f>
        <v>30.098070568169703</v>
      </c>
      <c r="H22" s="56">
        <f>'18b'!H22+'19b'!H22+'20b'!H22</f>
        <v>2258.8000000000002</v>
      </c>
      <c r="I22" s="56">
        <f>'18b'!I22+'19b'!I22+'20b'!I22</f>
        <v>10510.6</v>
      </c>
      <c r="J22" s="56">
        <f>'18b'!J22+'19b'!J22+'20b'!J22</f>
        <v>922.40000000000009</v>
      </c>
      <c r="K22" s="56">
        <f>'18b'!K22+'19b'!K22+'20b'!K22</f>
        <v>8332.5</v>
      </c>
      <c r="L22" s="56">
        <f>'18b'!L22+'19b'!L22+'20b'!L22</f>
        <v>1255.7</v>
      </c>
    </row>
    <row r="23" spans="1:12" hidden="1" outlineLevel="1">
      <c r="A23" s="66">
        <v>1978</v>
      </c>
      <c r="B23" s="28"/>
      <c r="C23" s="28">
        <f t="shared" si="1"/>
        <v>23.626776378084422</v>
      </c>
      <c r="D23" s="28">
        <f t="shared" si="2"/>
        <v>24.348293469497445</v>
      </c>
      <c r="E23" s="28">
        <f t="shared" si="3"/>
        <v>24.085356665695599</v>
      </c>
      <c r="F23" s="28">
        <f t="shared" si="4"/>
        <v>20.6214412624687</v>
      </c>
      <c r="G23" s="28">
        <f>H23/'17'!K23*100</f>
        <v>33.222628638107849</v>
      </c>
      <c r="H23" s="56">
        <f>'18b'!H23+'19b'!H23+'20b'!H23</f>
        <v>2961</v>
      </c>
      <c r="I23" s="56">
        <f>'18b'!I23+'19b'!I23+'20b'!I23</f>
        <v>12151.7</v>
      </c>
      <c r="J23" s="56">
        <f>'18b'!J23+'19b'!J23+'20b'!J23</f>
        <v>1087.2</v>
      </c>
      <c r="K23" s="56">
        <f>'18b'!K23+'19b'!K23+'20b'!K23</f>
        <v>9590.5</v>
      </c>
      <c r="L23" s="56">
        <f>'18b'!L23+'19b'!L23+'20b'!L23</f>
        <v>1474</v>
      </c>
    </row>
    <row r="24" spans="1:12" hidden="1" outlineLevel="1">
      <c r="A24" s="66">
        <v>1979</v>
      </c>
      <c r="B24" s="28"/>
      <c r="C24" s="28">
        <f t="shared" si="1"/>
        <v>28.470657315790397</v>
      </c>
      <c r="D24" s="28">
        <f t="shared" si="2"/>
        <v>28.312281644719157</v>
      </c>
      <c r="E24" s="28">
        <f t="shared" si="3"/>
        <v>29.417009051001031</v>
      </c>
      <c r="F24" s="28">
        <f t="shared" si="4"/>
        <v>23.299150799535532</v>
      </c>
      <c r="G24" s="28">
        <f>H24/'17'!K24*100</f>
        <v>38.245204888305345</v>
      </c>
      <c r="H24" s="56">
        <f>'18b'!H24+'19b'!H24+'20b'!H24</f>
        <v>4165.3999999999996</v>
      </c>
      <c r="I24" s="56">
        <f>'18b'!I24+'19b'!I24+'20b'!I24</f>
        <v>14643</v>
      </c>
      <c r="J24" s="56">
        <f>'18b'!J24+'19b'!J24+'20b'!J24</f>
        <v>1264.2</v>
      </c>
      <c r="K24" s="56">
        <f>'18b'!K24+'19b'!K24+'20b'!K24</f>
        <v>11713.5</v>
      </c>
      <c r="L24" s="56">
        <f>'18b'!L24+'19b'!L24+'20b'!L24</f>
        <v>1665.4</v>
      </c>
    </row>
    <row r="25" spans="1:12" hidden="1" outlineLevel="1">
      <c r="A25" s="66">
        <v>1980</v>
      </c>
      <c r="B25" s="28"/>
      <c r="C25" s="28">
        <f t="shared" si="1"/>
        <v>31.635035843513464</v>
      </c>
      <c r="D25" s="28">
        <f t="shared" si="2"/>
        <v>31.700707695064047</v>
      </c>
      <c r="E25" s="28">
        <f t="shared" si="3"/>
        <v>32.482395250484693</v>
      </c>
      <c r="F25" s="28">
        <f t="shared" si="4"/>
        <v>26.872228206885939</v>
      </c>
      <c r="G25" s="28">
        <f>H25/'17'!K25*100</f>
        <v>35.688516597970136</v>
      </c>
      <c r="H25" s="56">
        <f>'18b'!H25+'19b'!H25+'20b'!H25</f>
        <v>4026.2000000000003</v>
      </c>
      <c r="I25" s="56">
        <f>'18b'!I25+'19b'!I25+'20b'!I25</f>
        <v>16270.5</v>
      </c>
      <c r="J25" s="56">
        <f>'18b'!J25+'19b'!J25+'20b'!J25</f>
        <v>1415.5</v>
      </c>
      <c r="K25" s="56">
        <f>'18b'!K25+'19b'!K25+'20b'!K25</f>
        <v>12934.099999999999</v>
      </c>
      <c r="L25" s="56">
        <f>'18b'!L25+'19b'!L25+'20b'!L25</f>
        <v>1920.8000000000002</v>
      </c>
    </row>
    <row r="26" spans="1:12" collapsed="1">
      <c r="A26" s="66">
        <v>1981</v>
      </c>
      <c r="B26" s="28"/>
      <c r="C26" s="28">
        <f t="shared" si="1"/>
        <v>33.328926211164664</v>
      </c>
      <c r="D26" s="28">
        <f t="shared" si="2"/>
        <v>38.770939711547072</v>
      </c>
      <c r="E26" s="28">
        <f t="shared" si="3"/>
        <v>33.814931640330698</v>
      </c>
      <c r="F26" s="28">
        <f t="shared" si="4"/>
        <v>27.221981281215463</v>
      </c>
      <c r="G26" s="28">
        <f>H26/'17'!K26*100</f>
        <v>28.994937865326705</v>
      </c>
      <c r="H26" s="56">
        <f>'18b'!H26+'19b'!H26+'20b'!H26</f>
        <v>3110.2</v>
      </c>
      <c r="I26" s="56">
        <f>'18b'!I26+'19b'!I26+'20b'!I26</f>
        <v>17141.699999999997</v>
      </c>
      <c r="J26" s="56">
        <f>'18b'!J26+'19b'!J26+'20b'!J26</f>
        <v>1731.2</v>
      </c>
      <c r="K26" s="56">
        <f>'18b'!K26+'19b'!K26+'20b'!K26</f>
        <v>13464.7</v>
      </c>
      <c r="L26" s="56">
        <f>'18b'!L26+'19b'!L26+'20b'!L26</f>
        <v>1945.8</v>
      </c>
    </row>
    <row r="27" spans="1:12">
      <c r="A27" s="66">
        <v>1982</v>
      </c>
      <c r="B27" s="28"/>
      <c r="C27" s="28">
        <f t="shared" si="1"/>
        <v>32.098561398665041</v>
      </c>
      <c r="D27" s="28">
        <f t="shared" si="2"/>
        <v>41.13365582728656</v>
      </c>
      <c r="E27" s="28">
        <f t="shared" si="3"/>
        <v>31.931650376204203</v>
      </c>
      <c r="F27" s="28">
        <f t="shared" si="4"/>
        <v>27.387064732298999</v>
      </c>
      <c r="G27" s="28">
        <f>H27/'17'!K27*100</f>
        <v>22.704713237538581</v>
      </c>
      <c r="H27" s="56">
        <f>'18b'!H27+'19b'!H27+'20b'!H27</f>
        <v>2008.3</v>
      </c>
      <c r="I27" s="56">
        <f>'18b'!I27+'19b'!I27+'20b'!I27</f>
        <v>16508.900000000001</v>
      </c>
      <c r="J27" s="56">
        <f>'18b'!J27+'19b'!J27+'20b'!J27</f>
        <v>1836.7</v>
      </c>
      <c r="K27" s="56">
        <f>'18b'!K27+'19b'!K27+'20b'!K27</f>
        <v>12714.8</v>
      </c>
      <c r="L27" s="56">
        <f>'18b'!L27+'19b'!L27+'20b'!L27</f>
        <v>1957.6</v>
      </c>
    </row>
    <row r="28" spans="1:12">
      <c r="A28" s="66">
        <v>1983</v>
      </c>
      <c r="B28" s="28"/>
      <c r="C28" s="28">
        <f t="shared" si="1"/>
        <v>36.125245227183918</v>
      </c>
      <c r="D28" s="28">
        <f t="shared" si="2"/>
        <v>45.787422735823696</v>
      </c>
      <c r="E28" s="28">
        <f t="shared" si="3"/>
        <v>35.994555335670583</v>
      </c>
      <c r="F28" s="28">
        <f t="shared" si="4"/>
        <v>30.816043873025645</v>
      </c>
      <c r="G28" s="28">
        <f>H28/'17'!K28*100</f>
        <v>23.395665704112815</v>
      </c>
      <c r="H28" s="56">
        <f>'18b'!H28+'19b'!H28+'20b'!H28</f>
        <v>2503.5</v>
      </c>
      <c r="I28" s="56">
        <f>'18b'!I28+'19b'!I28+'20b'!I28</f>
        <v>18579.900000000001</v>
      </c>
      <c r="J28" s="56">
        <f>'18b'!J28+'19b'!J28+'20b'!J28</f>
        <v>2044.5</v>
      </c>
      <c r="K28" s="56">
        <f>'18b'!K28+'19b'!K28+'20b'!K28</f>
        <v>14332.599999999999</v>
      </c>
      <c r="L28" s="56">
        <f>'18b'!L28+'19b'!L28+'20b'!L28</f>
        <v>2202.6999999999998</v>
      </c>
    </row>
    <row r="29" spans="1:12">
      <c r="A29" s="66">
        <v>1984</v>
      </c>
      <c r="B29" s="28"/>
      <c r="C29" s="28">
        <f t="shared" si="1"/>
        <v>40.532821070191851</v>
      </c>
      <c r="D29" s="28">
        <f t="shared" si="2"/>
        <v>50.960763235689321</v>
      </c>
      <c r="E29" s="28">
        <f t="shared" si="3"/>
        <v>40.344761770821826</v>
      </c>
      <c r="F29" s="28">
        <f t="shared" si="4"/>
        <v>35.069041256872644</v>
      </c>
      <c r="G29" s="28">
        <f>H29/'17'!K29*100</f>
        <v>28.059442724458201</v>
      </c>
      <c r="H29" s="56">
        <f>'18b'!H29+'19b'!H29+'20b'!H29</f>
        <v>3398.7</v>
      </c>
      <c r="I29" s="56">
        <f>'18b'!I29+'19b'!I29+'20b'!I29</f>
        <v>20846.8</v>
      </c>
      <c r="J29" s="56">
        <f>'18b'!J29+'19b'!J29+'20b'!J29</f>
        <v>2275.5</v>
      </c>
      <c r="K29" s="56">
        <f>'18b'!K29+'19b'!K29+'20b'!K29</f>
        <v>16064.800000000001</v>
      </c>
      <c r="L29" s="56">
        <f>'18b'!L29+'19b'!L29+'20b'!L29</f>
        <v>2506.6999999999998</v>
      </c>
    </row>
    <row r="30" spans="1:12">
      <c r="A30" s="66">
        <v>1985</v>
      </c>
      <c r="B30" s="28"/>
      <c r="C30" s="28">
        <f t="shared" si="1"/>
        <v>42.862698053153785</v>
      </c>
      <c r="D30" s="28">
        <f t="shared" si="2"/>
        <v>52.499328137597409</v>
      </c>
      <c r="E30" s="28">
        <f t="shared" si="3"/>
        <v>42.79059137894663</v>
      </c>
      <c r="F30" s="28">
        <f t="shared" si="4"/>
        <v>37.24450537920228</v>
      </c>
      <c r="G30" s="28">
        <f>H30/'17'!K30*100</f>
        <v>27.345487591974049</v>
      </c>
      <c r="H30" s="56">
        <f>'18b'!H30+'19b'!H30+'20b'!H30</f>
        <v>3430.3</v>
      </c>
      <c r="I30" s="56">
        <f>'18b'!I30+'19b'!I30+'20b'!I30</f>
        <v>22045.1</v>
      </c>
      <c r="J30" s="56">
        <f>'18b'!J30+'19b'!J30+'20b'!J30</f>
        <v>2344.1999999999998</v>
      </c>
      <c r="K30" s="56">
        <f>'18b'!K30+'19b'!K30+'20b'!K30</f>
        <v>17038.7</v>
      </c>
      <c r="L30" s="56">
        <f>'18b'!L30+'19b'!L30+'20b'!L30</f>
        <v>2662.2</v>
      </c>
    </row>
    <row r="31" spans="1:12">
      <c r="A31" s="66">
        <v>1986</v>
      </c>
      <c r="B31" s="28"/>
      <c r="C31" s="28">
        <f t="shared" si="1"/>
        <v>45.548968636196605</v>
      </c>
      <c r="D31" s="28">
        <f t="shared" si="2"/>
        <v>48.315864910866246</v>
      </c>
      <c r="E31" s="28">
        <f t="shared" si="3"/>
        <v>45.929309773272927</v>
      </c>
      <c r="F31" s="28">
        <f t="shared" si="4"/>
        <v>41.701758558457733</v>
      </c>
      <c r="G31" s="28">
        <f>H31/'17'!K31*100</f>
        <v>33.635692956262083</v>
      </c>
      <c r="H31" s="56">
        <f>'18b'!H31+'19b'!H31+'20b'!H31</f>
        <v>4787.2000000000007</v>
      </c>
      <c r="I31" s="56">
        <f>'18b'!I31+'19b'!I31+'20b'!I31</f>
        <v>23426.699999999997</v>
      </c>
      <c r="J31" s="56">
        <f>'18b'!J31+'19b'!J31+'20b'!J31</f>
        <v>2157.4</v>
      </c>
      <c r="K31" s="56">
        <f>'18b'!K31+'19b'!K31+'20b'!K31</f>
        <v>18288.5</v>
      </c>
      <c r="L31" s="56">
        <f>'18b'!L31+'19b'!L31+'20b'!L31</f>
        <v>2980.8</v>
      </c>
    </row>
    <row r="32" spans="1:12">
      <c r="A32" s="66">
        <v>1987</v>
      </c>
      <c r="B32" s="28"/>
      <c r="C32" s="28">
        <f t="shared" si="1"/>
        <v>51.408367180679704</v>
      </c>
      <c r="D32" s="28">
        <f t="shared" si="2"/>
        <v>51.236226820747113</v>
      </c>
      <c r="E32" s="28">
        <f t="shared" si="3"/>
        <v>51.984740876169035</v>
      </c>
      <c r="F32" s="28">
        <f t="shared" si="4"/>
        <v>48.306495614096448</v>
      </c>
      <c r="G32" s="28">
        <f>H32/'17'!K32*100</f>
        <v>41.177374643525972</v>
      </c>
      <c r="H32" s="56">
        <f>'18b'!H32+'19b'!H32+'20b'!H32</f>
        <v>7234</v>
      </c>
      <c r="I32" s="56">
        <f>'18b'!I32+'19b'!I32+'20b'!I32</f>
        <v>26440.300000000003</v>
      </c>
      <c r="J32" s="56">
        <f>'18b'!J32+'19b'!J32+'20b'!J32</f>
        <v>2287.8000000000002</v>
      </c>
      <c r="K32" s="56">
        <f>'18b'!K32+'19b'!K32+'20b'!K32</f>
        <v>20699.699999999997</v>
      </c>
      <c r="L32" s="56">
        <f>'18b'!L32+'19b'!L32+'20b'!L32</f>
        <v>3452.9</v>
      </c>
    </row>
    <row r="33" spans="1:12">
      <c r="A33" s="66">
        <v>1988</v>
      </c>
      <c r="B33" s="28"/>
      <c r="C33" s="28">
        <f t="shared" si="1"/>
        <v>56.471567256896989</v>
      </c>
      <c r="D33" s="28">
        <f t="shared" si="2"/>
        <v>53.829615694705716</v>
      </c>
      <c r="E33" s="28">
        <f t="shared" si="3"/>
        <v>57.464062201774034</v>
      </c>
      <c r="F33" s="28">
        <f t="shared" si="4"/>
        <v>52.594468305376409</v>
      </c>
      <c r="G33" s="28">
        <f>H33/'17'!K33*100</f>
        <v>42.452182908292521</v>
      </c>
      <c r="H33" s="56">
        <f>'18b'!H33+'19b'!H33+'20b'!H33</f>
        <v>8043.5</v>
      </c>
      <c r="I33" s="56">
        <f>'18b'!I33+'19b'!I33+'20b'!I33</f>
        <v>29044.400000000001</v>
      </c>
      <c r="J33" s="56">
        <f>'18b'!J33+'19b'!J33+'20b'!J33</f>
        <v>2403.6</v>
      </c>
      <c r="K33" s="56">
        <f>'18b'!K33+'19b'!K33+'20b'!K33</f>
        <v>22881.5</v>
      </c>
      <c r="L33" s="56">
        <f>'18b'!L33+'19b'!L33+'20b'!L33</f>
        <v>3759.4</v>
      </c>
    </row>
    <row r="34" spans="1:12">
      <c r="A34" s="66">
        <v>1989</v>
      </c>
      <c r="B34" s="28"/>
      <c r="C34" s="28">
        <f t="shared" si="1"/>
        <v>58.873578460060791</v>
      </c>
      <c r="D34" s="28">
        <f t="shared" si="2"/>
        <v>55.424169130162134</v>
      </c>
      <c r="E34" s="28">
        <f t="shared" si="3"/>
        <v>60.020392377469932</v>
      </c>
      <c r="F34" s="28">
        <f t="shared" si="4"/>
        <v>54.639824284055457</v>
      </c>
      <c r="G34" s="28">
        <f>H34/'17'!K34*100</f>
        <v>39.388318546117354</v>
      </c>
      <c r="H34" s="56">
        <f>'18b'!H34+'19b'!H34+'20b'!H34</f>
        <v>7347.3</v>
      </c>
      <c r="I34" s="56">
        <f>'18b'!I34+'19b'!I34+'20b'!I34</f>
        <v>30279.800000000003</v>
      </c>
      <c r="J34" s="56">
        <f>'18b'!J34+'19b'!J34+'20b'!J34</f>
        <v>2474.8000000000002</v>
      </c>
      <c r="K34" s="56">
        <f>'18b'!K34+'19b'!K34+'20b'!K34</f>
        <v>23899.4</v>
      </c>
      <c r="L34" s="56">
        <f>'18b'!L34+'19b'!L34+'20b'!L34</f>
        <v>3905.6000000000004</v>
      </c>
    </row>
    <row r="35" spans="1:12">
      <c r="A35" s="66">
        <v>1990</v>
      </c>
      <c r="B35" s="28"/>
      <c r="C35" s="28">
        <f t="shared" si="1"/>
        <v>56.957258044132139</v>
      </c>
      <c r="D35" s="28">
        <f t="shared" si="2"/>
        <v>57.883185523604766</v>
      </c>
      <c r="E35" s="28">
        <f t="shared" si="3"/>
        <v>56.960782344018391</v>
      </c>
      <c r="F35" s="28">
        <f t="shared" si="4"/>
        <v>56.35641237286476</v>
      </c>
      <c r="G35" s="28">
        <f>H35/'17'!K35*100</f>
        <v>31.326418910143421</v>
      </c>
      <c r="H35" s="56">
        <f>'18b'!H35+'19b'!H35+'20b'!H35</f>
        <v>5065.2</v>
      </c>
      <c r="I35" s="56">
        <f>'18b'!I35+'19b'!I35+'20b'!I35</f>
        <v>29294.199999999997</v>
      </c>
      <c r="J35" s="56">
        <f>'18b'!J35+'19b'!J35+'20b'!J35</f>
        <v>2584.6000000000004</v>
      </c>
      <c r="K35" s="56">
        <f>'18b'!K35+'19b'!K35+'20b'!K35</f>
        <v>22681.1</v>
      </c>
      <c r="L35" s="56">
        <f>'18b'!L35+'19b'!L35+'20b'!L35</f>
        <v>4028.3</v>
      </c>
    </row>
    <row r="36" spans="1:12">
      <c r="A36" s="66">
        <v>1991</v>
      </c>
      <c r="B36" s="28"/>
      <c r="C36" s="28">
        <f t="shared" si="1"/>
        <v>52.995708888841364</v>
      </c>
      <c r="D36" s="28">
        <f t="shared" si="2"/>
        <v>59.797993370957627</v>
      </c>
      <c r="E36" s="28">
        <f t="shared" si="3"/>
        <v>52.446080745778382</v>
      </c>
      <c r="F36" s="28">
        <f t="shared" si="4"/>
        <v>51.808223394283637</v>
      </c>
      <c r="G36" s="28">
        <f>H36/'17'!K36*100</f>
        <v>17.741789491152115</v>
      </c>
      <c r="H36" s="56">
        <f>'18b'!H36+'19b'!H36+'20b'!H36</f>
        <v>2352.1000000000004</v>
      </c>
      <c r="I36" s="56">
        <f>'18b'!I36+'19b'!I36+'20b'!I36</f>
        <v>27256.7</v>
      </c>
      <c r="J36" s="56">
        <f>'18b'!J36+'19b'!J36+'20b'!J36</f>
        <v>2670.1000000000004</v>
      </c>
      <c r="K36" s="56">
        <f>'18b'!K36+'19b'!K36+'20b'!K36</f>
        <v>20883.400000000001</v>
      </c>
      <c r="L36" s="56">
        <f>'18b'!L36+'19b'!L36+'20b'!L36</f>
        <v>3703.2</v>
      </c>
    </row>
    <row r="37" spans="1:12">
      <c r="A37" s="66">
        <v>1992</v>
      </c>
      <c r="B37" s="28"/>
      <c r="C37" s="28">
        <f t="shared" si="1"/>
        <v>55.843552347861937</v>
      </c>
      <c r="D37" s="28">
        <f t="shared" si="2"/>
        <v>60.483293021589169</v>
      </c>
      <c r="E37" s="28">
        <f t="shared" si="3"/>
        <v>55.710619104543582</v>
      </c>
      <c r="F37" s="28">
        <f t="shared" si="4"/>
        <v>53.688495921879152</v>
      </c>
      <c r="G37" s="28">
        <f>H37/'17'!K37*100</f>
        <v>18.959263897837591</v>
      </c>
      <c r="H37" s="56">
        <f>'18b'!H37+'19b'!H37+'20b'!H37</f>
        <v>2618.9</v>
      </c>
      <c r="I37" s="56">
        <f>'18b'!I37+'19b'!I37+'20b'!I37</f>
        <v>28721.4</v>
      </c>
      <c r="J37" s="56">
        <f>'18b'!J37+'19b'!J37+'20b'!J37</f>
        <v>2700.7</v>
      </c>
      <c r="K37" s="56">
        <f>'18b'!K37+'19b'!K37+'20b'!K37</f>
        <v>22183.3</v>
      </c>
      <c r="L37" s="56">
        <f>'18b'!L37+'19b'!L37+'20b'!L37</f>
        <v>3837.6</v>
      </c>
    </row>
    <row r="38" spans="1:12">
      <c r="A38" s="66">
        <v>1993</v>
      </c>
      <c r="B38" s="28"/>
      <c r="C38" s="28">
        <f t="shared" si="1"/>
        <v>60.609660541414968</v>
      </c>
      <c r="D38" s="28">
        <f t="shared" si="2"/>
        <v>63.217773000089572</v>
      </c>
      <c r="E38" s="28">
        <f t="shared" si="3"/>
        <v>61.156287984570099</v>
      </c>
      <c r="F38" s="28">
        <f t="shared" si="4"/>
        <v>55.933910659074705</v>
      </c>
      <c r="G38" s="28">
        <f>H38/'17'!K38*100</f>
        <v>30.957331246422854</v>
      </c>
      <c r="H38" s="56">
        <f>'18b'!H38+'19b'!H38+'20b'!H38</f>
        <v>5300.6999999999989</v>
      </c>
      <c r="I38" s="56">
        <f>'18b'!I38+'19b'!I38+'20b'!I38</f>
        <v>31172.7</v>
      </c>
      <c r="J38" s="56">
        <f>'18b'!J38+'19b'!J38+'20b'!J38</f>
        <v>2822.8</v>
      </c>
      <c r="K38" s="56">
        <f>'18b'!K38+'19b'!K38+'20b'!K38</f>
        <v>24351.7</v>
      </c>
      <c r="L38" s="56">
        <f>'18b'!L38+'19b'!L38+'20b'!L38</f>
        <v>3998.1000000000004</v>
      </c>
    </row>
    <row r="39" spans="1:12">
      <c r="A39" s="66">
        <v>1994</v>
      </c>
      <c r="B39" s="28"/>
      <c r="C39" s="28">
        <f t="shared" si="1"/>
        <v>71.915289927068613</v>
      </c>
      <c r="D39" s="28">
        <f t="shared" si="2"/>
        <v>66.686822538744067</v>
      </c>
      <c r="E39" s="28">
        <f t="shared" si="3"/>
        <v>72.843983244095739</v>
      </c>
      <c r="F39" s="28">
        <f t="shared" si="4"/>
        <v>70.006575357797402</v>
      </c>
      <c r="G39" s="28">
        <f>H39/'17'!K39*100</f>
        <v>41.193281806535168</v>
      </c>
      <c r="H39" s="56">
        <f>'18b'!H39+'19b'!H39+'20b'!H39</f>
        <v>8778</v>
      </c>
      <c r="I39" s="56">
        <f>'18b'!I39+'19b'!I39+'20b'!I39</f>
        <v>36987.4</v>
      </c>
      <c r="J39" s="56">
        <f>'18b'!J39+'19b'!J39+'20b'!J39</f>
        <v>2977.7000000000003</v>
      </c>
      <c r="K39" s="56">
        <f>'18b'!K39+'19b'!K39+'20b'!K39</f>
        <v>29005.599999999999</v>
      </c>
      <c r="L39" s="56">
        <f>'18b'!L39+'19b'!L39+'20b'!L39</f>
        <v>5004</v>
      </c>
    </row>
    <row r="40" spans="1:12">
      <c r="A40" s="66">
        <v>1995</v>
      </c>
      <c r="B40" s="28"/>
      <c r="C40" s="28">
        <f t="shared" si="1"/>
        <v>85.423248995273383</v>
      </c>
      <c r="D40" s="28">
        <f t="shared" si="2"/>
        <v>72.590253516079898</v>
      </c>
      <c r="E40" s="28">
        <f t="shared" si="3"/>
        <v>89.140556721950432</v>
      </c>
      <c r="F40" s="28">
        <f t="shared" si="4"/>
        <v>72.731851312973035</v>
      </c>
      <c r="G40" s="28">
        <f>H40/'17'!K40*100</f>
        <v>50.207216746169493</v>
      </c>
      <c r="H40" s="56">
        <f>'18b'!H40+'19b'!H40+'20b'!H40</f>
        <v>13798.599999999999</v>
      </c>
      <c r="I40" s="56">
        <f>'18b'!I40+'19b'!I40+'20b'!I40</f>
        <v>43934.8</v>
      </c>
      <c r="J40" s="56">
        <f>'18b'!J40+'19b'!J40+'20b'!J40</f>
        <v>3241.3</v>
      </c>
      <c r="K40" s="56">
        <f>'18b'!K40+'19b'!K40+'20b'!K40</f>
        <v>35494.699999999997</v>
      </c>
      <c r="L40" s="56">
        <f>'18b'!L40+'19b'!L40+'20b'!L40</f>
        <v>5198.7999999999993</v>
      </c>
    </row>
    <row r="41" spans="1:12">
      <c r="A41" s="66">
        <v>1996</v>
      </c>
      <c r="B41" s="28"/>
      <c r="C41" s="28">
        <f t="shared" si="1"/>
        <v>82.785003081745003</v>
      </c>
      <c r="D41" s="28">
        <f t="shared" si="2"/>
        <v>72.189375615873857</v>
      </c>
      <c r="E41" s="28">
        <f t="shared" si="3"/>
        <v>84.696424804363758</v>
      </c>
      <c r="F41" s="28">
        <f t="shared" si="4"/>
        <v>78.755998265224747</v>
      </c>
      <c r="G41" s="28">
        <f>H41/'17'!K41*100</f>
        <v>46.299096599190918</v>
      </c>
      <c r="H41" s="56">
        <f>'18b'!H41+'19b'!H41+'20b'!H41</f>
        <v>11879.7</v>
      </c>
      <c r="I41" s="56">
        <f>'18b'!I41+'19b'!I41+'20b'!I41</f>
        <v>42577.9</v>
      </c>
      <c r="J41" s="56">
        <f>'18b'!J41+'19b'!J41+'20b'!J41</f>
        <v>3223.4</v>
      </c>
      <c r="K41" s="56">
        <f>'18b'!K41+'19b'!K41+'20b'!K41</f>
        <v>33725.1</v>
      </c>
      <c r="L41" s="56">
        <f>'18b'!L41+'19b'!L41+'20b'!L41</f>
        <v>5629.4</v>
      </c>
    </row>
    <row r="42" spans="1:12">
      <c r="A42" s="66">
        <v>1997</v>
      </c>
      <c r="B42" s="28"/>
      <c r="C42" s="28">
        <f t="shared" si="1"/>
        <v>87.376122600953892</v>
      </c>
      <c r="D42" s="28">
        <f t="shared" si="2"/>
        <v>78.670608259428462</v>
      </c>
      <c r="E42" s="28">
        <f t="shared" si="3"/>
        <v>89.642832029091764</v>
      </c>
      <c r="F42" s="28">
        <f t="shared" si="4"/>
        <v>80.185788833083848</v>
      </c>
      <c r="G42" s="28">
        <f>H42/'17'!K42*100</f>
        <v>43.703665951849835</v>
      </c>
      <c r="H42" s="56">
        <f>'18b'!H42+'19b'!H42+'20b'!H42</f>
        <v>11147.8</v>
      </c>
      <c r="I42" s="56">
        <f>'18b'!I42+'19b'!I42+'20b'!I42</f>
        <v>44939.199999999997</v>
      </c>
      <c r="J42" s="56">
        <f>'18b'!J42+'19b'!J42+'20b'!J42</f>
        <v>3512.8</v>
      </c>
      <c r="K42" s="56">
        <f>'18b'!K42+'19b'!K42+'20b'!K42</f>
        <v>35694.699999999997</v>
      </c>
      <c r="L42" s="56">
        <f>'18b'!L42+'19b'!L42+'20b'!L42</f>
        <v>5731.6</v>
      </c>
    </row>
    <row r="43" spans="1:12">
      <c r="A43" s="66">
        <v>1998</v>
      </c>
      <c r="B43" s="28"/>
      <c r="C43" s="28">
        <f t="shared" si="1"/>
        <v>84.003701982621678</v>
      </c>
      <c r="D43" s="28">
        <f t="shared" si="2"/>
        <v>70.821015855952695</v>
      </c>
      <c r="E43" s="28">
        <f t="shared" si="3"/>
        <v>86.553085477211738</v>
      </c>
      <c r="F43" s="28">
        <f t="shared" si="4"/>
        <v>78.035506932105932</v>
      </c>
      <c r="G43" s="28">
        <f>H43/'17'!K43*100</f>
        <v>46.845430670269863</v>
      </c>
      <c r="H43" s="56">
        <f>'18b'!H43+'19b'!H43+'20b'!H43</f>
        <v>12307.7</v>
      </c>
      <c r="I43" s="56">
        <f>'18b'!I43+'19b'!I43+'20b'!I43</f>
        <v>43204.7</v>
      </c>
      <c r="J43" s="56">
        <f>'18b'!J43+'19b'!J43+'20b'!J43</f>
        <v>3162.3</v>
      </c>
      <c r="K43" s="56">
        <f>'18b'!K43+'19b'!K43+'20b'!K43</f>
        <v>34464.399999999994</v>
      </c>
      <c r="L43" s="56">
        <f>'18b'!L43+'19b'!L43+'20b'!L43</f>
        <v>5577.9</v>
      </c>
    </row>
    <row r="44" spans="1:12">
      <c r="A44" s="66">
        <v>1999</v>
      </c>
      <c r="B44" s="28"/>
      <c r="C44" s="28">
        <f t="shared" si="1"/>
        <v>94.669067252036214</v>
      </c>
      <c r="D44" s="28">
        <f t="shared" si="2"/>
        <v>81.664875033593106</v>
      </c>
      <c r="E44" s="28">
        <f t="shared" si="3"/>
        <v>97.125478417230042</v>
      </c>
      <c r="F44" s="28">
        <f t="shared" si="4"/>
        <v>89.11008827767597</v>
      </c>
      <c r="G44" s="28">
        <f>H44/'17'!K44*100</f>
        <v>47.321970209063466</v>
      </c>
      <c r="H44" s="56">
        <f>'18b'!H44+'19b'!H44+'20b'!H44</f>
        <v>13651.300000000001</v>
      </c>
      <c r="I44" s="56">
        <f>'18b'!I44+'19b'!I44+'20b'!I44</f>
        <v>48690.100000000006</v>
      </c>
      <c r="J44" s="56">
        <f>'18b'!J44+'19b'!J44+'20b'!J44</f>
        <v>3646.5</v>
      </c>
      <c r="K44" s="56">
        <f>'18b'!K44+'19b'!K44+'20b'!K44</f>
        <v>38674.199999999997</v>
      </c>
      <c r="L44" s="56">
        <f>'18b'!L44+'19b'!L44+'20b'!L44</f>
        <v>6369.5</v>
      </c>
    </row>
    <row r="45" spans="1:12">
      <c r="A45" s="66">
        <v>2000</v>
      </c>
      <c r="B45" s="28"/>
      <c r="C45" s="28">
        <f t="shared" si="1"/>
        <v>103.11849260867285</v>
      </c>
      <c r="D45" s="28">
        <f t="shared" si="2"/>
        <v>98.450237391382231</v>
      </c>
      <c r="E45" s="28">
        <f t="shared" si="3"/>
        <v>103.40341748118978</v>
      </c>
      <c r="F45" s="28">
        <f t="shared" si="4"/>
        <v>104.4474600931742</v>
      </c>
      <c r="G45" s="28">
        <f>H45/'17'!K45*100</f>
        <v>50.475786185933089</v>
      </c>
      <c r="H45" s="56">
        <f>'18b'!H45+'19b'!H45+'20b'!H45</f>
        <v>16290</v>
      </c>
      <c r="I45" s="56">
        <f>'18b'!I45+'19b'!I45+'20b'!I45</f>
        <v>53035.8</v>
      </c>
      <c r="J45" s="56">
        <f>'18b'!J45+'19b'!J45+'20b'!J45</f>
        <v>4396</v>
      </c>
      <c r="K45" s="56">
        <f>'18b'!K45+'19b'!K45+'20b'!K45</f>
        <v>41174</v>
      </c>
      <c r="L45" s="56">
        <f>'18b'!L45+'19b'!L45+'20b'!L45</f>
        <v>7465.7999999999993</v>
      </c>
    </row>
    <row r="46" spans="1:12">
      <c r="A46" s="66">
        <v>2001</v>
      </c>
      <c r="B46" s="28"/>
      <c r="C46" s="28">
        <f t="shared" si="1"/>
        <v>96.927393310377425</v>
      </c>
      <c r="D46" s="28">
        <f t="shared" si="2"/>
        <v>98.342739406969443</v>
      </c>
      <c r="E46" s="28">
        <f t="shared" si="3"/>
        <v>97.124725004269337</v>
      </c>
      <c r="F46" s="28">
        <f t="shared" si="4"/>
        <v>94.945368569789736</v>
      </c>
      <c r="G46" s="28">
        <f>H46/'17'!K46*100</f>
        <v>47.024000106726433</v>
      </c>
      <c r="H46" s="56">
        <f>'18b'!H46+'19b'!H46+'20b'!H46</f>
        <v>14099.3</v>
      </c>
      <c r="I46" s="56">
        <f>'18b'!I46+'19b'!I46+'20b'!I46</f>
        <v>49851.600000000006</v>
      </c>
      <c r="J46" s="56">
        <f>'18b'!J46+'19b'!J46+'20b'!J46</f>
        <v>4391.2</v>
      </c>
      <c r="K46" s="56">
        <f>'18b'!K46+'19b'!K46+'20b'!K46</f>
        <v>38673.9</v>
      </c>
      <c r="L46" s="56">
        <f>'18b'!L46+'19b'!L46+'20b'!L46</f>
        <v>6786.6</v>
      </c>
    </row>
    <row r="47" spans="1:12">
      <c r="A47" s="66">
        <v>2002</v>
      </c>
      <c r="B47" s="28"/>
      <c r="C47" s="28">
        <f t="shared" si="1"/>
        <v>100</v>
      </c>
      <c r="D47" s="28">
        <f t="shared" si="2"/>
        <v>100</v>
      </c>
      <c r="E47" s="28">
        <f t="shared" si="3"/>
        <v>100</v>
      </c>
      <c r="F47" s="28">
        <f t="shared" si="4"/>
        <v>100</v>
      </c>
      <c r="G47" s="28">
        <f>H47/'17'!K47*100</f>
        <v>44.954992215687653</v>
      </c>
      <c r="H47" s="56">
        <f>'18b'!H47+'19b'!H47+'20b'!H47</f>
        <v>13369.3</v>
      </c>
      <c r="I47" s="56">
        <f>'18b'!I47+'19b'!I47+'20b'!I47</f>
        <v>51431.899999999994</v>
      </c>
      <c r="J47" s="56">
        <f>'18b'!J47+'19b'!J47+'20b'!J47</f>
        <v>4465.2000000000007</v>
      </c>
      <c r="K47" s="56">
        <f>'18b'!K47+'19b'!K47+'20b'!K47</f>
        <v>39818.800000000003</v>
      </c>
      <c r="L47" s="56">
        <f>'18b'!L47+'19b'!L47+'20b'!L47</f>
        <v>7147.9</v>
      </c>
    </row>
    <row r="48" spans="1:12">
      <c r="A48" s="66">
        <v>2003</v>
      </c>
      <c r="B48" s="28"/>
      <c r="C48" s="28">
        <f t="shared" si="1"/>
        <v>101.9419854214991</v>
      </c>
      <c r="D48" s="28">
        <f t="shared" si="2"/>
        <v>108.12729552987548</v>
      </c>
      <c r="E48" s="28">
        <f t="shared" si="3"/>
        <v>100.81268144695468</v>
      </c>
      <c r="F48" s="28">
        <f t="shared" si="4"/>
        <v>104.36771639222711</v>
      </c>
      <c r="G48" s="28">
        <f>H48/'17'!K48*100</f>
        <v>39.644788371470142</v>
      </c>
      <c r="H48" s="56">
        <f>'18b'!H48+'19b'!H48+'20b'!H48</f>
        <v>10953.3</v>
      </c>
      <c r="I48" s="56">
        <f>'18b'!I48+'19b'!I48+'20b'!I48</f>
        <v>52430.7</v>
      </c>
      <c r="J48" s="56">
        <f>'18b'!J48+'19b'!J48+'20b'!J48</f>
        <v>4828.1000000000004</v>
      </c>
      <c r="K48" s="56">
        <f>'18b'!K48+'19b'!K48+'20b'!K48</f>
        <v>40142.399999999994</v>
      </c>
      <c r="L48" s="56">
        <f>'18b'!L48+'19b'!L48+'20b'!L48</f>
        <v>7460.1</v>
      </c>
    </row>
    <row r="49" spans="1:13">
      <c r="A49" s="66">
        <v>2004</v>
      </c>
      <c r="B49" s="28"/>
      <c r="C49" s="28">
        <f t="shared" si="1"/>
        <v>106.39875252518381</v>
      </c>
      <c r="D49" s="28">
        <f t="shared" si="2"/>
        <v>108.01755800412074</v>
      </c>
      <c r="E49" s="28">
        <f t="shared" si="3"/>
        <v>104.81455995660338</v>
      </c>
      <c r="F49" s="28">
        <f t="shared" si="4"/>
        <v>114.21256592845452</v>
      </c>
      <c r="G49" s="28">
        <f>H49/'17'!K49*100</f>
        <v>43.123031432795536</v>
      </c>
      <c r="H49" s="56">
        <f>'18b'!H49+'19b'!H49+'20b'!H49</f>
        <v>13417.300000000001</v>
      </c>
      <c r="I49" s="56">
        <f>'18b'!I49+'19b'!I49+'20b'!I49</f>
        <v>54722.9</v>
      </c>
      <c r="J49" s="56">
        <f>'18b'!J49+'19b'!J49+'20b'!J49</f>
        <v>4823.2</v>
      </c>
      <c r="K49" s="56">
        <f>'18b'!K49+'19b'!K49+'20b'!K49</f>
        <v>41735.899999999994</v>
      </c>
      <c r="L49" s="56">
        <f>'18b'!L49+'19b'!L49+'20b'!L49</f>
        <v>8163.8</v>
      </c>
    </row>
    <row r="50" spans="1:13">
      <c r="A50" s="66">
        <v>2005</v>
      </c>
      <c r="B50" s="28"/>
      <c r="C50" s="28">
        <f t="shared" ref="C50:C53" si="5">I50/I$47*100</f>
        <v>103.41752880994093</v>
      </c>
      <c r="D50" s="28">
        <f t="shared" ref="D50:D53" si="6">J50/J$47*100</f>
        <v>116.59948042640865</v>
      </c>
      <c r="E50" s="28">
        <f t="shared" ref="E50:E53" si="7">K50/K$47*100</f>
        <v>101.38025254402443</v>
      </c>
      <c r="F50" s="28">
        <f t="shared" ref="F50:F53" si="8">L50/L$47*100</f>
        <v>106.53198841617817</v>
      </c>
      <c r="G50" s="28">
        <f>H50/'17'!K50*100</f>
        <v>38.590326096068409</v>
      </c>
      <c r="H50" s="56">
        <f>'18b'!H50+'19b'!H50+'20b'!H50</f>
        <v>11508.6</v>
      </c>
      <c r="I50" s="56">
        <f>'18b'!I50+'19b'!I50+'20b'!I50</f>
        <v>53189.599999999999</v>
      </c>
      <c r="J50" s="56">
        <f>'18b'!J50+'19b'!J50+'20b'!J50</f>
        <v>5206.3999999999996</v>
      </c>
      <c r="K50" s="56">
        <f>'18b'!K50+'19b'!K50+'20b'!K50</f>
        <v>40368.400000000001</v>
      </c>
      <c r="L50" s="56">
        <f>'18b'!L50+'19b'!L50+'20b'!L50</f>
        <v>7614.7999999999993</v>
      </c>
    </row>
    <row r="51" spans="1:13">
      <c r="A51" s="66">
        <v>2006</v>
      </c>
      <c r="B51" s="28"/>
      <c r="C51" s="28">
        <f t="shared" si="5"/>
        <v>97.966826035981569</v>
      </c>
      <c r="D51" s="28">
        <f t="shared" si="6"/>
        <v>104.87548150138851</v>
      </c>
      <c r="E51" s="28">
        <f t="shared" si="7"/>
        <v>95.273840497453463</v>
      </c>
      <c r="F51" s="28">
        <f t="shared" si="8"/>
        <v>108.65429007120973</v>
      </c>
      <c r="G51" s="28">
        <f>H51/'17'!K51*100</f>
        <v>36.297164301150637</v>
      </c>
      <c r="H51" s="56">
        <f>'18b'!H51+'19b'!H51+'20b'!H51</f>
        <v>9943.1</v>
      </c>
      <c r="I51" s="56">
        <f>'18b'!I51+'19b'!I51+'20b'!I51</f>
        <v>50386.2</v>
      </c>
      <c r="J51" s="56">
        <f>'18b'!J51+'19b'!J51+'20b'!J51</f>
        <v>4682.8999999999996</v>
      </c>
      <c r="K51" s="56">
        <f>'18b'!K51+'19b'!K51+'20b'!K51</f>
        <v>37936.9</v>
      </c>
      <c r="L51" s="56">
        <f>'18b'!L51+'19b'!L51+'20b'!L51</f>
        <v>7766.5</v>
      </c>
    </row>
    <row r="52" spans="1:13">
      <c r="A52" s="66">
        <v>2007</v>
      </c>
      <c r="B52" s="28"/>
      <c r="C52" s="28">
        <f t="shared" si="5"/>
        <v>91.053995671946808</v>
      </c>
      <c r="D52" s="28">
        <f t="shared" si="6"/>
        <v>98.257636835975973</v>
      </c>
      <c r="E52" s="28">
        <f t="shared" si="7"/>
        <v>87.412478527730627</v>
      </c>
      <c r="F52" s="28">
        <f t="shared" si="8"/>
        <v>106.83837210929083</v>
      </c>
      <c r="G52" s="28">
        <f>H52/'17'!K52*100</f>
        <v>33.33889660057234</v>
      </c>
      <c r="H52" s="56">
        <f>'18b'!H52+'19b'!H52+'20b'!H52</f>
        <v>8190</v>
      </c>
      <c r="I52" s="56">
        <f>'18b'!I52+'19b'!I52+'20b'!I52</f>
        <v>46830.8</v>
      </c>
      <c r="J52" s="56">
        <f>'18b'!J52+'19b'!J52+'20b'!J52</f>
        <v>4387.3999999999996</v>
      </c>
      <c r="K52" s="56">
        <f>'18b'!K52+'19b'!K52+'20b'!K52</f>
        <v>34806.600000000006</v>
      </c>
      <c r="L52" s="56">
        <f>'18b'!L52+'19b'!L52+'20b'!L52</f>
        <v>7636.7</v>
      </c>
    </row>
    <row r="53" spans="1:13">
      <c r="A53" s="66">
        <v>2008</v>
      </c>
      <c r="B53" s="28"/>
      <c r="C53" s="28">
        <f t="shared" si="5"/>
        <v>82.453107896072282</v>
      </c>
      <c r="D53" s="28">
        <f t="shared" si="6"/>
        <v>98.233001881214705</v>
      </c>
      <c r="E53" s="28">
        <f t="shared" si="7"/>
        <v>79.06215154650566</v>
      </c>
      <c r="F53" s="28">
        <f t="shared" si="8"/>
        <v>91.48561115852209</v>
      </c>
      <c r="G53" s="28">
        <f>H53/'17'!K53*100</f>
        <v>32.557565225344703</v>
      </c>
      <c r="H53" s="56">
        <f>'18b'!H53+'19b'!H53+'20b'!H53</f>
        <v>7119.2</v>
      </c>
      <c r="I53" s="56">
        <f>'18b'!I53+'19b'!I53+'20b'!I53</f>
        <v>42407.199999999997</v>
      </c>
      <c r="J53" s="56">
        <f>'18b'!J53+'19b'!J53+'20b'!J53</f>
        <v>4386.3</v>
      </c>
      <c r="K53" s="56">
        <f>'18b'!K53+'19b'!K53+'20b'!K53</f>
        <v>31481.600000000002</v>
      </c>
      <c r="L53" s="56">
        <f>'18b'!L53+'19b'!L53+'20b'!L53</f>
        <v>6539.3</v>
      </c>
    </row>
    <row r="54" spans="1:13">
      <c r="A54" s="66"/>
      <c r="H54" s="32"/>
      <c r="I54" s="32"/>
      <c r="J54" s="32"/>
      <c r="K54" s="32"/>
      <c r="L54" s="32"/>
    </row>
    <row r="55" spans="1:13">
      <c r="A55" s="66" t="s">
        <v>23</v>
      </c>
    </row>
    <row r="56" spans="1:13">
      <c r="A56" s="64" t="s">
        <v>2118</v>
      </c>
      <c r="B56" s="67" t="s">
        <v>22</v>
      </c>
      <c r="C56" s="67">
        <f t="shared" ref="C56:L56" si="9">((C53/C6)^(1/47)-1)*100</f>
        <v>6.4791700535104635</v>
      </c>
      <c r="D56" s="67">
        <f t="shared" si="9"/>
        <v>7.3046182219643319</v>
      </c>
      <c r="E56" s="67">
        <f t="shared" si="9"/>
        <v>6.2917059210738424</v>
      </c>
      <c r="F56" s="67">
        <f t="shared" si="9"/>
        <v>7.0189399855152157</v>
      </c>
      <c r="G56" s="67">
        <f t="shared" si="9"/>
        <v>-0.17087393656750605</v>
      </c>
      <c r="H56" s="67">
        <f t="shared" si="9"/>
        <v>5.2971112122572217</v>
      </c>
      <c r="I56" s="67">
        <f t="shared" si="9"/>
        <v>6.4791700535104635</v>
      </c>
      <c r="J56" s="67">
        <f t="shared" si="9"/>
        <v>7.3046182219643319</v>
      </c>
      <c r="K56" s="67">
        <f t="shared" si="9"/>
        <v>6.2917059210738424</v>
      </c>
      <c r="L56" s="67">
        <f t="shared" si="9"/>
        <v>7.0189399855152157</v>
      </c>
      <c r="M56" s="67"/>
    </row>
    <row r="57" spans="1:13">
      <c r="A57" s="68" t="s">
        <v>1031</v>
      </c>
      <c r="B57" s="67" t="s">
        <v>22</v>
      </c>
      <c r="C57" s="67">
        <f t="shared" ref="C57:L57" si="10">((C18/C6)^(1/12)-1)*100</f>
        <v>9.4242826105328312</v>
      </c>
      <c r="D57" s="67">
        <f t="shared" si="10"/>
        <v>8.1466981619819698</v>
      </c>
      <c r="E57" s="67">
        <f t="shared" si="10"/>
        <v>9.5348908302243185</v>
      </c>
      <c r="F57" s="67">
        <f t="shared" si="10"/>
        <v>9.396969996371741</v>
      </c>
      <c r="G57" s="67">
        <f t="shared" si="10"/>
        <v>0.25345257085436224</v>
      </c>
      <c r="H57" s="67">
        <f t="shared" si="10"/>
        <v>9.2096598960849985</v>
      </c>
      <c r="I57" s="67">
        <f t="shared" si="10"/>
        <v>9.4242826105328312</v>
      </c>
      <c r="J57" s="67">
        <f t="shared" si="10"/>
        <v>8.1466981619819698</v>
      </c>
      <c r="K57" s="67">
        <f t="shared" si="10"/>
        <v>9.5348908302242954</v>
      </c>
      <c r="L57" s="67">
        <f t="shared" si="10"/>
        <v>9.396969996371741</v>
      </c>
      <c r="M57" s="67"/>
    </row>
    <row r="58" spans="1:13">
      <c r="A58" s="68" t="s">
        <v>1032</v>
      </c>
      <c r="B58" s="67" t="s">
        <v>22</v>
      </c>
      <c r="C58" s="67">
        <f t="shared" ref="C58:L58" si="11">((C26/C18)^(1/8)-1)*100</f>
        <v>12.807009578104566</v>
      </c>
      <c r="D58" s="67">
        <f t="shared" si="11"/>
        <v>19.78278263500799</v>
      </c>
      <c r="E58" s="67">
        <f t="shared" si="11"/>
        <v>12.265834152373234</v>
      </c>
      <c r="F58" s="67">
        <f t="shared" si="11"/>
        <v>11.884317377988296</v>
      </c>
      <c r="G58" s="67">
        <f t="shared" si="11"/>
        <v>-2.7932927230818305</v>
      </c>
      <c r="H58" s="67">
        <f t="shared" si="11"/>
        <v>6.9916145446296651</v>
      </c>
      <c r="I58" s="67">
        <f t="shared" si="11"/>
        <v>12.807009578104566</v>
      </c>
      <c r="J58" s="67">
        <f t="shared" si="11"/>
        <v>19.78278263500799</v>
      </c>
      <c r="K58" s="67">
        <f t="shared" si="11"/>
        <v>12.265834152373234</v>
      </c>
      <c r="L58" s="67">
        <f t="shared" si="11"/>
        <v>11.884317377988296</v>
      </c>
      <c r="M58" s="67"/>
    </row>
    <row r="59" spans="1:13">
      <c r="A59" s="69" t="s">
        <v>1783</v>
      </c>
      <c r="B59" s="67" t="s">
        <v>22</v>
      </c>
      <c r="C59" s="67">
        <f t="shared" ref="C59:L59" si="12">((C53/C26)^(1/27)-1)*100</f>
        <v>3.4117389152666489</v>
      </c>
      <c r="D59" s="67">
        <f t="shared" si="12"/>
        <v>3.503192127498056</v>
      </c>
      <c r="E59" s="67">
        <f t="shared" si="12"/>
        <v>3.1956725384191476</v>
      </c>
      <c r="F59" s="67">
        <f t="shared" si="12"/>
        <v>4.5917719847325955</v>
      </c>
      <c r="G59" s="67">
        <f t="shared" si="12"/>
        <v>0.43013912764271467</v>
      </c>
      <c r="H59" s="67">
        <f t="shared" si="12"/>
        <v>3.1145869737772003</v>
      </c>
      <c r="I59" s="67">
        <f t="shared" si="12"/>
        <v>3.4117389152666489</v>
      </c>
      <c r="J59" s="67">
        <f t="shared" si="12"/>
        <v>3.503192127498056</v>
      </c>
      <c r="K59" s="67">
        <f t="shared" si="12"/>
        <v>3.1956725384191476</v>
      </c>
      <c r="L59" s="67">
        <f t="shared" si="12"/>
        <v>4.5917719847325955</v>
      </c>
      <c r="M59" s="67"/>
    </row>
    <row r="60" spans="1:13">
      <c r="A60" s="68" t="s">
        <v>25</v>
      </c>
      <c r="B60" s="67" t="s">
        <v>22</v>
      </c>
      <c r="C60" s="67">
        <f t="shared" ref="C60:L60" si="13">((C34/C26)^(1/8)-1)*100</f>
        <v>7.3710966883572482</v>
      </c>
      <c r="D60" s="67">
        <f t="shared" si="13"/>
        <v>4.5680737602462607</v>
      </c>
      <c r="E60" s="67">
        <f t="shared" si="13"/>
        <v>7.4357424812418582</v>
      </c>
      <c r="F60" s="67">
        <f t="shared" si="13"/>
        <v>9.0997349185505172</v>
      </c>
      <c r="G60" s="67">
        <f t="shared" si="13"/>
        <v>3.9036149182340552</v>
      </c>
      <c r="H60" s="67">
        <f t="shared" si="13"/>
        <v>11.344157121487775</v>
      </c>
      <c r="I60" s="67">
        <f t="shared" si="13"/>
        <v>7.3710966883572482</v>
      </c>
      <c r="J60" s="67">
        <f t="shared" si="13"/>
        <v>4.5680737602462607</v>
      </c>
      <c r="K60" s="67">
        <f t="shared" si="13"/>
        <v>7.4357424812418582</v>
      </c>
      <c r="L60" s="67">
        <f t="shared" si="13"/>
        <v>9.0997349185505172</v>
      </c>
      <c r="M60" s="65"/>
    </row>
    <row r="61" spans="1:13">
      <c r="A61" s="69" t="s">
        <v>2134</v>
      </c>
      <c r="B61" s="67" t="s">
        <v>22</v>
      </c>
      <c r="C61" s="65">
        <f t="shared" ref="C61:L61" si="14">((C53/C31)^(1/22)-1)*100</f>
        <v>2.7341734178528698</v>
      </c>
      <c r="D61" s="65">
        <f t="shared" si="14"/>
        <v>3.2779528325015406</v>
      </c>
      <c r="E61" s="65">
        <f t="shared" si="14"/>
        <v>2.4995029888593923</v>
      </c>
      <c r="F61" s="65">
        <f t="shared" si="14"/>
        <v>3.635612689948764</v>
      </c>
      <c r="G61" s="65">
        <f t="shared" si="14"/>
        <v>-0.1479723820969725</v>
      </c>
      <c r="H61" s="65">
        <f t="shared" si="14"/>
        <v>1.8202300001080918</v>
      </c>
      <c r="I61" s="65">
        <f t="shared" si="14"/>
        <v>2.7341734178528698</v>
      </c>
      <c r="J61" s="65">
        <f t="shared" si="14"/>
        <v>3.2779528325015406</v>
      </c>
      <c r="K61" s="65">
        <f t="shared" si="14"/>
        <v>2.4995029888593923</v>
      </c>
      <c r="L61" s="65">
        <f t="shared" si="14"/>
        <v>3.635612689948764</v>
      </c>
      <c r="M61" s="65"/>
    </row>
    <row r="62" spans="1:13">
      <c r="A62" s="69" t="s">
        <v>26</v>
      </c>
      <c r="B62" s="67" t="s">
        <v>22</v>
      </c>
      <c r="C62" s="65">
        <f t="shared" ref="C62:L62" si="15">((C45/C34)^(1/11)-1)*100</f>
        <v>5.2273754174807507</v>
      </c>
      <c r="D62" s="65">
        <f t="shared" si="15"/>
        <v>5.3618568996844251</v>
      </c>
      <c r="E62" s="65">
        <f t="shared" si="15"/>
        <v>5.06934034709563</v>
      </c>
      <c r="F62" s="65">
        <f t="shared" si="15"/>
        <v>6.0671209959968664</v>
      </c>
      <c r="G62" s="65">
        <f t="shared" si="15"/>
        <v>2.2803797598358377</v>
      </c>
      <c r="H62" s="65">
        <f t="shared" si="15"/>
        <v>7.5067555752012849</v>
      </c>
      <c r="I62" s="65">
        <f t="shared" si="15"/>
        <v>5.2273754174807507</v>
      </c>
      <c r="J62" s="65">
        <f t="shared" si="15"/>
        <v>5.3618568996844251</v>
      </c>
      <c r="K62" s="65">
        <f t="shared" si="15"/>
        <v>5.06934034709563</v>
      </c>
      <c r="L62" s="65">
        <f t="shared" si="15"/>
        <v>6.0671209959968664</v>
      </c>
      <c r="M62" s="65"/>
    </row>
    <row r="63" spans="1:13">
      <c r="A63" s="69" t="s">
        <v>1779</v>
      </c>
      <c r="B63" s="67" t="s">
        <v>22</v>
      </c>
      <c r="C63" s="65">
        <f t="shared" ref="C63:L63" si="16">((C53/C45)^(1/8)-1)*100</f>
        <v>-2.7568968489776413</v>
      </c>
      <c r="D63" s="65">
        <f t="shared" si="16"/>
        <v>-2.7608556036673448E-2</v>
      </c>
      <c r="E63" s="65">
        <f t="shared" si="16"/>
        <v>-3.2993892502698685</v>
      </c>
      <c r="F63" s="65">
        <f t="shared" si="16"/>
        <v>-1.6426399076933773</v>
      </c>
      <c r="G63" s="65">
        <f t="shared" si="16"/>
        <v>-5.3335473699250402</v>
      </c>
      <c r="H63" s="65">
        <f t="shared" si="16"/>
        <v>-9.8296482826992992</v>
      </c>
      <c r="I63" s="65">
        <f t="shared" si="16"/>
        <v>-2.7568968489776413</v>
      </c>
      <c r="J63" s="65">
        <f t="shared" si="16"/>
        <v>-2.7608556036673448E-2</v>
      </c>
      <c r="K63" s="65">
        <f t="shared" si="16"/>
        <v>-3.2993892502698685</v>
      </c>
      <c r="L63" s="65">
        <f t="shared" si="16"/>
        <v>-1.6426399076933773</v>
      </c>
    </row>
    <row r="64" spans="1:13">
      <c r="A64" s="69"/>
      <c r="B64" s="65"/>
    </row>
    <row r="65" spans="1:1">
      <c r="A65" s="64" t="s">
        <v>1012</v>
      </c>
    </row>
  </sheetData>
  <mergeCells count="8">
    <mergeCell ref="B4:F4"/>
    <mergeCell ref="H4:L4"/>
    <mergeCell ref="A2:A4"/>
    <mergeCell ref="B2:B3"/>
    <mergeCell ref="C2:F2"/>
    <mergeCell ref="G2:G3"/>
    <mergeCell ref="H2:H3"/>
    <mergeCell ref="I2:L2"/>
  </mergeCells>
  <pageMargins left="0.70866141732283472" right="0.70866141732283472" top="0.74803149606299213" bottom="0.74803149606299213" header="0.31496062992125984" footer="0.31496062992125984"/>
  <pageSetup scale="75" orientation="portrait" horizontalDpi="0" verticalDpi="0" r:id="rId1"/>
</worksheet>
</file>

<file path=xl/worksheets/sheet115.xml><?xml version="1.0" encoding="utf-8"?>
<worksheet xmlns="http://schemas.openxmlformats.org/spreadsheetml/2006/main" xmlns:r="http://schemas.openxmlformats.org/officeDocument/2006/relationships">
  <sheetPr codeName="Sheet108"/>
  <dimension ref="A1:F18"/>
  <sheetViews>
    <sheetView view="pageBreakPreview" zoomScaleNormal="100" zoomScaleSheetLayoutView="100" workbookViewId="0">
      <selection activeCell="AC38" sqref="AC38"/>
    </sheetView>
  </sheetViews>
  <sheetFormatPr defaultRowHeight="15"/>
  <cols>
    <col min="1" max="1" width="30.5703125" style="64" customWidth="1"/>
    <col min="2" max="6" width="12.140625" style="135" customWidth="1"/>
    <col min="7" max="16384" width="9.140625" style="64"/>
  </cols>
  <sheetData>
    <row r="1" spans="1:6">
      <c r="A1" s="66" t="s">
        <v>2158</v>
      </c>
    </row>
    <row r="2" spans="1:6">
      <c r="A2" s="66"/>
      <c r="B2" s="72" t="s">
        <v>1031</v>
      </c>
      <c r="C2" s="165" t="s">
        <v>1032</v>
      </c>
      <c r="D2" s="165" t="s">
        <v>25</v>
      </c>
      <c r="E2" s="165" t="s">
        <v>26</v>
      </c>
      <c r="F2" s="165" t="s">
        <v>1779</v>
      </c>
    </row>
    <row r="3" spans="1:6">
      <c r="A3" s="66" t="s">
        <v>1087</v>
      </c>
      <c r="B3" s="110"/>
      <c r="C3" s="203"/>
      <c r="D3" s="203"/>
      <c r="E3" s="203"/>
      <c r="F3" s="203"/>
    </row>
    <row r="4" spans="1:6">
      <c r="A4" s="69" t="s">
        <v>1080</v>
      </c>
      <c r="B4" s="31">
        <f>AVERAGE('17a'!G5:G17)</f>
        <v>68.784244455749359</v>
      </c>
      <c r="C4" s="31">
        <f>AVERAGE('17a'!G17:G25)</f>
        <v>66.837556161490497</v>
      </c>
      <c r="D4" s="31">
        <f>AVERAGE('17a'!G25:G33)</f>
        <v>68.093996301354807</v>
      </c>
      <c r="E4" s="31">
        <f>AVERAGE('17a'!G33:G44)</f>
        <v>61.298313448594534</v>
      </c>
      <c r="F4" s="31">
        <f>AVERAGE('17a'!G44:G52)</f>
        <v>59.332730195035055</v>
      </c>
    </row>
    <row r="5" spans="1:6">
      <c r="A5" s="69" t="s">
        <v>1081</v>
      </c>
      <c r="B5" s="31">
        <f>AVERAGE('17b'!G6:G18)</f>
        <v>31.215112169922762</v>
      </c>
      <c r="C5" s="31">
        <f>AVERAGE('17b'!G18:G26)</f>
        <v>33.162417053939521</v>
      </c>
      <c r="D5" s="31">
        <f>AVERAGE('17b'!G26:G34)</f>
        <v>31.905979575289809</v>
      </c>
      <c r="E5" s="31">
        <f>AVERAGE('17b'!G34:G45)</f>
        <v>38.701630855057097</v>
      </c>
      <c r="F5" s="31">
        <f>AVERAGE('17b'!G45:G53)</f>
        <v>40.667394503972105</v>
      </c>
    </row>
    <row r="6" spans="1:6">
      <c r="A6" s="69"/>
      <c r="B6" s="31"/>
      <c r="C6" s="31"/>
      <c r="D6" s="31"/>
      <c r="E6" s="31"/>
      <c r="F6" s="31"/>
    </row>
    <row r="7" spans="1:6">
      <c r="A7" s="204" t="s">
        <v>793</v>
      </c>
      <c r="B7" s="31"/>
      <c r="C7" s="31"/>
      <c r="D7" s="31"/>
      <c r="E7" s="31"/>
      <c r="F7" s="31"/>
    </row>
    <row r="8" spans="1:6">
      <c r="A8" s="68" t="s">
        <v>116</v>
      </c>
      <c r="B8" s="205">
        <f>'17'!E57</f>
        <v>0.41649446497531439</v>
      </c>
      <c r="C8" s="67">
        <f>'17'!E58</f>
        <v>1.920555692893533</v>
      </c>
      <c r="D8" s="67">
        <f>'17'!E60</f>
        <v>3.541973541801724</v>
      </c>
      <c r="E8" s="67">
        <f>'17'!E62</f>
        <v>3.0474472866148128</v>
      </c>
      <c r="F8" s="67">
        <f>'17'!E63</f>
        <v>4.5151277753684438</v>
      </c>
    </row>
    <row r="9" spans="1:6">
      <c r="A9" s="69" t="s">
        <v>113</v>
      </c>
      <c r="B9" s="67">
        <f>'17'!C57</f>
        <v>0.48088078262216172</v>
      </c>
      <c r="C9" s="67">
        <f>'17'!C58</f>
        <v>1.2470074994239244</v>
      </c>
      <c r="D9" s="67">
        <f>'17'!C60</f>
        <v>1.8285448321503139</v>
      </c>
      <c r="E9" s="67">
        <f>'17'!C62</f>
        <v>2.1416028595577119</v>
      </c>
      <c r="F9" s="67">
        <f>'17'!C63</f>
        <v>2.1999405306942998</v>
      </c>
    </row>
    <row r="10" spans="1:6">
      <c r="A10" s="69" t="s">
        <v>833</v>
      </c>
      <c r="B10" s="67">
        <f>'17a'!C56</f>
        <v>0.70263212589363189</v>
      </c>
      <c r="C10" s="67">
        <f>'17a'!C57</f>
        <v>0.52046922744932722</v>
      </c>
      <c r="D10" s="67">
        <f>'17a'!C59</f>
        <v>0.66733347006757704</v>
      </c>
      <c r="E10" s="67">
        <f>'17a'!C61</f>
        <v>0.47633456166038535</v>
      </c>
      <c r="F10" s="67">
        <f>'17a'!C62</f>
        <v>0.34884611378587227</v>
      </c>
    </row>
    <row r="11" spans="1:6">
      <c r="A11" s="69" t="s">
        <v>1086</v>
      </c>
      <c r="B11" s="67">
        <f>'18'!O57</f>
        <v>4.0932574555448742</v>
      </c>
      <c r="C11" s="67">
        <f>'18'!O58</f>
        <v>4.5018488588625782</v>
      </c>
      <c r="D11" s="67">
        <f>'18'!O60</f>
        <v>-1.942726281101359</v>
      </c>
      <c r="E11" s="67">
        <f>'18'!O62</f>
        <v>1.6827893970848606</v>
      </c>
      <c r="F11" s="67">
        <f>'18'!O63</f>
        <v>6.4717784262189104</v>
      </c>
    </row>
    <row r="12" spans="1:6">
      <c r="B12" s="67"/>
      <c r="C12" s="67"/>
      <c r="D12" s="67"/>
      <c r="E12" s="67"/>
      <c r="F12" s="67"/>
    </row>
    <row r="13" spans="1:6">
      <c r="A13" s="66" t="s">
        <v>1085</v>
      </c>
      <c r="B13" s="67"/>
      <c r="C13" s="67"/>
      <c r="D13" s="67"/>
      <c r="E13" s="67"/>
      <c r="F13" s="67"/>
    </row>
    <row r="14" spans="1:6">
      <c r="A14" s="69" t="s">
        <v>113</v>
      </c>
      <c r="B14" s="67">
        <f>B9</f>
        <v>0.48088078262216172</v>
      </c>
      <c r="C14" s="67">
        <f>C9</f>
        <v>1.2470074994239244</v>
      </c>
      <c r="D14" s="67">
        <f>D9</f>
        <v>1.8285448321503139</v>
      </c>
      <c r="E14" s="67">
        <f>E9</f>
        <v>2.1416028595577119</v>
      </c>
      <c r="F14" s="67">
        <f>F9</f>
        <v>2.1999405306942998</v>
      </c>
    </row>
    <row r="15" spans="1:6">
      <c r="A15" s="69" t="s">
        <v>833</v>
      </c>
      <c r="B15" s="67">
        <f>B4/100*B10</f>
        <v>0.48330019909930433</v>
      </c>
      <c r="C15" s="67">
        <f t="shared" ref="C15:E16" si="0">C4/100*C10</f>
        <v>0.34786891219971977</v>
      </c>
      <c r="D15" s="67">
        <f t="shared" si="0"/>
        <v>0.45441402842551859</v>
      </c>
      <c r="E15" s="67">
        <f t="shared" si="0"/>
        <v>0.29198505267057179</v>
      </c>
      <c r="F15" s="67">
        <f>F4/100*F10</f>
        <v>0.20697992348843658</v>
      </c>
    </row>
    <row r="16" spans="1:6">
      <c r="A16" s="69" t="s">
        <v>1086</v>
      </c>
      <c r="B16" s="67">
        <f>B5/100*B11</f>
        <v>1.2777149061520587</v>
      </c>
      <c r="C16" s="67">
        <f t="shared" si="0"/>
        <v>1.4929218937140252</v>
      </c>
      <c r="D16" s="67">
        <f t="shared" si="0"/>
        <v>-0.61984585045198692</v>
      </c>
      <c r="E16" s="67">
        <f t="shared" si="0"/>
        <v>0.65126694052782363</v>
      </c>
      <c r="F16" s="67">
        <f>F5/100*F11</f>
        <v>2.6319036640134015</v>
      </c>
    </row>
    <row r="18" spans="1:1">
      <c r="A18" s="195" t="s">
        <v>1088</v>
      </c>
    </row>
  </sheetData>
  <pageMargins left="0.7" right="0.7" top="0.75" bottom="0.75" header="0.3" footer="0.3"/>
  <pageSetup orientation="landscape" horizontalDpi="0" verticalDpi="0" r:id="rId1"/>
</worksheet>
</file>

<file path=xl/worksheets/sheet116.xml><?xml version="1.0" encoding="utf-8"?>
<worksheet xmlns="http://schemas.openxmlformats.org/spreadsheetml/2006/main" xmlns:r="http://schemas.openxmlformats.org/officeDocument/2006/relationships">
  <sheetPr codeName="Sheet109"/>
  <dimension ref="A1:S66"/>
  <sheetViews>
    <sheetView view="pageBreakPreview" zoomScaleNormal="70" zoomScaleSheetLayoutView="100"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7" width="11.42578125" style="64" customWidth="1"/>
    <col min="8" max="11" width="11.7109375" style="64" customWidth="1"/>
    <col min="12" max="14" width="14" style="64" customWidth="1"/>
    <col min="15" max="15" width="13.28515625" style="64" customWidth="1"/>
    <col min="16" max="16384" width="9.140625" style="64"/>
  </cols>
  <sheetData>
    <row r="1" spans="1:19">
      <c r="A1" s="66" t="s">
        <v>1867</v>
      </c>
    </row>
    <row r="2" spans="1:19" ht="30" customHeight="1">
      <c r="A2" s="96"/>
      <c r="B2" s="97" t="s">
        <v>113</v>
      </c>
      <c r="C2" s="97"/>
      <c r="D2" s="98" t="s">
        <v>116</v>
      </c>
      <c r="E2" s="99"/>
      <c r="F2" s="97" t="s">
        <v>117</v>
      </c>
      <c r="G2" s="97" t="s">
        <v>118</v>
      </c>
      <c r="H2" s="212" t="s">
        <v>119</v>
      </c>
      <c r="I2" s="97" t="s">
        <v>120</v>
      </c>
      <c r="J2" s="97" t="s">
        <v>1004</v>
      </c>
      <c r="K2" s="97" t="s">
        <v>122</v>
      </c>
      <c r="L2" s="97" t="s">
        <v>1003</v>
      </c>
      <c r="M2" s="97"/>
      <c r="N2" s="97"/>
      <c r="O2" s="97" t="s">
        <v>1079</v>
      </c>
    </row>
    <row r="3" spans="1:19" ht="60" customHeight="1">
      <c r="A3" s="96"/>
      <c r="B3" s="73" t="s">
        <v>114</v>
      </c>
      <c r="C3" s="73" t="s">
        <v>115</v>
      </c>
      <c r="D3" s="73" t="s">
        <v>114</v>
      </c>
      <c r="E3" s="73" t="s">
        <v>115</v>
      </c>
      <c r="F3" s="97"/>
      <c r="G3" s="97"/>
      <c r="H3" s="213"/>
      <c r="I3" s="97"/>
      <c r="J3" s="97"/>
      <c r="K3" s="97"/>
      <c r="L3" s="73" t="s">
        <v>1009</v>
      </c>
      <c r="M3" s="73" t="s">
        <v>1010</v>
      </c>
      <c r="N3" s="73" t="s">
        <v>1011</v>
      </c>
      <c r="O3" s="97"/>
      <c r="S3" s="97"/>
    </row>
    <row r="4" spans="1:19" ht="15" customHeight="1">
      <c r="A4" s="96"/>
      <c r="B4" s="98" t="s">
        <v>6</v>
      </c>
      <c r="C4" s="100"/>
      <c r="D4" s="100"/>
      <c r="E4" s="100"/>
      <c r="F4" s="100"/>
      <c r="G4" s="100"/>
      <c r="H4" s="100"/>
      <c r="I4" s="214"/>
      <c r="J4" s="97" t="s">
        <v>1002</v>
      </c>
      <c r="K4" s="97"/>
      <c r="L4" s="103" t="s">
        <v>6</v>
      </c>
      <c r="M4" s="103"/>
      <c r="N4" s="103"/>
      <c r="O4" s="103"/>
      <c r="S4" s="97"/>
    </row>
    <row r="5" spans="1:19" hidden="1" outlineLevel="1">
      <c r="B5" s="139" t="s">
        <v>89</v>
      </c>
      <c r="C5" s="64" t="s">
        <v>92</v>
      </c>
      <c r="D5" s="64" t="s">
        <v>95</v>
      </c>
      <c r="E5" s="64" t="s">
        <v>96</v>
      </c>
      <c r="F5" s="64" t="s">
        <v>97</v>
      </c>
      <c r="G5" s="64" t="s">
        <v>3</v>
      </c>
      <c r="H5" s="64" t="s">
        <v>101</v>
      </c>
      <c r="I5" s="64" t="s">
        <v>106</v>
      </c>
      <c r="J5" s="64" t="s">
        <v>107</v>
      </c>
      <c r="K5" s="64" t="s">
        <v>108</v>
      </c>
      <c r="L5" s="64" t="s">
        <v>133</v>
      </c>
      <c r="M5" s="64" t="s">
        <v>134</v>
      </c>
      <c r="N5" s="64" t="s">
        <v>135</v>
      </c>
    </row>
    <row r="6" spans="1:19" collapsed="1">
      <c r="A6" s="66">
        <v>1961</v>
      </c>
      <c r="B6" s="28">
        <v>62.8</v>
      </c>
      <c r="C6" s="28">
        <v>38.1</v>
      </c>
      <c r="D6" s="28">
        <v>25.3</v>
      </c>
      <c r="E6" s="28">
        <v>26.7</v>
      </c>
      <c r="F6" s="28">
        <v>42.7</v>
      </c>
      <c r="G6" s="28">
        <v>45.1</v>
      </c>
      <c r="H6" s="28">
        <v>118.3</v>
      </c>
      <c r="I6" s="28">
        <v>68.099999999999994</v>
      </c>
      <c r="J6" s="56">
        <v>799</v>
      </c>
      <c r="K6" s="56">
        <v>454.6</v>
      </c>
      <c r="L6" s="28">
        <v>87</v>
      </c>
      <c r="M6" s="28">
        <v>48.4</v>
      </c>
      <c r="N6" s="28">
        <v>95.8</v>
      </c>
      <c r="O6" s="31">
        <f>'18b'!B6/'18a'!E5*100</f>
        <v>39.12964774951076</v>
      </c>
      <c r="S6" s="139"/>
    </row>
    <row r="7" spans="1:19" hidden="1" outlineLevel="1">
      <c r="A7" s="66">
        <v>1962</v>
      </c>
      <c r="B7" s="28">
        <v>62.9</v>
      </c>
      <c r="C7" s="28">
        <v>38.299999999999997</v>
      </c>
      <c r="D7" s="28">
        <v>24.6</v>
      </c>
      <c r="E7" s="28">
        <v>26.5</v>
      </c>
      <c r="F7" s="28">
        <v>43.5</v>
      </c>
      <c r="G7" s="28">
        <v>47</v>
      </c>
      <c r="H7" s="28">
        <v>123</v>
      </c>
      <c r="I7" s="28">
        <v>69.3</v>
      </c>
      <c r="J7" s="56">
        <v>823</v>
      </c>
      <c r="K7" s="56">
        <v>478.3</v>
      </c>
      <c r="L7" s="28">
        <v>86.4</v>
      </c>
      <c r="M7" s="28">
        <v>47.1</v>
      </c>
      <c r="N7" s="28">
        <v>96</v>
      </c>
      <c r="O7" s="31">
        <f>'18b'!B7/'18a'!E6*100</f>
        <v>37.438956197576886</v>
      </c>
      <c r="S7" s="139"/>
    </row>
    <row r="8" spans="1:19" hidden="1" outlineLevel="1">
      <c r="A8" s="66">
        <v>1963</v>
      </c>
      <c r="B8" s="28">
        <v>65.099999999999994</v>
      </c>
      <c r="C8" s="28">
        <v>40.700000000000003</v>
      </c>
      <c r="D8" s="28">
        <v>26.9</v>
      </c>
      <c r="E8" s="28">
        <v>28.9</v>
      </c>
      <c r="F8" s="28">
        <v>44.2</v>
      </c>
      <c r="G8" s="28">
        <v>47.5</v>
      </c>
      <c r="H8" s="28">
        <v>116.7</v>
      </c>
      <c r="I8" s="28">
        <v>67.8</v>
      </c>
      <c r="J8" s="56">
        <v>853.4</v>
      </c>
      <c r="K8" s="56">
        <v>498.2</v>
      </c>
      <c r="L8" s="28">
        <v>87.5</v>
      </c>
      <c r="M8" s="28">
        <v>49.1</v>
      </c>
      <c r="N8" s="28">
        <v>96.1</v>
      </c>
      <c r="O8" s="31">
        <f>'18b'!B8/'18a'!E7*100</f>
        <v>40.556281407035179</v>
      </c>
      <c r="S8" s="139"/>
    </row>
    <row r="9" spans="1:19" hidden="1" outlineLevel="1">
      <c r="A9" s="66">
        <v>1964</v>
      </c>
      <c r="B9" s="28">
        <v>64.7</v>
      </c>
      <c r="C9" s="28">
        <v>40.200000000000003</v>
      </c>
      <c r="D9" s="28">
        <v>27.7</v>
      </c>
      <c r="E9" s="28">
        <v>28.8</v>
      </c>
      <c r="F9" s="28">
        <v>47.9</v>
      </c>
      <c r="G9" s="28">
        <v>49.9</v>
      </c>
      <c r="H9" s="28">
        <v>124</v>
      </c>
      <c r="I9" s="28">
        <v>74</v>
      </c>
      <c r="J9" s="56">
        <v>961.3</v>
      </c>
      <c r="K9" s="56">
        <v>549.20000000000005</v>
      </c>
      <c r="L9" s="28">
        <v>87.8</v>
      </c>
      <c r="M9" s="28">
        <v>50.6</v>
      </c>
      <c r="N9" s="28">
        <v>96.2</v>
      </c>
      <c r="O9" s="31">
        <f>'18b'!B9/'18a'!E8*100</f>
        <v>41.489016236867229</v>
      </c>
      <c r="S9" s="139"/>
    </row>
    <row r="10" spans="1:19" hidden="1" outlineLevel="1">
      <c r="A10" s="66">
        <v>1965</v>
      </c>
      <c r="B10" s="28">
        <v>63.7</v>
      </c>
      <c r="C10" s="28">
        <v>39.1</v>
      </c>
      <c r="D10" s="28">
        <v>28.1</v>
      </c>
      <c r="E10" s="28">
        <v>28.7</v>
      </c>
      <c r="F10" s="28">
        <v>49</v>
      </c>
      <c r="G10" s="28">
        <v>50.1</v>
      </c>
      <c r="H10" s="28">
        <v>128.19999999999999</v>
      </c>
      <c r="I10" s="28">
        <v>77</v>
      </c>
      <c r="J10" s="56">
        <v>1018.8</v>
      </c>
      <c r="K10" s="56">
        <v>577.4</v>
      </c>
      <c r="L10" s="28">
        <v>88.8</v>
      </c>
      <c r="M10" s="28">
        <v>51.4</v>
      </c>
      <c r="N10" s="28">
        <v>96.4</v>
      </c>
      <c r="O10" s="31">
        <f>'18b'!B10/'18a'!E9*100</f>
        <v>44.566903073286049</v>
      </c>
      <c r="S10" s="139"/>
    </row>
    <row r="11" spans="1:19" hidden="1" outlineLevel="1">
      <c r="A11" s="66">
        <v>1966</v>
      </c>
      <c r="B11" s="28">
        <v>63.8</v>
      </c>
      <c r="C11" s="28">
        <v>39.200000000000003</v>
      </c>
      <c r="D11" s="28">
        <v>28.7</v>
      </c>
      <c r="E11" s="28">
        <v>29</v>
      </c>
      <c r="F11" s="28">
        <v>50.5</v>
      </c>
      <c r="G11" s="28">
        <v>51</v>
      </c>
      <c r="H11" s="28">
        <v>130</v>
      </c>
      <c r="I11" s="28">
        <v>79.2</v>
      </c>
      <c r="J11" s="56">
        <v>1102.5999999999999</v>
      </c>
      <c r="K11" s="56">
        <v>628.20000000000005</v>
      </c>
      <c r="L11" s="28">
        <v>89</v>
      </c>
      <c r="M11" s="28">
        <v>52.3</v>
      </c>
      <c r="N11" s="28">
        <v>96.6</v>
      </c>
      <c r="O11" s="31">
        <f>'18b'!B11/'18a'!E10*100</f>
        <v>45.254340685124355</v>
      </c>
      <c r="S11" s="139"/>
    </row>
    <row r="12" spans="1:19" hidden="1" outlineLevel="1">
      <c r="A12" s="66">
        <v>1967</v>
      </c>
      <c r="B12" s="28">
        <v>63</v>
      </c>
      <c r="C12" s="28">
        <v>38.4</v>
      </c>
      <c r="D12" s="28">
        <v>28.7</v>
      </c>
      <c r="E12" s="28">
        <v>28.7</v>
      </c>
      <c r="F12" s="28">
        <v>47.2</v>
      </c>
      <c r="G12" s="28">
        <v>47.3</v>
      </c>
      <c r="H12" s="28">
        <v>123.1</v>
      </c>
      <c r="I12" s="28">
        <v>74.900000000000006</v>
      </c>
      <c r="J12" s="56">
        <v>1070.5</v>
      </c>
      <c r="K12" s="56">
        <v>608.5</v>
      </c>
      <c r="L12" s="28">
        <v>89.6</v>
      </c>
      <c r="M12" s="28">
        <v>52.5</v>
      </c>
      <c r="N12" s="28">
        <v>96.6</v>
      </c>
      <c r="O12" s="31">
        <f>'18b'!B12/'18a'!E11*100</f>
        <v>47.62248995983937</v>
      </c>
      <c r="S12" s="139"/>
    </row>
    <row r="13" spans="1:19" hidden="1" outlineLevel="1">
      <c r="A13" s="66">
        <v>1968</v>
      </c>
      <c r="B13" s="28">
        <v>65.5</v>
      </c>
      <c r="C13" s="28">
        <v>41.1</v>
      </c>
      <c r="D13" s="28">
        <v>32.5</v>
      </c>
      <c r="E13" s="28">
        <v>31.2</v>
      </c>
      <c r="F13" s="28">
        <v>49.6</v>
      </c>
      <c r="G13" s="28">
        <v>47.7</v>
      </c>
      <c r="H13" s="28">
        <v>115.9</v>
      </c>
      <c r="I13" s="28">
        <v>75.7</v>
      </c>
      <c r="J13" s="56">
        <v>1170.4000000000001</v>
      </c>
      <c r="K13" s="56">
        <v>639.9</v>
      </c>
      <c r="L13" s="28">
        <v>90.2</v>
      </c>
      <c r="M13" s="28">
        <v>56.8</v>
      </c>
      <c r="N13" s="28">
        <v>96.7</v>
      </c>
      <c r="O13" s="31">
        <f>'18b'!B13/'18a'!E12*100</f>
        <v>50.23135135135135</v>
      </c>
      <c r="S13" s="139"/>
    </row>
    <row r="14" spans="1:19" hidden="1" outlineLevel="1">
      <c r="A14" s="66">
        <v>1969</v>
      </c>
      <c r="B14" s="28">
        <v>67.400000000000006</v>
      </c>
      <c r="C14" s="28">
        <v>43.3</v>
      </c>
      <c r="D14" s="28">
        <v>35.299999999999997</v>
      </c>
      <c r="E14" s="28">
        <v>33.5</v>
      </c>
      <c r="F14" s="28">
        <v>54.4</v>
      </c>
      <c r="G14" s="28">
        <v>51.7</v>
      </c>
      <c r="H14" s="28">
        <v>119.4</v>
      </c>
      <c r="I14" s="28">
        <v>80.7</v>
      </c>
      <c r="J14" s="56">
        <v>1354.3</v>
      </c>
      <c r="K14" s="56">
        <v>741.5</v>
      </c>
      <c r="L14" s="28">
        <v>91.2</v>
      </c>
      <c r="M14" s="28">
        <v>59.3</v>
      </c>
      <c r="N14" s="28">
        <v>96.8</v>
      </c>
      <c r="O14" s="31">
        <f>'18b'!B14/'18a'!E13*100</f>
        <v>54.274919614147912</v>
      </c>
      <c r="S14" s="139"/>
    </row>
    <row r="15" spans="1:19" hidden="1" outlineLevel="1">
      <c r="A15" s="66">
        <v>1970</v>
      </c>
      <c r="B15" s="28">
        <v>68</v>
      </c>
      <c r="C15" s="28">
        <v>44</v>
      </c>
      <c r="D15" s="28">
        <v>35.4</v>
      </c>
      <c r="E15" s="28">
        <v>34.299999999999997</v>
      </c>
      <c r="F15" s="28">
        <v>54.3</v>
      </c>
      <c r="G15" s="28">
        <v>52.5</v>
      </c>
      <c r="H15" s="28">
        <v>119.4</v>
      </c>
      <c r="I15" s="28">
        <v>79.8</v>
      </c>
      <c r="J15" s="56">
        <v>1332.3</v>
      </c>
      <c r="K15" s="56">
        <v>712.9</v>
      </c>
      <c r="L15" s="28">
        <v>91.4</v>
      </c>
      <c r="M15" s="28">
        <v>58.8</v>
      </c>
      <c r="N15" s="28">
        <v>96.8</v>
      </c>
      <c r="O15" s="31">
        <f>'18b'!B15/'18a'!E14*100</f>
        <v>55.314285714285717</v>
      </c>
      <c r="S15" s="139"/>
    </row>
    <row r="16" spans="1:19" hidden="1" outlineLevel="1">
      <c r="A16" s="66">
        <v>1971</v>
      </c>
      <c r="B16" s="28">
        <v>69.400000000000006</v>
      </c>
      <c r="C16" s="28">
        <v>45.7</v>
      </c>
      <c r="D16" s="28">
        <v>38.1</v>
      </c>
      <c r="E16" s="28">
        <v>36.9</v>
      </c>
      <c r="F16" s="28">
        <v>52.4</v>
      </c>
      <c r="G16" s="28">
        <v>50.7</v>
      </c>
      <c r="H16" s="28">
        <v>110.9</v>
      </c>
      <c r="I16" s="28">
        <v>75.5</v>
      </c>
      <c r="J16" s="56">
        <v>1348.1</v>
      </c>
      <c r="K16" s="56">
        <v>731.3</v>
      </c>
      <c r="L16" s="28">
        <v>93.1</v>
      </c>
      <c r="M16" s="28">
        <v>60.8</v>
      </c>
      <c r="N16" s="28">
        <v>96.9</v>
      </c>
      <c r="O16" s="31">
        <f>'18b'!B16/'18a'!E15*100</f>
        <v>63.26322115384616</v>
      </c>
      <c r="S16" s="139"/>
    </row>
    <row r="17" spans="1:19" hidden="1" outlineLevel="1">
      <c r="A17" s="66">
        <v>1972</v>
      </c>
      <c r="B17" s="28">
        <v>71.599999999999994</v>
      </c>
      <c r="C17" s="28">
        <v>48.5</v>
      </c>
      <c r="D17" s="28">
        <v>42.2</v>
      </c>
      <c r="E17" s="28">
        <v>39.9</v>
      </c>
      <c r="F17" s="28">
        <v>55.8</v>
      </c>
      <c r="G17" s="28">
        <v>52.7</v>
      </c>
      <c r="H17" s="28">
        <v>108.8</v>
      </c>
      <c r="I17" s="28">
        <v>78</v>
      </c>
      <c r="J17" s="56">
        <v>1570.5</v>
      </c>
      <c r="K17" s="56">
        <v>855.8</v>
      </c>
      <c r="L17" s="28">
        <v>93.8</v>
      </c>
      <c r="M17" s="28">
        <v>64.599999999999994</v>
      </c>
      <c r="N17" s="28">
        <v>97.2</v>
      </c>
      <c r="O17" s="31">
        <f>'18b'!B17/'18a'!E16*100</f>
        <v>66.508432229856339</v>
      </c>
      <c r="S17" s="139"/>
    </row>
    <row r="18" spans="1:19" collapsed="1">
      <c r="A18" s="66">
        <v>1973</v>
      </c>
      <c r="B18" s="28">
        <v>71.599999999999994</v>
      </c>
      <c r="C18" s="28">
        <v>48.4</v>
      </c>
      <c r="D18" s="28">
        <v>44</v>
      </c>
      <c r="E18" s="28">
        <v>39.5</v>
      </c>
      <c r="F18" s="28">
        <v>67.8</v>
      </c>
      <c r="G18" s="28">
        <v>60.8</v>
      </c>
      <c r="H18" s="28">
        <v>125.7</v>
      </c>
      <c r="I18" s="28">
        <v>94.7</v>
      </c>
      <c r="J18" s="56">
        <v>2195.8000000000002</v>
      </c>
      <c r="K18" s="56">
        <v>1199.4000000000001</v>
      </c>
      <c r="L18" s="28">
        <v>93</v>
      </c>
      <c r="M18" s="28">
        <v>67.8</v>
      </c>
      <c r="N18" s="28">
        <v>97.7</v>
      </c>
      <c r="O18" s="31">
        <f>'18b'!B18/'18a'!E17*100</f>
        <v>63.325281803542666</v>
      </c>
      <c r="S18" s="139"/>
    </row>
    <row r="19" spans="1:19" hidden="1" outlineLevel="1">
      <c r="A19" s="66">
        <v>1974</v>
      </c>
      <c r="B19" s="28">
        <v>68.5</v>
      </c>
      <c r="C19" s="28">
        <v>44.5</v>
      </c>
      <c r="D19" s="28">
        <v>42.5</v>
      </c>
      <c r="E19" s="28">
        <v>37.6</v>
      </c>
      <c r="F19" s="28">
        <v>68.900000000000006</v>
      </c>
      <c r="G19" s="28">
        <v>61</v>
      </c>
      <c r="H19" s="28">
        <v>137.1</v>
      </c>
      <c r="I19" s="28">
        <v>100.6</v>
      </c>
      <c r="J19" s="56">
        <v>2503.6</v>
      </c>
      <c r="K19" s="56">
        <v>1283.7</v>
      </c>
      <c r="L19" s="28">
        <v>94.4</v>
      </c>
      <c r="M19" s="28">
        <v>67</v>
      </c>
      <c r="N19" s="28">
        <v>98</v>
      </c>
      <c r="O19" s="31">
        <f>'18b'!B19/'18a'!E18*100</f>
        <v>69.679735234215883</v>
      </c>
      <c r="S19" s="139"/>
    </row>
    <row r="20" spans="1:19" hidden="1" outlineLevel="1">
      <c r="A20" s="66">
        <v>1975</v>
      </c>
      <c r="B20" s="28">
        <v>65.3</v>
      </c>
      <c r="C20" s="28">
        <v>40.6</v>
      </c>
      <c r="D20" s="28">
        <v>39</v>
      </c>
      <c r="E20" s="28">
        <v>36.1</v>
      </c>
      <c r="F20" s="28">
        <v>53.9</v>
      </c>
      <c r="G20" s="28">
        <v>49.9</v>
      </c>
      <c r="H20" s="28">
        <v>122.9</v>
      </c>
      <c r="I20" s="28">
        <v>82.6</v>
      </c>
      <c r="J20" s="56">
        <v>2218.1</v>
      </c>
      <c r="K20" s="56">
        <v>1180</v>
      </c>
      <c r="L20" s="28">
        <v>96.7</v>
      </c>
      <c r="M20" s="28">
        <v>62.9</v>
      </c>
      <c r="N20" s="28">
        <v>98.2</v>
      </c>
      <c r="O20" s="31">
        <f>'18b'!B20/'18a'!E19*100</f>
        <v>86.521505376344095</v>
      </c>
      <c r="S20" s="139"/>
    </row>
    <row r="21" spans="1:19" hidden="1" outlineLevel="1">
      <c r="A21" s="66">
        <v>1976</v>
      </c>
      <c r="B21" s="28">
        <v>71.8</v>
      </c>
      <c r="C21" s="28">
        <v>48.6</v>
      </c>
      <c r="D21" s="28">
        <v>47.7</v>
      </c>
      <c r="E21" s="28">
        <v>44.2</v>
      </c>
      <c r="F21" s="28">
        <v>60.4</v>
      </c>
      <c r="G21" s="28">
        <v>56</v>
      </c>
      <c r="H21" s="28">
        <v>115.2</v>
      </c>
      <c r="I21" s="28">
        <v>84.2</v>
      </c>
      <c r="J21" s="56">
        <v>2711.4</v>
      </c>
      <c r="K21" s="56">
        <v>1411.6</v>
      </c>
      <c r="L21" s="28">
        <v>97.6</v>
      </c>
      <c r="M21" s="28">
        <v>69.2</v>
      </c>
      <c r="N21" s="28">
        <v>98.5</v>
      </c>
      <c r="O21" s="31">
        <f>'18b'!B21/'18a'!E20*100</f>
        <v>93.216568819308534</v>
      </c>
      <c r="S21" s="139"/>
    </row>
    <row r="22" spans="1:19" hidden="1" outlineLevel="1">
      <c r="A22" s="66">
        <v>1977</v>
      </c>
      <c r="B22" s="28">
        <v>73.3</v>
      </c>
      <c r="C22" s="28">
        <v>50.6</v>
      </c>
      <c r="D22" s="28">
        <v>49.7</v>
      </c>
      <c r="E22" s="28">
        <v>46</v>
      </c>
      <c r="F22" s="28">
        <v>64.2</v>
      </c>
      <c r="G22" s="28">
        <v>59.4</v>
      </c>
      <c r="H22" s="28">
        <v>117.3</v>
      </c>
      <c r="I22" s="28">
        <v>87.7</v>
      </c>
      <c r="J22" s="56">
        <v>3125.8</v>
      </c>
      <c r="K22" s="56">
        <v>1629.8</v>
      </c>
      <c r="L22" s="28">
        <v>97.3</v>
      </c>
      <c r="M22" s="28">
        <v>70.599999999999994</v>
      </c>
      <c r="N22" s="28">
        <v>98.6</v>
      </c>
      <c r="O22" s="31">
        <f>'18b'!B22/'18a'!E21*100</f>
        <v>91.542492012779562</v>
      </c>
      <c r="S22" s="139"/>
    </row>
    <row r="23" spans="1:19" hidden="1" outlineLevel="1">
      <c r="A23" s="66">
        <v>1978</v>
      </c>
      <c r="B23" s="28">
        <v>73</v>
      </c>
      <c r="C23" s="28">
        <v>50.2</v>
      </c>
      <c r="D23" s="28">
        <v>46.9</v>
      </c>
      <c r="E23" s="28">
        <v>43.8</v>
      </c>
      <c r="F23" s="28">
        <v>68.5</v>
      </c>
      <c r="G23" s="28">
        <v>63.9</v>
      </c>
      <c r="H23" s="28">
        <v>127.2</v>
      </c>
      <c r="I23" s="28">
        <v>93.8</v>
      </c>
      <c r="J23" s="56">
        <v>3640.2</v>
      </c>
      <c r="K23" s="56">
        <v>1934.9</v>
      </c>
      <c r="L23" s="28">
        <v>95.3</v>
      </c>
      <c r="M23" s="28">
        <v>68.400000000000006</v>
      </c>
      <c r="N23" s="28">
        <v>98.7</v>
      </c>
      <c r="O23" s="31">
        <f>'18b'!B23/'18a'!E22*100</f>
        <v>79.753114382785967</v>
      </c>
      <c r="S23" s="139"/>
    </row>
    <row r="24" spans="1:19" hidden="1" outlineLevel="1">
      <c r="A24" s="66">
        <v>1979</v>
      </c>
      <c r="B24" s="28">
        <v>71.400000000000006</v>
      </c>
      <c r="C24" s="28">
        <v>48.3</v>
      </c>
      <c r="D24" s="28">
        <v>45.5</v>
      </c>
      <c r="E24" s="28">
        <v>41.1</v>
      </c>
      <c r="F24" s="28">
        <v>71.8</v>
      </c>
      <c r="G24" s="28">
        <v>64.900000000000006</v>
      </c>
      <c r="H24" s="28">
        <v>134.5</v>
      </c>
      <c r="I24" s="28">
        <v>100.6</v>
      </c>
      <c r="J24" s="56">
        <v>4505.8</v>
      </c>
      <c r="K24" s="56">
        <v>2456.8000000000002</v>
      </c>
      <c r="L24" s="28">
        <v>93.9</v>
      </c>
      <c r="M24" s="28">
        <v>68.599999999999994</v>
      </c>
      <c r="N24" s="28">
        <v>98.8</v>
      </c>
      <c r="O24" s="31">
        <f>'18b'!B24/'18a'!E23*100</f>
        <v>73.385138670852953</v>
      </c>
      <c r="S24" s="139"/>
    </row>
    <row r="25" spans="1:19" hidden="1" outlineLevel="1">
      <c r="A25" s="66">
        <v>1980</v>
      </c>
      <c r="B25" s="28">
        <v>73.099999999999994</v>
      </c>
      <c r="C25" s="28">
        <v>50.3</v>
      </c>
      <c r="D25" s="28">
        <v>48.5</v>
      </c>
      <c r="E25" s="28">
        <v>44.1</v>
      </c>
      <c r="F25" s="28">
        <v>72.099999999999994</v>
      </c>
      <c r="G25" s="28">
        <v>65.5</v>
      </c>
      <c r="H25" s="28">
        <v>130.1</v>
      </c>
      <c r="I25" s="28">
        <v>98.7</v>
      </c>
      <c r="J25" s="56">
        <v>4760.1000000000004</v>
      </c>
      <c r="K25" s="56">
        <v>2498.6999999999998</v>
      </c>
      <c r="L25" s="28">
        <v>95.3</v>
      </c>
      <c r="M25" s="28">
        <v>70.5</v>
      </c>
      <c r="N25" s="28">
        <v>98.9</v>
      </c>
      <c r="O25" s="31">
        <f>'18b'!B25/'18a'!E24*100</f>
        <v>79.366314619232909</v>
      </c>
      <c r="S25" s="139"/>
    </row>
    <row r="26" spans="1:19" collapsed="1">
      <c r="A26" s="66">
        <v>1981</v>
      </c>
      <c r="B26" s="28">
        <v>75.5</v>
      </c>
      <c r="C26" s="28">
        <v>53.7</v>
      </c>
      <c r="D26" s="28">
        <v>52.6</v>
      </c>
      <c r="E26" s="28">
        <v>48.7</v>
      </c>
      <c r="F26" s="28">
        <v>69.400000000000006</v>
      </c>
      <c r="G26" s="28">
        <v>64.099999999999994</v>
      </c>
      <c r="H26" s="28">
        <v>119.4</v>
      </c>
      <c r="I26" s="28">
        <v>91.9</v>
      </c>
      <c r="J26" s="56">
        <v>4772.3999999999996</v>
      </c>
      <c r="K26" s="56">
        <v>2368.9</v>
      </c>
      <c r="L26" s="28">
        <v>97</v>
      </c>
      <c r="M26" s="28">
        <v>72.7</v>
      </c>
      <c r="N26" s="28">
        <v>98.8</v>
      </c>
      <c r="O26" s="31">
        <f>'18b'!B26/'18a'!E25*100</f>
        <v>90.067669172932341</v>
      </c>
      <c r="S26" s="139"/>
    </row>
    <row r="27" spans="1:19">
      <c r="A27" s="66">
        <v>1982</v>
      </c>
      <c r="B27" s="28">
        <v>75.400000000000006</v>
      </c>
      <c r="C27" s="28">
        <v>53.6</v>
      </c>
      <c r="D27" s="28">
        <v>53.6</v>
      </c>
      <c r="E27" s="28">
        <v>49.3</v>
      </c>
      <c r="F27" s="28">
        <v>60.9</v>
      </c>
      <c r="G27" s="28">
        <v>56</v>
      </c>
      <c r="H27" s="28">
        <v>104.5</v>
      </c>
      <c r="I27" s="28">
        <v>80.7</v>
      </c>
      <c r="J27" s="56">
        <v>4391.8</v>
      </c>
      <c r="K27" s="56">
        <v>2055.9</v>
      </c>
      <c r="L27" s="28">
        <v>97.8</v>
      </c>
      <c r="M27" s="28">
        <v>73.599999999999994</v>
      </c>
      <c r="N27" s="28">
        <v>98.8</v>
      </c>
      <c r="O27" s="31">
        <f>'18b'!B27/'18a'!E26*100</f>
        <v>97.257267441860478</v>
      </c>
      <c r="S27" s="139"/>
    </row>
    <row r="28" spans="1:19">
      <c r="A28" s="66">
        <v>1983</v>
      </c>
      <c r="B28" s="28">
        <v>83.3</v>
      </c>
      <c r="C28" s="28">
        <v>66.099999999999994</v>
      </c>
      <c r="D28" s="28">
        <v>61.5</v>
      </c>
      <c r="E28" s="28">
        <v>59.3</v>
      </c>
      <c r="F28" s="28">
        <v>73.400000000000006</v>
      </c>
      <c r="G28" s="28">
        <v>70.8</v>
      </c>
      <c r="H28" s="28">
        <v>107.1</v>
      </c>
      <c r="I28" s="28">
        <v>88.1</v>
      </c>
      <c r="J28" s="56">
        <v>5479.5</v>
      </c>
      <c r="K28" s="56">
        <v>2647.7</v>
      </c>
      <c r="L28" s="28">
        <v>96.5</v>
      </c>
      <c r="M28" s="28">
        <v>77.400000000000006</v>
      </c>
      <c r="N28" s="28">
        <v>98.9</v>
      </c>
      <c r="O28" s="31">
        <f>'18b'!B28/'18a'!E27*100</f>
        <v>87.002768166089979</v>
      </c>
      <c r="S28" s="139"/>
    </row>
    <row r="29" spans="1:19">
      <c r="A29" s="66">
        <v>1984</v>
      </c>
      <c r="B29" s="28">
        <v>85.4</v>
      </c>
      <c r="C29" s="28">
        <v>69.7</v>
      </c>
      <c r="D29" s="28">
        <v>66.2</v>
      </c>
      <c r="E29" s="28">
        <v>61.8</v>
      </c>
      <c r="F29" s="28">
        <v>80.900000000000006</v>
      </c>
      <c r="G29" s="28">
        <v>75.400000000000006</v>
      </c>
      <c r="H29" s="28">
        <v>108.3</v>
      </c>
      <c r="I29" s="28">
        <v>94.7</v>
      </c>
      <c r="J29" s="56">
        <v>6103.6</v>
      </c>
      <c r="K29" s="56">
        <v>2764.7</v>
      </c>
      <c r="L29" s="28">
        <v>95.8</v>
      </c>
      <c r="M29" s="28">
        <v>81.7</v>
      </c>
      <c r="N29" s="28">
        <v>99.1</v>
      </c>
      <c r="O29" s="31">
        <f>'18b'!B29/'18a'!E28*100</f>
        <v>82.13928329952671</v>
      </c>
      <c r="S29" s="139"/>
    </row>
    <row r="30" spans="1:19">
      <c r="A30" s="66">
        <v>1985</v>
      </c>
      <c r="B30" s="28">
        <v>86</v>
      </c>
      <c r="C30" s="28">
        <v>70.8</v>
      </c>
      <c r="D30" s="28">
        <v>68.8</v>
      </c>
      <c r="E30" s="28">
        <v>62.9</v>
      </c>
      <c r="F30" s="28">
        <v>80.5</v>
      </c>
      <c r="G30" s="28">
        <v>73.5</v>
      </c>
      <c r="H30" s="28">
        <v>103.8</v>
      </c>
      <c r="I30" s="28">
        <v>93.6</v>
      </c>
      <c r="J30" s="56">
        <v>6161.1</v>
      </c>
      <c r="K30" s="56">
        <v>2651.9</v>
      </c>
      <c r="L30" s="28">
        <v>95.9</v>
      </c>
      <c r="M30" s="28">
        <v>84.3</v>
      </c>
      <c r="N30" s="28">
        <v>99</v>
      </c>
      <c r="O30" s="31">
        <f>'18b'!B30/'18a'!E29*100</f>
        <v>82.717514124293785</v>
      </c>
      <c r="S30" s="139"/>
    </row>
    <row r="31" spans="1:19">
      <c r="A31" s="66">
        <v>1986</v>
      </c>
      <c r="B31" s="28">
        <v>84.8</v>
      </c>
      <c r="C31" s="28">
        <v>68.5</v>
      </c>
      <c r="D31" s="28">
        <v>68.900000000000006</v>
      </c>
      <c r="E31" s="28">
        <v>60.5</v>
      </c>
      <c r="F31" s="28">
        <v>80.5</v>
      </c>
      <c r="G31" s="28">
        <v>70.8</v>
      </c>
      <c r="H31" s="28">
        <v>103.2</v>
      </c>
      <c r="I31" s="28">
        <v>94.9</v>
      </c>
      <c r="J31" s="56">
        <v>6296.1</v>
      </c>
      <c r="K31" s="56">
        <v>2696.1</v>
      </c>
      <c r="L31" s="28">
        <v>95.5</v>
      </c>
      <c r="M31" s="28">
        <v>85.7</v>
      </c>
      <c r="N31" s="28">
        <v>99.2</v>
      </c>
      <c r="O31" s="31">
        <f>'18b'!B31/'18a'!E30*100</f>
        <v>79.954063604240275</v>
      </c>
      <c r="S31" s="139"/>
    </row>
    <row r="32" spans="1:19">
      <c r="A32" s="66">
        <v>1987</v>
      </c>
      <c r="B32" s="28">
        <v>90.1</v>
      </c>
      <c r="C32" s="28">
        <v>78.5</v>
      </c>
      <c r="D32" s="28">
        <v>73.599999999999994</v>
      </c>
      <c r="E32" s="28">
        <v>67.400000000000006</v>
      </c>
      <c r="F32" s="28">
        <v>92.4</v>
      </c>
      <c r="G32" s="28">
        <v>84.7</v>
      </c>
      <c r="H32" s="28">
        <v>107.9</v>
      </c>
      <c r="I32" s="28">
        <v>102.6</v>
      </c>
      <c r="J32" s="56">
        <v>7585.5</v>
      </c>
      <c r="K32" s="56">
        <v>3462.4</v>
      </c>
      <c r="L32" s="28">
        <v>94.3</v>
      </c>
      <c r="M32" s="28">
        <v>87.3</v>
      </c>
      <c r="N32" s="28">
        <v>99.3</v>
      </c>
      <c r="O32" s="31">
        <f>'18b'!B32/'18a'!E31*100</f>
        <v>72.998026315789474</v>
      </c>
      <c r="S32" s="139"/>
    </row>
    <row r="33" spans="1:19">
      <c r="A33" s="66">
        <v>1988</v>
      </c>
      <c r="B33" s="28">
        <v>90.8</v>
      </c>
      <c r="C33" s="28">
        <v>79.900000000000006</v>
      </c>
      <c r="D33" s="28">
        <v>76.099999999999994</v>
      </c>
      <c r="E33" s="28">
        <v>69.5</v>
      </c>
      <c r="F33" s="28">
        <v>93.2</v>
      </c>
      <c r="G33" s="28">
        <v>85.1</v>
      </c>
      <c r="H33" s="28">
        <v>106.4</v>
      </c>
      <c r="I33" s="28">
        <v>102.6</v>
      </c>
      <c r="J33" s="56">
        <v>8231.4</v>
      </c>
      <c r="K33" s="56">
        <v>3869.3</v>
      </c>
      <c r="L33" s="28">
        <v>94.7</v>
      </c>
      <c r="M33" s="28">
        <v>89</v>
      </c>
      <c r="N33" s="28">
        <v>99.3</v>
      </c>
      <c r="O33" s="31">
        <f>'18b'!B33/'18a'!E32*100</f>
        <v>74.900876601483475</v>
      </c>
      <c r="S33" s="139"/>
    </row>
    <row r="34" spans="1:19">
      <c r="A34" s="66">
        <v>1989</v>
      </c>
      <c r="B34" s="28">
        <v>90</v>
      </c>
      <c r="C34" s="28">
        <v>78.400000000000006</v>
      </c>
      <c r="D34" s="28">
        <v>75.2</v>
      </c>
      <c r="E34" s="28">
        <v>68.7</v>
      </c>
      <c r="F34" s="28">
        <v>92.5</v>
      </c>
      <c r="G34" s="28">
        <v>84.6</v>
      </c>
      <c r="H34" s="28">
        <v>107.9</v>
      </c>
      <c r="I34" s="28">
        <v>102.8</v>
      </c>
      <c r="J34" s="56">
        <v>8535.1</v>
      </c>
      <c r="K34" s="56">
        <v>3949.9</v>
      </c>
      <c r="L34" s="28">
        <v>95.2</v>
      </c>
      <c r="M34" s="28">
        <v>88.4</v>
      </c>
      <c r="N34" s="28">
        <v>99.2</v>
      </c>
      <c r="O34" s="31">
        <f>'18b'!B34/'18a'!E33*100</f>
        <v>76.985234899328873</v>
      </c>
      <c r="S34" s="139"/>
    </row>
    <row r="35" spans="1:19">
      <c r="A35" s="66">
        <v>1990</v>
      </c>
      <c r="B35" s="28">
        <v>87.9</v>
      </c>
      <c r="C35" s="28">
        <v>74.400000000000006</v>
      </c>
      <c r="D35" s="28">
        <v>75.3</v>
      </c>
      <c r="E35" s="28">
        <v>67.400000000000006</v>
      </c>
      <c r="F35" s="28">
        <v>83.7</v>
      </c>
      <c r="G35" s="28">
        <v>74.900000000000006</v>
      </c>
      <c r="H35" s="28">
        <v>100.7</v>
      </c>
      <c r="I35" s="28">
        <v>95.2</v>
      </c>
      <c r="J35" s="56">
        <v>7897.2</v>
      </c>
      <c r="K35" s="56">
        <v>3430.3</v>
      </c>
      <c r="L35" s="28">
        <v>96.7</v>
      </c>
      <c r="M35" s="28">
        <v>89.3</v>
      </c>
      <c r="N35" s="28">
        <v>99.2</v>
      </c>
      <c r="O35" s="31">
        <f>'18b'!B35/'18a'!E34*100</f>
        <v>83.935315985130103</v>
      </c>
      <c r="S35" s="139"/>
    </row>
    <row r="36" spans="1:19">
      <c r="A36" s="66">
        <v>1991</v>
      </c>
      <c r="B36" s="28">
        <v>84.9</v>
      </c>
      <c r="C36" s="28">
        <v>68.5</v>
      </c>
      <c r="D36" s="28">
        <v>70.099999999999994</v>
      </c>
      <c r="E36" s="28">
        <v>61.6</v>
      </c>
      <c r="F36" s="28">
        <v>76.400000000000006</v>
      </c>
      <c r="G36" s="28">
        <v>67.099999999999994</v>
      </c>
      <c r="H36" s="28">
        <v>97.9</v>
      </c>
      <c r="I36" s="28">
        <v>90</v>
      </c>
      <c r="J36" s="56">
        <v>7252.2</v>
      </c>
      <c r="K36" s="56">
        <v>3032</v>
      </c>
      <c r="L36" s="28">
        <v>96.2</v>
      </c>
      <c r="M36" s="28">
        <v>86.5</v>
      </c>
      <c r="N36" s="28">
        <v>99.3</v>
      </c>
      <c r="O36" s="31">
        <f>'18b'!B36/'18a'!E35*100</f>
        <v>81.339908952959021</v>
      </c>
      <c r="S36" s="139"/>
    </row>
    <row r="37" spans="1:19">
      <c r="A37" s="66">
        <v>1992</v>
      </c>
      <c r="B37" s="28">
        <v>87</v>
      </c>
      <c r="C37" s="28">
        <v>72.5</v>
      </c>
      <c r="D37" s="28">
        <v>77.7</v>
      </c>
      <c r="E37" s="28">
        <v>66.3</v>
      </c>
      <c r="F37" s="28">
        <v>80.099999999999994</v>
      </c>
      <c r="G37" s="28">
        <v>68.3</v>
      </c>
      <c r="H37" s="28">
        <v>94.2</v>
      </c>
      <c r="I37" s="28">
        <v>92.1</v>
      </c>
      <c r="J37" s="56">
        <v>7987.4</v>
      </c>
      <c r="K37" s="56">
        <v>3424.4</v>
      </c>
      <c r="L37" s="28">
        <v>96.6</v>
      </c>
      <c r="M37" s="28">
        <v>92.9</v>
      </c>
      <c r="N37" s="28">
        <v>99.6</v>
      </c>
      <c r="O37" s="31">
        <f>'18b'!B37/'18a'!E36*100</f>
        <v>83.575320512820511</v>
      </c>
      <c r="S37" s="139"/>
    </row>
    <row r="38" spans="1:19">
      <c r="A38" s="66">
        <v>1993</v>
      </c>
      <c r="B38" s="28">
        <v>88.3</v>
      </c>
      <c r="C38" s="28">
        <v>75</v>
      </c>
      <c r="D38" s="28">
        <v>78.5</v>
      </c>
      <c r="E38" s="28">
        <v>67.8</v>
      </c>
      <c r="F38" s="28">
        <v>84.9</v>
      </c>
      <c r="G38" s="28">
        <v>73.400000000000006</v>
      </c>
      <c r="H38" s="28">
        <v>97.9</v>
      </c>
      <c r="I38" s="28">
        <v>96.1</v>
      </c>
      <c r="J38" s="56">
        <v>9184.7999999999993</v>
      </c>
      <c r="K38" s="56">
        <v>4329</v>
      </c>
      <c r="L38" s="28">
        <v>96.2</v>
      </c>
      <c r="M38" s="28">
        <v>92.8</v>
      </c>
      <c r="N38" s="28">
        <v>99.6</v>
      </c>
      <c r="O38" s="31">
        <f>'18b'!B38/'18a'!E37*100</f>
        <v>81.621848739495803</v>
      </c>
      <c r="S38" s="139"/>
    </row>
    <row r="39" spans="1:19">
      <c r="A39" s="66">
        <v>1994</v>
      </c>
      <c r="B39" s="28">
        <v>88.6</v>
      </c>
      <c r="C39" s="28">
        <v>75.599999999999994</v>
      </c>
      <c r="D39" s="28">
        <v>83.8</v>
      </c>
      <c r="E39" s="28">
        <v>68.7</v>
      </c>
      <c r="F39" s="28">
        <v>94.9</v>
      </c>
      <c r="G39" s="28">
        <v>77.8</v>
      </c>
      <c r="H39" s="28">
        <v>102.9</v>
      </c>
      <c r="I39" s="28">
        <v>107.1</v>
      </c>
      <c r="J39" s="56">
        <v>10780.9</v>
      </c>
      <c r="K39" s="56">
        <v>4692.2</v>
      </c>
      <c r="L39" s="28">
        <v>96.2</v>
      </c>
      <c r="M39" s="28">
        <v>98.5</v>
      </c>
      <c r="N39" s="28">
        <v>99.8</v>
      </c>
      <c r="O39" s="31">
        <f>'18b'!B39/'18a'!E38*100</f>
        <v>81.637490882567462</v>
      </c>
      <c r="S39" s="139"/>
    </row>
    <row r="40" spans="1:19">
      <c r="A40" s="66">
        <v>1995</v>
      </c>
      <c r="B40" s="28">
        <v>88.7</v>
      </c>
      <c r="C40" s="28">
        <v>75.7</v>
      </c>
      <c r="D40" s="28">
        <v>79</v>
      </c>
      <c r="E40" s="28">
        <v>64.7</v>
      </c>
      <c r="F40" s="28">
        <v>103.5</v>
      </c>
      <c r="G40" s="28">
        <v>84.8</v>
      </c>
      <c r="H40" s="28">
        <v>112</v>
      </c>
      <c r="I40" s="28">
        <v>116.8</v>
      </c>
      <c r="J40" s="56">
        <v>12616.1</v>
      </c>
      <c r="K40" s="56">
        <v>5536.9</v>
      </c>
      <c r="L40" s="28">
        <v>93.6</v>
      </c>
      <c r="M40" s="28">
        <v>95.3</v>
      </c>
      <c r="N40" s="28">
        <v>99.9</v>
      </c>
      <c r="O40" s="31">
        <f>'18b'!B40/'18a'!E39*100</f>
        <v>71.257250945775539</v>
      </c>
      <c r="S40" s="139"/>
    </row>
    <row r="41" spans="1:19">
      <c r="A41" s="66">
        <v>1996</v>
      </c>
      <c r="B41" s="28">
        <v>89.9</v>
      </c>
      <c r="C41" s="28">
        <v>78.099999999999994</v>
      </c>
      <c r="D41" s="28">
        <v>89.8</v>
      </c>
      <c r="E41" s="28">
        <v>73.099999999999994</v>
      </c>
      <c r="F41" s="28">
        <v>103.1</v>
      </c>
      <c r="G41" s="28">
        <v>83.9</v>
      </c>
      <c r="H41" s="28">
        <v>107.4</v>
      </c>
      <c r="I41" s="28">
        <v>114.7</v>
      </c>
      <c r="J41" s="56">
        <v>12663.9</v>
      </c>
      <c r="K41" s="56">
        <v>5473.8</v>
      </c>
      <c r="L41" s="28">
        <v>97.3</v>
      </c>
      <c r="M41" s="28">
        <v>102.8</v>
      </c>
      <c r="N41" s="28">
        <v>99.9</v>
      </c>
      <c r="O41" s="31">
        <f>'18b'!B41/'18a'!E40*100</f>
        <v>86.329013678905682</v>
      </c>
      <c r="S41" s="139"/>
    </row>
    <row r="42" spans="1:19">
      <c r="A42" s="66">
        <v>1997</v>
      </c>
      <c r="B42" s="28">
        <v>90.7</v>
      </c>
      <c r="C42" s="28">
        <v>79.8</v>
      </c>
      <c r="D42" s="28">
        <v>92.8</v>
      </c>
      <c r="E42" s="28">
        <v>75.2</v>
      </c>
      <c r="F42" s="28">
        <v>105.5</v>
      </c>
      <c r="G42" s="28">
        <v>85.5</v>
      </c>
      <c r="H42" s="28">
        <v>107.1</v>
      </c>
      <c r="I42" s="28">
        <v>116.2</v>
      </c>
      <c r="J42" s="56">
        <v>13059</v>
      </c>
      <c r="K42" s="56">
        <v>5473.1</v>
      </c>
      <c r="L42" s="28">
        <v>97.6</v>
      </c>
      <c r="M42" s="28">
        <v>104.9</v>
      </c>
      <c r="N42" s="28">
        <v>99.9</v>
      </c>
      <c r="O42" s="31">
        <f>'18b'!B42/'18a'!E41*100</f>
        <v>87.760174418604649</v>
      </c>
      <c r="S42" s="139"/>
    </row>
    <row r="43" spans="1:19">
      <c r="A43" s="66">
        <v>1998</v>
      </c>
      <c r="B43" s="28">
        <v>91.3</v>
      </c>
      <c r="C43" s="28">
        <v>81.099999999999994</v>
      </c>
      <c r="D43" s="28">
        <v>95.9</v>
      </c>
      <c r="E43" s="28">
        <v>80.8</v>
      </c>
      <c r="F43" s="28">
        <v>102.8</v>
      </c>
      <c r="G43" s="28">
        <v>86.6</v>
      </c>
      <c r="H43" s="28">
        <v>106.8</v>
      </c>
      <c r="I43" s="28">
        <v>112.6</v>
      </c>
      <c r="J43" s="56">
        <v>12573.8</v>
      </c>
      <c r="K43" s="56">
        <v>5708.9</v>
      </c>
      <c r="L43" s="28">
        <v>99.8</v>
      </c>
      <c r="M43" s="28">
        <v>105.1</v>
      </c>
      <c r="N43" s="28">
        <v>100.1</v>
      </c>
      <c r="O43" s="31">
        <f>'18b'!B43/'18a'!E42*100</f>
        <v>97.601694915254228</v>
      </c>
      <c r="S43" s="139"/>
    </row>
    <row r="44" spans="1:19">
      <c r="A44" s="66">
        <v>1999</v>
      </c>
      <c r="B44" s="28">
        <v>91.2</v>
      </c>
      <c r="C44" s="28">
        <v>80.7</v>
      </c>
      <c r="D44" s="28">
        <v>97.5</v>
      </c>
      <c r="E44" s="28">
        <v>77.8</v>
      </c>
      <c r="F44" s="28">
        <v>112.9</v>
      </c>
      <c r="G44" s="28">
        <v>90.1</v>
      </c>
      <c r="H44" s="28">
        <v>111.6</v>
      </c>
      <c r="I44" s="28">
        <v>123.8</v>
      </c>
      <c r="J44" s="56">
        <v>13897.7</v>
      </c>
      <c r="K44" s="56">
        <v>5488.9</v>
      </c>
      <c r="L44" s="28">
        <v>98</v>
      </c>
      <c r="M44" s="28">
        <v>108.6</v>
      </c>
      <c r="N44" s="28">
        <v>100.5</v>
      </c>
      <c r="O44" s="31">
        <f>'18b'!B44/'18a'!E43*100</f>
        <v>89.067047075606283</v>
      </c>
      <c r="S44" s="139"/>
    </row>
    <row r="45" spans="1:19">
      <c r="A45" s="66">
        <v>2000</v>
      </c>
      <c r="B45" s="28">
        <v>95</v>
      </c>
      <c r="C45" s="28">
        <v>89.3</v>
      </c>
      <c r="D45" s="28">
        <v>97.4</v>
      </c>
      <c r="E45" s="28">
        <v>87.3</v>
      </c>
      <c r="F45" s="28">
        <v>107.3</v>
      </c>
      <c r="G45" s="28">
        <v>96.2</v>
      </c>
      <c r="H45" s="28">
        <v>107.7</v>
      </c>
      <c r="I45" s="28">
        <v>112.9</v>
      </c>
      <c r="J45" s="56">
        <v>13038.5</v>
      </c>
      <c r="K45" s="56">
        <v>5579.1</v>
      </c>
      <c r="L45" s="28">
        <v>98.6</v>
      </c>
      <c r="M45" s="28">
        <v>103.5</v>
      </c>
      <c r="N45" s="28">
        <v>100.4</v>
      </c>
      <c r="O45" s="31">
        <f>'18b'!B45/'18a'!E44*100</f>
        <v>92.497374343585903</v>
      </c>
      <c r="S45" s="139"/>
    </row>
    <row r="46" spans="1:19">
      <c r="A46" s="66">
        <v>2001</v>
      </c>
      <c r="B46" s="28">
        <v>97.5</v>
      </c>
      <c r="C46" s="28">
        <v>94.6</v>
      </c>
      <c r="D46" s="28">
        <v>98.2</v>
      </c>
      <c r="E46" s="28">
        <v>97.6</v>
      </c>
      <c r="F46" s="28">
        <v>96.9</v>
      </c>
      <c r="G46" s="28">
        <v>96.3</v>
      </c>
      <c r="H46" s="28">
        <v>101.7</v>
      </c>
      <c r="I46" s="28">
        <v>99.4</v>
      </c>
      <c r="J46" s="56">
        <v>11251.9</v>
      </c>
      <c r="K46" s="56">
        <v>5129.2</v>
      </c>
      <c r="L46" s="28">
        <v>101.2</v>
      </c>
      <c r="M46" s="28">
        <v>99.3</v>
      </c>
      <c r="N46" s="28">
        <v>100.2</v>
      </c>
      <c r="O46" s="31">
        <f>'18b'!B46/'18a'!E45*100</f>
        <v>106.60971524288105</v>
      </c>
      <c r="S46" s="139"/>
    </row>
    <row r="47" spans="1:19">
      <c r="A47" s="66">
        <v>2002</v>
      </c>
      <c r="B47" s="28">
        <v>100</v>
      </c>
      <c r="C47" s="28">
        <v>100</v>
      </c>
      <c r="D47" s="28">
        <v>100</v>
      </c>
      <c r="E47" s="28">
        <v>100</v>
      </c>
      <c r="F47" s="28">
        <v>100</v>
      </c>
      <c r="G47" s="28">
        <v>100</v>
      </c>
      <c r="H47" s="28">
        <v>100</v>
      </c>
      <c r="I47" s="28">
        <v>100</v>
      </c>
      <c r="J47" s="56">
        <v>12373.7</v>
      </c>
      <c r="K47" s="56">
        <v>5795.2</v>
      </c>
      <c r="L47" s="28">
        <v>100</v>
      </c>
      <c r="M47" s="28">
        <v>100</v>
      </c>
      <c r="N47" s="28">
        <v>100</v>
      </c>
      <c r="O47" s="31">
        <f>'18b'!B47/'18a'!E46*100</f>
        <v>100</v>
      </c>
      <c r="S47" s="139"/>
    </row>
    <row r="48" spans="1:19">
      <c r="A48" s="66">
        <v>2003</v>
      </c>
      <c r="B48" s="28">
        <v>98.1</v>
      </c>
      <c r="C48" s="28">
        <v>95.7</v>
      </c>
      <c r="D48" s="28">
        <v>97.9</v>
      </c>
      <c r="E48" s="28">
        <v>96.2</v>
      </c>
      <c r="F48" s="28">
        <v>99.4</v>
      </c>
      <c r="G48" s="28">
        <v>97.6</v>
      </c>
      <c r="H48" s="28">
        <v>102</v>
      </c>
      <c r="I48" s="28">
        <v>101.4</v>
      </c>
      <c r="J48" s="56">
        <v>12283.4</v>
      </c>
      <c r="K48" s="56">
        <v>5324.1</v>
      </c>
      <c r="L48" s="28">
        <v>100</v>
      </c>
      <c r="M48" s="28">
        <v>99.7</v>
      </c>
      <c r="N48" s="28">
        <v>100.2</v>
      </c>
      <c r="O48" s="31">
        <f>'18b'!B48/'18a'!E47*100</f>
        <v>100.20928338762214</v>
      </c>
      <c r="S48" s="139"/>
    </row>
    <row r="49" spans="1:19">
      <c r="A49" s="66">
        <v>2004</v>
      </c>
      <c r="B49" s="28">
        <v>101.9</v>
      </c>
      <c r="C49" s="28">
        <v>104.6</v>
      </c>
      <c r="D49" s="28">
        <v>111.7</v>
      </c>
      <c r="E49" s="28">
        <v>107.6</v>
      </c>
      <c r="F49" s="28">
        <v>108.4</v>
      </c>
      <c r="G49" s="28">
        <v>104.4</v>
      </c>
      <c r="H49" s="28">
        <v>99.8</v>
      </c>
      <c r="I49" s="28">
        <v>106.4</v>
      </c>
      <c r="J49" s="56">
        <v>13451.8</v>
      </c>
      <c r="K49" s="56">
        <v>5939.9</v>
      </c>
      <c r="L49" s="28">
        <v>100.8</v>
      </c>
      <c r="M49" s="28">
        <v>108.3</v>
      </c>
      <c r="N49" s="28">
        <v>100.4</v>
      </c>
      <c r="O49" s="31">
        <f>'18b'!B49/'18a'!E48*100</f>
        <v>104.50936967632028</v>
      </c>
      <c r="S49" s="139"/>
    </row>
    <row r="50" spans="1:19">
      <c r="A50" s="66">
        <v>2005</v>
      </c>
      <c r="B50" s="28">
        <v>101.7</v>
      </c>
      <c r="C50" s="28">
        <v>104.1</v>
      </c>
      <c r="D50" s="28">
        <v>117</v>
      </c>
      <c r="E50" s="28">
        <v>112.1</v>
      </c>
      <c r="F50" s="28">
        <v>109.5</v>
      </c>
      <c r="G50" s="28">
        <v>104.9</v>
      </c>
      <c r="H50" s="28">
        <v>100.8</v>
      </c>
      <c r="I50" s="28">
        <v>107.7</v>
      </c>
      <c r="J50" s="56">
        <v>13817</v>
      </c>
      <c r="K50" s="56">
        <v>5939.4</v>
      </c>
      <c r="L50" s="28">
        <v>102.3</v>
      </c>
      <c r="M50" s="28">
        <v>111.4</v>
      </c>
      <c r="N50" s="28">
        <v>101</v>
      </c>
      <c r="O50" s="31">
        <f>'18b'!B50/'18a'!E49*100</f>
        <v>112.99029126213594</v>
      </c>
      <c r="S50" s="139"/>
    </row>
    <row r="51" spans="1:19">
      <c r="A51" s="66">
        <v>2006</v>
      </c>
      <c r="B51" s="28">
        <v>103.1</v>
      </c>
      <c r="C51" s="28">
        <v>107.5</v>
      </c>
      <c r="D51" s="28">
        <v>119.8</v>
      </c>
      <c r="E51" s="28">
        <v>114.1</v>
      </c>
      <c r="F51" s="28">
        <v>105.2</v>
      </c>
      <c r="G51" s="28">
        <v>100.1</v>
      </c>
      <c r="H51" s="28">
        <v>93.1</v>
      </c>
      <c r="I51" s="28">
        <v>102</v>
      </c>
      <c r="J51" s="56">
        <v>13189.9</v>
      </c>
      <c r="K51" s="56">
        <v>5657.4</v>
      </c>
      <c r="L51" s="28">
        <v>102.3</v>
      </c>
      <c r="M51" s="28">
        <v>113.2</v>
      </c>
      <c r="N51" s="28">
        <v>100.3</v>
      </c>
      <c r="O51" s="31">
        <f>'18b'!B51/'18a'!E50*100</f>
        <v>113.36629001883239</v>
      </c>
      <c r="S51" s="139"/>
    </row>
    <row r="52" spans="1:19">
      <c r="A52" s="66">
        <v>2007</v>
      </c>
      <c r="B52" s="28">
        <v>100.7</v>
      </c>
      <c r="C52" s="28">
        <v>101.7</v>
      </c>
      <c r="D52" s="28">
        <v>112.8</v>
      </c>
      <c r="E52" s="28">
        <v>108.2</v>
      </c>
      <c r="F52" s="28">
        <v>94.3</v>
      </c>
      <c r="G52" s="28">
        <v>90.5</v>
      </c>
      <c r="H52" s="28">
        <v>89</v>
      </c>
      <c r="I52" s="28">
        <v>93.7</v>
      </c>
      <c r="J52" s="56">
        <v>11815.3</v>
      </c>
      <c r="K52" s="56">
        <v>5258.9</v>
      </c>
      <c r="L52" s="28">
        <v>102.2</v>
      </c>
      <c r="M52" s="28">
        <v>109</v>
      </c>
      <c r="N52" s="28">
        <v>100.5</v>
      </c>
      <c r="O52" s="31">
        <f>'18b'!B52/'18a'!E51*100</f>
        <v>112.75814412635737</v>
      </c>
      <c r="S52" s="139"/>
    </row>
    <row r="53" spans="1:19">
      <c r="A53" s="66">
        <v>2008</v>
      </c>
      <c r="B53" s="28">
        <v>103.7</v>
      </c>
      <c r="C53" s="28">
        <v>108.7</v>
      </c>
      <c r="D53" s="28">
        <v>130.19999999999999</v>
      </c>
      <c r="E53" s="28">
        <v>130.69999999999999</v>
      </c>
      <c r="F53" s="28">
        <v>81.900000000000006</v>
      </c>
      <c r="G53" s="28">
        <v>82.3</v>
      </c>
      <c r="H53" s="28">
        <v>75.599999999999994</v>
      </c>
      <c r="I53" s="28">
        <v>79</v>
      </c>
      <c r="J53" s="56">
        <v>10367.700000000001</v>
      </c>
      <c r="K53" s="56">
        <v>4527.8999999999996</v>
      </c>
      <c r="L53" s="28">
        <v>108</v>
      </c>
      <c r="M53" s="28">
        <v>115.8</v>
      </c>
      <c r="N53" s="28">
        <v>100.4</v>
      </c>
      <c r="O53" s="31">
        <f>'18b'!B53/'18a'!E52*100</f>
        <v>152.75853018372703</v>
      </c>
      <c r="S53" s="139"/>
    </row>
    <row r="54" spans="1:19" ht="14.25" customHeight="1">
      <c r="A54" s="66"/>
      <c r="B54" s="28"/>
      <c r="C54" s="28"/>
      <c r="D54" s="28"/>
      <c r="E54" s="28"/>
      <c r="F54" s="28"/>
      <c r="G54" s="28"/>
      <c r="H54" s="28"/>
      <c r="I54" s="28"/>
      <c r="J54" s="56"/>
      <c r="K54" s="56"/>
      <c r="L54" s="28"/>
      <c r="M54" s="28"/>
      <c r="N54" s="28"/>
      <c r="O54" s="31"/>
      <c r="S54" s="139"/>
    </row>
    <row r="55" spans="1:19">
      <c r="A55" s="66" t="s">
        <v>23</v>
      </c>
    </row>
    <row r="56" spans="1:19">
      <c r="A56" s="64" t="s">
        <v>2118</v>
      </c>
      <c r="B56" s="67">
        <f>((B53/B6)^(1/47)-1)*100</f>
        <v>1.0728354126781081</v>
      </c>
      <c r="C56" s="67">
        <f t="shared" ref="C56:O56" si="0">((C53/C6)^(1/47)-1)*100</f>
        <v>2.2556541289382226</v>
      </c>
      <c r="D56" s="67">
        <f t="shared" si="0"/>
        <v>3.5471368753112742</v>
      </c>
      <c r="E56" s="67">
        <f t="shared" si="0"/>
        <v>3.4369810857556304</v>
      </c>
      <c r="F56" s="67">
        <f t="shared" si="0"/>
        <v>1.3953907793768705</v>
      </c>
      <c r="G56" s="67">
        <f t="shared" si="0"/>
        <v>1.2879875531514706</v>
      </c>
      <c r="H56" s="67">
        <f t="shared" si="0"/>
        <v>-0.94817300411529359</v>
      </c>
      <c r="I56" s="67">
        <f t="shared" si="0"/>
        <v>0.31639445124116428</v>
      </c>
      <c r="J56" s="67">
        <f t="shared" si="0"/>
        <v>5.6048191297193517</v>
      </c>
      <c r="K56" s="67">
        <f t="shared" si="0"/>
        <v>5.0121939054977194</v>
      </c>
      <c r="L56" s="67">
        <f t="shared" si="0"/>
        <v>0.46110901779179425</v>
      </c>
      <c r="M56" s="67">
        <f t="shared" si="0"/>
        <v>1.8734277329651938</v>
      </c>
      <c r="N56" s="67">
        <f t="shared" si="0"/>
        <v>9.9836020629018307E-2</v>
      </c>
      <c r="O56" s="67">
        <f t="shared" si="0"/>
        <v>2.940221035052426</v>
      </c>
    </row>
    <row r="57" spans="1:19">
      <c r="A57" s="68" t="s">
        <v>1031</v>
      </c>
      <c r="B57" s="67">
        <f>((B18/B6)^(1/12)-1)*100</f>
        <v>1.0988265730830671</v>
      </c>
      <c r="C57" s="67">
        <f t="shared" ref="C57:O57" si="1">((C18/C6)^(1/12)-1)*100</f>
        <v>2.0140600032527489</v>
      </c>
      <c r="D57" s="67">
        <f t="shared" si="1"/>
        <v>4.7195288555011539</v>
      </c>
      <c r="E57" s="67">
        <f t="shared" si="1"/>
        <v>3.3174834966293476</v>
      </c>
      <c r="F57" s="67">
        <f t="shared" si="1"/>
        <v>3.9282189959932046</v>
      </c>
      <c r="G57" s="67">
        <f t="shared" si="1"/>
        <v>2.520469511664003</v>
      </c>
      <c r="H57" s="67">
        <f t="shared" si="1"/>
        <v>0.50689995111639075</v>
      </c>
      <c r="I57" s="67">
        <f t="shared" si="1"/>
        <v>2.7859069374019718</v>
      </c>
      <c r="J57" s="67">
        <f t="shared" si="1"/>
        <v>8.789546606793941</v>
      </c>
      <c r="K57" s="67">
        <f t="shared" si="1"/>
        <v>8.420453062708976</v>
      </c>
      <c r="L57" s="67">
        <f t="shared" si="1"/>
        <v>0.55730867307939302</v>
      </c>
      <c r="M57" s="67">
        <f t="shared" si="1"/>
        <v>2.8486734140572567</v>
      </c>
      <c r="N57" s="67">
        <f t="shared" si="1"/>
        <v>0.16379127555132822</v>
      </c>
      <c r="O57" s="67">
        <f t="shared" si="1"/>
        <v>4.0932574555448742</v>
      </c>
    </row>
    <row r="58" spans="1:19">
      <c r="A58" s="68" t="s">
        <v>1032</v>
      </c>
      <c r="B58" s="67">
        <f>((B26/B18)^(1/8)-1)*100</f>
        <v>0.66517228787479343</v>
      </c>
      <c r="C58" s="67">
        <f t="shared" ref="C58:O58" si="2">((C26/C18)^(1/8)-1)*100</f>
        <v>1.3073873902708311</v>
      </c>
      <c r="D58" s="67">
        <f t="shared" si="2"/>
        <v>2.2566671007217209</v>
      </c>
      <c r="E58" s="67">
        <f t="shared" si="2"/>
        <v>2.6517796888446465</v>
      </c>
      <c r="F58" s="67">
        <f t="shared" si="2"/>
        <v>0.29198385197677368</v>
      </c>
      <c r="G58" s="67">
        <f t="shared" si="2"/>
        <v>0.66286950611469386</v>
      </c>
      <c r="H58" s="67">
        <f t="shared" si="2"/>
        <v>-0.64067530060697431</v>
      </c>
      <c r="I58" s="67">
        <f t="shared" si="2"/>
        <v>-0.37445928146274676</v>
      </c>
      <c r="J58" s="67">
        <f t="shared" si="2"/>
        <v>10.190209059666945</v>
      </c>
      <c r="K58" s="67">
        <f t="shared" si="2"/>
        <v>8.879930613366561</v>
      </c>
      <c r="L58" s="67">
        <f t="shared" si="2"/>
        <v>0.52778145199019466</v>
      </c>
      <c r="M58" s="67">
        <f t="shared" si="2"/>
        <v>0.87605496606333322</v>
      </c>
      <c r="N58" s="67">
        <f t="shared" si="2"/>
        <v>0.14004854782652121</v>
      </c>
      <c r="O58" s="67">
        <f t="shared" si="2"/>
        <v>4.5018488588625782</v>
      </c>
    </row>
    <row r="59" spans="1:19">
      <c r="A59" s="69" t="s">
        <v>1783</v>
      </c>
      <c r="B59" s="67">
        <f>((B53/B26)^(1/27)-1)*100</f>
        <v>1.1823779128474099</v>
      </c>
      <c r="C59" s="67">
        <f t="shared" ref="C59:O59" si="3">((C53/C26)^(1/27)-1)*100</f>
        <v>2.6461789846990991</v>
      </c>
      <c r="D59" s="67">
        <f t="shared" si="3"/>
        <v>3.4138513795149539</v>
      </c>
      <c r="E59" s="67">
        <f t="shared" si="3"/>
        <v>3.7240592734861577</v>
      </c>
      <c r="F59" s="67">
        <f t="shared" si="3"/>
        <v>0.61526325103196111</v>
      </c>
      <c r="G59" s="67">
        <f t="shared" si="3"/>
        <v>0.9299520383151183</v>
      </c>
      <c r="H59" s="67">
        <f t="shared" si="3"/>
        <v>-1.6784321769785726</v>
      </c>
      <c r="I59" s="67">
        <f t="shared" si="3"/>
        <v>-0.55863077426315799</v>
      </c>
      <c r="J59" s="67">
        <f t="shared" si="3"/>
        <v>2.9151866680406036</v>
      </c>
      <c r="K59" s="67">
        <f t="shared" si="3"/>
        <v>2.4283965165768029</v>
      </c>
      <c r="L59" s="67">
        <f t="shared" si="3"/>
        <v>0.39864525743904533</v>
      </c>
      <c r="M59" s="67">
        <f t="shared" si="3"/>
        <v>1.7391093592140194</v>
      </c>
      <c r="N59" s="67">
        <f t="shared" si="3"/>
        <v>5.951623167692599E-2</v>
      </c>
      <c r="O59" s="67">
        <f t="shared" si="3"/>
        <v>1.9759241781073023</v>
      </c>
    </row>
    <row r="60" spans="1:19">
      <c r="A60" s="68" t="s">
        <v>25</v>
      </c>
      <c r="B60" s="67">
        <f>((B34/B26)^(1/8)-1)*100</f>
        <v>2.220251400930362</v>
      </c>
      <c r="C60" s="67">
        <f t="shared" ref="C60:O60" si="4">((C34/C26)^(1/8)-1)*100</f>
        <v>4.8437924734938242</v>
      </c>
      <c r="D60" s="67">
        <f t="shared" si="4"/>
        <v>4.5692545523136063</v>
      </c>
      <c r="E60" s="67">
        <f t="shared" si="4"/>
        <v>4.3947051418774752</v>
      </c>
      <c r="F60" s="67">
        <f t="shared" si="4"/>
        <v>3.6567964737147074</v>
      </c>
      <c r="G60" s="67">
        <f t="shared" si="4"/>
        <v>3.5294821489730621</v>
      </c>
      <c r="H60" s="67">
        <f t="shared" si="4"/>
        <v>-1.2579499318698728</v>
      </c>
      <c r="I60" s="67">
        <f t="shared" si="4"/>
        <v>1.4109148056460574</v>
      </c>
      <c r="J60" s="67">
        <f t="shared" si="4"/>
        <v>7.5372613469270933</v>
      </c>
      <c r="K60" s="67">
        <f t="shared" si="4"/>
        <v>6.5994396026839874</v>
      </c>
      <c r="L60" s="67">
        <f t="shared" si="4"/>
        <v>-0.233864069708134</v>
      </c>
      <c r="M60" s="67">
        <f t="shared" si="4"/>
        <v>2.4742460671148825</v>
      </c>
      <c r="N60" s="67">
        <f t="shared" si="4"/>
        <v>5.0517875195277284E-2</v>
      </c>
      <c r="O60" s="67">
        <f t="shared" si="4"/>
        <v>-1.942726281101359</v>
      </c>
    </row>
    <row r="61" spans="1:19">
      <c r="A61" s="69" t="s">
        <v>2134</v>
      </c>
      <c r="B61" s="65">
        <f>((B53/B31)^(1/22)-1)*100</f>
        <v>0.91877034854395134</v>
      </c>
      <c r="C61" s="65">
        <f t="shared" ref="C61:O61" si="5">((C53/C31)^(1/22)-1)*100</f>
        <v>2.1210820524713681</v>
      </c>
      <c r="D61" s="65">
        <f t="shared" si="5"/>
        <v>2.9350457599744528</v>
      </c>
      <c r="E61" s="65">
        <f t="shared" si="5"/>
        <v>3.5632007119988707</v>
      </c>
      <c r="F61" s="65">
        <f t="shared" si="5"/>
        <v>7.8402566186341893E-2</v>
      </c>
      <c r="G61" s="65">
        <f t="shared" si="5"/>
        <v>0.68649156528897137</v>
      </c>
      <c r="H61" s="65">
        <f t="shared" si="5"/>
        <v>-1.4046441008259247</v>
      </c>
      <c r="I61" s="65">
        <f t="shared" si="5"/>
        <v>-0.83006240390910424</v>
      </c>
      <c r="J61" s="65">
        <f t="shared" si="5"/>
        <v>2.293007088151966</v>
      </c>
      <c r="K61" s="65">
        <f t="shared" si="5"/>
        <v>2.3845871018020048</v>
      </c>
      <c r="L61" s="65">
        <f t="shared" si="5"/>
        <v>0.56067950071339023</v>
      </c>
      <c r="M61" s="65">
        <f t="shared" si="5"/>
        <v>1.3776383541442616</v>
      </c>
      <c r="N61" s="65">
        <f t="shared" si="5"/>
        <v>5.4670361373942988E-2</v>
      </c>
      <c r="O61" s="65">
        <f t="shared" si="5"/>
        <v>2.9864822609644737</v>
      </c>
    </row>
    <row r="62" spans="1:19">
      <c r="A62" s="69" t="s">
        <v>26</v>
      </c>
      <c r="B62" s="65">
        <f>((B45/B34)^(1/11)-1)*100</f>
        <v>0.49273013542618926</v>
      </c>
      <c r="C62" s="65">
        <f t="shared" ref="C62:O62" si="6">((C45/C34)^(1/11)-1)*100</f>
        <v>1.1904626347162939</v>
      </c>
      <c r="D62" s="65">
        <f t="shared" si="6"/>
        <v>2.3794586368199644</v>
      </c>
      <c r="E62" s="65">
        <f t="shared" si="6"/>
        <v>2.2020891196163017</v>
      </c>
      <c r="F62" s="65">
        <f t="shared" si="6"/>
        <v>1.3584165373819346</v>
      </c>
      <c r="G62" s="65">
        <f t="shared" si="6"/>
        <v>1.174986557957225</v>
      </c>
      <c r="H62" s="65">
        <f t="shared" si="6"/>
        <v>-1.6864833197516305E-2</v>
      </c>
      <c r="I62" s="65">
        <f t="shared" si="6"/>
        <v>0.85561342688944553</v>
      </c>
      <c r="J62" s="65">
        <f t="shared" si="6"/>
        <v>3.9271461292549992</v>
      </c>
      <c r="K62" s="65">
        <f t="shared" si="6"/>
        <v>3.1892290459080819</v>
      </c>
      <c r="L62" s="65">
        <f t="shared" si="6"/>
        <v>0.31952138308168898</v>
      </c>
      <c r="M62" s="65">
        <f t="shared" si="6"/>
        <v>1.4439589240530903</v>
      </c>
      <c r="N62" s="65">
        <f t="shared" si="6"/>
        <v>0.10937061123204028</v>
      </c>
      <c r="O62" s="65">
        <f t="shared" si="6"/>
        <v>1.6827893970848606</v>
      </c>
    </row>
    <row r="63" spans="1:19">
      <c r="A63" s="69" t="s">
        <v>1779</v>
      </c>
      <c r="B63" s="65">
        <f>((B53/B45)^(1/8)-1)*100</f>
        <v>1.1013358346360747</v>
      </c>
      <c r="C63" s="65">
        <f t="shared" ref="C63:O63" si="7">((C53/C45)^(1/8)-1)*100</f>
        <v>2.4878212318284687</v>
      </c>
      <c r="D63" s="65">
        <f t="shared" si="7"/>
        <v>3.6946866148445112</v>
      </c>
      <c r="E63" s="65">
        <f t="shared" si="7"/>
        <v>5.1738248057880742</v>
      </c>
      <c r="F63" s="65">
        <f t="shared" si="7"/>
        <v>-3.3202491628329889</v>
      </c>
      <c r="G63" s="65">
        <f t="shared" si="7"/>
        <v>-1.9318245424962632</v>
      </c>
      <c r="H63" s="65">
        <f t="shared" si="7"/>
        <v>-4.3272490962767307</v>
      </c>
      <c r="I63" s="65">
        <f t="shared" si="7"/>
        <v>-4.3650481226094833</v>
      </c>
      <c r="J63" s="65">
        <f t="shared" si="7"/>
        <v>-2.8244854716204859</v>
      </c>
      <c r="K63" s="65">
        <f t="shared" si="7"/>
        <v>-2.5758590302393469</v>
      </c>
      <c r="L63" s="65">
        <f t="shared" si="7"/>
        <v>1.1447522782845887</v>
      </c>
      <c r="M63" s="65">
        <f t="shared" si="7"/>
        <v>1.4135594944846508</v>
      </c>
      <c r="N63" s="65">
        <f t="shared" si="7"/>
        <v>0</v>
      </c>
      <c r="O63" s="65">
        <f t="shared" si="7"/>
        <v>6.4717784262189104</v>
      </c>
    </row>
    <row r="65" spans="1:15">
      <c r="A65" s="64" t="s">
        <v>1012</v>
      </c>
    </row>
    <row r="66" spans="1:15">
      <c r="A66" s="69"/>
      <c r="B66" s="67"/>
      <c r="C66" s="67"/>
      <c r="D66" s="67"/>
      <c r="E66" s="67"/>
      <c r="F66" s="67"/>
      <c r="G66" s="67"/>
      <c r="H66" s="67"/>
      <c r="I66" s="67"/>
      <c r="J66" s="67"/>
      <c r="K66" s="67"/>
      <c r="L66" s="67"/>
      <c r="M66" s="67"/>
      <c r="N66" s="67"/>
      <c r="O66" s="67"/>
    </row>
  </sheetData>
  <mergeCells count="15">
    <mergeCell ref="S3:S4"/>
    <mergeCell ref="O2:O3"/>
    <mergeCell ref="L4:O4"/>
    <mergeCell ref="L2:N2"/>
    <mergeCell ref="A2:A4"/>
    <mergeCell ref="J4:K4"/>
    <mergeCell ref="J2:J3"/>
    <mergeCell ref="K2:K3"/>
    <mergeCell ref="B4:I4"/>
    <mergeCell ref="H2:H3"/>
    <mergeCell ref="B2:C2"/>
    <mergeCell ref="D2:E2"/>
    <mergeCell ref="G2:G3"/>
    <mergeCell ref="F2:F3"/>
    <mergeCell ref="I2:I3"/>
  </mergeCells>
  <pageMargins left="0.70866141732283472" right="0.70866141732283472" top="0.74803149606299213" bottom="0.74803149606299213" header="0.31496062992125984" footer="0.31496062992125984"/>
  <pageSetup scale="66" orientation="landscape" horizontalDpi="0" verticalDpi="0" r:id="rId1"/>
</worksheet>
</file>

<file path=xl/worksheets/sheet117.xml><?xml version="1.0" encoding="utf-8"?>
<worksheet xmlns="http://schemas.openxmlformats.org/spreadsheetml/2006/main" xmlns:r="http://schemas.openxmlformats.org/officeDocument/2006/relationships">
  <sheetPr codeName="Sheet110"/>
  <dimension ref="A1:M64"/>
  <sheetViews>
    <sheetView view="pageBreakPreview" zoomScaleNormal="70" zoomScaleSheetLayoutView="100"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2.28515625" style="64" customWidth="1"/>
    <col min="2" max="2" width="12.140625" style="64" customWidth="1"/>
    <col min="3" max="3" width="13.140625" style="64" customWidth="1"/>
    <col min="4" max="5" width="12.140625" style="64" customWidth="1"/>
    <col min="6" max="6" width="15.5703125" style="64" customWidth="1"/>
    <col min="7" max="7" width="12.140625" style="64" customWidth="1"/>
    <col min="8" max="8" width="14.28515625" style="64" customWidth="1"/>
    <col min="9" max="9" width="14.85546875" style="64" customWidth="1"/>
    <col min="10" max="16384" width="9.140625" style="64"/>
  </cols>
  <sheetData>
    <row r="1" spans="1:9">
      <c r="A1" s="93" t="s">
        <v>1868</v>
      </c>
      <c r="B1" s="93"/>
      <c r="C1" s="93"/>
      <c r="D1" s="93"/>
      <c r="E1" s="93"/>
      <c r="F1" s="93"/>
      <c r="G1" s="93"/>
    </row>
    <row r="2" spans="1:9" ht="45">
      <c r="A2" s="96"/>
      <c r="B2" s="73" t="s">
        <v>1006</v>
      </c>
      <c r="C2" s="73" t="s">
        <v>833</v>
      </c>
      <c r="D2" s="98" t="s">
        <v>744</v>
      </c>
      <c r="E2" s="99"/>
      <c r="F2" s="73" t="s">
        <v>840</v>
      </c>
      <c r="G2" s="73" t="s">
        <v>1082</v>
      </c>
      <c r="I2" s="62"/>
    </row>
    <row r="3" spans="1:9" ht="30" customHeight="1">
      <c r="A3" s="96"/>
      <c r="B3" s="97" t="s">
        <v>844</v>
      </c>
      <c r="C3" s="97"/>
      <c r="D3" s="73" t="s">
        <v>1005</v>
      </c>
      <c r="E3" s="73" t="s">
        <v>844</v>
      </c>
      <c r="F3" s="73" t="s">
        <v>1002</v>
      </c>
      <c r="G3" s="73" t="s">
        <v>1083</v>
      </c>
      <c r="I3" s="62"/>
    </row>
    <row r="4" spans="1:9" hidden="1" outlineLevel="1">
      <c r="B4" s="64" t="s">
        <v>98</v>
      </c>
      <c r="C4" s="64" t="s">
        <v>99</v>
      </c>
      <c r="D4" s="64" t="s">
        <v>59</v>
      </c>
      <c r="F4" s="64" t="s">
        <v>109</v>
      </c>
    </row>
    <row r="5" spans="1:9" collapsed="1">
      <c r="A5" s="66">
        <v>1961</v>
      </c>
      <c r="B5" s="28">
        <v>149.30000000000001</v>
      </c>
      <c r="C5" s="28">
        <v>88.4</v>
      </c>
      <c r="D5" s="56">
        <v>204.4</v>
      </c>
      <c r="E5" s="56">
        <f>D5/D$46*100</f>
        <v>168.92561983471074</v>
      </c>
      <c r="F5" s="56">
        <v>322.10000000000002</v>
      </c>
      <c r="G5" s="28">
        <f>F5/'18'!K6*100</f>
        <v>70.853497580290366</v>
      </c>
      <c r="H5" s="139"/>
    </row>
    <row r="6" spans="1:9" hidden="1" outlineLevel="1">
      <c r="A6" s="66">
        <v>1962</v>
      </c>
      <c r="B6" s="28">
        <v>157.19999999999999</v>
      </c>
      <c r="C6" s="28">
        <v>88.7</v>
      </c>
      <c r="D6" s="56">
        <v>214.6</v>
      </c>
      <c r="E6" s="56">
        <f t="shared" ref="E6:E52" si="0">D6/D$46*100</f>
        <v>177.35537190082644</v>
      </c>
      <c r="F6" s="56">
        <v>352.7</v>
      </c>
      <c r="G6" s="28">
        <f>F6/'18'!K7*100</f>
        <v>73.740330336608821</v>
      </c>
      <c r="H6" s="139"/>
    </row>
    <row r="7" spans="1:9" hidden="1" outlineLevel="1">
      <c r="A7" s="66">
        <v>1963</v>
      </c>
      <c r="B7" s="28">
        <v>146.19999999999999</v>
      </c>
      <c r="C7" s="28">
        <v>88.9</v>
      </c>
      <c r="D7" s="56">
        <v>199</v>
      </c>
      <c r="E7" s="56">
        <f t="shared" si="0"/>
        <v>164.46280991735537</v>
      </c>
      <c r="F7" s="56">
        <v>362.4</v>
      </c>
      <c r="G7" s="28">
        <f>F7/'18'!K8*100</f>
        <v>72.741870734644721</v>
      </c>
      <c r="H7" s="139"/>
    </row>
    <row r="8" spans="1:9" hidden="1" outlineLevel="1">
      <c r="A8" s="66">
        <v>1964</v>
      </c>
      <c r="B8" s="28">
        <v>154.5</v>
      </c>
      <c r="C8" s="28">
        <v>89.3</v>
      </c>
      <c r="D8" s="56">
        <v>209.4</v>
      </c>
      <c r="E8" s="56">
        <f t="shared" si="0"/>
        <v>173.05785123966945</v>
      </c>
      <c r="F8" s="56">
        <v>394.5</v>
      </c>
      <c r="G8" s="28">
        <f>F8/'18'!K9*100</f>
        <v>71.831755280407862</v>
      </c>
      <c r="H8" s="139"/>
    </row>
    <row r="9" spans="1:9" hidden="1" outlineLevel="1">
      <c r="A9" s="66">
        <v>1965</v>
      </c>
      <c r="B9" s="28">
        <v>156.9</v>
      </c>
      <c r="C9" s="28">
        <v>89.8</v>
      </c>
      <c r="D9" s="56">
        <v>211.5</v>
      </c>
      <c r="E9" s="56">
        <f t="shared" si="0"/>
        <v>174.79338842975207</v>
      </c>
      <c r="F9" s="56">
        <v>421.8</v>
      </c>
      <c r="G9" s="28">
        <f>F9/'18'!K10*100</f>
        <v>73.05161066851403</v>
      </c>
      <c r="H9" s="139"/>
    </row>
    <row r="10" spans="1:9" hidden="1" outlineLevel="1">
      <c r="A10" s="66">
        <v>1966</v>
      </c>
      <c r="B10" s="28">
        <v>158.5</v>
      </c>
      <c r="C10" s="28">
        <v>90.1</v>
      </c>
      <c r="D10" s="56">
        <v>213.1</v>
      </c>
      <c r="E10" s="56">
        <f t="shared" si="0"/>
        <v>176.11570247933884</v>
      </c>
      <c r="F10" s="56">
        <v>466</v>
      </c>
      <c r="G10" s="28">
        <f>F10/'18'!K11*100</f>
        <v>74.180197389366441</v>
      </c>
      <c r="H10" s="139"/>
    </row>
    <row r="11" spans="1:9" hidden="1" outlineLevel="1">
      <c r="A11" s="66">
        <v>1967</v>
      </c>
      <c r="B11" s="28">
        <v>148.5</v>
      </c>
      <c r="C11" s="28">
        <v>90.2</v>
      </c>
      <c r="D11" s="56">
        <v>199.2</v>
      </c>
      <c r="E11" s="56">
        <f t="shared" si="0"/>
        <v>164.62809917355369</v>
      </c>
      <c r="F11" s="56">
        <v>485.8</v>
      </c>
      <c r="G11" s="28">
        <f>F11/'18'!K12*100</f>
        <v>79.83566146261299</v>
      </c>
      <c r="H11" s="139"/>
    </row>
    <row r="12" spans="1:9" hidden="1" outlineLevel="1">
      <c r="A12" s="66">
        <v>1968</v>
      </c>
      <c r="B12" s="28">
        <v>138.19999999999999</v>
      </c>
      <c r="C12" s="28">
        <v>90.4</v>
      </c>
      <c r="D12" s="56">
        <v>185</v>
      </c>
      <c r="E12" s="56">
        <f t="shared" si="0"/>
        <v>152.89256198347107</v>
      </c>
      <c r="F12" s="56">
        <v>479.9</v>
      </c>
      <c r="G12" s="28">
        <f>F12/'18'!K13*100</f>
        <v>74.996093139553054</v>
      </c>
      <c r="H12" s="139"/>
    </row>
    <row r="13" spans="1:9" hidden="1" outlineLevel="1">
      <c r="A13" s="66">
        <v>1969</v>
      </c>
      <c r="B13" s="28">
        <v>139.4</v>
      </c>
      <c r="C13" s="28">
        <v>90.5</v>
      </c>
      <c r="D13" s="56">
        <v>186.6</v>
      </c>
      <c r="E13" s="56">
        <f t="shared" si="0"/>
        <v>154.21487603305786</v>
      </c>
      <c r="F13" s="56">
        <v>541.20000000000005</v>
      </c>
      <c r="G13" s="28">
        <f>F13/'18'!K14*100</f>
        <v>72.987188132164533</v>
      </c>
      <c r="H13" s="139"/>
    </row>
    <row r="14" spans="1:9" hidden="1" outlineLevel="1">
      <c r="A14" s="66">
        <v>1970</v>
      </c>
      <c r="B14" s="28">
        <v>138.9</v>
      </c>
      <c r="C14" s="28">
        <v>90.6</v>
      </c>
      <c r="D14" s="56">
        <v>185.5</v>
      </c>
      <c r="E14" s="56">
        <f t="shared" si="0"/>
        <v>153.30578512396693</v>
      </c>
      <c r="F14" s="56">
        <v>544.5</v>
      </c>
      <c r="G14" s="28">
        <f>F14/'18'!K15*100</f>
        <v>76.378173656894376</v>
      </c>
      <c r="H14" s="139"/>
    </row>
    <row r="15" spans="1:9" hidden="1" outlineLevel="1">
      <c r="A15" s="66">
        <v>1971</v>
      </c>
      <c r="B15" s="28">
        <v>125</v>
      </c>
      <c r="C15" s="28">
        <v>90.9</v>
      </c>
      <c r="D15" s="56">
        <v>166.4</v>
      </c>
      <c r="E15" s="56">
        <f t="shared" si="0"/>
        <v>137.52066115702479</v>
      </c>
      <c r="F15" s="56">
        <v>547.1</v>
      </c>
      <c r="G15" s="28">
        <f>F15/'18'!K16*100</f>
        <v>74.811978668125263</v>
      </c>
      <c r="H15" s="139"/>
    </row>
    <row r="16" spans="1:9" hidden="1" outlineLevel="1">
      <c r="A16" s="66">
        <v>1972</v>
      </c>
      <c r="B16" s="28">
        <v>121.2</v>
      </c>
      <c r="C16" s="28">
        <v>91.6</v>
      </c>
      <c r="D16" s="56">
        <v>160.1</v>
      </c>
      <c r="E16" s="56">
        <f t="shared" si="0"/>
        <v>132.31404958677686</v>
      </c>
      <c r="F16" s="56">
        <v>598.9</v>
      </c>
      <c r="G16" s="28">
        <f>F16/'18'!K17*100</f>
        <v>69.981304043000705</v>
      </c>
      <c r="H16" s="139"/>
    </row>
    <row r="17" spans="1:9" collapsed="1">
      <c r="A17" s="66">
        <v>1973</v>
      </c>
      <c r="B17" s="28">
        <v>142.69999999999999</v>
      </c>
      <c r="C17" s="28">
        <v>92.7</v>
      </c>
      <c r="D17" s="56">
        <v>186.3</v>
      </c>
      <c r="E17" s="56">
        <f t="shared" si="0"/>
        <v>153.96694214876035</v>
      </c>
      <c r="F17" s="56">
        <v>791.1</v>
      </c>
      <c r="G17" s="28">
        <f>F17/'18'!K18*100</f>
        <v>65.957978989494748</v>
      </c>
      <c r="H17" s="139"/>
    </row>
    <row r="18" spans="1:9" hidden="1" outlineLevel="1">
      <c r="A18" s="66">
        <v>1974</v>
      </c>
      <c r="B18" s="28">
        <v>151.80000000000001</v>
      </c>
      <c r="C18" s="28">
        <v>93.6</v>
      </c>
      <c r="D18" s="56">
        <v>196.4</v>
      </c>
      <c r="E18" s="56">
        <f t="shared" si="0"/>
        <v>162.31404958677686</v>
      </c>
      <c r="F18" s="56">
        <v>971.5</v>
      </c>
      <c r="G18" s="28">
        <f>F18/'18'!K19*100</f>
        <v>75.67967593674534</v>
      </c>
      <c r="H18" s="139"/>
    </row>
    <row r="19" spans="1:9" hidden="1" outlineLevel="1">
      <c r="A19" s="66">
        <v>1975</v>
      </c>
      <c r="B19" s="28">
        <v>130</v>
      </c>
      <c r="C19" s="28">
        <v>94</v>
      </c>
      <c r="D19" s="56">
        <v>167.4</v>
      </c>
      <c r="E19" s="56">
        <f t="shared" si="0"/>
        <v>138.34710743801654</v>
      </c>
      <c r="F19" s="56">
        <v>956.7</v>
      </c>
      <c r="G19" s="28">
        <f>F19/'18'!K20*100</f>
        <v>81.076271186440678</v>
      </c>
      <c r="H19" s="139"/>
    </row>
    <row r="20" spans="1:9" hidden="1" outlineLevel="1">
      <c r="A20" s="66">
        <v>1976</v>
      </c>
      <c r="B20" s="28">
        <v>120</v>
      </c>
      <c r="C20" s="28">
        <v>94.7</v>
      </c>
      <c r="D20" s="56">
        <v>153.30000000000001</v>
      </c>
      <c r="E20" s="56">
        <f t="shared" si="0"/>
        <v>126.69421487603307</v>
      </c>
      <c r="F20" s="56">
        <v>1025.8</v>
      </c>
      <c r="G20" s="28">
        <f>F20/'18'!K21*100</f>
        <v>72.669311419665632</v>
      </c>
      <c r="H20" s="139"/>
    </row>
    <row r="21" spans="1:9" hidden="1" outlineLevel="1">
      <c r="A21" s="66">
        <v>1977</v>
      </c>
      <c r="B21" s="28">
        <v>122.9</v>
      </c>
      <c r="C21" s="28">
        <v>95.1</v>
      </c>
      <c r="D21" s="56">
        <v>156.5</v>
      </c>
      <c r="E21" s="56">
        <f t="shared" si="0"/>
        <v>129.3388429752066</v>
      </c>
      <c r="F21" s="56">
        <v>1157.5999999999999</v>
      </c>
      <c r="G21" s="28">
        <f>F21/'18'!K22*100</f>
        <v>71.027119892011285</v>
      </c>
      <c r="H21" s="139"/>
    </row>
    <row r="22" spans="1:9" hidden="1" outlineLevel="1">
      <c r="A22" s="66">
        <v>1978</v>
      </c>
      <c r="B22" s="28">
        <v>138.80000000000001</v>
      </c>
      <c r="C22" s="28">
        <v>95.2</v>
      </c>
      <c r="D22" s="56">
        <v>176.6</v>
      </c>
      <c r="E22" s="56">
        <f t="shared" si="0"/>
        <v>145.95041322314049</v>
      </c>
      <c r="F22" s="56">
        <v>1359.8</v>
      </c>
      <c r="G22" s="28">
        <f>F22/'18'!K23*100</f>
        <v>70.277533722672999</v>
      </c>
      <c r="H22" s="139"/>
    </row>
    <row r="23" spans="1:9" hidden="1" outlineLevel="1">
      <c r="A23" s="66">
        <v>1979</v>
      </c>
      <c r="B23" s="28">
        <v>151</v>
      </c>
      <c r="C23" s="28">
        <v>95.6</v>
      </c>
      <c r="D23" s="56">
        <v>191.1</v>
      </c>
      <c r="E23" s="56">
        <f t="shared" si="0"/>
        <v>157.93388429752068</v>
      </c>
      <c r="F23" s="56">
        <v>1609.1</v>
      </c>
      <c r="G23" s="28">
        <f>F23/'18'!K24*100</f>
        <v>65.495766851188534</v>
      </c>
      <c r="H23" s="139"/>
    </row>
    <row r="24" spans="1:9" hidden="1" outlineLevel="1">
      <c r="A24" s="66">
        <v>1980</v>
      </c>
      <c r="B24" s="28">
        <v>142.19999999999999</v>
      </c>
      <c r="C24" s="28">
        <v>95.7</v>
      </c>
      <c r="D24" s="56">
        <v>179.9</v>
      </c>
      <c r="E24" s="56">
        <f t="shared" si="0"/>
        <v>148.67768595041321</v>
      </c>
      <c r="F24" s="56">
        <v>1668.1</v>
      </c>
      <c r="G24" s="28">
        <f>F24/'18'!K25*100</f>
        <v>66.758714531556407</v>
      </c>
      <c r="H24" s="139"/>
    </row>
    <row r="25" spans="1:9" collapsed="1">
      <c r="A25" s="66">
        <v>1981</v>
      </c>
      <c r="B25" s="28">
        <v>125.9</v>
      </c>
      <c r="C25" s="28">
        <v>95.5</v>
      </c>
      <c r="D25" s="56">
        <v>159.6</v>
      </c>
      <c r="E25" s="56">
        <f t="shared" si="0"/>
        <v>131.90082644628097</v>
      </c>
      <c r="F25" s="56">
        <v>1818.5</v>
      </c>
      <c r="G25" s="28">
        <f>F25/'18'!K26*100</f>
        <v>76.765587403436186</v>
      </c>
      <c r="H25" s="139"/>
      <c r="I25" s="139"/>
    </row>
    <row r="26" spans="1:9">
      <c r="A26" s="66">
        <v>1982</v>
      </c>
      <c r="B26" s="28">
        <v>108.4</v>
      </c>
      <c r="C26" s="28">
        <v>95.4</v>
      </c>
      <c r="D26" s="56">
        <v>137.6</v>
      </c>
      <c r="E26" s="56">
        <f t="shared" si="0"/>
        <v>113.7190082644628</v>
      </c>
      <c r="F26" s="56">
        <v>1679.4</v>
      </c>
      <c r="G26" s="28">
        <f>F26/'18'!K27*100</f>
        <v>81.686852473369328</v>
      </c>
      <c r="H26" s="139"/>
      <c r="I26" s="139"/>
    </row>
    <row r="27" spans="1:9">
      <c r="A27" s="66">
        <v>1983</v>
      </c>
      <c r="B27" s="28">
        <v>114.2</v>
      </c>
      <c r="C27" s="28">
        <v>95.7</v>
      </c>
      <c r="D27" s="56">
        <v>144.5</v>
      </c>
      <c r="E27" s="56">
        <f t="shared" si="0"/>
        <v>119.42148760330578</v>
      </c>
      <c r="F27" s="56">
        <v>1852.1</v>
      </c>
      <c r="G27" s="28">
        <f>F27/'18'!K28*100</f>
        <v>69.951278468104391</v>
      </c>
      <c r="H27" s="139"/>
      <c r="I27" s="139"/>
    </row>
    <row r="28" spans="1:9">
      <c r="A28" s="66">
        <v>1984</v>
      </c>
      <c r="B28" s="28">
        <v>117.6</v>
      </c>
      <c r="C28" s="28">
        <v>96.2</v>
      </c>
      <c r="D28" s="56">
        <v>147.9</v>
      </c>
      <c r="E28" s="56">
        <f t="shared" si="0"/>
        <v>122.23140495867769</v>
      </c>
      <c r="F28" s="56">
        <v>2040.7</v>
      </c>
      <c r="G28" s="28">
        <f>F28/'18'!K29*100</f>
        <v>73.812710239809036</v>
      </c>
      <c r="H28" s="139"/>
      <c r="I28" s="139"/>
    </row>
    <row r="29" spans="1:9">
      <c r="A29" s="66">
        <v>1985</v>
      </c>
      <c r="B29" s="28">
        <v>112.4</v>
      </c>
      <c r="C29" s="28">
        <v>96.1</v>
      </c>
      <c r="D29" s="56">
        <v>141.6</v>
      </c>
      <c r="E29" s="56">
        <f t="shared" si="0"/>
        <v>117.02479338842974</v>
      </c>
      <c r="F29" s="56">
        <v>1980.9</v>
      </c>
      <c r="G29" s="28">
        <f>F29/'18'!K30*100</f>
        <v>74.697386779290326</v>
      </c>
      <c r="H29" s="139"/>
      <c r="I29" s="139"/>
    </row>
    <row r="30" spans="1:9">
      <c r="A30" s="66">
        <v>1986</v>
      </c>
      <c r="B30" s="28">
        <v>113</v>
      </c>
      <c r="C30" s="28">
        <v>96.6</v>
      </c>
      <c r="D30" s="56">
        <v>141.5</v>
      </c>
      <c r="E30" s="56">
        <f t="shared" si="0"/>
        <v>116.94214876033058</v>
      </c>
      <c r="F30" s="56">
        <v>1968.5</v>
      </c>
      <c r="G30" s="28">
        <f>F30/'18'!K31*100</f>
        <v>73.012870442491007</v>
      </c>
      <c r="H30" s="139"/>
      <c r="I30" s="139"/>
    </row>
    <row r="31" spans="1:9">
      <c r="A31" s="66">
        <v>1987</v>
      </c>
      <c r="B31" s="28">
        <v>121.7</v>
      </c>
      <c r="C31" s="28">
        <v>96.9</v>
      </c>
      <c r="D31" s="56">
        <v>152</v>
      </c>
      <c r="E31" s="56">
        <f t="shared" si="0"/>
        <v>125.6198347107438</v>
      </c>
      <c r="F31" s="56">
        <v>2199.9</v>
      </c>
      <c r="G31" s="28">
        <f>F31/'18'!K32*100</f>
        <v>63.536853049907585</v>
      </c>
      <c r="H31" s="139"/>
      <c r="I31" s="139"/>
    </row>
    <row r="32" spans="1:9">
      <c r="A32" s="66">
        <v>1988</v>
      </c>
      <c r="B32" s="28">
        <v>119</v>
      </c>
      <c r="C32" s="28">
        <v>97.1</v>
      </c>
      <c r="D32" s="56">
        <v>148.30000000000001</v>
      </c>
      <c r="E32" s="56">
        <f t="shared" si="0"/>
        <v>122.56198347107438</v>
      </c>
      <c r="F32" s="56">
        <v>2241.4</v>
      </c>
      <c r="G32" s="28">
        <f>F32/'18'!K33*100</f>
        <v>57.92779055643139</v>
      </c>
      <c r="H32" s="139"/>
      <c r="I32" s="139"/>
    </row>
    <row r="33" spans="1:9">
      <c r="A33" s="66">
        <v>1989</v>
      </c>
      <c r="B33" s="28">
        <v>119</v>
      </c>
      <c r="C33" s="28">
        <v>96.6</v>
      </c>
      <c r="D33" s="56">
        <v>149</v>
      </c>
      <c r="E33" s="56">
        <f t="shared" si="0"/>
        <v>123.14049586776858</v>
      </c>
      <c r="F33" s="56">
        <v>2345.8000000000002</v>
      </c>
      <c r="G33" s="28">
        <f>F33/'18'!K34*100</f>
        <v>59.388845287222466</v>
      </c>
      <c r="H33" s="139"/>
      <c r="I33" s="139"/>
    </row>
    <row r="34" spans="1:9">
      <c r="A34" s="66">
        <v>1990</v>
      </c>
      <c r="B34" s="28">
        <v>107.4</v>
      </c>
      <c r="C34" s="28">
        <v>96.6</v>
      </c>
      <c r="D34" s="56">
        <v>134.5</v>
      </c>
      <c r="E34" s="56">
        <f t="shared" si="0"/>
        <v>111.15702479338843</v>
      </c>
      <c r="F34" s="56">
        <v>2192.6</v>
      </c>
      <c r="G34" s="28">
        <f>F34/'18'!K35*100</f>
        <v>63.918607701950258</v>
      </c>
      <c r="H34" s="139"/>
      <c r="I34" s="139"/>
    </row>
    <row r="35" spans="1:9">
      <c r="A35" s="66">
        <v>1991</v>
      </c>
      <c r="B35" s="28">
        <v>105.6</v>
      </c>
      <c r="C35" s="28">
        <v>97</v>
      </c>
      <c r="D35" s="56">
        <v>131.80000000000001</v>
      </c>
      <c r="E35" s="56">
        <f t="shared" si="0"/>
        <v>108.92561983471076</v>
      </c>
      <c r="F35" s="56">
        <v>2180.1</v>
      </c>
      <c r="G35" s="28">
        <f>F35/'18'!K36*100</f>
        <v>71.90303430079156</v>
      </c>
      <c r="H35" s="139"/>
      <c r="I35" s="139"/>
    </row>
    <row r="36" spans="1:9">
      <c r="A36" s="66">
        <v>1992</v>
      </c>
      <c r="B36" s="28">
        <v>101.1</v>
      </c>
      <c r="C36" s="28">
        <v>98.1</v>
      </c>
      <c r="D36" s="56">
        <v>124.8</v>
      </c>
      <c r="E36" s="56">
        <f t="shared" si="0"/>
        <v>103.14049586776859</v>
      </c>
      <c r="F36" s="56">
        <v>2210.3000000000002</v>
      </c>
      <c r="G36" s="28">
        <f>F36/'18'!K37*100</f>
        <v>64.545613830160036</v>
      </c>
      <c r="H36" s="139"/>
      <c r="I36" s="139"/>
    </row>
    <row r="37" spans="1:9">
      <c r="A37" s="66">
        <v>1993</v>
      </c>
      <c r="B37" s="28">
        <v>106</v>
      </c>
      <c r="C37" s="28">
        <v>98</v>
      </c>
      <c r="D37" s="56">
        <v>130.9</v>
      </c>
      <c r="E37" s="56">
        <f t="shared" si="0"/>
        <v>108.18181818181817</v>
      </c>
      <c r="F37" s="56">
        <v>2411.3000000000002</v>
      </c>
      <c r="G37" s="28">
        <f>F37/'18'!K38*100</f>
        <v>55.701085701085709</v>
      </c>
      <c r="H37" s="139"/>
      <c r="I37" s="139"/>
    </row>
    <row r="38" spans="1:9">
      <c r="A38" s="66">
        <v>1994</v>
      </c>
      <c r="B38" s="28">
        <v>111.8</v>
      </c>
      <c r="C38" s="28">
        <v>98.7</v>
      </c>
      <c r="D38" s="56">
        <v>137.1</v>
      </c>
      <c r="E38" s="56">
        <f t="shared" si="0"/>
        <v>113.30578512396694</v>
      </c>
      <c r="F38" s="56">
        <v>2458.9</v>
      </c>
      <c r="G38" s="28">
        <f>F38/'18'!K39*100</f>
        <v>52.403989599761317</v>
      </c>
      <c r="H38" s="139"/>
      <c r="I38" s="139"/>
    </row>
    <row r="39" spans="1:9">
      <c r="A39" s="66">
        <v>1995</v>
      </c>
      <c r="B39" s="28">
        <v>130</v>
      </c>
      <c r="C39" s="28">
        <v>99.2</v>
      </c>
      <c r="D39" s="56">
        <v>158.6</v>
      </c>
      <c r="E39" s="56">
        <f t="shared" si="0"/>
        <v>131.07438016528926</v>
      </c>
      <c r="F39" s="56">
        <v>3016.2</v>
      </c>
      <c r="G39" s="28">
        <f>F39/'18'!K40*100</f>
        <v>54.474525456482873</v>
      </c>
      <c r="H39" s="139"/>
      <c r="I39" s="139"/>
    </row>
    <row r="40" spans="1:9">
      <c r="A40" s="66">
        <v>1996</v>
      </c>
      <c r="B40" s="28">
        <v>114.1</v>
      </c>
      <c r="C40" s="28">
        <v>99.4</v>
      </c>
      <c r="D40" s="56">
        <v>138.9</v>
      </c>
      <c r="E40" s="56">
        <f t="shared" si="0"/>
        <v>114.79338842975207</v>
      </c>
      <c r="F40" s="56">
        <v>2857.3</v>
      </c>
      <c r="G40" s="28">
        <f>F40/'18'!K41*100</f>
        <v>52.199568855274215</v>
      </c>
      <c r="H40" s="139"/>
      <c r="I40" s="139"/>
    </row>
    <row r="41" spans="1:9">
      <c r="A41" s="66">
        <v>1997</v>
      </c>
      <c r="B41" s="28">
        <v>112.7</v>
      </c>
      <c r="C41" s="28">
        <v>99.2</v>
      </c>
      <c r="D41" s="56">
        <v>137.6</v>
      </c>
      <c r="E41" s="56">
        <f t="shared" si="0"/>
        <v>113.7190082644628</v>
      </c>
      <c r="F41" s="56">
        <v>2993.1</v>
      </c>
      <c r="G41" s="28">
        <f>F41/'18'!K42*100</f>
        <v>54.68747145127989</v>
      </c>
      <c r="H41" s="139"/>
      <c r="I41" s="139"/>
    </row>
    <row r="42" spans="1:9">
      <c r="A42" s="66">
        <v>1998</v>
      </c>
      <c r="B42" s="28">
        <v>107.3</v>
      </c>
      <c r="C42" s="28">
        <v>100.1</v>
      </c>
      <c r="D42" s="56">
        <v>129.80000000000001</v>
      </c>
      <c r="E42" s="56">
        <f t="shared" si="0"/>
        <v>107.27272727272728</v>
      </c>
      <c r="F42" s="56">
        <v>2808.9</v>
      </c>
      <c r="G42" s="28">
        <f>F42/'18'!K43*100</f>
        <v>49.202123000928374</v>
      </c>
      <c r="H42" s="139"/>
      <c r="I42" s="139"/>
    </row>
    <row r="43" spans="1:9">
      <c r="A43" s="66">
        <v>1999</v>
      </c>
      <c r="B43" s="28">
        <v>118.2</v>
      </c>
      <c r="C43" s="28">
        <v>102.1</v>
      </c>
      <c r="D43" s="56">
        <v>140.19999999999999</v>
      </c>
      <c r="E43" s="56">
        <f t="shared" si="0"/>
        <v>115.86776859504131</v>
      </c>
      <c r="F43" s="56">
        <v>3067.4</v>
      </c>
      <c r="G43" s="28">
        <f>F43/'18'!K44*100</f>
        <v>55.883692543132511</v>
      </c>
      <c r="H43" s="139"/>
      <c r="I43" s="139"/>
    </row>
    <row r="44" spans="1:9">
      <c r="A44" s="66">
        <v>2000</v>
      </c>
      <c r="B44" s="28">
        <v>112</v>
      </c>
      <c r="C44" s="28">
        <v>101.7</v>
      </c>
      <c r="D44" s="56">
        <v>133.30000000000001</v>
      </c>
      <c r="E44" s="56">
        <f t="shared" si="0"/>
        <v>110.16528925619835</v>
      </c>
      <c r="F44" s="56">
        <v>3136.7</v>
      </c>
      <c r="G44" s="28">
        <f>F44/'18'!K45*100</f>
        <v>56.222329766449775</v>
      </c>
      <c r="H44" s="139"/>
      <c r="I44" s="139"/>
    </row>
    <row r="45" spans="1:9">
      <c r="A45" s="66">
        <v>2001</v>
      </c>
      <c r="B45" s="28">
        <v>99.4</v>
      </c>
      <c r="C45" s="28">
        <v>100.8</v>
      </c>
      <c r="D45" s="56">
        <v>119.4</v>
      </c>
      <c r="E45" s="56">
        <f t="shared" si="0"/>
        <v>98.677685950413235</v>
      </c>
      <c r="F45" s="56">
        <v>3138.5</v>
      </c>
      <c r="G45" s="28">
        <f>F45/'18'!K46*100</f>
        <v>61.188879357404666</v>
      </c>
      <c r="H45" s="139"/>
      <c r="I45" s="139"/>
    </row>
    <row r="46" spans="1:9">
      <c r="A46" s="66">
        <v>2002</v>
      </c>
      <c r="B46" s="28">
        <v>100</v>
      </c>
      <c r="C46" s="28">
        <v>100</v>
      </c>
      <c r="D46" s="56">
        <v>121</v>
      </c>
      <c r="E46" s="56">
        <f t="shared" si="0"/>
        <v>100</v>
      </c>
      <c r="F46" s="56">
        <v>3278.9</v>
      </c>
      <c r="G46" s="28">
        <f>F46/'18'!K47*100</f>
        <v>56.579583103257868</v>
      </c>
      <c r="H46" s="139"/>
      <c r="I46" s="139"/>
    </row>
    <row r="47" spans="1:9">
      <c r="A47" s="66">
        <v>2003</v>
      </c>
      <c r="B47" s="28">
        <v>102.2</v>
      </c>
      <c r="C47" s="28">
        <v>100.7</v>
      </c>
      <c r="D47" s="56">
        <v>122.8</v>
      </c>
      <c r="E47" s="56">
        <f t="shared" si="0"/>
        <v>101.48760330578513</v>
      </c>
      <c r="F47" s="56">
        <v>3231.6</v>
      </c>
      <c r="G47" s="28">
        <f>F47/'18'!K48*100</f>
        <v>60.697582690032114</v>
      </c>
      <c r="H47" s="139"/>
      <c r="I47" s="139"/>
    </row>
    <row r="48" spans="1:9">
      <c r="A48" s="66">
        <v>2004</v>
      </c>
      <c r="B48" s="28">
        <v>98.7</v>
      </c>
      <c r="C48" s="28">
        <v>101.7</v>
      </c>
      <c r="D48" s="56">
        <v>117.4</v>
      </c>
      <c r="E48" s="56">
        <f t="shared" si="0"/>
        <v>97.024793388429757</v>
      </c>
      <c r="F48" s="56">
        <v>3395.3</v>
      </c>
      <c r="G48" s="28">
        <f>F48/'18'!K49*100</f>
        <v>57.160894964561706</v>
      </c>
      <c r="H48" s="139"/>
      <c r="I48" s="139"/>
    </row>
    <row r="49" spans="1:13">
      <c r="A49" s="66">
        <v>2005</v>
      </c>
      <c r="B49" s="28">
        <v>97.3</v>
      </c>
      <c r="C49" s="28">
        <v>103.9</v>
      </c>
      <c r="D49" s="56">
        <v>113.3</v>
      </c>
      <c r="E49" s="56">
        <f t="shared" si="0"/>
        <v>93.636363636363626</v>
      </c>
      <c r="F49" s="56">
        <v>3471.9</v>
      </c>
      <c r="G49" s="28">
        <f>F49/'18'!K50*100</f>
        <v>58.455399535306604</v>
      </c>
      <c r="H49" s="139"/>
      <c r="I49" s="139"/>
    </row>
    <row r="50" spans="1:13">
      <c r="A50" s="66">
        <v>2006</v>
      </c>
      <c r="B50" s="28">
        <v>88.8</v>
      </c>
      <c r="C50" s="28">
        <v>101.1</v>
      </c>
      <c r="D50" s="56">
        <v>106.2</v>
      </c>
      <c r="E50" s="56">
        <f t="shared" si="0"/>
        <v>87.768595041322314</v>
      </c>
      <c r="F50" s="56">
        <v>3261.9</v>
      </c>
      <c r="G50" s="28">
        <f>F50/'18'!K51*100</f>
        <v>57.657227701771141</v>
      </c>
      <c r="H50" s="139"/>
      <c r="I50" s="139"/>
    </row>
    <row r="51" spans="1:13">
      <c r="A51" s="66">
        <v>2007</v>
      </c>
      <c r="B51" s="28">
        <v>85.2</v>
      </c>
      <c r="C51" s="28">
        <v>101.9</v>
      </c>
      <c r="D51" s="56">
        <v>101.3</v>
      </c>
      <c r="E51" s="56">
        <f t="shared" si="0"/>
        <v>83.719008264462815</v>
      </c>
      <c r="F51" s="56">
        <v>3097.7</v>
      </c>
      <c r="G51" s="28">
        <f>F51/'18'!K52*100</f>
        <v>58.903953298218262</v>
      </c>
      <c r="H51" s="139"/>
      <c r="I51" s="139"/>
    </row>
    <row r="52" spans="1:13">
      <c r="A52" s="66">
        <v>2008</v>
      </c>
      <c r="B52" s="28">
        <v>63.9</v>
      </c>
      <c r="C52" s="28">
        <v>101.5</v>
      </c>
      <c r="D52" s="56">
        <v>76.2</v>
      </c>
      <c r="E52" s="56">
        <f t="shared" si="0"/>
        <v>62.975206611570258</v>
      </c>
      <c r="F52" s="56">
        <v>2667.5</v>
      </c>
      <c r="G52" s="28">
        <f>F52/'18'!K53*100</f>
        <v>58.91252015283024</v>
      </c>
      <c r="H52" s="139"/>
      <c r="I52" s="139"/>
    </row>
    <row r="53" spans="1:13">
      <c r="A53" s="66"/>
      <c r="D53" s="32"/>
      <c r="E53" s="32"/>
      <c r="F53" s="32"/>
      <c r="G53" s="32"/>
    </row>
    <row r="54" spans="1:13">
      <c r="A54" s="66" t="s">
        <v>23</v>
      </c>
    </row>
    <row r="55" spans="1:13">
      <c r="A55" s="64" t="s">
        <v>2118</v>
      </c>
      <c r="B55" s="67">
        <f>((B52/B5)^(1/47)-1)*100</f>
        <v>-1.7894099665403229</v>
      </c>
      <c r="C55" s="67">
        <f t="shared" ref="C55:G55" si="1">((C52/C5)^(1/47)-1)*100</f>
        <v>0.29444717607143289</v>
      </c>
      <c r="D55" s="67">
        <f t="shared" si="1"/>
        <v>-2.0775147507481995</v>
      </c>
      <c r="E55" s="67">
        <f t="shared" si="1"/>
        <v>-2.0775147507481995</v>
      </c>
      <c r="F55" s="67">
        <f t="shared" si="1"/>
        <v>4.6006381545964148</v>
      </c>
      <c r="G55" s="67">
        <f t="shared" si="1"/>
        <v>-0.39191234426706467</v>
      </c>
      <c r="H55" s="67"/>
      <c r="I55" s="67"/>
      <c r="J55" s="67"/>
      <c r="K55" s="67"/>
      <c r="L55" s="67"/>
      <c r="M55" s="67"/>
    </row>
    <row r="56" spans="1:13">
      <c r="A56" s="68" t="s">
        <v>1031</v>
      </c>
      <c r="B56" s="67">
        <f>((B17/B5)^(1/12)-1)*100</f>
        <v>-0.37606758848036659</v>
      </c>
      <c r="C56" s="67">
        <f t="shared" ref="C56:G56" si="2">((C17/C5)^(1/12)-1)*100</f>
        <v>0.39658853033124331</v>
      </c>
      <c r="D56" s="67">
        <f t="shared" si="2"/>
        <v>-0.76969407326238359</v>
      </c>
      <c r="E56" s="67">
        <f t="shared" si="2"/>
        <v>-0.76969407326238359</v>
      </c>
      <c r="F56" s="67">
        <f t="shared" si="2"/>
        <v>7.7755021423984605</v>
      </c>
      <c r="G56" s="67">
        <f t="shared" si="2"/>
        <v>-0.59486093453001709</v>
      </c>
      <c r="H56" s="67"/>
      <c r="I56" s="67"/>
      <c r="J56" s="67"/>
      <c r="K56" s="67"/>
      <c r="L56" s="67"/>
      <c r="M56" s="67"/>
    </row>
    <row r="57" spans="1:13">
      <c r="A57" s="68" t="s">
        <v>1032</v>
      </c>
      <c r="B57" s="67">
        <f>((B25/B17)^(1/8)-1)*100</f>
        <v>-1.5535138172619645</v>
      </c>
      <c r="C57" s="67">
        <f t="shared" ref="C57:G57" si="3">((C25/C17)^(1/8)-1)*100</f>
        <v>0.37266486156000145</v>
      </c>
      <c r="D57" s="67">
        <f t="shared" si="3"/>
        <v>-1.9150208692722104</v>
      </c>
      <c r="E57" s="67">
        <f t="shared" si="3"/>
        <v>-1.9150208692722104</v>
      </c>
      <c r="F57" s="67">
        <f t="shared" si="3"/>
        <v>10.96480137431033</v>
      </c>
      <c r="G57" s="67">
        <f t="shared" si="3"/>
        <v>1.9148347626590345</v>
      </c>
      <c r="H57" s="67"/>
      <c r="I57" s="67"/>
      <c r="J57" s="67"/>
      <c r="K57" s="67"/>
      <c r="L57" s="67"/>
      <c r="M57" s="67"/>
    </row>
    <row r="58" spans="1:13">
      <c r="A58" s="69" t="s">
        <v>1783</v>
      </c>
      <c r="B58" s="67">
        <f>((B52/B25)^(1/27)-1)*100</f>
        <v>-2.4804538557950506</v>
      </c>
      <c r="C58" s="67">
        <f t="shared" ref="C58:G58" si="4">((C52/C25)^(1/27)-1)*100</f>
        <v>0.22593095500926808</v>
      </c>
      <c r="D58" s="67">
        <f t="shared" si="4"/>
        <v>-2.7010339289110452</v>
      </c>
      <c r="E58" s="67">
        <f t="shared" si="4"/>
        <v>-2.7010339289110452</v>
      </c>
      <c r="F58" s="67">
        <f t="shared" si="4"/>
        <v>1.4291145385751713</v>
      </c>
      <c r="G58" s="67">
        <f t="shared" si="4"/>
        <v>-0.97559076582820481</v>
      </c>
      <c r="H58" s="67"/>
      <c r="I58" s="67"/>
      <c r="J58" s="67"/>
      <c r="K58" s="67"/>
      <c r="L58" s="67"/>
      <c r="M58" s="67"/>
    </row>
    <row r="59" spans="1:13">
      <c r="A59" s="68" t="s">
        <v>25</v>
      </c>
      <c r="B59" s="67">
        <f>((B33/B25)^(1/8)-1)*100</f>
        <v>-0.70207942502668041</v>
      </c>
      <c r="C59" s="67">
        <f t="shared" ref="C59:G59" si="5">((C33/C25)^(1/8)-1)*100</f>
        <v>0.14325868900888494</v>
      </c>
      <c r="D59" s="67">
        <f t="shared" si="5"/>
        <v>-0.85537540652339539</v>
      </c>
      <c r="E59" s="67">
        <f t="shared" si="5"/>
        <v>-0.85537540652339539</v>
      </c>
      <c r="F59" s="67">
        <f t="shared" si="5"/>
        <v>3.2338702909988637</v>
      </c>
      <c r="G59" s="67">
        <f t="shared" si="5"/>
        <v>-3.157211073744115</v>
      </c>
      <c r="H59" s="65"/>
      <c r="I59" s="65"/>
      <c r="J59" s="65"/>
      <c r="K59" s="65"/>
      <c r="L59" s="65"/>
      <c r="M59" s="65"/>
    </row>
    <row r="60" spans="1:13">
      <c r="A60" s="69" t="s">
        <v>2134</v>
      </c>
      <c r="B60" s="65">
        <f>((B52/B30)^(1/22)-1)*100</f>
        <v>-2.5579362553977192</v>
      </c>
      <c r="C60" s="65">
        <f t="shared" ref="C60:G60" si="6">((C52/C30)^(1/22)-1)*100</f>
        <v>0.22516246199946188</v>
      </c>
      <c r="D60" s="65">
        <f t="shared" si="6"/>
        <v>-2.7741493817034835</v>
      </c>
      <c r="E60" s="65">
        <f t="shared" si="6"/>
        <v>-2.7741493817034835</v>
      </c>
      <c r="F60" s="65">
        <f t="shared" si="6"/>
        <v>1.3908097005995268</v>
      </c>
      <c r="G60" s="65">
        <f t="shared" si="6"/>
        <v>-0.97063183955057308</v>
      </c>
      <c r="H60" s="65"/>
      <c r="I60" s="65"/>
      <c r="J60" s="65"/>
      <c r="K60" s="65"/>
      <c r="L60" s="65"/>
      <c r="M60" s="65"/>
    </row>
    <row r="61" spans="1:13">
      <c r="A61" s="69" t="s">
        <v>26</v>
      </c>
      <c r="B61" s="65">
        <f>((B44/B33)^(1/11)-1)*100</f>
        <v>-0.54961697434298129</v>
      </c>
      <c r="C61" s="65">
        <f t="shared" ref="C61:G61" si="7">((C44/C33)^(1/11)-1)*100</f>
        <v>0.46880968862195171</v>
      </c>
      <c r="D61" s="65">
        <f t="shared" si="7"/>
        <v>-1.0071132037944963</v>
      </c>
      <c r="E61" s="65">
        <f t="shared" si="7"/>
        <v>-1.0071132037944963</v>
      </c>
      <c r="F61" s="65">
        <f t="shared" si="7"/>
        <v>2.6765082541849949</v>
      </c>
      <c r="G61" s="65">
        <f t="shared" si="7"/>
        <v>-0.49687433122984626</v>
      </c>
      <c r="H61" s="65"/>
      <c r="I61" s="65"/>
      <c r="J61" s="65"/>
      <c r="K61" s="65"/>
      <c r="L61" s="65"/>
      <c r="M61" s="65"/>
    </row>
    <row r="62" spans="1:13">
      <c r="A62" s="69" t="s">
        <v>1779</v>
      </c>
      <c r="B62" s="65">
        <f>((B52/B44)^(1/8)-1)*100</f>
        <v>-6.7743640929288969</v>
      </c>
      <c r="C62" s="65">
        <f t="shared" ref="C62:G62" si="8">((C52/C44)^(1/8)-1)*100</f>
        <v>-2.4603280054935617E-2</v>
      </c>
      <c r="D62" s="65">
        <f t="shared" si="8"/>
        <v>-6.7517687583020347</v>
      </c>
      <c r="E62" s="65">
        <f t="shared" si="8"/>
        <v>-6.7517687583020347</v>
      </c>
      <c r="F62" s="65">
        <f t="shared" si="8"/>
        <v>-2.0049970044564325</v>
      </c>
      <c r="G62" s="65">
        <f t="shared" si="8"/>
        <v>0.58595541115431526</v>
      </c>
      <c r="H62" s="65"/>
      <c r="I62" s="65"/>
      <c r="J62" s="65"/>
      <c r="K62" s="65"/>
      <c r="L62" s="65"/>
      <c r="M62" s="65"/>
    </row>
    <row r="64" spans="1:13" ht="30" customHeight="1">
      <c r="A64" s="104" t="s">
        <v>1012</v>
      </c>
      <c r="B64" s="104"/>
      <c r="C64" s="104"/>
      <c r="D64" s="104"/>
      <c r="E64" s="104"/>
      <c r="F64" s="104"/>
    </row>
  </sheetData>
  <mergeCells count="5">
    <mergeCell ref="B3:C3"/>
    <mergeCell ref="A2:A3"/>
    <mergeCell ref="A64:F64"/>
    <mergeCell ref="D2:E2"/>
    <mergeCell ref="A1:G1"/>
  </mergeCells>
  <pageMargins left="0.70866141732283472" right="0.70866141732283472" top="0.74803149606299213" bottom="0.74803149606299213" header="0.31496062992125984" footer="0.31496062992125984"/>
  <pageSetup scale="86" orientation="portrait" horizontalDpi="0" verticalDpi="0" r:id="rId1"/>
</worksheet>
</file>

<file path=xl/worksheets/sheet118.xml><?xml version="1.0" encoding="utf-8"?>
<worksheet xmlns="http://schemas.openxmlformats.org/spreadsheetml/2006/main" xmlns:r="http://schemas.openxmlformats.org/officeDocument/2006/relationships">
  <sheetPr codeName="Sheet111"/>
  <dimension ref="A1:M65"/>
  <sheetViews>
    <sheetView view="pageBreakPreview" zoomScaleNormal="70" zoomScaleSheetLayoutView="100"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2" style="64" customWidth="1"/>
    <col min="2" max="2" width="7.7109375" style="64" customWidth="1"/>
    <col min="3" max="3" width="13.42578125" style="64" customWidth="1"/>
    <col min="4" max="6" width="9.28515625" style="64" bestFit="1" customWidth="1"/>
    <col min="7" max="7" width="9.28515625" style="64" customWidth="1"/>
    <col min="8" max="8" width="9.140625" style="64" customWidth="1"/>
    <col min="9" max="9" width="13.5703125" style="64" customWidth="1"/>
    <col min="10" max="10" width="8.5703125" style="64" customWidth="1"/>
    <col min="11" max="11" width="9.85546875" style="64" customWidth="1"/>
    <col min="12" max="12" width="9.42578125" style="64" customWidth="1"/>
    <col min="13" max="16384" width="9.140625" style="64"/>
  </cols>
  <sheetData>
    <row r="1" spans="1:13">
      <c r="A1" s="66" t="s">
        <v>1869</v>
      </c>
    </row>
    <row r="2" spans="1:13" ht="15" customHeight="1">
      <c r="A2" s="96"/>
      <c r="B2" s="97" t="s">
        <v>834</v>
      </c>
      <c r="C2" s="105" t="s">
        <v>128</v>
      </c>
      <c r="D2" s="106"/>
      <c r="E2" s="106"/>
      <c r="F2" s="106"/>
      <c r="G2" s="97" t="s">
        <v>1084</v>
      </c>
      <c r="H2" s="97" t="s">
        <v>841</v>
      </c>
      <c r="I2" s="107" t="s">
        <v>1008</v>
      </c>
      <c r="J2" s="107"/>
      <c r="K2" s="107"/>
      <c r="L2" s="107"/>
    </row>
    <row r="3" spans="1:13" ht="45">
      <c r="A3" s="96"/>
      <c r="B3" s="97"/>
      <c r="C3" s="73" t="s">
        <v>1007</v>
      </c>
      <c r="D3" s="73" t="s">
        <v>124</v>
      </c>
      <c r="E3" s="73" t="s">
        <v>125</v>
      </c>
      <c r="F3" s="75" t="s">
        <v>126</v>
      </c>
      <c r="G3" s="97"/>
      <c r="H3" s="97"/>
      <c r="I3" s="73" t="s">
        <v>1007</v>
      </c>
      <c r="J3" s="73" t="s">
        <v>124</v>
      </c>
      <c r="K3" s="73" t="s">
        <v>125</v>
      </c>
      <c r="L3" s="73" t="s">
        <v>126</v>
      </c>
    </row>
    <row r="4" spans="1:13" ht="30">
      <c r="A4" s="96"/>
      <c r="B4" s="98" t="s">
        <v>844</v>
      </c>
      <c r="C4" s="100"/>
      <c r="D4" s="100"/>
      <c r="E4" s="100"/>
      <c r="F4" s="100"/>
      <c r="G4" s="73" t="s">
        <v>784</v>
      </c>
      <c r="H4" s="97" t="s">
        <v>1002</v>
      </c>
      <c r="I4" s="97"/>
      <c r="J4" s="97"/>
      <c r="K4" s="97"/>
      <c r="L4" s="97"/>
    </row>
    <row r="5" spans="1:13" hidden="1" outlineLevel="1">
      <c r="B5" s="64" t="s">
        <v>100</v>
      </c>
      <c r="C5" s="64" t="s">
        <v>102</v>
      </c>
      <c r="D5" s="64" t="s">
        <v>103</v>
      </c>
      <c r="E5" s="64" t="s">
        <v>104</v>
      </c>
      <c r="F5" s="64" t="s">
        <v>105</v>
      </c>
      <c r="H5" s="64" t="s">
        <v>110</v>
      </c>
      <c r="I5" s="64" t="s">
        <v>129</v>
      </c>
      <c r="J5" s="64" t="s">
        <v>130</v>
      </c>
      <c r="K5" s="64" t="s">
        <v>131</v>
      </c>
      <c r="L5" s="64" t="s">
        <v>132</v>
      </c>
    </row>
    <row r="6" spans="1:13" collapsed="1">
      <c r="A6" s="66">
        <v>1961</v>
      </c>
      <c r="B6" s="28">
        <v>66.099999999999994</v>
      </c>
      <c r="C6" s="28">
        <v>38</v>
      </c>
      <c r="D6" s="28">
        <v>109.3</v>
      </c>
      <c r="E6" s="28">
        <v>30.9</v>
      </c>
      <c r="F6" s="28">
        <v>49.2</v>
      </c>
      <c r="G6" s="28">
        <f>H6/'18'!K6*100</f>
        <v>29.146502419709634</v>
      </c>
      <c r="H6" s="56">
        <v>132.5</v>
      </c>
      <c r="I6" s="56">
        <v>344.4</v>
      </c>
      <c r="J6" s="56">
        <v>21.8</v>
      </c>
      <c r="K6" s="56">
        <v>218.8</v>
      </c>
      <c r="L6" s="56">
        <v>103.8</v>
      </c>
      <c r="M6" s="58"/>
    </row>
    <row r="7" spans="1:13" hidden="1" outlineLevel="1">
      <c r="A7" s="66">
        <v>1962</v>
      </c>
      <c r="B7" s="28">
        <v>66.400000000000006</v>
      </c>
      <c r="C7" s="28">
        <v>37.5</v>
      </c>
      <c r="D7" s="28">
        <v>113.8</v>
      </c>
      <c r="E7" s="28">
        <v>30.9</v>
      </c>
      <c r="F7" s="28">
        <v>46.9</v>
      </c>
      <c r="G7" s="28">
        <f>H7/'18'!K7*100</f>
        <v>26.259669663391179</v>
      </c>
      <c r="H7" s="56">
        <v>125.6</v>
      </c>
      <c r="I7" s="56">
        <v>344.7</v>
      </c>
      <c r="J7" s="56">
        <v>22.9</v>
      </c>
      <c r="K7" s="56">
        <v>220.8</v>
      </c>
      <c r="L7" s="56">
        <v>101.1</v>
      </c>
      <c r="M7" s="58"/>
    </row>
    <row r="8" spans="1:13" hidden="1" outlineLevel="1">
      <c r="A8" s="66">
        <v>1963</v>
      </c>
      <c r="B8" s="28">
        <v>66.7</v>
      </c>
      <c r="C8" s="28">
        <v>38.299999999999997</v>
      </c>
      <c r="D8" s="28">
        <v>118.2</v>
      </c>
      <c r="E8" s="28">
        <v>32.299999999999997</v>
      </c>
      <c r="F8" s="28">
        <v>45.4</v>
      </c>
      <c r="G8" s="28">
        <f>H8/'18'!K8*100</f>
        <v>27.258129265355279</v>
      </c>
      <c r="H8" s="56">
        <v>135.80000000000001</v>
      </c>
      <c r="I8" s="56">
        <v>355.3</v>
      </c>
      <c r="J8" s="56">
        <v>24</v>
      </c>
      <c r="K8" s="56">
        <v>231.4</v>
      </c>
      <c r="L8" s="56">
        <v>99.8</v>
      </c>
      <c r="M8" s="58"/>
    </row>
    <row r="9" spans="1:13" hidden="1" outlineLevel="1">
      <c r="A9" s="66">
        <v>1964</v>
      </c>
      <c r="B9" s="28">
        <v>71.8</v>
      </c>
      <c r="C9" s="28">
        <v>43.5</v>
      </c>
      <c r="D9" s="28">
        <v>135.30000000000001</v>
      </c>
      <c r="E9" s="28">
        <v>36.799999999999997</v>
      </c>
      <c r="F9" s="28">
        <v>50.9</v>
      </c>
      <c r="G9" s="28">
        <f>H9/'18'!K9*100</f>
        <v>28.168244719592128</v>
      </c>
      <c r="H9" s="56">
        <v>154.69999999999999</v>
      </c>
      <c r="I9" s="56">
        <v>412.1</v>
      </c>
      <c r="J9" s="56">
        <v>27.2</v>
      </c>
      <c r="K9" s="56">
        <v>270.3</v>
      </c>
      <c r="L9" s="56">
        <v>114.6</v>
      </c>
      <c r="M9" s="58"/>
    </row>
    <row r="10" spans="1:13" hidden="1" outlineLevel="1">
      <c r="A10" s="66">
        <v>1965</v>
      </c>
      <c r="B10" s="28">
        <v>77.900000000000006</v>
      </c>
      <c r="C10" s="28">
        <v>45.5</v>
      </c>
      <c r="D10" s="28">
        <v>142</v>
      </c>
      <c r="E10" s="28">
        <v>37</v>
      </c>
      <c r="F10" s="28">
        <v>58.1</v>
      </c>
      <c r="G10" s="28">
        <f>H10/'18'!K10*100</f>
        <v>26.948389331485973</v>
      </c>
      <c r="H10" s="56">
        <v>155.6</v>
      </c>
      <c r="I10" s="56">
        <v>441.5</v>
      </c>
      <c r="J10" s="56">
        <v>27.9</v>
      </c>
      <c r="K10" s="56">
        <v>277.60000000000002</v>
      </c>
      <c r="L10" s="56">
        <v>136</v>
      </c>
      <c r="M10" s="58"/>
    </row>
    <row r="11" spans="1:13" hidden="1" outlineLevel="1">
      <c r="A11" s="66">
        <v>1966</v>
      </c>
      <c r="B11" s="28">
        <v>79.7</v>
      </c>
      <c r="C11" s="28">
        <v>47.7</v>
      </c>
      <c r="D11" s="28">
        <v>149.80000000000001</v>
      </c>
      <c r="E11" s="28">
        <v>38.6</v>
      </c>
      <c r="F11" s="28">
        <v>61.3</v>
      </c>
      <c r="G11" s="28">
        <f>H11/'18'!K11*100</f>
        <v>25.819802610633552</v>
      </c>
      <c r="H11" s="56">
        <v>162.19999999999999</v>
      </c>
      <c r="I11" s="56">
        <v>474.4</v>
      </c>
      <c r="J11" s="56">
        <v>28.8</v>
      </c>
      <c r="K11" s="56">
        <v>297.2</v>
      </c>
      <c r="L11" s="56">
        <v>148.4</v>
      </c>
      <c r="M11" s="58"/>
    </row>
    <row r="12" spans="1:13" hidden="1" outlineLevel="1">
      <c r="A12" s="66">
        <v>1967</v>
      </c>
      <c r="B12" s="28">
        <v>78.400000000000006</v>
      </c>
      <c r="C12" s="28">
        <v>45</v>
      </c>
      <c r="D12" s="28">
        <v>135.30000000000001</v>
      </c>
      <c r="E12" s="28">
        <v>37</v>
      </c>
      <c r="F12" s="28">
        <v>56.6</v>
      </c>
      <c r="G12" s="28">
        <f>H12/'18'!K12*100</f>
        <v>20.147904683648317</v>
      </c>
      <c r="H12" s="56">
        <v>122.6</v>
      </c>
      <c r="I12" s="56">
        <v>462.1</v>
      </c>
      <c r="J12" s="56">
        <v>26.4</v>
      </c>
      <c r="K12" s="56">
        <v>293</v>
      </c>
      <c r="L12" s="56">
        <v>142.69999999999999</v>
      </c>
      <c r="M12" s="58"/>
    </row>
    <row r="13" spans="1:13" hidden="1" outlineLevel="1">
      <c r="A13" s="66">
        <v>1968</v>
      </c>
      <c r="B13" s="28">
        <v>76.8</v>
      </c>
      <c r="C13" s="28">
        <v>49.8</v>
      </c>
      <c r="D13" s="28">
        <v>135.30000000000001</v>
      </c>
      <c r="E13" s="28">
        <v>42.8</v>
      </c>
      <c r="F13" s="28">
        <v>58.1</v>
      </c>
      <c r="G13" s="28">
        <f>H13/'18'!K13*100</f>
        <v>25.003906860446946</v>
      </c>
      <c r="H13" s="56">
        <v>160</v>
      </c>
      <c r="I13" s="56">
        <v>530.5</v>
      </c>
      <c r="J13" s="56">
        <v>27.8</v>
      </c>
      <c r="K13" s="56">
        <v>348.4</v>
      </c>
      <c r="L13" s="56">
        <v>154.30000000000001</v>
      </c>
      <c r="M13" s="58"/>
    </row>
    <row r="14" spans="1:13" hidden="1" outlineLevel="1">
      <c r="A14" s="66">
        <v>1969</v>
      </c>
      <c r="B14" s="28">
        <v>83.7</v>
      </c>
      <c r="C14" s="28">
        <v>55.4</v>
      </c>
      <c r="D14" s="28">
        <v>150.1</v>
      </c>
      <c r="E14" s="28">
        <v>47.2</v>
      </c>
      <c r="F14" s="28">
        <v>65.8</v>
      </c>
      <c r="G14" s="28">
        <f>H14/'18'!K14*100</f>
        <v>27.012811867835467</v>
      </c>
      <c r="H14" s="56">
        <v>200.3</v>
      </c>
      <c r="I14" s="56">
        <v>612.79999999999995</v>
      </c>
      <c r="J14" s="56">
        <v>30.3</v>
      </c>
      <c r="K14" s="56">
        <v>399.6</v>
      </c>
      <c r="L14" s="56">
        <v>182.9</v>
      </c>
      <c r="M14" s="58"/>
    </row>
    <row r="15" spans="1:13" hidden="1" outlineLevel="1">
      <c r="A15" s="66">
        <v>1970</v>
      </c>
      <c r="B15" s="28">
        <v>84.8</v>
      </c>
      <c r="C15" s="28">
        <v>54</v>
      </c>
      <c r="D15" s="28">
        <v>149.9</v>
      </c>
      <c r="E15" s="28">
        <v>45.8</v>
      </c>
      <c r="F15" s="28">
        <v>64.7</v>
      </c>
      <c r="G15" s="28">
        <f>H15/'18'!K15*100</f>
        <v>23.621826343105624</v>
      </c>
      <c r="H15" s="56">
        <v>168.4</v>
      </c>
      <c r="I15" s="56">
        <v>619.29999999999995</v>
      </c>
      <c r="J15" s="56">
        <v>31</v>
      </c>
      <c r="K15" s="56">
        <v>398.9</v>
      </c>
      <c r="L15" s="56">
        <v>189.5</v>
      </c>
      <c r="M15" s="58"/>
    </row>
    <row r="16" spans="1:13" hidden="1" outlineLevel="1">
      <c r="A16" s="66">
        <v>1971</v>
      </c>
      <c r="B16" s="28">
        <v>87</v>
      </c>
      <c r="C16" s="28">
        <v>52.1</v>
      </c>
      <c r="D16" s="28">
        <v>171.5</v>
      </c>
      <c r="E16" s="28">
        <v>43.2</v>
      </c>
      <c r="F16" s="28">
        <v>63.3</v>
      </c>
      <c r="G16" s="28">
        <f>H16/'18'!K16*100</f>
        <v>25.201695610556545</v>
      </c>
      <c r="H16" s="56">
        <v>184.3</v>
      </c>
      <c r="I16" s="56">
        <v>616.79999999999995</v>
      </c>
      <c r="J16" s="56">
        <v>37.9</v>
      </c>
      <c r="K16" s="56">
        <v>385.2</v>
      </c>
      <c r="L16" s="56">
        <v>193.7</v>
      </c>
      <c r="M16" s="58"/>
    </row>
    <row r="17" spans="1:13" hidden="1" outlineLevel="1">
      <c r="A17" s="66">
        <v>1972</v>
      </c>
      <c r="B17" s="28">
        <v>88</v>
      </c>
      <c r="C17" s="28">
        <v>57.3</v>
      </c>
      <c r="D17" s="28">
        <v>185.7</v>
      </c>
      <c r="E17" s="28">
        <v>47.4</v>
      </c>
      <c r="F17" s="28">
        <v>70.099999999999994</v>
      </c>
      <c r="G17" s="28">
        <f>H17/'18'!K17*100</f>
        <v>30.018695956999299</v>
      </c>
      <c r="H17" s="56">
        <v>256.89999999999998</v>
      </c>
      <c r="I17" s="56">
        <v>714.7</v>
      </c>
      <c r="J17" s="56">
        <v>43.7</v>
      </c>
      <c r="K17" s="56">
        <v>443.4</v>
      </c>
      <c r="L17" s="56">
        <v>227.6</v>
      </c>
      <c r="M17" s="58"/>
    </row>
    <row r="18" spans="1:13" collapsed="1">
      <c r="A18" s="66">
        <v>1973</v>
      </c>
      <c r="B18" s="28">
        <v>97.5</v>
      </c>
      <c r="C18" s="28">
        <v>74</v>
      </c>
      <c r="D18" s="28">
        <v>232.5</v>
      </c>
      <c r="E18" s="28">
        <v>63.2</v>
      </c>
      <c r="F18" s="28">
        <v>85</v>
      </c>
      <c r="G18" s="28">
        <f>H18/'18'!K18*100</f>
        <v>34.033683508420879</v>
      </c>
      <c r="H18" s="56">
        <v>408.2</v>
      </c>
      <c r="I18" s="56">
        <v>996.4</v>
      </c>
      <c r="J18" s="56">
        <v>62</v>
      </c>
      <c r="K18" s="56">
        <v>642.4</v>
      </c>
      <c r="L18" s="56">
        <v>292</v>
      </c>
      <c r="M18" s="58"/>
    </row>
    <row r="19" spans="1:13" hidden="1" outlineLevel="1">
      <c r="A19" s="66">
        <v>1974</v>
      </c>
      <c r="B19" s="28">
        <v>113.1</v>
      </c>
      <c r="C19" s="28">
        <v>76.2</v>
      </c>
      <c r="D19" s="28">
        <v>213.5</v>
      </c>
      <c r="E19" s="28">
        <v>66.599999999999994</v>
      </c>
      <c r="F19" s="28">
        <v>85.5</v>
      </c>
      <c r="G19" s="28">
        <f>H19/'18'!K19*100</f>
        <v>24.312534081171613</v>
      </c>
      <c r="H19" s="56">
        <v>312.10000000000002</v>
      </c>
      <c r="I19" s="56">
        <v>1219.9000000000001</v>
      </c>
      <c r="J19" s="56">
        <v>89.5</v>
      </c>
      <c r="K19" s="56">
        <v>790.6</v>
      </c>
      <c r="L19" s="56">
        <v>339.9</v>
      </c>
      <c r="M19" s="58"/>
    </row>
    <row r="20" spans="1:13" hidden="1" outlineLevel="1">
      <c r="A20" s="66">
        <v>1975</v>
      </c>
      <c r="B20" s="28">
        <v>119.7</v>
      </c>
      <c r="C20" s="28">
        <v>56.8</v>
      </c>
      <c r="D20" s="28">
        <v>152</v>
      </c>
      <c r="E20" s="28">
        <v>45.8</v>
      </c>
      <c r="F20" s="28">
        <v>76.099999999999994</v>
      </c>
      <c r="G20" s="28">
        <f>H20/'18'!K20*100</f>
        <v>18.923728813559322</v>
      </c>
      <c r="H20" s="56">
        <v>223.3</v>
      </c>
      <c r="I20" s="56">
        <v>1038.0999999999999</v>
      </c>
      <c r="J20" s="56">
        <v>76.900000000000006</v>
      </c>
      <c r="K20" s="56">
        <v>621.6</v>
      </c>
      <c r="L20" s="56">
        <v>339.6</v>
      </c>
      <c r="M20" s="58"/>
    </row>
    <row r="21" spans="1:13" hidden="1" outlineLevel="1">
      <c r="A21" s="66">
        <v>1976</v>
      </c>
      <c r="B21" s="28">
        <v>118.1</v>
      </c>
      <c r="C21" s="28">
        <v>63.6</v>
      </c>
      <c r="D21" s="28">
        <v>139.80000000000001</v>
      </c>
      <c r="E21" s="28">
        <v>54.2</v>
      </c>
      <c r="F21" s="28">
        <v>79.8</v>
      </c>
      <c r="G21" s="28">
        <f>H21/'18'!K21*100</f>
        <v>27.330688580334371</v>
      </c>
      <c r="H21" s="56">
        <v>385.8</v>
      </c>
      <c r="I21" s="56">
        <v>1299.8</v>
      </c>
      <c r="J21" s="56">
        <v>83.3</v>
      </c>
      <c r="K21" s="56">
        <v>820.5</v>
      </c>
      <c r="L21" s="56">
        <v>396</v>
      </c>
      <c r="M21" s="58"/>
    </row>
    <row r="22" spans="1:13" hidden="1" outlineLevel="1">
      <c r="A22" s="66">
        <v>1977</v>
      </c>
      <c r="B22" s="28">
        <v>118.4</v>
      </c>
      <c r="C22" s="28">
        <v>67.8</v>
      </c>
      <c r="D22" s="28">
        <v>135.19999999999999</v>
      </c>
      <c r="E22" s="28">
        <v>59</v>
      </c>
      <c r="F22" s="28">
        <v>83.6</v>
      </c>
      <c r="G22" s="28">
        <f>H22/'18'!K22*100</f>
        <v>28.979015830163213</v>
      </c>
      <c r="H22" s="56">
        <v>472.3</v>
      </c>
      <c r="I22" s="56">
        <v>1495.9</v>
      </c>
      <c r="J22" s="56">
        <v>93.9</v>
      </c>
      <c r="K22" s="56">
        <v>952.5</v>
      </c>
      <c r="L22" s="56">
        <v>449.5</v>
      </c>
      <c r="M22" s="58"/>
    </row>
    <row r="23" spans="1:13" hidden="1" outlineLevel="1">
      <c r="A23" s="66">
        <v>1978</v>
      </c>
      <c r="B23" s="28">
        <v>116.4</v>
      </c>
      <c r="C23" s="28">
        <v>71.5</v>
      </c>
      <c r="D23" s="28">
        <v>141.1</v>
      </c>
      <c r="E23" s="28">
        <v>61.5</v>
      </c>
      <c r="F23" s="28">
        <v>90.3</v>
      </c>
      <c r="G23" s="28">
        <f>H23/'18'!K23*100</f>
        <v>29.722466277326991</v>
      </c>
      <c r="H23" s="56">
        <v>575.1</v>
      </c>
      <c r="I23" s="56">
        <v>1705.3</v>
      </c>
      <c r="J23" s="56">
        <v>109.2</v>
      </c>
      <c r="K23" s="56">
        <v>1075</v>
      </c>
      <c r="L23" s="56">
        <v>521.1</v>
      </c>
      <c r="M23" s="58"/>
    </row>
    <row r="24" spans="1:13" hidden="1" outlineLevel="1">
      <c r="A24" s="66">
        <v>1979</v>
      </c>
      <c r="B24" s="28">
        <v>115.9</v>
      </c>
      <c r="C24" s="28">
        <v>77.900000000000006</v>
      </c>
      <c r="D24" s="28">
        <v>161.30000000000001</v>
      </c>
      <c r="E24" s="28">
        <v>67.099999999999994</v>
      </c>
      <c r="F24" s="28">
        <v>97.2</v>
      </c>
      <c r="G24" s="28">
        <f>H24/'18'!K24*100</f>
        <v>34.504233148811466</v>
      </c>
      <c r="H24" s="56">
        <v>847.7</v>
      </c>
      <c r="I24" s="56">
        <v>2049</v>
      </c>
      <c r="J24" s="56">
        <v>137.4</v>
      </c>
      <c r="K24" s="56">
        <v>1313.3</v>
      </c>
      <c r="L24" s="56">
        <v>598.29999999999995</v>
      </c>
      <c r="M24" s="58"/>
    </row>
    <row r="25" spans="1:13" hidden="1" outlineLevel="1">
      <c r="A25" s="66">
        <v>1980</v>
      </c>
      <c r="B25" s="28">
        <v>118</v>
      </c>
      <c r="C25" s="28">
        <v>77.8</v>
      </c>
      <c r="D25" s="28">
        <v>163.30000000000001</v>
      </c>
      <c r="E25" s="28">
        <v>64.8</v>
      </c>
      <c r="F25" s="28">
        <v>103.7</v>
      </c>
      <c r="G25" s="28">
        <f>H25/'18'!K25*100</f>
        <v>33.241285468443593</v>
      </c>
      <c r="H25" s="56">
        <v>830.6</v>
      </c>
      <c r="I25" s="56">
        <v>2261.5</v>
      </c>
      <c r="J25" s="56">
        <v>165</v>
      </c>
      <c r="K25" s="56">
        <v>1393.4</v>
      </c>
      <c r="L25" s="56">
        <v>703</v>
      </c>
      <c r="M25" s="58"/>
    </row>
    <row r="26" spans="1:13" collapsed="1">
      <c r="A26" s="66">
        <v>1981</v>
      </c>
      <c r="B26" s="28">
        <v>118.8</v>
      </c>
      <c r="C26" s="28">
        <v>73.599999999999994</v>
      </c>
      <c r="D26" s="28">
        <v>140</v>
      </c>
      <c r="E26" s="28">
        <v>69.400000000000006</v>
      </c>
      <c r="F26" s="28">
        <v>75</v>
      </c>
      <c r="G26" s="28">
        <f>H26/'18'!K26*100</f>
        <v>23.234412596563807</v>
      </c>
      <c r="H26" s="56">
        <v>550.4</v>
      </c>
      <c r="I26" s="56">
        <v>2403.6</v>
      </c>
      <c r="J26" s="56">
        <v>211.9</v>
      </c>
      <c r="K26" s="56">
        <v>1626.7</v>
      </c>
      <c r="L26" s="56">
        <v>565</v>
      </c>
      <c r="M26" s="58"/>
    </row>
    <row r="27" spans="1:13">
      <c r="A27" s="66">
        <v>1982</v>
      </c>
      <c r="B27" s="28">
        <v>110.6</v>
      </c>
      <c r="C27" s="28">
        <v>64.8</v>
      </c>
      <c r="D27" s="28">
        <v>117.1</v>
      </c>
      <c r="E27" s="28">
        <v>61.7</v>
      </c>
      <c r="F27" s="28">
        <v>65.599999999999994</v>
      </c>
      <c r="G27" s="28">
        <f>H27/'18'!K27*100</f>
        <v>18.313147526630672</v>
      </c>
      <c r="H27" s="56">
        <v>376.5</v>
      </c>
      <c r="I27" s="56">
        <v>2335.8000000000002</v>
      </c>
      <c r="J27" s="56">
        <v>218.5</v>
      </c>
      <c r="K27" s="56">
        <v>1580.4</v>
      </c>
      <c r="L27" s="56">
        <v>537</v>
      </c>
      <c r="M27" s="58"/>
    </row>
    <row r="28" spans="1:13">
      <c r="A28" s="66">
        <v>1983</v>
      </c>
      <c r="B28" s="28">
        <v>103.9</v>
      </c>
      <c r="C28" s="28">
        <v>74.900000000000006</v>
      </c>
      <c r="D28" s="28">
        <v>114.9</v>
      </c>
      <c r="E28" s="28">
        <v>73.3</v>
      </c>
      <c r="F28" s="28">
        <v>74.3</v>
      </c>
      <c r="G28" s="28">
        <f>H28/'18'!K28*100</f>
        <v>30.048721531895612</v>
      </c>
      <c r="H28" s="56">
        <v>795.6</v>
      </c>
      <c r="I28" s="56">
        <v>2831.8</v>
      </c>
      <c r="J28" s="56">
        <v>235.8</v>
      </c>
      <c r="K28" s="56">
        <v>1979.6</v>
      </c>
      <c r="L28" s="56">
        <v>616.29999999999995</v>
      </c>
      <c r="M28" s="58"/>
    </row>
    <row r="29" spans="1:13">
      <c r="A29" s="66">
        <v>1984</v>
      </c>
      <c r="B29" s="28">
        <v>100.4</v>
      </c>
      <c r="C29" s="28">
        <v>84.9</v>
      </c>
      <c r="D29" s="28">
        <v>123.3</v>
      </c>
      <c r="E29" s="28">
        <v>83.3</v>
      </c>
      <c r="F29" s="28">
        <v>85.2</v>
      </c>
      <c r="G29" s="28">
        <f>H29/'18'!K29*100</f>
        <v>26.187289760190978</v>
      </c>
      <c r="H29" s="56">
        <v>724</v>
      </c>
      <c r="I29" s="56">
        <v>3338.9</v>
      </c>
      <c r="J29" s="56">
        <v>257.3</v>
      </c>
      <c r="K29" s="56">
        <v>2360.1</v>
      </c>
      <c r="L29" s="56">
        <v>721.5</v>
      </c>
      <c r="M29" s="58"/>
    </row>
    <row r="30" spans="1:13">
      <c r="A30" s="66">
        <v>1985</v>
      </c>
      <c r="B30" s="28">
        <v>96.8</v>
      </c>
      <c r="C30" s="28">
        <v>86</v>
      </c>
      <c r="D30" s="28">
        <v>121.4</v>
      </c>
      <c r="E30" s="28">
        <v>84.5</v>
      </c>
      <c r="F30" s="28">
        <v>87</v>
      </c>
      <c r="G30" s="28">
        <f>H30/'18'!K30*100</f>
        <v>25.29884233945473</v>
      </c>
      <c r="H30" s="56">
        <v>670.9</v>
      </c>
      <c r="I30" s="56">
        <v>3509.3</v>
      </c>
      <c r="J30" s="56">
        <v>264.39999999999998</v>
      </c>
      <c r="K30" s="56">
        <v>2482.8000000000002</v>
      </c>
      <c r="L30" s="56">
        <v>762</v>
      </c>
      <c r="M30" s="58"/>
    </row>
    <row r="31" spans="1:13">
      <c r="A31" s="66">
        <v>1986</v>
      </c>
      <c r="B31" s="28">
        <v>93.5</v>
      </c>
      <c r="C31" s="28">
        <v>88.5</v>
      </c>
      <c r="D31" s="28">
        <v>151.30000000000001</v>
      </c>
      <c r="E31" s="28">
        <v>84.8</v>
      </c>
      <c r="F31" s="28">
        <v>91.1</v>
      </c>
      <c r="G31" s="28">
        <f>H31/'18'!K31*100</f>
        <v>26.987129557509</v>
      </c>
      <c r="H31" s="56">
        <v>727.6</v>
      </c>
      <c r="I31" s="56">
        <v>3600</v>
      </c>
      <c r="J31" s="56">
        <v>262.2</v>
      </c>
      <c r="K31" s="56">
        <v>2533.6999999999998</v>
      </c>
      <c r="L31" s="56">
        <v>804.1</v>
      </c>
      <c r="M31" s="58"/>
    </row>
    <row r="32" spans="1:13">
      <c r="A32" s="66">
        <v>1987</v>
      </c>
      <c r="B32" s="28">
        <v>91.7</v>
      </c>
      <c r="C32" s="28">
        <v>98.3</v>
      </c>
      <c r="D32" s="28">
        <v>164.8</v>
      </c>
      <c r="E32" s="28">
        <v>92.7</v>
      </c>
      <c r="F32" s="28">
        <v>106.3</v>
      </c>
      <c r="G32" s="28">
        <f>H32/'18'!K32*100</f>
        <v>36.466035120147872</v>
      </c>
      <c r="H32" s="56">
        <v>1262.5999999999999</v>
      </c>
      <c r="I32" s="56">
        <v>4123.1000000000004</v>
      </c>
      <c r="J32" s="56">
        <v>314.89999999999998</v>
      </c>
      <c r="K32" s="56">
        <v>2852.8</v>
      </c>
      <c r="L32" s="56">
        <v>955.4</v>
      </c>
      <c r="M32" s="58"/>
    </row>
    <row r="33" spans="1:13">
      <c r="A33" s="66">
        <v>1988</v>
      </c>
      <c r="B33" s="28">
        <v>91.8</v>
      </c>
      <c r="C33" s="28">
        <v>99.4</v>
      </c>
      <c r="D33" s="28">
        <v>187.9</v>
      </c>
      <c r="E33" s="28">
        <v>93.3</v>
      </c>
      <c r="F33" s="28">
        <v>105.1</v>
      </c>
      <c r="G33" s="28">
        <f>H33/'18'!K33*100</f>
        <v>42.069624996769441</v>
      </c>
      <c r="H33" s="56">
        <v>1627.8</v>
      </c>
      <c r="I33" s="56">
        <v>4362.1000000000004</v>
      </c>
      <c r="J33" s="56">
        <v>315.89999999999998</v>
      </c>
      <c r="K33" s="56">
        <v>3018.9</v>
      </c>
      <c r="L33" s="56">
        <v>1027.4000000000001</v>
      </c>
      <c r="M33" s="58"/>
    </row>
    <row r="34" spans="1:13">
      <c r="A34" s="66">
        <v>1989</v>
      </c>
      <c r="B34" s="28">
        <v>94.8</v>
      </c>
      <c r="C34" s="28">
        <v>98.6</v>
      </c>
      <c r="D34" s="28">
        <v>189.3</v>
      </c>
      <c r="E34" s="28">
        <v>90.9</v>
      </c>
      <c r="F34" s="28">
        <v>109.2</v>
      </c>
      <c r="G34" s="28">
        <f>H34/'18'!K34*100</f>
        <v>40.611154712777534</v>
      </c>
      <c r="H34" s="56">
        <v>1604.1</v>
      </c>
      <c r="I34" s="56">
        <v>4585.2</v>
      </c>
      <c r="J34" s="56">
        <v>328.1</v>
      </c>
      <c r="K34" s="56">
        <v>3130.4</v>
      </c>
      <c r="L34" s="56">
        <v>1126.7</v>
      </c>
      <c r="M34" s="58"/>
    </row>
    <row r="35" spans="1:13">
      <c r="A35" s="66">
        <v>1990</v>
      </c>
      <c r="B35" s="28">
        <v>93.3</v>
      </c>
      <c r="C35" s="28">
        <v>90.7</v>
      </c>
      <c r="D35" s="28">
        <v>142.19999999999999</v>
      </c>
      <c r="E35" s="28">
        <v>84.7</v>
      </c>
      <c r="F35" s="28">
        <v>102.9</v>
      </c>
      <c r="G35" s="28">
        <f>H35/'18'!K35*100</f>
        <v>36.081392298049728</v>
      </c>
      <c r="H35" s="56">
        <v>1237.7</v>
      </c>
      <c r="I35" s="56">
        <v>4466.8999999999996</v>
      </c>
      <c r="J35" s="56">
        <v>311.3</v>
      </c>
      <c r="K35" s="56">
        <v>3027.9</v>
      </c>
      <c r="L35" s="56">
        <v>1127.5999999999999</v>
      </c>
      <c r="M35" s="58"/>
    </row>
    <row r="36" spans="1:13">
      <c r="A36" s="66">
        <v>1991</v>
      </c>
      <c r="B36" s="28">
        <v>88.6</v>
      </c>
      <c r="C36" s="28">
        <v>84</v>
      </c>
      <c r="D36" s="28">
        <v>135.19999999999999</v>
      </c>
      <c r="E36" s="28">
        <v>78.8</v>
      </c>
      <c r="F36" s="28">
        <v>93.6</v>
      </c>
      <c r="G36" s="28">
        <f>H36/'18'!K36*100</f>
        <v>28.096965699208443</v>
      </c>
      <c r="H36" s="56">
        <v>851.9</v>
      </c>
      <c r="I36" s="56">
        <v>4220.2</v>
      </c>
      <c r="J36" s="56">
        <v>288.3</v>
      </c>
      <c r="K36" s="56">
        <v>2879.2</v>
      </c>
      <c r="L36" s="56">
        <v>1052.7</v>
      </c>
      <c r="M36" s="58"/>
    </row>
    <row r="37" spans="1:13">
      <c r="A37" s="66">
        <v>1992</v>
      </c>
      <c r="B37" s="28">
        <v>86.2</v>
      </c>
      <c r="C37" s="28">
        <v>90</v>
      </c>
      <c r="D37" s="28">
        <v>149.5</v>
      </c>
      <c r="E37" s="28">
        <v>84.9</v>
      </c>
      <c r="F37" s="28">
        <v>97.8</v>
      </c>
      <c r="G37" s="28">
        <f>H37/'18'!K37*100</f>
        <v>35.454386169839971</v>
      </c>
      <c r="H37" s="56">
        <v>1214.0999999999999</v>
      </c>
      <c r="I37" s="56">
        <v>4563</v>
      </c>
      <c r="J37" s="56">
        <v>307.10000000000002</v>
      </c>
      <c r="K37" s="56">
        <v>3177.4</v>
      </c>
      <c r="L37" s="56">
        <v>1078.5</v>
      </c>
      <c r="M37" s="58"/>
    </row>
    <row r="38" spans="1:13">
      <c r="A38" s="66">
        <v>1993</v>
      </c>
      <c r="B38" s="28">
        <v>88.3</v>
      </c>
      <c r="C38" s="28">
        <v>94.3</v>
      </c>
      <c r="D38" s="28">
        <v>150.30000000000001</v>
      </c>
      <c r="E38" s="28">
        <v>90.3</v>
      </c>
      <c r="F38" s="28">
        <v>98.9</v>
      </c>
      <c r="G38" s="28">
        <f>H38/'18'!K38*100</f>
        <v>44.296604296604301</v>
      </c>
      <c r="H38" s="56">
        <v>1917.6</v>
      </c>
      <c r="I38" s="56">
        <v>4855.8</v>
      </c>
      <c r="J38" s="56">
        <v>330.5</v>
      </c>
      <c r="K38" s="56">
        <v>3413</v>
      </c>
      <c r="L38" s="56">
        <v>1112.2</v>
      </c>
      <c r="M38" s="58"/>
    </row>
    <row r="39" spans="1:13">
      <c r="A39" s="66">
        <v>1994</v>
      </c>
      <c r="B39" s="28">
        <v>92.5</v>
      </c>
      <c r="C39" s="28">
        <v>110.2</v>
      </c>
      <c r="D39" s="28">
        <v>136.6</v>
      </c>
      <c r="E39" s="28">
        <v>104.2</v>
      </c>
      <c r="F39" s="28">
        <v>127.2</v>
      </c>
      <c r="G39" s="28">
        <f>H39/'18'!K39*100</f>
        <v>47.598141596692386</v>
      </c>
      <c r="H39" s="56">
        <v>2233.4</v>
      </c>
      <c r="I39" s="56">
        <v>6088.6</v>
      </c>
      <c r="J39" s="56">
        <v>316.10000000000002</v>
      </c>
      <c r="K39" s="56">
        <v>4199.1000000000004</v>
      </c>
      <c r="L39" s="56">
        <v>1573.5</v>
      </c>
      <c r="M39" s="58"/>
    </row>
    <row r="40" spans="1:13">
      <c r="A40" s="66">
        <v>1995</v>
      </c>
      <c r="B40" s="28">
        <v>93.4</v>
      </c>
      <c r="C40" s="28">
        <v>120.2</v>
      </c>
      <c r="D40" s="28">
        <v>174.4</v>
      </c>
      <c r="E40" s="28">
        <v>119.9</v>
      </c>
      <c r="F40" s="28">
        <v>114.4</v>
      </c>
      <c r="G40" s="28">
        <f>H40/'18'!K40*100</f>
        <v>45.525474543517127</v>
      </c>
      <c r="H40" s="56">
        <v>2520.6999999999998</v>
      </c>
      <c r="I40" s="56">
        <v>7079.1</v>
      </c>
      <c r="J40" s="56">
        <v>432.2</v>
      </c>
      <c r="K40" s="56">
        <v>5109.3</v>
      </c>
      <c r="L40" s="56">
        <v>1537.7</v>
      </c>
      <c r="M40" s="58"/>
    </row>
    <row r="41" spans="1:13">
      <c r="A41" s="66">
        <v>1996</v>
      </c>
      <c r="B41" s="28">
        <v>99.1</v>
      </c>
      <c r="C41" s="28">
        <v>120.4</v>
      </c>
      <c r="D41" s="28">
        <v>132.9</v>
      </c>
      <c r="E41" s="28">
        <v>121.3</v>
      </c>
      <c r="F41" s="28">
        <v>118.8</v>
      </c>
      <c r="G41" s="28">
        <f>H41/'18'!K41*100</f>
        <v>47.800431144725785</v>
      </c>
      <c r="H41" s="56">
        <v>2616.5</v>
      </c>
      <c r="I41" s="56">
        <v>7190.1</v>
      </c>
      <c r="J41" s="56">
        <v>353.4</v>
      </c>
      <c r="K41" s="56">
        <v>5227.3999999999996</v>
      </c>
      <c r="L41" s="56">
        <v>1609.3</v>
      </c>
      <c r="M41" s="58"/>
    </row>
    <row r="42" spans="1:13">
      <c r="A42" s="66">
        <v>1997</v>
      </c>
      <c r="B42" s="28">
        <v>99.8</v>
      </c>
      <c r="C42" s="28">
        <v>123.5</v>
      </c>
      <c r="D42" s="28">
        <v>144.80000000000001</v>
      </c>
      <c r="E42" s="28">
        <v>125.4</v>
      </c>
      <c r="F42" s="28">
        <v>116.9</v>
      </c>
      <c r="G42" s="28">
        <f>H42/'18'!K42*100</f>
        <v>45.310701430633458</v>
      </c>
      <c r="H42" s="56">
        <v>2479.9</v>
      </c>
      <c r="I42" s="56">
        <v>7585.9</v>
      </c>
      <c r="J42" s="56">
        <v>395.3</v>
      </c>
      <c r="K42" s="56">
        <v>5502.5</v>
      </c>
      <c r="L42" s="56">
        <v>1688.1</v>
      </c>
      <c r="M42" s="58"/>
    </row>
    <row r="43" spans="1:13">
      <c r="A43" s="66">
        <v>1998</v>
      </c>
      <c r="B43" s="28">
        <v>104.7</v>
      </c>
      <c r="C43" s="28">
        <v>116.8</v>
      </c>
      <c r="D43" s="28">
        <v>165.5</v>
      </c>
      <c r="E43" s="28">
        <v>116.2</v>
      </c>
      <c r="F43" s="28">
        <v>113.1</v>
      </c>
      <c r="G43" s="28">
        <f>H43/'18'!K43*100</f>
        <v>50.797876999071626</v>
      </c>
      <c r="H43" s="56">
        <v>2900</v>
      </c>
      <c r="I43" s="56">
        <v>6864.9</v>
      </c>
      <c r="J43" s="56">
        <v>341.4</v>
      </c>
      <c r="K43" s="56">
        <v>4949.6000000000004</v>
      </c>
      <c r="L43" s="56">
        <v>1573.9</v>
      </c>
      <c r="M43" s="58"/>
    </row>
    <row r="44" spans="1:13">
      <c r="A44" s="66">
        <v>1999</v>
      </c>
      <c r="B44" s="28">
        <v>103.2</v>
      </c>
      <c r="C44" s="28">
        <v>133.5</v>
      </c>
      <c r="D44" s="28">
        <v>103.1</v>
      </c>
      <c r="E44" s="28">
        <v>141.80000000000001</v>
      </c>
      <c r="F44" s="28">
        <v>117.2</v>
      </c>
      <c r="G44" s="28">
        <f>H44/'18'!K44*100</f>
        <v>44.118129315527703</v>
      </c>
      <c r="H44" s="56">
        <v>2421.6</v>
      </c>
      <c r="I44" s="56">
        <v>8408.7000000000007</v>
      </c>
      <c r="J44" s="56">
        <v>307.89999999999998</v>
      </c>
      <c r="K44" s="56">
        <v>6382.2</v>
      </c>
      <c r="L44" s="56">
        <v>1718.7</v>
      </c>
      <c r="M44" s="58"/>
    </row>
    <row r="45" spans="1:13">
      <c r="A45" s="66">
        <v>2000</v>
      </c>
      <c r="B45" s="28">
        <v>101.9</v>
      </c>
      <c r="C45" s="28">
        <v>117</v>
      </c>
      <c r="D45" s="28">
        <v>90.5</v>
      </c>
      <c r="E45" s="28">
        <v>118.3</v>
      </c>
      <c r="F45" s="28">
        <v>121</v>
      </c>
      <c r="G45" s="28">
        <f>H45/'18'!K45*100</f>
        <v>43.777670233550211</v>
      </c>
      <c r="H45" s="56">
        <v>2442.4</v>
      </c>
      <c r="I45" s="56">
        <v>7459.4</v>
      </c>
      <c r="J45" s="56">
        <v>396.3</v>
      </c>
      <c r="K45" s="56">
        <v>5297.2</v>
      </c>
      <c r="L45" s="56">
        <v>1765.9</v>
      </c>
      <c r="M45" s="58"/>
    </row>
    <row r="46" spans="1:13">
      <c r="A46" s="66">
        <v>2001</v>
      </c>
      <c r="B46" s="28">
        <v>105.2</v>
      </c>
      <c r="C46" s="28">
        <v>97.4</v>
      </c>
      <c r="D46" s="28">
        <v>95.4</v>
      </c>
      <c r="E46" s="28">
        <v>98.3</v>
      </c>
      <c r="F46" s="28">
        <v>95.1</v>
      </c>
      <c r="G46" s="28">
        <f>H46/'18'!K46*100</f>
        <v>38.811120642595334</v>
      </c>
      <c r="H46" s="56">
        <v>1990.7</v>
      </c>
      <c r="I46" s="56">
        <v>6122.7</v>
      </c>
      <c r="J46" s="56">
        <v>409.3</v>
      </c>
      <c r="K46" s="56">
        <v>4319.3</v>
      </c>
      <c r="L46" s="56">
        <v>1394.1</v>
      </c>
      <c r="M46" s="58"/>
    </row>
    <row r="47" spans="1:13">
      <c r="A47" s="66">
        <v>2002</v>
      </c>
      <c r="B47" s="28">
        <v>100</v>
      </c>
      <c r="C47" s="28">
        <v>100</v>
      </c>
      <c r="D47" s="28">
        <v>100</v>
      </c>
      <c r="E47" s="28">
        <v>100</v>
      </c>
      <c r="F47" s="28">
        <v>100</v>
      </c>
      <c r="G47" s="28">
        <f>H47/'18'!K47*100</f>
        <v>43.42041689674214</v>
      </c>
      <c r="H47" s="56">
        <v>2516.3000000000002</v>
      </c>
      <c r="I47" s="56">
        <v>6578.5</v>
      </c>
      <c r="J47" s="56">
        <v>440.7</v>
      </c>
      <c r="K47" s="56">
        <v>4618.3999999999996</v>
      </c>
      <c r="L47" s="56">
        <v>1519.4</v>
      </c>
      <c r="M47" s="58"/>
    </row>
    <row r="48" spans="1:13">
      <c r="A48" s="66">
        <v>2003</v>
      </c>
      <c r="B48" s="28">
        <v>101.7</v>
      </c>
      <c r="C48" s="28">
        <v>100.9</v>
      </c>
      <c r="D48" s="28">
        <v>99</v>
      </c>
      <c r="E48" s="28">
        <v>100.9</v>
      </c>
      <c r="F48" s="28">
        <v>101.3</v>
      </c>
      <c r="G48" s="28">
        <f>H48/'18'!K48*100</f>
        <v>39.302417309967879</v>
      </c>
      <c r="H48" s="56">
        <v>2092.5</v>
      </c>
      <c r="I48" s="56">
        <v>6959.2</v>
      </c>
      <c r="J48" s="56">
        <v>514.6</v>
      </c>
      <c r="K48" s="56">
        <v>4828.5</v>
      </c>
      <c r="L48" s="56">
        <v>1616.1</v>
      </c>
      <c r="M48" s="58"/>
    </row>
    <row r="49" spans="1:13">
      <c r="A49" s="66">
        <v>2004</v>
      </c>
      <c r="B49" s="28">
        <v>101.4</v>
      </c>
      <c r="C49" s="28">
        <v>111.8</v>
      </c>
      <c r="D49" s="28">
        <v>105.7</v>
      </c>
      <c r="E49" s="28">
        <v>110.9</v>
      </c>
      <c r="F49" s="28">
        <v>116.3</v>
      </c>
      <c r="G49" s="28">
        <f>H49/'18'!K49*100</f>
        <v>42.839105035438308</v>
      </c>
      <c r="H49" s="56">
        <v>2544.6</v>
      </c>
      <c r="I49" s="56">
        <v>7512</v>
      </c>
      <c r="J49" s="56">
        <v>585.20000000000005</v>
      </c>
      <c r="K49" s="56">
        <v>5091</v>
      </c>
      <c r="L49" s="56">
        <v>1835.8</v>
      </c>
      <c r="M49" s="58"/>
    </row>
    <row r="50" spans="1:13">
      <c r="A50" s="66">
        <v>2005</v>
      </c>
      <c r="B50" s="28">
        <v>105.8</v>
      </c>
      <c r="C50" s="28">
        <v>113.3</v>
      </c>
      <c r="D50" s="28">
        <v>107.3</v>
      </c>
      <c r="E50" s="28">
        <v>114.3</v>
      </c>
      <c r="F50" s="28">
        <v>112.4</v>
      </c>
      <c r="G50" s="28">
        <f>H50/'18'!K50*100</f>
        <v>41.544600464693403</v>
      </c>
      <c r="H50" s="56">
        <v>2467.5</v>
      </c>
      <c r="I50" s="56">
        <v>7877.6</v>
      </c>
      <c r="J50" s="56">
        <v>738.5</v>
      </c>
      <c r="K50" s="56">
        <v>5344.8</v>
      </c>
      <c r="L50" s="56">
        <v>1794.3</v>
      </c>
      <c r="M50" s="58"/>
    </row>
    <row r="51" spans="1:13">
      <c r="A51" s="66">
        <v>2006</v>
      </c>
      <c r="B51" s="28">
        <v>99.5</v>
      </c>
      <c r="C51" s="28">
        <v>109.4</v>
      </c>
      <c r="D51" s="28">
        <v>102.7</v>
      </c>
      <c r="E51" s="28">
        <v>109.4</v>
      </c>
      <c r="F51" s="28">
        <v>111.5</v>
      </c>
      <c r="G51" s="28">
        <f>H51/'18'!K51*100</f>
        <v>42.344539894651255</v>
      </c>
      <c r="H51" s="56">
        <v>2395.6</v>
      </c>
      <c r="I51" s="56">
        <v>7532.5</v>
      </c>
      <c r="J51" s="56">
        <v>738.7</v>
      </c>
      <c r="K51" s="56">
        <v>5010.3</v>
      </c>
      <c r="L51" s="56">
        <v>1783.5</v>
      </c>
      <c r="M51" s="58"/>
    </row>
    <row r="52" spans="1:13">
      <c r="A52" s="66">
        <v>2007</v>
      </c>
      <c r="B52" s="28">
        <v>94.4</v>
      </c>
      <c r="C52" s="28">
        <v>97.5</v>
      </c>
      <c r="D52" s="28">
        <v>88.4</v>
      </c>
      <c r="E52" s="28">
        <v>93.9</v>
      </c>
      <c r="F52" s="28">
        <v>111.3</v>
      </c>
      <c r="G52" s="28">
        <f>H52/'18'!K52*100</f>
        <v>41.096046701781738</v>
      </c>
      <c r="H52" s="56">
        <v>2161.1999999999998</v>
      </c>
      <c r="I52" s="56">
        <v>6556.4</v>
      </c>
      <c r="J52" s="56">
        <v>604</v>
      </c>
      <c r="K52" s="56">
        <v>4200.3999999999996</v>
      </c>
      <c r="L52" s="56">
        <v>1752</v>
      </c>
      <c r="M52" s="58"/>
    </row>
    <row r="53" spans="1:13">
      <c r="A53" s="66">
        <v>2008</v>
      </c>
      <c r="B53" s="28">
        <v>96.2</v>
      </c>
      <c r="C53" s="28">
        <v>81.7</v>
      </c>
      <c r="D53" s="28">
        <v>81.7</v>
      </c>
      <c r="E53" s="28">
        <v>78.3</v>
      </c>
      <c r="F53" s="28">
        <v>90.4</v>
      </c>
      <c r="G53" s="28">
        <f>H53/'18'!K53*100</f>
        <v>41.08968837651009</v>
      </c>
      <c r="H53" s="56">
        <v>1860.5</v>
      </c>
      <c r="I53" s="56">
        <v>5839.7</v>
      </c>
      <c r="J53" s="56">
        <v>697.2</v>
      </c>
      <c r="K53" s="56">
        <v>3690.3</v>
      </c>
      <c r="L53" s="56">
        <v>1452.2</v>
      </c>
      <c r="M53" s="58"/>
    </row>
    <row r="54" spans="1:13">
      <c r="A54" s="66"/>
      <c r="H54" s="32"/>
      <c r="I54" s="32"/>
      <c r="J54" s="32"/>
      <c r="K54" s="32"/>
      <c r="L54" s="32"/>
    </row>
    <row r="55" spans="1:13">
      <c r="A55" s="66" t="s">
        <v>23</v>
      </c>
    </row>
    <row r="56" spans="1:13">
      <c r="A56" s="64" t="s">
        <v>2118</v>
      </c>
      <c r="B56" s="67">
        <f>((B53/B6)^(1/47)-1)*100</f>
        <v>0.80162275859640975</v>
      </c>
      <c r="C56" s="67">
        <f t="shared" ref="C56:L56" si="0">((C53/C6)^(1/47)-1)*100</f>
        <v>1.6419898632515473</v>
      </c>
      <c r="D56" s="67">
        <f t="shared" si="0"/>
        <v>-0.61732580059459252</v>
      </c>
      <c r="E56" s="67">
        <f t="shared" si="0"/>
        <v>1.9979772432399789</v>
      </c>
      <c r="F56" s="67">
        <f t="shared" si="0"/>
        <v>1.302776210605372</v>
      </c>
      <c r="G56" s="67">
        <f t="shared" si="0"/>
        <v>0.73336172164260027</v>
      </c>
      <c r="H56" s="67">
        <f t="shared" si="0"/>
        <v>5.7823131386577575</v>
      </c>
      <c r="I56" s="67">
        <f t="shared" si="0"/>
        <v>6.2076750565809746</v>
      </c>
      <c r="J56" s="67">
        <f t="shared" si="0"/>
        <v>7.6512724905382301</v>
      </c>
      <c r="K56" s="67">
        <f t="shared" si="0"/>
        <v>6.1956404472232718</v>
      </c>
      <c r="L56" s="67">
        <f t="shared" si="0"/>
        <v>5.7741008199237331</v>
      </c>
      <c r="M56" s="67"/>
    </row>
    <row r="57" spans="1:13">
      <c r="A57" s="68" t="s">
        <v>1031</v>
      </c>
      <c r="B57" s="67">
        <f>((B18/B6)^(1/12)-1)*100</f>
        <v>3.2920578222437991</v>
      </c>
      <c r="C57" s="67">
        <f t="shared" ref="C57:L57" si="1">((C18/C6)^(1/12)-1)*100</f>
        <v>5.7111206726052632</v>
      </c>
      <c r="D57" s="67">
        <f t="shared" si="1"/>
        <v>6.4919794312174872</v>
      </c>
      <c r="E57" s="67">
        <f t="shared" si="1"/>
        <v>6.1442688624778086</v>
      </c>
      <c r="F57" s="67">
        <f t="shared" si="1"/>
        <v>4.6617081830601981</v>
      </c>
      <c r="G57" s="67">
        <f t="shared" si="1"/>
        <v>1.300178139878283</v>
      </c>
      <c r="H57" s="67">
        <f t="shared" si="1"/>
        <v>9.8301120925873278</v>
      </c>
      <c r="I57" s="67">
        <f t="shared" si="1"/>
        <v>9.2565664408215795</v>
      </c>
      <c r="J57" s="67">
        <f t="shared" si="1"/>
        <v>9.1007994608072629</v>
      </c>
      <c r="K57" s="67">
        <f t="shared" si="1"/>
        <v>9.3905614124470294</v>
      </c>
      <c r="L57" s="67">
        <f t="shared" si="1"/>
        <v>9.0014122553306208</v>
      </c>
      <c r="M57" s="67"/>
    </row>
    <row r="58" spans="1:13">
      <c r="A58" s="68" t="s">
        <v>1032</v>
      </c>
      <c r="B58" s="67">
        <f>((B26/B18)^(1/8)-1)*100</f>
        <v>2.5006166444400568</v>
      </c>
      <c r="C58" s="67">
        <f t="shared" ref="C58:L58" si="2">((C26/C18)^(1/8)-1)*100</f>
        <v>-6.7727897665115222E-2</v>
      </c>
      <c r="D58" s="67">
        <f t="shared" si="2"/>
        <v>-6.1437636805447333</v>
      </c>
      <c r="E58" s="67">
        <f t="shared" si="2"/>
        <v>1.1766507869075182</v>
      </c>
      <c r="F58" s="67">
        <f t="shared" si="2"/>
        <v>-1.5523639496999864</v>
      </c>
      <c r="G58" s="67">
        <f t="shared" si="2"/>
        <v>-4.6594083502417334</v>
      </c>
      <c r="H58" s="67">
        <f t="shared" si="2"/>
        <v>3.8067700346299471</v>
      </c>
      <c r="I58" s="67">
        <f t="shared" si="2"/>
        <v>11.635818150422228</v>
      </c>
      <c r="J58" s="67">
        <f t="shared" si="2"/>
        <v>16.605063126825193</v>
      </c>
      <c r="K58" s="67">
        <f t="shared" si="2"/>
        <v>12.314994919255874</v>
      </c>
      <c r="L58" s="67">
        <f t="shared" si="2"/>
        <v>8.6008437816235563</v>
      </c>
      <c r="M58" s="67"/>
    </row>
    <row r="59" spans="1:13">
      <c r="A59" s="69" t="s">
        <v>1783</v>
      </c>
      <c r="B59" s="67">
        <f>((B53/B26)^(1/27)-1)*100</f>
        <v>-0.77848013326397014</v>
      </c>
      <c r="C59" s="67">
        <f t="shared" ref="C59:L59" si="3">((C53/C26)^(1/27)-1)*100</f>
        <v>0.38744856040193731</v>
      </c>
      <c r="D59" s="67">
        <f t="shared" si="3"/>
        <v>-1.9750079867918768</v>
      </c>
      <c r="E59" s="67">
        <f t="shared" si="3"/>
        <v>0.44789166262995117</v>
      </c>
      <c r="F59" s="67">
        <f t="shared" si="3"/>
        <v>0.69408715530099308</v>
      </c>
      <c r="G59" s="67">
        <f t="shared" si="3"/>
        <v>2.1340169141033316</v>
      </c>
      <c r="H59" s="67">
        <f t="shared" si="3"/>
        <v>4.6142358230853775</v>
      </c>
      <c r="I59" s="67">
        <f t="shared" si="3"/>
        <v>3.3424676227984618</v>
      </c>
      <c r="J59" s="67">
        <f t="shared" si="3"/>
        <v>4.5096838913142756</v>
      </c>
      <c r="K59" s="67">
        <f t="shared" si="3"/>
        <v>3.080396814005959</v>
      </c>
      <c r="L59" s="67">
        <f t="shared" si="3"/>
        <v>3.558170592812071</v>
      </c>
      <c r="M59" s="67"/>
    </row>
    <row r="60" spans="1:13">
      <c r="A60" s="68" t="s">
        <v>25</v>
      </c>
      <c r="B60" s="67">
        <f>((B34/B26)^(1/8)-1)*100</f>
        <v>-2.7814840848001454</v>
      </c>
      <c r="C60" s="67">
        <f t="shared" ref="C60:L60" si="4">((C34/C26)^(1/8)-1)*100</f>
        <v>3.7229565601855086</v>
      </c>
      <c r="D60" s="67">
        <f t="shared" si="4"/>
        <v>3.8431425037904976</v>
      </c>
      <c r="E60" s="67">
        <f t="shared" si="4"/>
        <v>3.430959039181336</v>
      </c>
      <c r="F60" s="67">
        <f t="shared" si="4"/>
        <v>4.8081781589246031</v>
      </c>
      <c r="G60" s="67">
        <f t="shared" si="4"/>
        <v>7.2294812801110275</v>
      </c>
      <c r="H60" s="67">
        <f t="shared" si="4"/>
        <v>14.306026133463279</v>
      </c>
      <c r="I60" s="67">
        <f t="shared" si="4"/>
        <v>8.4081694353659522</v>
      </c>
      <c r="J60" s="67">
        <f t="shared" si="4"/>
        <v>5.6171414910406003</v>
      </c>
      <c r="K60" s="67">
        <f t="shared" si="4"/>
        <v>8.5266871365681673</v>
      </c>
      <c r="L60" s="67">
        <f t="shared" si="4"/>
        <v>9.0109139546578056</v>
      </c>
      <c r="M60" s="65"/>
    </row>
    <row r="61" spans="1:13">
      <c r="A61" s="69" t="s">
        <v>2134</v>
      </c>
      <c r="B61" s="65">
        <f>((B53/B31)^(1/22)-1)*100</f>
        <v>0.12948340008376302</v>
      </c>
      <c r="C61" s="65">
        <f t="shared" ref="C61:L61" si="5">((C53/C31)^(1/22)-1)*100</f>
        <v>-0.36274299291602086</v>
      </c>
      <c r="D61" s="65">
        <f t="shared" si="5"/>
        <v>-2.7620942399453563</v>
      </c>
      <c r="E61" s="65">
        <f t="shared" si="5"/>
        <v>-0.36183443128791071</v>
      </c>
      <c r="F61" s="65">
        <f t="shared" si="5"/>
        <v>-3.5055385380633464E-2</v>
      </c>
      <c r="G61" s="65">
        <f t="shared" si="5"/>
        <v>1.9292705146779054</v>
      </c>
      <c r="H61" s="65">
        <f t="shared" si="5"/>
        <v>4.3598627523318001</v>
      </c>
      <c r="I61" s="65">
        <f t="shared" si="5"/>
        <v>2.2231962763171298</v>
      </c>
      <c r="J61" s="65">
        <f t="shared" si="5"/>
        <v>4.5455779365257465</v>
      </c>
      <c r="K61" s="65">
        <f t="shared" si="5"/>
        <v>1.7239045976914724</v>
      </c>
      <c r="L61" s="65">
        <f t="shared" si="5"/>
        <v>2.7232912968413903</v>
      </c>
      <c r="M61" s="65"/>
    </row>
    <row r="62" spans="1:13">
      <c r="A62" s="69" t="s">
        <v>26</v>
      </c>
      <c r="B62" s="65">
        <f>((B45/B34)^(1/11)-1)*100</f>
        <v>0.65872859908024939</v>
      </c>
      <c r="C62" s="65">
        <f t="shared" ref="C62:L62" si="6">((C45/C34)^(1/11)-1)*100</f>
        <v>1.56763938913278</v>
      </c>
      <c r="D62" s="65">
        <f t="shared" si="6"/>
        <v>-6.4888385013471606</v>
      </c>
      <c r="E62" s="65">
        <f t="shared" si="6"/>
        <v>2.4240386798466851</v>
      </c>
      <c r="F62" s="65">
        <f t="shared" si="6"/>
        <v>0.93717773981931707</v>
      </c>
      <c r="G62" s="65">
        <f t="shared" si="6"/>
        <v>0.68489017201736058</v>
      </c>
      <c r="H62" s="65">
        <f t="shared" si="6"/>
        <v>3.8959619342239904</v>
      </c>
      <c r="I62" s="65">
        <f t="shared" si="6"/>
        <v>4.5233300171119595</v>
      </c>
      <c r="J62" s="65">
        <f t="shared" si="6"/>
        <v>1.7316685080926986</v>
      </c>
      <c r="K62" s="65">
        <f t="shared" si="6"/>
        <v>4.8981591508549638</v>
      </c>
      <c r="L62" s="65">
        <f t="shared" si="6"/>
        <v>4.1697493782480555</v>
      </c>
      <c r="M62" s="65"/>
    </row>
    <row r="63" spans="1:13">
      <c r="A63" s="69" t="s">
        <v>1779</v>
      </c>
      <c r="B63" s="65">
        <f>((B53/B45)^(1/8)-1)*100</f>
        <v>-0.71694984597110434</v>
      </c>
      <c r="C63" s="65">
        <f t="shared" ref="C63:L63" si="7">((C53/C45)^(1/8)-1)*100</f>
        <v>-4.3897344644390994</v>
      </c>
      <c r="D63" s="65">
        <f t="shared" si="7"/>
        <v>-1.2705575010915737</v>
      </c>
      <c r="E63" s="65">
        <f t="shared" si="7"/>
        <v>-5.0276624998117132</v>
      </c>
      <c r="F63" s="65">
        <f t="shared" si="7"/>
        <v>-3.5787222109584738</v>
      </c>
      <c r="G63" s="65">
        <f t="shared" si="7"/>
        <v>-0.78895474041900115</v>
      </c>
      <c r="H63" s="65">
        <f t="shared" si="7"/>
        <v>-3.3444914087327637</v>
      </c>
      <c r="I63" s="65">
        <f t="shared" si="7"/>
        <v>-3.0136020411801856</v>
      </c>
      <c r="J63" s="65">
        <f t="shared" si="7"/>
        <v>7.3165402856112616</v>
      </c>
      <c r="K63" s="65">
        <f t="shared" si="7"/>
        <v>-4.4178241061547325</v>
      </c>
      <c r="L63" s="65">
        <f t="shared" si="7"/>
        <v>-2.4151181294195356</v>
      </c>
      <c r="M63" s="65"/>
    </row>
    <row r="65" spans="1:1">
      <c r="A65" s="64" t="s">
        <v>1012</v>
      </c>
    </row>
  </sheetData>
  <mergeCells count="8">
    <mergeCell ref="A2:A4"/>
    <mergeCell ref="B4:F4"/>
    <mergeCell ref="H4:L4"/>
    <mergeCell ref="H2:H3"/>
    <mergeCell ref="C2:F2"/>
    <mergeCell ref="B2:B3"/>
    <mergeCell ref="G2:G3"/>
    <mergeCell ref="I2:L2"/>
  </mergeCells>
  <pageMargins left="0.70866141732283472" right="0.70866141732283472" top="0.74803149606299213" bottom="0.74803149606299213" header="0.31496062992125984" footer="0.31496062992125984"/>
  <pageSetup scale="75" orientation="portrait" horizontalDpi="0" verticalDpi="0" r:id="rId1"/>
</worksheet>
</file>

<file path=xl/worksheets/sheet119.xml><?xml version="1.0" encoding="utf-8"?>
<worksheet xmlns="http://schemas.openxmlformats.org/spreadsheetml/2006/main" xmlns:r="http://schemas.openxmlformats.org/officeDocument/2006/relationships">
  <sheetPr codeName="Sheet112"/>
  <dimension ref="A1:F18"/>
  <sheetViews>
    <sheetView view="pageBreakPreview" zoomScaleNormal="100" zoomScaleSheetLayoutView="100" workbookViewId="0">
      <selection activeCell="AC38" sqref="AC38"/>
    </sheetView>
  </sheetViews>
  <sheetFormatPr defaultRowHeight="15"/>
  <cols>
    <col min="1" max="1" width="30.5703125" style="64" customWidth="1"/>
    <col min="2" max="6" width="12.140625" style="135" customWidth="1"/>
    <col min="7" max="16384" width="9.140625" style="64"/>
  </cols>
  <sheetData>
    <row r="1" spans="1:6">
      <c r="A1" s="66" t="s">
        <v>2157</v>
      </c>
    </row>
    <row r="2" spans="1:6">
      <c r="A2" s="66"/>
      <c r="B2" s="72" t="s">
        <v>1031</v>
      </c>
      <c r="C2" s="165" t="s">
        <v>1032</v>
      </c>
      <c r="D2" s="165" t="s">
        <v>25</v>
      </c>
      <c r="E2" s="165" t="s">
        <v>26</v>
      </c>
      <c r="F2" s="165" t="s">
        <v>1779</v>
      </c>
    </row>
    <row r="3" spans="1:6">
      <c r="A3" s="66" t="s">
        <v>1087</v>
      </c>
      <c r="B3" s="110"/>
      <c r="C3" s="203"/>
      <c r="D3" s="203"/>
      <c r="E3" s="203"/>
      <c r="F3" s="203"/>
    </row>
    <row r="4" spans="1:6">
      <c r="A4" s="69" t="s">
        <v>1080</v>
      </c>
      <c r="B4" s="31">
        <f>AVERAGE('18a'!G5:G17)</f>
        <v>73.1805876985906</v>
      </c>
      <c r="C4" s="31">
        <f>AVERAGE('18a'!G17:G25)</f>
        <v>71.745328881467969</v>
      </c>
      <c r="D4" s="31">
        <f>AVERAGE('18a'!G25:G33)</f>
        <v>70.086686077784634</v>
      </c>
      <c r="E4" s="31">
        <f>AVERAGE('18a'!G33:G44)</f>
        <v>57.544240624543249</v>
      </c>
      <c r="F4" s="31">
        <f>AVERAGE('18a'!G44:G52)</f>
        <v>58.419818952203592</v>
      </c>
    </row>
    <row r="5" spans="1:6">
      <c r="A5" s="69" t="s">
        <v>1081</v>
      </c>
      <c r="B5" s="31">
        <f>AVERAGE('18b'!G6:G18)</f>
        <v>26.818558680090835</v>
      </c>
      <c r="C5" s="31">
        <f>AVERAGE('18b'!G18:G26)</f>
        <v>28.253560922755028</v>
      </c>
      <c r="D5" s="31">
        <f>AVERAGE('18b'!G26:G34)</f>
        <v>29.912928682437737</v>
      </c>
      <c r="E5" s="31">
        <f>AVERAGE('18b'!G34:G45)</f>
        <v>42.455744036683193</v>
      </c>
      <c r="F5" s="31">
        <f>AVERAGE('18b'!G45:G53)</f>
        <v>41.580622839547814</v>
      </c>
    </row>
    <row r="6" spans="1:6">
      <c r="A6" s="69"/>
      <c r="B6" s="31"/>
      <c r="C6" s="31"/>
      <c r="D6" s="31"/>
      <c r="E6" s="31"/>
      <c r="F6" s="31"/>
    </row>
    <row r="7" spans="1:6">
      <c r="A7" s="204" t="s">
        <v>793</v>
      </c>
      <c r="B7" s="31"/>
      <c r="C7" s="31"/>
      <c r="D7" s="31"/>
      <c r="E7" s="31"/>
      <c r="F7" s="31"/>
    </row>
    <row r="8" spans="1:6">
      <c r="A8" s="68" t="s">
        <v>116</v>
      </c>
      <c r="B8" s="205">
        <f>'18'!E57</f>
        <v>3.3174834966293476</v>
      </c>
      <c r="C8" s="67">
        <f>'18'!E58</f>
        <v>2.6517796888446465</v>
      </c>
      <c r="D8" s="67">
        <f>'18'!E60</f>
        <v>4.3947051418774752</v>
      </c>
      <c r="E8" s="67">
        <f>'18'!E62</f>
        <v>2.2020891196163017</v>
      </c>
      <c r="F8" s="67">
        <f>'18'!E63</f>
        <v>5.1738248057880742</v>
      </c>
    </row>
    <row r="9" spans="1:6">
      <c r="A9" s="69" t="s">
        <v>113</v>
      </c>
      <c r="B9" s="67">
        <f>'18'!C57</f>
        <v>2.0140600032527489</v>
      </c>
      <c r="C9" s="67">
        <f>'18'!C58</f>
        <v>1.3073873902708311</v>
      </c>
      <c r="D9" s="67">
        <f>'18'!C60</f>
        <v>4.8437924734938242</v>
      </c>
      <c r="E9" s="67">
        <f>'18'!C62</f>
        <v>1.1904626347162939</v>
      </c>
      <c r="F9" s="67">
        <f>'18'!C63</f>
        <v>2.4878212318284687</v>
      </c>
    </row>
    <row r="10" spans="1:6">
      <c r="A10" s="69" t="s">
        <v>833</v>
      </c>
      <c r="B10" s="67">
        <f>'18a'!C56</f>
        <v>0.39658853033124331</v>
      </c>
      <c r="C10" s="67">
        <f>'18a'!C57</f>
        <v>0.37266486156000145</v>
      </c>
      <c r="D10" s="67">
        <f>'18a'!C59</f>
        <v>0.14325868900888494</v>
      </c>
      <c r="E10" s="67">
        <f>'18a'!C61</f>
        <v>0.46880968862195171</v>
      </c>
      <c r="F10" s="67">
        <f>'18a'!C62</f>
        <v>-2.4603280054935617E-2</v>
      </c>
    </row>
    <row r="11" spans="1:6">
      <c r="A11" s="69" t="s">
        <v>1086</v>
      </c>
      <c r="B11" s="67">
        <f>'18'!O57</f>
        <v>4.0932574555448742</v>
      </c>
      <c r="C11" s="67">
        <f>'18'!O58</f>
        <v>4.5018488588625782</v>
      </c>
      <c r="D11" s="67">
        <f>'18'!O60</f>
        <v>-1.942726281101359</v>
      </c>
      <c r="E11" s="67">
        <f>'18'!O62</f>
        <v>1.6827893970848606</v>
      </c>
      <c r="F11" s="67">
        <f>'18'!O63</f>
        <v>6.4717784262189104</v>
      </c>
    </row>
    <row r="12" spans="1:6">
      <c r="B12" s="67"/>
      <c r="C12" s="67"/>
      <c r="D12" s="67"/>
      <c r="E12" s="67"/>
      <c r="F12" s="67"/>
    </row>
    <row r="13" spans="1:6">
      <c r="A13" s="66" t="s">
        <v>1085</v>
      </c>
      <c r="B13" s="67"/>
      <c r="C13" s="67"/>
      <c r="D13" s="67"/>
      <c r="E13" s="67"/>
      <c r="F13" s="67"/>
    </row>
    <row r="14" spans="1:6">
      <c r="A14" s="69" t="s">
        <v>113</v>
      </c>
      <c r="B14" s="67">
        <f>B9</f>
        <v>2.0140600032527489</v>
      </c>
      <c r="C14" s="67">
        <f>C9</f>
        <v>1.3073873902708311</v>
      </c>
      <c r="D14" s="67">
        <f>D9</f>
        <v>4.8437924734938242</v>
      </c>
      <c r="E14" s="67">
        <f>E9</f>
        <v>1.1904626347162939</v>
      </c>
      <c r="F14" s="67">
        <f>F9</f>
        <v>2.4878212318284687</v>
      </c>
    </row>
    <row r="15" spans="1:6">
      <c r="A15" s="69" t="s">
        <v>833</v>
      </c>
      <c r="B15" s="67">
        <f t="shared" ref="B15:E16" si="0">B4/100*B10</f>
        <v>0.29022581724160712</v>
      </c>
      <c r="C15" s="67">
        <f t="shared" si="0"/>
        <v>0.26736963055189034</v>
      </c>
      <c r="D15" s="67">
        <f t="shared" si="0"/>
        <v>0.10040526764480695</v>
      </c>
      <c r="E15" s="67">
        <f t="shared" si="0"/>
        <v>0.26977297529178784</v>
      </c>
      <c r="F15" s="67">
        <f>F4/100*F10</f>
        <v>-1.4373191664397005E-2</v>
      </c>
    </row>
    <row r="16" spans="1:6">
      <c r="A16" s="69" t="s">
        <v>1086</v>
      </c>
      <c r="B16" s="67">
        <f t="shared" si="0"/>
        <v>1.0977526526424952</v>
      </c>
      <c r="C16" s="67">
        <f t="shared" si="0"/>
        <v>1.2719326099890906</v>
      </c>
      <c r="D16" s="67">
        <f t="shared" si="0"/>
        <v>-0.58112632696082445</v>
      </c>
      <c r="E16" s="67">
        <f t="shared" si="0"/>
        <v>0.7144407591027927</v>
      </c>
      <c r="F16" s="67">
        <f>F5/100*F11</f>
        <v>2.6910057784173085</v>
      </c>
    </row>
    <row r="18" spans="1:1">
      <c r="A18" s="195" t="s">
        <v>1088</v>
      </c>
    </row>
  </sheetData>
  <pageMargins left="0.7" right="0.7" top="0.75" bottom="0.75" header="0.3" footer="0.3"/>
  <pageSetup orientation="landscape" horizontalDpi="0" verticalDpi="0" r:id="rId1"/>
</worksheet>
</file>

<file path=xl/worksheets/sheet12.xml><?xml version="1.0" encoding="utf-8"?>
<worksheet xmlns="http://schemas.openxmlformats.org/spreadsheetml/2006/main" xmlns:r="http://schemas.openxmlformats.org/officeDocument/2006/relationships">
  <sheetPr codeName="Sheet12"/>
  <dimension ref="A1:AK75"/>
  <sheetViews>
    <sheetView view="pageBreakPreview" zoomScale="85" zoomScaleNormal="100" zoomScaleSheetLayoutView="85"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85546875" style="64" customWidth="1"/>
    <col min="2" max="6" width="9.7109375" style="64" customWidth="1"/>
    <col min="7" max="7" width="12" style="64" customWidth="1"/>
    <col min="8" max="9" width="12.7109375" style="64" customWidth="1"/>
    <col min="10" max="11" width="9.7109375" style="64" customWidth="1"/>
    <col min="12" max="12" width="10.7109375" style="64" customWidth="1"/>
    <col min="13" max="13" width="10.85546875" style="64" customWidth="1"/>
    <col min="14" max="15" width="9.7109375" style="64" customWidth="1"/>
    <col min="16" max="20" width="9.140625" style="64" hidden="1" customWidth="1" outlineLevel="1"/>
    <col min="21" max="21" width="10.28515625" style="64" hidden="1" customWidth="1" outlineLevel="1"/>
    <col min="22" max="22" width="10" style="64" hidden="1" customWidth="1" outlineLevel="1"/>
    <col min="23" max="23" width="11" style="64" hidden="1" customWidth="1" outlineLevel="1"/>
    <col min="24" max="24" width="10.140625" style="64" hidden="1" customWidth="1" outlineLevel="1"/>
    <col min="25" max="25" width="9.140625" style="64" hidden="1" customWidth="1" outlineLevel="1"/>
    <col min="26" max="26" width="12.85546875" style="64" hidden="1" customWidth="1" outlineLevel="1"/>
    <col min="27" max="27" width="10.42578125" style="64" hidden="1" customWidth="1" outlineLevel="1"/>
    <col min="28" max="29" width="9.140625" style="64" hidden="1" customWidth="1" outlineLevel="1"/>
    <col min="30" max="30" width="9.140625" style="64" collapsed="1"/>
    <col min="31" max="16384" width="9.140625" style="64"/>
  </cols>
  <sheetData>
    <row r="1" spans="1:37">
      <c r="A1" s="282" t="s">
        <v>1951</v>
      </c>
      <c r="B1" s="282"/>
      <c r="C1" s="282"/>
      <c r="D1" s="282"/>
      <c r="E1" s="282"/>
      <c r="F1" s="282"/>
      <c r="G1" s="282"/>
      <c r="H1" s="282"/>
      <c r="I1" s="282"/>
      <c r="J1" s="282"/>
      <c r="K1" s="282"/>
      <c r="L1" s="282"/>
      <c r="M1" s="282"/>
      <c r="N1" s="282"/>
      <c r="O1" s="132"/>
      <c r="P1" s="132"/>
      <c r="Q1" s="132"/>
      <c r="R1" s="132"/>
      <c r="S1" s="132"/>
      <c r="T1" s="132"/>
      <c r="U1" s="132"/>
      <c r="V1" s="132"/>
      <c r="W1" s="132"/>
      <c r="X1" s="132"/>
      <c r="Y1" s="132"/>
      <c r="Z1" s="132"/>
      <c r="AA1" s="132"/>
      <c r="AB1" s="132"/>
    </row>
    <row r="2" spans="1:37" ht="15" customHeight="1">
      <c r="A2" s="96"/>
      <c r="B2" s="94" t="s">
        <v>1154</v>
      </c>
      <c r="C2" s="94"/>
      <c r="D2" s="94"/>
      <c r="E2" s="94"/>
      <c r="F2" s="94"/>
      <c r="G2" s="94"/>
      <c r="H2" s="94"/>
      <c r="I2" s="94"/>
      <c r="J2" s="94"/>
      <c r="K2" s="94"/>
      <c r="L2" s="94"/>
      <c r="M2" s="94"/>
      <c r="N2" s="159"/>
      <c r="O2" s="234"/>
      <c r="P2" s="230" t="s">
        <v>1154</v>
      </c>
      <c r="Q2" s="230"/>
      <c r="R2" s="230"/>
      <c r="S2" s="230"/>
      <c r="T2" s="230"/>
      <c r="U2" s="230"/>
      <c r="V2" s="230"/>
      <c r="W2" s="230"/>
      <c r="X2" s="230"/>
      <c r="Y2" s="230"/>
      <c r="Z2" s="230"/>
      <c r="AA2" s="230"/>
      <c r="AB2" s="230"/>
      <c r="AC2" s="70"/>
      <c r="AD2" s="70"/>
    </row>
    <row r="3" spans="1:37" ht="15" customHeight="1">
      <c r="A3" s="96"/>
      <c r="B3" s="94" t="s">
        <v>1167</v>
      </c>
      <c r="C3" s="94" t="s">
        <v>1155</v>
      </c>
      <c r="D3" s="94"/>
      <c r="E3" s="94"/>
      <c r="F3" s="94"/>
      <c r="G3" s="94" t="s">
        <v>1159</v>
      </c>
      <c r="H3" s="94"/>
      <c r="I3" s="94"/>
      <c r="J3" s="94"/>
      <c r="K3" s="94" t="s">
        <v>1163</v>
      </c>
      <c r="L3" s="94"/>
      <c r="M3" s="94"/>
      <c r="N3" s="159"/>
      <c r="O3" s="234"/>
      <c r="P3" s="230" t="s">
        <v>1167</v>
      </c>
      <c r="Q3" s="230" t="s">
        <v>1155</v>
      </c>
      <c r="R3" s="230"/>
      <c r="S3" s="230"/>
      <c r="T3" s="230"/>
      <c r="U3" s="230" t="s">
        <v>1159</v>
      </c>
      <c r="V3" s="230"/>
      <c r="W3" s="230"/>
      <c r="X3" s="230"/>
      <c r="Y3" s="230" t="s">
        <v>1163</v>
      </c>
      <c r="Z3" s="230"/>
      <c r="AA3" s="230"/>
      <c r="AB3" s="230"/>
      <c r="AC3" s="70"/>
      <c r="AD3" s="70"/>
      <c r="AE3" s="70"/>
      <c r="AF3" s="70"/>
      <c r="AG3" s="70"/>
      <c r="AH3" s="70"/>
      <c r="AI3" s="70"/>
      <c r="AJ3" s="70"/>
      <c r="AK3" s="70"/>
    </row>
    <row r="4" spans="1:37" ht="75">
      <c r="A4" s="96"/>
      <c r="B4" s="94"/>
      <c r="C4" s="72" t="s">
        <v>1168</v>
      </c>
      <c r="D4" s="73" t="s">
        <v>1156</v>
      </c>
      <c r="E4" s="73" t="s">
        <v>1157</v>
      </c>
      <c r="F4" s="73" t="s">
        <v>1158</v>
      </c>
      <c r="G4" s="72" t="s">
        <v>1169</v>
      </c>
      <c r="H4" s="73" t="s">
        <v>1160</v>
      </c>
      <c r="I4" s="73" t="s">
        <v>1161</v>
      </c>
      <c r="J4" s="73" t="s">
        <v>1162</v>
      </c>
      <c r="K4" s="72" t="s">
        <v>1170</v>
      </c>
      <c r="L4" s="73" t="s">
        <v>1164</v>
      </c>
      <c r="M4" s="73" t="s">
        <v>1165</v>
      </c>
      <c r="N4" s="75" t="s">
        <v>1166</v>
      </c>
      <c r="O4" s="234"/>
      <c r="P4" s="230"/>
      <c r="Q4" s="41" t="s">
        <v>1168</v>
      </c>
      <c r="R4" s="62" t="s">
        <v>1156</v>
      </c>
      <c r="S4" s="62" t="s">
        <v>1157</v>
      </c>
      <c r="T4" s="62" t="s">
        <v>1158</v>
      </c>
      <c r="U4" s="41" t="s">
        <v>1169</v>
      </c>
      <c r="V4" s="62" t="s">
        <v>1160</v>
      </c>
      <c r="W4" s="62" t="s">
        <v>1161</v>
      </c>
      <c r="X4" s="62" t="s">
        <v>1162</v>
      </c>
      <c r="Y4" s="41" t="s">
        <v>1170</v>
      </c>
      <c r="Z4" s="62" t="s">
        <v>1164</v>
      </c>
      <c r="AA4" s="62" t="s">
        <v>1165</v>
      </c>
      <c r="AB4" s="62" t="s">
        <v>1166</v>
      </c>
      <c r="AC4" s="70"/>
      <c r="AD4" s="70"/>
      <c r="AE4" s="70"/>
      <c r="AF4" s="230"/>
      <c r="AG4" s="41"/>
      <c r="AH4" s="41"/>
      <c r="AI4" s="41"/>
      <c r="AJ4" s="70"/>
      <c r="AK4" s="70"/>
    </row>
    <row r="5" spans="1:37" hidden="1" outlineLevel="1">
      <c r="O5" s="70"/>
      <c r="P5" s="70"/>
      <c r="Q5" s="70"/>
      <c r="R5" s="70"/>
      <c r="S5" s="70"/>
      <c r="T5" s="70"/>
      <c r="U5" s="70"/>
      <c r="V5" s="70"/>
      <c r="W5" s="70"/>
      <c r="X5" s="70"/>
      <c r="Y5" s="70"/>
      <c r="Z5" s="70"/>
      <c r="AA5" s="70"/>
      <c r="AB5" s="70"/>
      <c r="AC5" s="70"/>
      <c r="AD5" s="70"/>
      <c r="AE5" s="70"/>
      <c r="AF5" s="230"/>
      <c r="AG5" s="70"/>
      <c r="AH5" s="70"/>
      <c r="AI5" s="70"/>
      <c r="AJ5" s="70"/>
      <c r="AK5" s="70"/>
    </row>
    <row r="6" spans="1:37" collapsed="1">
      <c r="A6" s="66">
        <v>1981</v>
      </c>
      <c r="B6" s="115">
        <f>P6/P$6*100</f>
        <v>100</v>
      </c>
      <c r="C6" s="115">
        <f t="shared" ref="C6:N6" si="0">Q6/Q$6*100</f>
        <v>100</v>
      </c>
      <c r="D6" s="115">
        <f t="shared" si="0"/>
        <v>100</v>
      </c>
      <c r="E6" s="115">
        <f t="shared" si="0"/>
        <v>100</v>
      </c>
      <c r="F6" s="115">
        <f t="shared" si="0"/>
        <v>100</v>
      </c>
      <c r="G6" s="115">
        <f t="shared" si="0"/>
        <v>100</v>
      </c>
      <c r="H6" s="115">
        <f t="shared" si="0"/>
        <v>100</v>
      </c>
      <c r="I6" s="115">
        <f t="shared" si="0"/>
        <v>100</v>
      </c>
      <c r="J6" s="115">
        <f t="shared" si="0"/>
        <v>100</v>
      </c>
      <c r="K6" s="115">
        <f t="shared" si="0"/>
        <v>100</v>
      </c>
      <c r="L6" s="115">
        <f t="shared" si="0"/>
        <v>100</v>
      </c>
      <c r="M6" s="115">
        <f t="shared" si="0"/>
        <v>100</v>
      </c>
      <c r="N6" s="115">
        <f t="shared" si="0"/>
        <v>100</v>
      </c>
      <c r="O6" s="187"/>
      <c r="P6" s="284">
        <v>60.7</v>
      </c>
      <c r="Q6" s="284">
        <v>77.5</v>
      </c>
      <c r="R6" s="284">
        <v>83.6</v>
      </c>
      <c r="S6" s="284">
        <v>82.7</v>
      </c>
      <c r="T6" s="284">
        <v>40.9</v>
      </c>
      <c r="U6" s="284">
        <v>60.4</v>
      </c>
      <c r="V6" s="284">
        <v>62.5</v>
      </c>
      <c r="W6" s="284">
        <v>56.9</v>
      </c>
      <c r="X6" s="284">
        <v>56.6</v>
      </c>
      <c r="Y6" s="284">
        <v>48.9</v>
      </c>
      <c r="Z6" s="284">
        <v>46</v>
      </c>
      <c r="AA6" s="284">
        <v>52.2</v>
      </c>
      <c r="AB6" s="284">
        <v>46.9</v>
      </c>
      <c r="AC6" s="70"/>
      <c r="AD6" s="70"/>
      <c r="AE6" s="70"/>
      <c r="AF6" s="70"/>
      <c r="AG6" s="70"/>
      <c r="AH6" s="70"/>
      <c r="AI6" s="70"/>
      <c r="AJ6" s="70"/>
      <c r="AK6" s="70"/>
    </row>
    <row r="7" spans="1:37">
      <c r="A7" s="66">
        <v>1982</v>
      </c>
      <c r="B7" s="115">
        <f t="shared" ref="B7:B37" si="1">P7/P$6*100</f>
        <v>103.45963756177923</v>
      </c>
      <c r="C7" s="115">
        <f t="shared" ref="C7:C37" si="2">Q7/Q$6*100</f>
        <v>93.935483870967744</v>
      </c>
      <c r="D7" s="115">
        <f t="shared" ref="D7:D37" si="3">R7/R$6*100</f>
        <v>93.779904306220104</v>
      </c>
      <c r="E7" s="115">
        <f t="shared" ref="E7:E37" si="4">S7/S$6*100</f>
        <v>92.8657799274486</v>
      </c>
      <c r="F7" s="115">
        <f t="shared" ref="F7:F37" si="5">T7/T$6*100</f>
        <v>98.533007334963315</v>
      </c>
      <c r="G7" s="115">
        <f t="shared" ref="G7:G37" si="6">U7/U$6*100</f>
        <v>105.4635761589404</v>
      </c>
      <c r="H7" s="115">
        <f t="shared" ref="H7:H37" si="7">V7/V$6*100</f>
        <v>105.28</v>
      </c>
      <c r="I7" s="115">
        <f t="shared" ref="I7:I37" si="8">W7/W$6*100</f>
        <v>105.79964850615116</v>
      </c>
      <c r="J7" s="115">
        <f t="shared" ref="J7:J37" si="9">X7/X$6*100</f>
        <v>106.53710247349824</v>
      </c>
      <c r="K7" s="115">
        <f t="shared" ref="K7:K37" si="10">Y7/Y$6*100</f>
        <v>109.81595092024541</v>
      </c>
      <c r="L7" s="115">
        <f t="shared" ref="L7:L37" si="11">Z7/Z$6*100</f>
        <v>110.21739130434783</v>
      </c>
      <c r="M7" s="115">
        <f t="shared" ref="M7:M37" si="12">AA7/AA$6*100</f>
        <v>106.51340996168581</v>
      </c>
      <c r="N7" s="115">
        <f t="shared" ref="N7:N37" si="13">AB7/AB$6*100</f>
        <v>108.95522388059702</v>
      </c>
      <c r="O7" s="187"/>
      <c r="P7" s="284">
        <v>62.8</v>
      </c>
      <c r="Q7" s="284">
        <v>72.8</v>
      </c>
      <c r="R7" s="284">
        <v>78.400000000000006</v>
      </c>
      <c r="S7" s="284">
        <v>76.8</v>
      </c>
      <c r="T7" s="284">
        <v>40.299999999999997</v>
      </c>
      <c r="U7" s="284">
        <v>63.7</v>
      </c>
      <c r="V7" s="284">
        <v>65.8</v>
      </c>
      <c r="W7" s="284">
        <v>60.2</v>
      </c>
      <c r="X7" s="284">
        <v>60.3</v>
      </c>
      <c r="Y7" s="284">
        <v>53.7</v>
      </c>
      <c r="Z7" s="284">
        <v>50.7</v>
      </c>
      <c r="AA7" s="284">
        <v>55.6</v>
      </c>
      <c r="AB7" s="284">
        <v>51.1</v>
      </c>
      <c r="AC7" s="70"/>
      <c r="AD7" s="70"/>
      <c r="AE7" s="70"/>
      <c r="AF7" s="70"/>
      <c r="AG7" s="70"/>
      <c r="AH7" s="70"/>
      <c r="AI7" s="70"/>
      <c r="AJ7" s="70"/>
      <c r="AK7" s="70"/>
    </row>
    <row r="8" spans="1:37">
      <c r="A8" s="66">
        <v>1983</v>
      </c>
      <c r="B8" s="115">
        <f t="shared" si="1"/>
        <v>100</v>
      </c>
      <c r="C8" s="115">
        <f t="shared" si="2"/>
        <v>81.806451612903217</v>
      </c>
      <c r="D8" s="115">
        <f t="shared" si="3"/>
        <v>81.100478468899524</v>
      </c>
      <c r="E8" s="115">
        <f t="shared" si="4"/>
        <v>79.927448609431679</v>
      </c>
      <c r="F8" s="115">
        <f t="shared" si="5"/>
        <v>92.176039119804415</v>
      </c>
      <c r="G8" s="115">
        <f t="shared" si="6"/>
        <v>102.81456953642385</v>
      </c>
      <c r="H8" s="115">
        <f t="shared" si="7"/>
        <v>100.32000000000001</v>
      </c>
      <c r="I8" s="115">
        <f t="shared" si="8"/>
        <v>109.84182776801406</v>
      </c>
      <c r="J8" s="115">
        <f t="shared" si="9"/>
        <v>106.53710247349824</v>
      </c>
      <c r="K8" s="115">
        <f t="shared" si="10"/>
        <v>114.11042944785277</v>
      </c>
      <c r="L8" s="115">
        <f t="shared" si="11"/>
        <v>114.99999999999999</v>
      </c>
      <c r="M8" s="115">
        <f t="shared" si="12"/>
        <v>110.15325670498083</v>
      </c>
      <c r="N8" s="115">
        <f t="shared" si="13"/>
        <v>111.9402985074627</v>
      </c>
      <c r="O8" s="187"/>
      <c r="P8" s="284">
        <v>60.7</v>
      </c>
      <c r="Q8" s="284">
        <v>63.4</v>
      </c>
      <c r="R8" s="284">
        <v>67.8</v>
      </c>
      <c r="S8" s="284">
        <v>66.099999999999994</v>
      </c>
      <c r="T8" s="284">
        <v>37.700000000000003</v>
      </c>
      <c r="U8" s="284">
        <v>62.1</v>
      </c>
      <c r="V8" s="284">
        <v>62.7</v>
      </c>
      <c r="W8" s="284">
        <v>62.5</v>
      </c>
      <c r="X8" s="284">
        <v>60.3</v>
      </c>
      <c r="Y8" s="284">
        <v>55.8</v>
      </c>
      <c r="Z8" s="284">
        <v>52.9</v>
      </c>
      <c r="AA8" s="284">
        <v>57.5</v>
      </c>
      <c r="AB8" s="284">
        <v>52.5</v>
      </c>
      <c r="AC8" s="70"/>
      <c r="AD8" s="70"/>
      <c r="AE8" s="70"/>
      <c r="AF8" s="70"/>
      <c r="AG8" s="70"/>
      <c r="AH8" s="70"/>
      <c r="AI8" s="70"/>
      <c r="AJ8" s="70"/>
      <c r="AK8" s="70"/>
    </row>
    <row r="9" spans="1:37">
      <c r="A9" s="66">
        <v>1984</v>
      </c>
      <c r="B9" s="115">
        <f t="shared" si="1"/>
        <v>111.36738056013178</v>
      </c>
      <c r="C9" s="115">
        <f t="shared" si="2"/>
        <v>101.67741935483872</v>
      </c>
      <c r="D9" s="115">
        <f t="shared" si="3"/>
        <v>102.27272727272727</v>
      </c>
      <c r="E9" s="115">
        <f t="shared" si="4"/>
        <v>97.097944377267225</v>
      </c>
      <c r="F9" s="115">
        <f t="shared" si="5"/>
        <v>99.022004889975562</v>
      </c>
      <c r="G9" s="115">
        <f t="shared" si="6"/>
        <v>112.0860927152318</v>
      </c>
      <c r="H9" s="115">
        <f t="shared" si="7"/>
        <v>110.72</v>
      </c>
      <c r="I9" s="115">
        <f t="shared" si="8"/>
        <v>118.10193321616873</v>
      </c>
      <c r="J9" s="115">
        <f t="shared" si="9"/>
        <v>112.54416961130742</v>
      </c>
      <c r="K9" s="115">
        <f t="shared" si="10"/>
        <v>120.44989775051124</v>
      </c>
      <c r="L9" s="115">
        <f t="shared" si="11"/>
        <v>121.95652173913044</v>
      </c>
      <c r="M9" s="115">
        <f t="shared" si="12"/>
        <v>110.91954022988504</v>
      </c>
      <c r="N9" s="115">
        <f t="shared" si="13"/>
        <v>118.3368869936034</v>
      </c>
      <c r="O9" s="187"/>
      <c r="P9" s="284">
        <v>67.599999999999994</v>
      </c>
      <c r="Q9" s="284">
        <v>78.8</v>
      </c>
      <c r="R9" s="284">
        <v>85.5</v>
      </c>
      <c r="S9" s="284">
        <v>80.3</v>
      </c>
      <c r="T9" s="284">
        <v>40.5</v>
      </c>
      <c r="U9" s="284">
        <v>67.7</v>
      </c>
      <c r="V9" s="284">
        <v>69.2</v>
      </c>
      <c r="W9" s="284">
        <v>67.2</v>
      </c>
      <c r="X9" s="284">
        <v>63.7</v>
      </c>
      <c r="Y9" s="284">
        <v>58.9</v>
      </c>
      <c r="Z9" s="284">
        <v>56.1</v>
      </c>
      <c r="AA9" s="284">
        <v>57.9</v>
      </c>
      <c r="AB9" s="284">
        <v>55.5</v>
      </c>
      <c r="AC9" s="70"/>
      <c r="AD9" s="70"/>
      <c r="AE9" s="70"/>
      <c r="AF9" s="70"/>
      <c r="AG9" s="70"/>
      <c r="AH9" s="70"/>
      <c r="AI9" s="70"/>
      <c r="AJ9" s="70"/>
      <c r="AK9" s="70"/>
    </row>
    <row r="10" spans="1:37">
      <c r="A10" s="66">
        <v>1985</v>
      </c>
      <c r="B10" s="115">
        <f t="shared" si="1"/>
        <v>112.8500823723229</v>
      </c>
      <c r="C10" s="115">
        <f t="shared" si="2"/>
        <v>88.129032258064512</v>
      </c>
      <c r="D10" s="115">
        <f t="shared" si="3"/>
        <v>87.559808612440207</v>
      </c>
      <c r="E10" s="115">
        <f t="shared" si="4"/>
        <v>85.973397823458271</v>
      </c>
      <c r="F10" s="115">
        <f t="shared" si="5"/>
        <v>97.799511002445001</v>
      </c>
      <c r="G10" s="115">
        <f t="shared" si="6"/>
        <v>120.03311258278147</v>
      </c>
      <c r="H10" s="115">
        <f t="shared" si="7"/>
        <v>120.64000000000001</v>
      </c>
      <c r="I10" s="115">
        <f t="shared" si="8"/>
        <v>122.14411247803163</v>
      </c>
      <c r="J10" s="115">
        <f t="shared" si="9"/>
        <v>115.01766784452296</v>
      </c>
      <c r="K10" s="115">
        <f t="shared" si="10"/>
        <v>125.15337423312884</v>
      </c>
      <c r="L10" s="115">
        <f t="shared" si="11"/>
        <v>127.17391304347827</v>
      </c>
      <c r="M10" s="115">
        <f t="shared" si="12"/>
        <v>115.90038314176245</v>
      </c>
      <c r="N10" s="115">
        <f t="shared" si="13"/>
        <v>123.2409381663113</v>
      </c>
      <c r="O10" s="187"/>
      <c r="P10" s="284">
        <v>68.5</v>
      </c>
      <c r="Q10" s="284">
        <v>68.3</v>
      </c>
      <c r="R10" s="284">
        <v>73.2</v>
      </c>
      <c r="S10" s="284">
        <v>71.099999999999994</v>
      </c>
      <c r="T10" s="284">
        <v>40</v>
      </c>
      <c r="U10" s="284">
        <v>72.5</v>
      </c>
      <c r="V10" s="284">
        <v>75.400000000000006</v>
      </c>
      <c r="W10" s="284">
        <v>69.5</v>
      </c>
      <c r="X10" s="284">
        <v>65.099999999999994</v>
      </c>
      <c r="Y10" s="284">
        <v>61.2</v>
      </c>
      <c r="Z10" s="284">
        <v>58.5</v>
      </c>
      <c r="AA10" s="284">
        <v>60.5</v>
      </c>
      <c r="AB10" s="284">
        <v>57.8</v>
      </c>
      <c r="AC10" s="70"/>
      <c r="AD10" s="70"/>
      <c r="AE10" s="70"/>
      <c r="AF10" s="70"/>
      <c r="AG10" s="70"/>
      <c r="AH10" s="70"/>
      <c r="AI10" s="70"/>
      <c r="AJ10" s="70"/>
      <c r="AK10" s="70"/>
    </row>
    <row r="11" spans="1:37">
      <c r="A11" s="66">
        <v>1986</v>
      </c>
      <c r="B11" s="115">
        <f t="shared" si="1"/>
        <v>117.46293245469521</v>
      </c>
      <c r="C11" s="115">
        <f t="shared" si="2"/>
        <v>97.677419354838719</v>
      </c>
      <c r="D11" s="115">
        <f t="shared" si="3"/>
        <v>98.205741626794264</v>
      </c>
      <c r="E11" s="115">
        <f t="shared" si="4"/>
        <v>96.009673518742446</v>
      </c>
      <c r="F11" s="115">
        <f t="shared" si="5"/>
        <v>92.665036674816619</v>
      </c>
      <c r="G11" s="115">
        <f t="shared" si="6"/>
        <v>122.68211920529801</v>
      </c>
      <c r="H11" s="115">
        <f t="shared" si="7"/>
        <v>123.35999999999999</v>
      </c>
      <c r="I11" s="115">
        <f t="shared" si="8"/>
        <v>123.19859402460456</v>
      </c>
      <c r="J11" s="115">
        <f t="shared" si="9"/>
        <v>119.25795053003534</v>
      </c>
      <c r="K11" s="115">
        <f t="shared" si="10"/>
        <v>128.42535787321063</v>
      </c>
      <c r="L11" s="115">
        <f t="shared" si="11"/>
        <v>129.56521739130434</v>
      </c>
      <c r="M11" s="115">
        <f t="shared" si="12"/>
        <v>117.04980842911877</v>
      </c>
      <c r="N11" s="115">
        <f t="shared" si="13"/>
        <v>126.65245202558634</v>
      </c>
      <c r="O11" s="66"/>
      <c r="P11" s="29">
        <v>71.3</v>
      </c>
      <c r="Q11" s="29">
        <v>75.7</v>
      </c>
      <c r="R11" s="29">
        <v>82.1</v>
      </c>
      <c r="S11" s="29">
        <v>79.400000000000006</v>
      </c>
      <c r="T11" s="29">
        <v>37.9</v>
      </c>
      <c r="U11" s="29">
        <v>74.099999999999994</v>
      </c>
      <c r="V11" s="29">
        <v>77.099999999999994</v>
      </c>
      <c r="W11" s="29">
        <v>70.099999999999994</v>
      </c>
      <c r="X11" s="29">
        <v>67.5</v>
      </c>
      <c r="Y11" s="29">
        <v>62.8</v>
      </c>
      <c r="Z11" s="29">
        <v>59.6</v>
      </c>
      <c r="AA11" s="29">
        <v>61.1</v>
      </c>
      <c r="AB11" s="29">
        <v>59.4</v>
      </c>
    </row>
    <row r="12" spans="1:37">
      <c r="A12" s="66">
        <v>1987</v>
      </c>
      <c r="B12" s="115">
        <f t="shared" si="1"/>
        <v>128.50082372322899</v>
      </c>
      <c r="C12" s="115">
        <f t="shared" si="2"/>
        <v>120.51612903225808</v>
      </c>
      <c r="D12" s="115">
        <f t="shared" si="3"/>
        <v>122.72727272727273</v>
      </c>
      <c r="E12" s="115">
        <f t="shared" si="4"/>
        <v>120.07255139056832</v>
      </c>
      <c r="F12" s="115">
        <f t="shared" si="5"/>
        <v>98.044009779951097</v>
      </c>
      <c r="G12" s="115">
        <f t="shared" si="6"/>
        <v>128.80794701986756</v>
      </c>
      <c r="H12" s="115">
        <f t="shared" si="7"/>
        <v>129.28</v>
      </c>
      <c r="I12" s="115">
        <f t="shared" si="8"/>
        <v>128.64674868189806</v>
      </c>
      <c r="J12" s="115">
        <f t="shared" si="9"/>
        <v>127.56183745583039</v>
      </c>
      <c r="K12" s="115">
        <f t="shared" si="10"/>
        <v>135.37832310838448</v>
      </c>
      <c r="L12" s="115">
        <f t="shared" si="11"/>
        <v>138.04347826086956</v>
      </c>
      <c r="M12" s="115">
        <f t="shared" si="12"/>
        <v>124.32950191570882</v>
      </c>
      <c r="N12" s="115">
        <f t="shared" si="13"/>
        <v>133.90191897654583</v>
      </c>
      <c r="O12" s="66"/>
      <c r="P12" s="29">
        <v>78</v>
      </c>
      <c r="Q12" s="29">
        <v>93.4</v>
      </c>
      <c r="R12" s="29">
        <v>102.6</v>
      </c>
      <c r="S12" s="29">
        <v>99.3</v>
      </c>
      <c r="T12" s="29">
        <v>40.1</v>
      </c>
      <c r="U12" s="29">
        <v>77.8</v>
      </c>
      <c r="V12" s="29">
        <v>80.8</v>
      </c>
      <c r="W12" s="29">
        <v>73.2</v>
      </c>
      <c r="X12" s="29">
        <v>72.2</v>
      </c>
      <c r="Y12" s="29">
        <v>66.2</v>
      </c>
      <c r="Z12" s="29">
        <v>63.5</v>
      </c>
      <c r="AA12" s="29">
        <v>64.900000000000006</v>
      </c>
      <c r="AB12" s="29">
        <v>62.8</v>
      </c>
    </row>
    <row r="13" spans="1:37">
      <c r="A13" s="66">
        <v>1988</v>
      </c>
      <c r="B13" s="115">
        <f t="shared" si="1"/>
        <v>140.69192751235585</v>
      </c>
      <c r="C13" s="115">
        <f t="shared" si="2"/>
        <v>140.38709677419354</v>
      </c>
      <c r="D13" s="115">
        <f t="shared" si="3"/>
        <v>143.42105263157896</v>
      </c>
      <c r="E13" s="115">
        <f t="shared" si="4"/>
        <v>138.93591293833131</v>
      </c>
      <c r="F13" s="115">
        <f t="shared" si="5"/>
        <v>110.02444987775061</v>
      </c>
      <c r="G13" s="115">
        <f t="shared" si="6"/>
        <v>138.24503311258277</v>
      </c>
      <c r="H13" s="115">
        <f t="shared" si="7"/>
        <v>139.19999999999999</v>
      </c>
      <c r="I13" s="115">
        <f t="shared" si="8"/>
        <v>134.97363796133567</v>
      </c>
      <c r="J13" s="115">
        <f t="shared" si="9"/>
        <v>138.33922261484096</v>
      </c>
      <c r="K13" s="115">
        <f t="shared" si="10"/>
        <v>144.78527607361963</v>
      </c>
      <c r="L13" s="115">
        <f t="shared" si="11"/>
        <v>148.2608695652174</v>
      </c>
      <c r="M13" s="115">
        <f t="shared" si="12"/>
        <v>135.05747126436779</v>
      </c>
      <c r="N13" s="115">
        <f t="shared" si="13"/>
        <v>143.71002132196165</v>
      </c>
      <c r="O13" s="66"/>
      <c r="P13" s="29">
        <v>85.4</v>
      </c>
      <c r="Q13" s="29">
        <v>108.8</v>
      </c>
      <c r="R13" s="29">
        <v>119.9</v>
      </c>
      <c r="S13" s="29">
        <v>114.9</v>
      </c>
      <c r="T13" s="29">
        <v>45</v>
      </c>
      <c r="U13" s="29">
        <v>83.5</v>
      </c>
      <c r="V13" s="29">
        <v>87</v>
      </c>
      <c r="W13" s="29">
        <v>76.8</v>
      </c>
      <c r="X13" s="29">
        <v>78.3</v>
      </c>
      <c r="Y13" s="29">
        <v>70.8</v>
      </c>
      <c r="Z13" s="29">
        <v>68.2</v>
      </c>
      <c r="AA13" s="29">
        <v>70.5</v>
      </c>
      <c r="AB13" s="29">
        <v>67.400000000000006</v>
      </c>
    </row>
    <row r="14" spans="1:37">
      <c r="A14" s="66">
        <v>1989</v>
      </c>
      <c r="B14" s="115">
        <f t="shared" si="1"/>
        <v>145.14003294892913</v>
      </c>
      <c r="C14" s="115">
        <f t="shared" si="2"/>
        <v>156</v>
      </c>
      <c r="D14" s="115">
        <f t="shared" si="3"/>
        <v>158.73205741626793</v>
      </c>
      <c r="E14" s="115">
        <f t="shared" si="4"/>
        <v>153.80894800483676</v>
      </c>
      <c r="F14" s="115">
        <f t="shared" si="5"/>
        <v>129.33985330073349</v>
      </c>
      <c r="G14" s="115">
        <f t="shared" si="6"/>
        <v>135.59602649006624</v>
      </c>
      <c r="H14" s="115">
        <f t="shared" si="7"/>
        <v>133.91999999999999</v>
      </c>
      <c r="I14" s="115">
        <f t="shared" si="8"/>
        <v>136.20386643233743</v>
      </c>
      <c r="J14" s="115">
        <f t="shared" si="9"/>
        <v>143.63957597173146</v>
      </c>
      <c r="K14" s="115">
        <f t="shared" si="10"/>
        <v>150.71574642126791</v>
      </c>
      <c r="L14" s="115">
        <f t="shared" si="11"/>
        <v>153.26086956521738</v>
      </c>
      <c r="M14" s="115">
        <f t="shared" si="12"/>
        <v>147.31800766283524</v>
      </c>
      <c r="N14" s="115">
        <f t="shared" si="13"/>
        <v>151.17270788912583</v>
      </c>
      <c r="O14" s="66"/>
      <c r="P14" s="29">
        <v>88.1</v>
      </c>
      <c r="Q14" s="29">
        <v>120.9</v>
      </c>
      <c r="R14" s="29">
        <v>132.69999999999999</v>
      </c>
      <c r="S14" s="29">
        <v>127.2</v>
      </c>
      <c r="T14" s="29">
        <v>52.9</v>
      </c>
      <c r="U14" s="29">
        <v>81.900000000000006</v>
      </c>
      <c r="V14" s="29">
        <v>83.7</v>
      </c>
      <c r="W14" s="29">
        <v>77.5</v>
      </c>
      <c r="X14" s="29">
        <v>81.3</v>
      </c>
      <c r="Y14" s="29">
        <v>73.7</v>
      </c>
      <c r="Z14" s="29">
        <v>70.5</v>
      </c>
      <c r="AA14" s="29">
        <v>76.900000000000006</v>
      </c>
      <c r="AB14" s="29">
        <v>70.900000000000006</v>
      </c>
      <c r="AF14" s="139"/>
      <c r="AG14" s="139"/>
      <c r="AH14" s="139"/>
      <c r="AI14" s="139"/>
    </row>
    <row r="15" spans="1:37">
      <c r="A15" s="66">
        <v>1990</v>
      </c>
      <c r="B15" s="115">
        <f t="shared" si="1"/>
        <v>142.83360790774299</v>
      </c>
      <c r="C15" s="115">
        <f t="shared" si="2"/>
        <v>148.7741935483871</v>
      </c>
      <c r="D15" s="115">
        <f t="shared" si="3"/>
        <v>149.76076555023926</v>
      </c>
      <c r="E15" s="115">
        <f t="shared" si="4"/>
        <v>140.50785973397822</v>
      </c>
      <c r="F15" s="115">
        <f t="shared" si="5"/>
        <v>141.07579462102692</v>
      </c>
      <c r="G15" s="115">
        <f t="shared" si="6"/>
        <v>134.27152317880794</v>
      </c>
      <c r="H15" s="115">
        <f t="shared" si="7"/>
        <v>133.44</v>
      </c>
      <c r="I15" s="115">
        <f t="shared" si="8"/>
        <v>131.63444639718807</v>
      </c>
      <c r="J15" s="115">
        <f t="shared" si="9"/>
        <v>141.87279151943463</v>
      </c>
      <c r="K15" s="115">
        <f t="shared" si="10"/>
        <v>151.94274028629857</v>
      </c>
      <c r="L15" s="115">
        <f t="shared" si="11"/>
        <v>154.34782608695653</v>
      </c>
      <c r="M15" s="115">
        <f t="shared" si="12"/>
        <v>152.49042145593867</v>
      </c>
      <c r="N15" s="115">
        <f t="shared" si="13"/>
        <v>153.09168443496802</v>
      </c>
      <c r="O15" s="66"/>
      <c r="P15" s="29">
        <v>86.7</v>
      </c>
      <c r="Q15" s="29">
        <v>115.3</v>
      </c>
      <c r="R15" s="29">
        <v>125.2</v>
      </c>
      <c r="S15" s="29">
        <v>116.2</v>
      </c>
      <c r="T15" s="29">
        <v>57.7</v>
      </c>
      <c r="U15" s="29">
        <v>81.099999999999994</v>
      </c>
      <c r="V15" s="29">
        <v>83.4</v>
      </c>
      <c r="W15" s="29">
        <v>74.900000000000006</v>
      </c>
      <c r="X15" s="29">
        <v>80.3</v>
      </c>
      <c r="Y15" s="29">
        <v>74.3</v>
      </c>
      <c r="Z15" s="29">
        <v>71</v>
      </c>
      <c r="AA15" s="29">
        <v>79.599999999999994</v>
      </c>
      <c r="AB15" s="29">
        <v>71.8</v>
      </c>
      <c r="AF15" s="139"/>
      <c r="AG15" s="139"/>
      <c r="AH15" s="139"/>
      <c r="AI15" s="139"/>
    </row>
    <row r="16" spans="1:37">
      <c r="A16" s="66">
        <v>1991</v>
      </c>
      <c r="B16" s="115">
        <f t="shared" si="1"/>
        <v>128.99505766062603</v>
      </c>
      <c r="C16" s="115">
        <f t="shared" si="2"/>
        <v>107.35483870967741</v>
      </c>
      <c r="D16" s="115">
        <f t="shared" si="3"/>
        <v>104.54545454545456</v>
      </c>
      <c r="E16" s="115">
        <f t="shared" si="4"/>
        <v>104.71584038694073</v>
      </c>
      <c r="F16" s="115">
        <f t="shared" si="5"/>
        <v>134.71882640586799</v>
      </c>
      <c r="G16" s="115">
        <f t="shared" si="6"/>
        <v>130.79470198675497</v>
      </c>
      <c r="H16" s="115">
        <f t="shared" si="7"/>
        <v>131.35999999999999</v>
      </c>
      <c r="I16" s="115">
        <f t="shared" si="8"/>
        <v>126.18629173989456</v>
      </c>
      <c r="J16" s="115">
        <f t="shared" si="9"/>
        <v>135.51236749116609</v>
      </c>
      <c r="K16" s="115">
        <f t="shared" si="10"/>
        <v>148.87525562372187</v>
      </c>
      <c r="L16" s="115">
        <f t="shared" si="11"/>
        <v>150.86956521739131</v>
      </c>
      <c r="M16" s="115">
        <f t="shared" si="12"/>
        <v>154.40613026819921</v>
      </c>
      <c r="N16" s="115">
        <f t="shared" si="13"/>
        <v>150.53304904051171</v>
      </c>
      <c r="O16" s="66"/>
      <c r="P16" s="29">
        <v>78.3</v>
      </c>
      <c r="Q16" s="29">
        <v>83.2</v>
      </c>
      <c r="R16" s="29">
        <v>87.4</v>
      </c>
      <c r="S16" s="29">
        <v>86.6</v>
      </c>
      <c r="T16" s="29">
        <v>55.1</v>
      </c>
      <c r="U16" s="29">
        <v>79</v>
      </c>
      <c r="V16" s="29">
        <v>82.1</v>
      </c>
      <c r="W16" s="29">
        <v>71.8</v>
      </c>
      <c r="X16" s="29">
        <v>76.7</v>
      </c>
      <c r="Y16" s="29">
        <v>72.8</v>
      </c>
      <c r="Z16" s="29">
        <v>69.400000000000006</v>
      </c>
      <c r="AA16" s="29">
        <v>80.599999999999994</v>
      </c>
      <c r="AB16" s="29">
        <v>70.599999999999994</v>
      </c>
      <c r="AF16" s="139"/>
      <c r="AG16" s="139"/>
      <c r="AH16" s="139"/>
      <c r="AI16" s="139"/>
    </row>
    <row r="17" spans="1:35">
      <c r="A17" s="66">
        <v>1992</v>
      </c>
      <c r="B17" s="115">
        <f t="shared" si="1"/>
        <v>123.88797364085666</v>
      </c>
      <c r="C17" s="115">
        <f t="shared" si="2"/>
        <v>107.74193548387096</v>
      </c>
      <c r="D17" s="115">
        <f t="shared" si="3"/>
        <v>104.78468899521532</v>
      </c>
      <c r="E17" s="115">
        <f t="shared" si="4"/>
        <v>106.65054413542927</v>
      </c>
      <c r="F17" s="115">
        <f t="shared" si="5"/>
        <v>135.20782396088021</v>
      </c>
      <c r="G17" s="115">
        <f t="shared" si="6"/>
        <v>120.86092715231788</v>
      </c>
      <c r="H17" s="115">
        <f t="shared" si="7"/>
        <v>117.92</v>
      </c>
      <c r="I17" s="115">
        <f t="shared" si="8"/>
        <v>123.90158172231986</v>
      </c>
      <c r="J17" s="115">
        <f t="shared" si="9"/>
        <v>130.91872791519435</v>
      </c>
      <c r="K17" s="115">
        <f t="shared" si="10"/>
        <v>147.44376278118608</v>
      </c>
      <c r="L17" s="115">
        <f t="shared" si="11"/>
        <v>150.65217391304347</v>
      </c>
      <c r="M17" s="115">
        <f t="shared" si="12"/>
        <v>158.62068965517238</v>
      </c>
      <c r="N17" s="115">
        <f t="shared" si="13"/>
        <v>149.25373134328359</v>
      </c>
      <c r="O17" s="66"/>
      <c r="P17" s="31">
        <v>75.2</v>
      </c>
      <c r="Q17" s="31">
        <v>83.5</v>
      </c>
      <c r="R17" s="31">
        <v>87.6</v>
      </c>
      <c r="S17" s="31">
        <v>88.2</v>
      </c>
      <c r="T17" s="31">
        <v>55.3</v>
      </c>
      <c r="U17" s="31">
        <v>73</v>
      </c>
      <c r="V17" s="31">
        <v>73.7</v>
      </c>
      <c r="W17" s="31">
        <v>70.5</v>
      </c>
      <c r="X17" s="31">
        <v>74.099999999999994</v>
      </c>
      <c r="Y17" s="31">
        <v>72.099999999999994</v>
      </c>
      <c r="Z17" s="31">
        <v>69.3</v>
      </c>
      <c r="AA17" s="31">
        <v>82.8</v>
      </c>
      <c r="AB17" s="31">
        <v>70</v>
      </c>
      <c r="AF17" s="139"/>
      <c r="AG17" s="139"/>
      <c r="AH17" s="139"/>
      <c r="AI17" s="139"/>
    </row>
    <row r="18" spans="1:35">
      <c r="A18" s="66">
        <v>1993</v>
      </c>
      <c r="B18" s="115">
        <f t="shared" si="1"/>
        <v>120.26359143327841</v>
      </c>
      <c r="C18" s="115">
        <f t="shared" si="2"/>
        <v>92.258064516129039</v>
      </c>
      <c r="D18" s="115">
        <f t="shared" si="3"/>
        <v>87.918660287081337</v>
      </c>
      <c r="E18" s="115">
        <f t="shared" si="4"/>
        <v>92.98669891172915</v>
      </c>
      <c r="F18" s="115">
        <f t="shared" si="5"/>
        <v>135.69682151589242</v>
      </c>
      <c r="G18" s="115">
        <f t="shared" si="6"/>
        <v>122.35099337748345</v>
      </c>
      <c r="H18" s="115">
        <f t="shared" si="7"/>
        <v>120.64000000000001</v>
      </c>
      <c r="I18" s="115">
        <f t="shared" si="8"/>
        <v>122.14411247803163</v>
      </c>
      <c r="J18" s="115">
        <f t="shared" si="9"/>
        <v>128.44522968197879</v>
      </c>
      <c r="K18" s="115">
        <f t="shared" si="10"/>
        <v>147.44376278118608</v>
      </c>
      <c r="L18" s="115">
        <f t="shared" si="11"/>
        <v>149.34782608695653</v>
      </c>
      <c r="M18" s="115">
        <f t="shared" si="12"/>
        <v>159.96168582375478</v>
      </c>
      <c r="N18" s="115">
        <f t="shared" si="13"/>
        <v>150.31982942430704</v>
      </c>
      <c r="O18" s="66"/>
      <c r="P18" s="29">
        <v>73</v>
      </c>
      <c r="Q18" s="29">
        <v>71.5</v>
      </c>
      <c r="R18" s="29">
        <v>73.5</v>
      </c>
      <c r="S18" s="29">
        <v>76.900000000000006</v>
      </c>
      <c r="T18" s="29">
        <v>55.5</v>
      </c>
      <c r="U18" s="29">
        <v>73.900000000000006</v>
      </c>
      <c r="V18" s="29">
        <v>75.400000000000006</v>
      </c>
      <c r="W18" s="29">
        <v>69.5</v>
      </c>
      <c r="X18" s="29">
        <v>72.7</v>
      </c>
      <c r="Y18" s="29">
        <v>72.099999999999994</v>
      </c>
      <c r="Z18" s="29">
        <v>68.7</v>
      </c>
      <c r="AA18" s="29">
        <v>83.5</v>
      </c>
      <c r="AB18" s="29">
        <v>70.5</v>
      </c>
      <c r="AF18" s="139"/>
      <c r="AG18" s="139"/>
      <c r="AH18" s="139"/>
      <c r="AI18" s="139"/>
    </row>
    <row r="19" spans="1:35">
      <c r="A19" s="66">
        <v>1994</v>
      </c>
      <c r="B19" s="115">
        <f t="shared" si="1"/>
        <v>133.27841845140034</v>
      </c>
      <c r="C19" s="115">
        <f t="shared" si="2"/>
        <v>121.93548387096773</v>
      </c>
      <c r="D19" s="115">
        <f t="shared" si="3"/>
        <v>117.10526315789475</v>
      </c>
      <c r="E19" s="115">
        <f t="shared" si="4"/>
        <v>117.04957678355501</v>
      </c>
      <c r="F19" s="115">
        <f t="shared" si="5"/>
        <v>173.59413202933987</v>
      </c>
      <c r="G19" s="115">
        <f t="shared" si="6"/>
        <v>128.80794701986756</v>
      </c>
      <c r="H19" s="115">
        <f t="shared" si="7"/>
        <v>126.08</v>
      </c>
      <c r="I19" s="115">
        <f t="shared" si="8"/>
        <v>131.98594024604569</v>
      </c>
      <c r="J19" s="115">
        <f t="shared" si="9"/>
        <v>135.15901060070672</v>
      </c>
      <c r="K19" s="115">
        <f t="shared" si="10"/>
        <v>153.98773006134968</v>
      </c>
      <c r="L19" s="115">
        <f t="shared" si="11"/>
        <v>158.91304347826085</v>
      </c>
      <c r="M19" s="115">
        <f t="shared" si="12"/>
        <v>160.91954022988503</v>
      </c>
      <c r="N19" s="115">
        <f t="shared" si="13"/>
        <v>157.35607675906184</v>
      </c>
      <c r="O19" s="66"/>
      <c r="P19" s="29">
        <v>80.900000000000006</v>
      </c>
      <c r="Q19" s="29">
        <v>94.5</v>
      </c>
      <c r="R19" s="29">
        <v>97.9</v>
      </c>
      <c r="S19" s="29">
        <v>96.8</v>
      </c>
      <c r="T19" s="29">
        <v>71</v>
      </c>
      <c r="U19" s="29">
        <v>77.8</v>
      </c>
      <c r="V19" s="29">
        <v>78.8</v>
      </c>
      <c r="W19" s="29">
        <v>75.099999999999994</v>
      </c>
      <c r="X19" s="29">
        <v>76.5</v>
      </c>
      <c r="Y19" s="29">
        <v>75.3</v>
      </c>
      <c r="Z19" s="29">
        <v>73.099999999999994</v>
      </c>
      <c r="AA19" s="29">
        <v>84</v>
      </c>
      <c r="AB19" s="29">
        <v>73.8</v>
      </c>
      <c r="AF19" s="139"/>
      <c r="AG19" s="139"/>
      <c r="AH19" s="139"/>
      <c r="AI19" s="139"/>
    </row>
    <row r="20" spans="1:35">
      <c r="A20" s="66">
        <v>1995</v>
      </c>
      <c r="B20" s="115">
        <f t="shared" si="1"/>
        <v>185.83196046128498</v>
      </c>
      <c r="C20" s="115">
        <f t="shared" si="2"/>
        <v>199.48387096774195</v>
      </c>
      <c r="D20" s="115">
        <f t="shared" si="3"/>
        <v>191.62679425837322</v>
      </c>
      <c r="E20" s="115">
        <f t="shared" si="4"/>
        <v>185.48972188633616</v>
      </c>
      <c r="F20" s="115">
        <f t="shared" si="5"/>
        <v>287.53056234718827</v>
      </c>
      <c r="G20" s="115">
        <f t="shared" si="6"/>
        <v>179.96688741721854</v>
      </c>
      <c r="H20" s="115">
        <f t="shared" si="7"/>
        <v>179.84</v>
      </c>
      <c r="I20" s="115">
        <f t="shared" si="8"/>
        <v>175.21968365553604</v>
      </c>
      <c r="J20" s="115">
        <f t="shared" si="9"/>
        <v>173.49823321554771</v>
      </c>
      <c r="K20" s="115">
        <f t="shared" si="10"/>
        <v>181.18609406952964</v>
      </c>
      <c r="L20" s="115">
        <f t="shared" si="11"/>
        <v>186.73913043478262</v>
      </c>
      <c r="M20" s="115">
        <f t="shared" si="12"/>
        <v>177.01149425287358</v>
      </c>
      <c r="N20" s="115">
        <f t="shared" si="13"/>
        <v>192.11087420042642</v>
      </c>
      <c r="O20" s="66"/>
      <c r="P20" s="29">
        <v>112.8</v>
      </c>
      <c r="Q20" s="29">
        <v>154.6</v>
      </c>
      <c r="R20" s="29">
        <v>160.19999999999999</v>
      </c>
      <c r="S20" s="29">
        <v>153.4</v>
      </c>
      <c r="T20" s="29">
        <v>117.6</v>
      </c>
      <c r="U20" s="29">
        <v>108.7</v>
      </c>
      <c r="V20" s="29">
        <v>112.4</v>
      </c>
      <c r="W20" s="29">
        <v>99.7</v>
      </c>
      <c r="X20" s="29">
        <v>98.2</v>
      </c>
      <c r="Y20" s="29">
        <v>88.6</v>
      </c>
      <c r="Z20" s="29">
        <v>85.9</v>
      </c>
      <c r="AA20" s="29">
        <v>92.4</v>
      </c>
      <c r="AB20" s="29">
        <v>90.1</v>
      </c>
      <c r="AF20" s="139"/>
      <c r="AG20" s="139"/>
      <c r="AH20" s="139"/>
      <c r="AI20" s="139"/>
    </row>
    <row r="21" spans="1:35">
      <c r="A21" s="66">
        <v>1996</v>
      </c>
      <c r="B21" s="115">
        <f t="shared" si="1"/>
        <v>164.41515650741349</v>
      </c>
      <c r="C21" s="115">
        <f t="shared" si="2"/>
        <v>135.74193548387098</v>
      </c>
      <c r="D21" s="115">
        <f t="shared" si="3"/>
        <v>127.8708133971292</v>
      </c>
      <c r="E21" s="115">
        <f t="shared" si="4"/>
        <v>111.12454655380894</v>
      </c>
      <c r="F21" s="115">
        <f t="shared" si="5"/>
        <v>238.14180929095357</v>
      </c>
      <c r="G21" s="115">
        <f t="shared" si="6"/>
        <v>175.49668874172187</v>
      </c>
      <c r="H21" s="115">
        <f t="shared" si="7"/>
        <v>178.55999999999997</v>
      </c>
      <c r="I21" s="115">
        <f t="shared" si="8"/>
        <v>158.34797891036908</v>
      </c>
      <c r="J21" s="115">
        <f t="shared" si="9"/>
        <v>170.84805653710248</v>
      </c>
      <c r="K21" s="115">
        <f t="shared" si="10"/>
        <v>176.07361963190183</v>
      </c>
      <c r="L21" s="115">
        <f t="shared" si="11"/>
        <v>174.13043478260869</v>
      </c>
      <c r="M21" s="115">
        <f t="shared" si="12"/>
        <v>176.05363984674329</v>
      </c>
      <c r="N21" s="115">
        <f t="shared" si="13"/>
        <v>192.32409381663115</v>
      </c>
      <c r="O21" s="66"/>
      <c r="P21" s="29">
        <v>99.8</v>
      </c>
      <c r="Q21" s="29">
        <v>105.2</v>
      </c>
      <c r="R21" s="29">
        <v>106.9</v>
      </c>
      <c r="S21" s="29">
        <v>91.9</v>
      </c>
      <c r="T21" s="29">
        <v>97.4</v>
      </c>
      <c r="U21" s="29">
        <v>106</v>
      </c>
      <c r="V21" s="29">
        <v>111.6</v>
      </c>
      <c r="W21" s="29">
        <v>90.1</v>
      </c>
      <c r="X21" s="29">
        <v>96.7</v>
      </c>
      <c r="Y21" s="29">
        <v>86.1</v>
      </c>
      <c r="Z21" s="29">
        <v>80.099999999999994</v>
      </c>
      <c r="AA21" s="29">
        <v>91.9</v>
      </c>
      <c r="AB21" s="29">
        <v>90.2</v>
      </c>
      <c r="AF21" s="139"/>
      <c r="AG21" s="139"/>
      <c r="AH21" s="139"/>
      <c r="AI21" s="139"/>
    </row>
    <row r="22" spans="1:35">
      <c r="A22" s="66">
        <v>1997</v>
      </c>
      <c r="B22" s="115">
        <f t="shared" si="1"/>
        <v>155.35420098846785</v>
      </c>
      <c r="C22" s="115">
        <f t="shared" si="2"/>
        <v>130.83870967741936</v>
      </c>
      <c r="D22" s="115">
        <f t="shared" si="3"/>
        <v>123.32535885167464</v>
      </c>
      <c r="E22" s="115">
        <f t="shared" si="4"/>
        <v>105.92503022974607</v>
      </c>
      <c r="F22" s="115">
        <f t="shared" si="5"/>
        <v>230.31784841075796</v>
      </c>
      <c r="G22" s="115">
        <f t="shared" si="6"/>
        <v>159.93377483443706</v>
      </c>
      <c r="H22" s="115">
        <f t="shared" si="7"/>
        <v>161.28</v>
      </c>
      <c r="I22" s="115">
        <f t="shared" si="8"/>
        <v>148.15465729349737</v>
      </c>
      <c r="J22" s="115">
        <f t="shared" si="9"/>
        <v>163.42756183745584</v>
      </c>
      <c r="K22" s="115">
        <f t="shared" si="10"/>
        <v>174.43762781186095</v>
      </c>
      <c r="L22" s="115">
        <f t="shared" si="11"/>
        <v>171.73913043478262</v>
      </c>
      <c r="M22" s="115">
        <f t="shared" si="12"/>
        <v>173.94636015325668</v>
      </c>
      <c r="N22" s="115">
        <f t="shared" si="13"/>
        <v>191.89765458422175</v>
      </c>
      <c r="O22" s="66"/>
      <c r="P22" s="29">
        <v>94.3</v>
      </c>
      <c r="Q22" s="29">
        <v>101.4</v>
      </c>
      <c r="R22" s="29">
        <v>103.1</v>
      </c>
      <c r="S22" s="29">
        <v>87.6</v>
      </c>
      <c r="T22" s="29">
        <v>94.2</v>
      </c>
      <c r="U22" s="29">
        <v>96.6</v>
      </c>
      <c r="V22" s="29">
        <v>100.8</v>
      </c>
      <c r="W22" s="29">
        <v>84.3</v>
      </c>
      <c r="X22" s="29">
        <v>92.5</v>
      </c>
      <c r="Y22" s="29">
        <v>85.3</v>
      </c>
      <c r="Z22" s="29">
        <v>79</v>
      </c>
      <c r="AA22" s="29">
        <v>90.8</v>
      </c>
      <c r="AB22" s="29">
        <v>90</v>
      </c>
      <c r="AF22" s="139"/>
      <c r="AG22" s="139"/>
      <c r="AH22" s="139"/>
      <c r="AI22" s="139"/>
    </row>
    <row r="23" spans="1:35">
      <c r="A23" s="66">
        <v>1998</v>
      </c>
      <c r="B23" s="115">
        <f t="shared" si="1"/>
        <v>160.79077429983525</v>
      </c>
      <c r="C23" s="115">
        <f t="shared" si="2"/>
        <v>128.38709677419357</v>
      </c>
      <c r="D23" s="115">
        <f t="shared" si="3"/>
        <v>120.69377990430623</v>
      </c>
      <c r="E23" s="115">
        <f t="shared" si="4"/>
        <v>112.81741233373639</v>
      </c>
      <c r="F23" s="115">
        <f t="shared" si="5"/>
        <v>222.0048899755501</v>
      </c>
      <c r="G23" s="115">
        <f t="shared" si="6"/>
        <v>170.86092715231788</v>
      </c>
      <c r="H23" s="115">
        <f t="shared" si="7"/>
        <v>174.55999999999997</v>
      </c>
      <c r="I23" s="115">
        <f t="shared" si="8"/>
        <v>152.72407732864676</v>
      </c>
      <c r="J23" s="115">
        <f t="shared" si="9"/>
        <v>167.31448763250881</v>
      </c>
      <c r="K23" s="115">
        <f t="shared" si="10"/>
        <v>178.3231083844581</v>
      </c>
      <c r="L23" s="115">
        <f t="shared" si="11"/>
        <v>181.95652173913044</v>
      </c>
      <c r="M23" s="115">
        <f t="shared" si="12"/>
        <v>174.32950191570879</v>
      </c>
      <c r="N23" s="115">
        <f t="shared" si="13"/>
        <v>191.04477611940297</v>
      </c>
      <c r="O23" s="66"/>
      <c r="P23" s="29">
        <v>97.6</v>
      </c>
      <c r="Q23" s="29">
        <v>99.5</v>
      </c>
      <c r="R23" s="29">
        <v>100.9</v>
      </c>
      <c r="S23" s="29">
        <v>93.3</v>
      </c>
      <c r="T23" s="29">
        <v>90.8</v>
      </c>
      <c r="U23" s="29">
        <v>103.2</v>
      </c>
      <c r="V23" s="29">
        <v>109.1</v>
      </c>
      <c r="W23" s="29">
        <v>86.9</v>
      </c>
      <c r="X23" s="29">
        <v>94.7</v>
      </c>
      <c r="Y23" s="29">
        <v>87.2</v>
      </c>
      <c r="Z23" s="29">
        <v>83.7</v>
      </c>
      <c r="AA23" s="29">
        <v>91</v>
      </c>
      <c r="AB23" s="29">
        <v>89.6</v>
      </c>
      <c r="AF23" s="139"/>
      <c r="AG23" s="139"/>
      <c r="AH23" s="139"/>
      <c r="AI23" s="139"/>
    </row>
    <row r="24" spans="1:35">
      <c r="A24" s="66">
        <v>1999</v>
      </c>
      <c r="B24" s="115">
        <f t="shared" si="1"/>
        <v>157.99011532125206</v>
      </c>
      <c r="C24" s="115">
        <f t="shared" si="2"/>
        <v>130.45161290322579</v>
      </c>
      <c r="D24" s="115">
        <f t="shared" si="3"/>
        <v>122.60765550239235</v>
      </c>
      <c r="E24" s="115">
        <f t="shared" si="4"/>
        <v>110.64087061668681</v>
      </c>
      <c r="F24" s="115">
        <f t="shared" si="5"/>
        <v>229.58435207823965</v>
      </c>
      <c r="G24" s="115">
        <f t="shared" si="6"/>
        <v>160.43046357615896</v>
      </c>
      <c r="H24" s="115">
        <f t="shared" si="7"/>
        <v>159.51999999999998</v>
      </c>
      <c r="I24" s="115">
        <f t="shared" si="8"/>
        <v>155.71177504393671</v>
      </c>
      <c r="J24" s="115">
        <f t="shared" si="9"/>
        <v>167.84452296819788</v>
      </c>
      <c r="K24" s="115">
        <f t="shared" si="10"/>
        <v>184.86707566462169</v>
      </c>
      <c r="L24" s="115">
        <f t="shared" si="11"/>
        <v>194.34782608695653</v>
      </c>
      <c r="M24" s="115">
        <f t="shared" si="12"/>
        <v>173.56321839080456</v>
      </c>
      <c r="N24" s="115">
        <f t="shared" si="13"/>
        <v>194.88272921108745</v>
      </c>
      <c r="O24" s="66"/>
      <c r="P24" s="29">
        <v>95.9</v>
      </c>
      <c r="Q24" s="29">
        <v>101.1</v>
      </c>
      <c r="R24" s="29">
        <v>102.5</v>
      </c>
      <c r="S24" s="29">
        <v>91.5</v>
      </c>
      <c r="T24" s="29">
        <v>93.9</v>
      </c>
      <c r="U24" s="29">
        <v>96.9</v>
      </c>
      <c r="V24" s="29">
        <v>99.7</v>
      </c>
      <c r="W24" s="29">
        <v>88.6</v>
      </c>
      <c r="X24" s="29">
        <v>95</v>
      </c>
      <c r="Y24" s="29">
        <v>90.4</v>
      </c>
      <c r="Z24" s="29">
        <v>89.4</v>
      </c>
      <c r="AA24" s="29">
        <v>90.6</v>
      </c>
      <c r="AB24" s="29">
        <v>91.4</v>
      </c>
      <c r="AF24" s="139"/>
      <c r="AG24" s="139"/>
      <c r="AH24" s="139"/>
      <c r="AI24" s="139"/>
    </row>
    <row r="25" spans="1:35">
      <c r="A25" s="66">
        <v>2000</v>
      </c>
      <c r="B25" s="115">
        <f t="shared" si="1"/>
        <v>179.07742998352555</v>
      </c>
      <c r="C25" s="115">
        <f t="shared" si="2"/>
        <v>165.67741935483872</v>
      </c>
      <c r="D25" s="115">
        <f t="shared" si="3"/>
        <v>157.41626794258374</v>
      </c>
      <c r="E25" s="115">
        <f t="shared" si="4"/>
        <v>116.32406287787182</v>
      </c>
      <c r="F25" s="115">
        <f t="shared" si="5"/>
        <v>283.12958435207827</v>
      </c>
      <c r="G25" s="115">
        <f t="shared" si="6"/>
        <v>175.82781456953643</v>
      </c>
      <c r="H25" s="115">
        <f t="shared" si="7"/>
        <v>173.92000000000002</v>
      </c>
      <c r="I25" s="115">
        <f t="shared" si="8"/>
        <v>176.09841827768017</v>
      </c>
      <c r="J25" s="115">
        <f t="shared" si="9"/>
        <v>175.26501766784452</v>
      </c>
      <c r="K25" s="115">
        <f t="shared" si="10"/>
        <v>199.7955010224949</v>
      </c>
      <c r="L25" s="115">
        <f t="shared" si="11"/>
        <v>213.2608695652174</v>
      </c>
      <c r="M25" s="115">
        <f t="shared" si="12"/>
        <v>184.67432950191571</v>
      </c>
      <c r="N25" s="115">
        <f t="shared" si="13"/>
        <v>208.52878464818764</v>
      </c>
      <c r="O25" s="66"/>
      <c r="P25" s="29">
        <v>108.7</v>
      </c>
      <c r="Q25" s="29">
        <v>128.4</v>
      </c>
      <c r="R25" s="29">
        <v>131.6</v>
      </c>
      <c r="S25" s="29">
        <v>96.2</v>
      </c>
      <c r="T25" s="29">
        <v>115.8</v>
      </c>
      <c r="U25" s="29">
        <v>106.2</v>
      </c>
      <c r="V25" s="29">
        <v>108.7</v>
      </c>
      <c r="W25" s="29">
        <v>100.2</v>
      </c>
      <c r="X25" s="29">
        <v>99.2</v>
      </c>
      <c r="Y25" s="29">
        <v>97.7</v>
      </c>
      <c r="Z25" s="29">
        <v>98.1</v>
      </c>
      <c r="AA25" s="29">
        <v>96.4</v>
      </c>
      <c r="AB25" s="29">
        <v>97.8</v>
      </c>
      <c r="AF25" s="139"/>
      <c r="AG25" s="139"/>
      <c r="AH25" s="139"/>
      <c r="AI25" s="139"/>
    </row>
    <row r="26" spans="1:35">
      <c r="A26" s="66">
        <v>2001</v>
      </c>
      <c r="B26" s="115">
        <f t="shared" si="1"/>
        <v>178.58319604612851</v>
      </c>
      <c r="C26" s="115">
        <f t="shared" si="2"/>
        <v>139.74193548387098</v>
      </c>
      <c r="D26" s="115">
        <f t="shared" si="3"/>
        <v>131.10047846889952</v>
      </c>
      <c r="E26" s="115">
        <f t="shared" si="4"/>
        <v>120.19347037484884</v>
      </c>
      <c r="F26" s="115">
        <f t="shared" si="5"/>
        <v>247.18826405867969</v>
      </c>
      <c r="G26" s="115">
        <f t="shared" si="6"/>
        <v>187.41721854304637</v>
      </c>
      <c r="H26" s="115">
        <f t="shared" si="7"/>
        <v>189.76</v>
      </c>
      <c r="I26" s="115">
        <f t="shared" si="8"/>
        <v>175.39543057996485</v>
      </c>
      <c r="J26" s="115">
        <f t="shared" si="9"/>
        <v>177.03180212014132</v>
      </c>
      <c r="K26" s="115">
        <f t="shared" si="10"/>
        <v>206.33946830265853</v>
      </c>
      <c r="L26" s="115">
        <f t="shared" si="11"/>
        <v>217.39130434782606</v>
      </c>
      <c r="M26" s="115">
        <f t="shared" si="12"/>
        <v>199.23371647509578</v>
      </c>
      <c r="N26" s="115">
        <f t="shared" si="13"/>
        <v>214.07249466950961</v>
      </c>
      <c r="O26" s="66"/>
      <c r="P26" s="29">
        <v>108.4</v>
      </c>
      <c r="Q26" s="29">
        <v>108.3</v>
      </c>
      <c r="R26" s="29">
        <v>109.6</v>
      </c>
      <c r="S26" s="29">
        <v>99.4</v>
      </c>
      <c r="T26" s="29">
        <v>101.1</v>
      </c>
      <c r="U26" s="29">
        <v>113.2</v>
      </c>
      <c r="V26" s="29">
        <v>118.6</v>
      </c>
      <c r="W26" s="29">
        <v>99.8</v>
      </c>
      <c r="X26" s="29">
        <v>100.2</v>
      </c>
      <c r="Y26" s="29">
        <v>100.9</v>
      </c>
      <c r="Z26" s="29">
        <v>100</v>
      </c>
      <c r="AA26" s="29">
        <v>104</v>
      </c>
      <c r="AB26" s="29">
        <v>100.4</v>
      </c>
      <c r="AF26" s="139"/>
      <c r="AG26" s="139"/>
      <c r="AH26" s="139"/>
      <c r="AI26" s="139"/>
    </row>
    <row r="27" spans="1:35">
      <c r="A27" s="66">
        <v>2002</v>
      </c>
      <c r="B27" s="115">
        <f t="shared" si="1"/>
        <v>164.74464579901152</v>
      </c>
      <c r="C27" s="115">
        <f t="shared" si="2"/>
        <v>129.03225806451613</v>
      </c>
      <c r="D27" s="115">
        <f t="shared" si="3"/>
        <v>119.61722488038278</v>
      </c>
      <c r="E27" s="115">
        <f t="shared" si="4"/>
        <v>120.91898428053204</v>
      </c>
      <c r="F27" s="115">
        <f t="shared" si="5"/>
        <v>244.49877750611248</v>
      </c>
      <c r="G27" s="115">
        <f t="shared" si="6"/>
        <v>165.56291390728478</v>
      </c>
      <c r="H27" s="115">
        <f t="shared" si="7"/>
        <v>160</v>
      </c>
      <c r="I27" s="115">
        <f t="shared" si="8"/>
        <v>175.7469244288225</v>
      </c>
      <c r="J27" s="115">
        <f t="shared" si="9"/>
        <v>176.67844522968196</v>
      </c>
      <c r="K27" s="115">
        <f t="shared" si="10"/>
        <v>204.49897750511246</v>
      </c>
      <c r="L27" s="115">
        <f t="shared" si="11"/>
        <v>217.39130434782606</v>
      </c>
      <c r="M27" s="115">
        <f t="shared" si="12"/>
        <v>191.57088122605364</v>
      </c>
      <c r="N27" s="115">
        <f t="shared" si="13"/>
        <v>213.21961620469082</v>
      </c>
      <c r="O27" s="66"/>
      <c r="P27" s="29">
        <v>100</v>
      </c>
      <c r="Q27" s="29">
        <v>100</v>
      </c>
      <c r="R27" s="29">
        <v>100</v>
      </c>
      <c r="S27" s="29">
        <v>100</v>
      </c>
      <c r="T27" s="29">
        <v>100</v>
      </c>
      <c r="U27" s="29">
        <v>100</v>
      </c>
      <c r="V27" s="29">
        <v>100</v>
      </c>
      <c r="W27" s="29">
        <v>100</v>
      </c>
      <c r="X27" s="29">
        <v>100</v>
      </c>
      <c r="Y27" s="29">
        <v>100</v>
      </c>
      <c r="Z27" s="29">
        <v>100</v>
      </c>
      <c r="AA27" s="29">
        <v>100</v>
      </c>
      <c r="AB27" s="29">
        <v>100</v>
      </c>
      <c r="AF27" s="139"/>
      <c r="AG27" s="139"/>
      <c r="AH27" s="139"/>
      <c r="AI27" s="139"/>
    </row>
    <row r="28" spans="1:35">
      <c r="A28" s="66">
        <v>2003</v>
      </c>
      <c r="B28" s="115">
        <f t="shared" si="1"/>
        <v>160.1317957166392</v>
      </c>
      <c r="C28" s="115">
        <f t="shared" si="2"/>
        <v>131.2258064516129</v>
      </c>
      <c r="D28" s="115">
        <f t="shared" si="3"/>
        <v>120.93301435406698</v>
      </c>
      <c r="E28" s="115">
        <f t="shared" si="4"/>
        <v>111.48730350665055</v>
      </c>
      <c r="F28" s="115">
        <f t="shared" si="5"/>
        <v>264.05867970660148</v>
      </c>
      <c r="G28" s="115">
        <f t="shared" si="6"/>
        <v>155.62913907284766</v>
      </c>
      <c r="H28" s="115">
        <f t="shared" si="7"/>
        <v>146.4</v>
      </c>
      <c r="I28" s="115">
        <f t="shared" si="8"/>
        <v>174.34094903339192</v>
      </c>
      <c r="J28" s="115">
        <f t="shared" si="9"/>
        <v>171.90812720848058</v>
      </c>
      <c r="K28" s="115">
        <f t="shared" si="10"/>
        <v>202.86298568507158</v>
      </c>
      <c r="L28" s="115">
        <f t="shared" si="11"/>
        <v>218.26086956521743</v>
      </c>
      <c r="M28" s="115">
        <f t="shared" si="12"/>
        <v>185.82375478927202</v>
      </c>
      <c r="N28" s="115">
        <f t="shared" si="13"/>
        <v>210.66098081023452</v>
      </c>
      <c r="O28" s="66"/>
      <c r="P28" s="29">
        <v>97.2</v>
      </c>
      <c r="Q28" s="29">
        <v>101.7</v>
      </c>
      <c r="R28" s="29">
        <v>101.1</v>
      </c>
      <c r="S28" s="29">
        <v>92.2</v>
      </c>
      <c r="T28" s="29">
        <v>108</v>
      </c>
      <c r="U28" s="29">
        <v>94</v>
      </c>
      <c r="V28" s="29">
        <v>91.5</v>
      </c>
      <c r="W28" s="29">
        <v>99.2</v>
      </c>
      <c r="X28" s="29">
        <v>97.3</v>
      </c>
      <c r="Y28" s="29">
        <v>99.2</v>
      </c>
      <c r="Z28" s="29">
        <v>100.4</v>
      </c>
      <c r="AA28" s="29">
        <v>97</v>
      </c>
      <c r="AB28" s="29">
        <v>98.8</v>
      </c>
      <c r="AF28" s="139"/>
      <c r="AG28" s="139"/>
      <c r="AH28" s="139"/>
      <c r="AI28" s="139"/>
    </row>
    <row r="29" spans="1:35">
      <c r="A29" s="66">
        <v>2004</v>
      </c>
      <c r="B29" s="115">
        <f t="shared" si="1"/>
        <v>161.7792421746293</v>
      </c>
      <c r="C29" s="115">
        <f t="shared" si="2"/>
        <v>137.16129032258064</v>
      </c>
      <c r="D29" s="115">
        <f t="shared" si="3"/>
        <v>129.30622009569379</v>
      </c>
      <c r="E29" s="115">
        <f t="shared" si="4"/>
        <v>107.6178960096735</v>
      </c>
      <c r="F29" s="115">
        <f t="shared" si="5"/>
        <v>242.54278728606357</v>
      </c>
      <c r="G29" s="115">
        <f t="shared" si="6"/>
        <v>154.80132450331126</v>
      </c>
      <c r="H29" s="115">
        <f t="shared" si="7"/>
        <v>144.96</v>
      </c>
      <c r="I29" s="115">
        <f t="shared" si="8"/>
        <v>176.44991212653781</v>
      </c>
      <c r="J29" s="115">
        <f t="shared" si="9"/>
        <v>168.55123674911661</v>
      </c>
      <c r="K29" s="115">
        <f t="shared" si="10"/>
        <v>204.70347648261759</v>
      </c>
      <c r="L29" s="115">
        <f t="shared" si="11"/>
        <v>222.82608695652172</v>
      </c>
      <c r="M29" s="115">
        <f t="shared" si="12"/>
        <v>184.86590038314174</v>
      </c>
      <c r="N29" s="115">
        <f t="shared" si="13"/>
        <v>211.08742004264394</v>
      </c>
      <c r="O29" s="66"/>
      <c r="P29" s="29">
        <v>98.2</v>
      </c>
      <c r="Q29" s="29">
        <v>106.3</v>
      </c>
      <c r="R29" s="29">
        <v>108.1</v>
      </c>
      <c r="S29" s="29">
        <v>89</v>
      </c>
      <c r="T29" s="29">
        <v>99.2</v>
      </c>
      <c r="U29" s="29">
        <v>93.5</v>
      </c>
      <c r="V29" s="29">
        <v>90.6</v>
      </c>
      <c r="W29" s="29">
        <v>100.4</v>
      </c>
      <c r="X29" s="29">
        <v>95.4</v>
      </c>
      <c r="Y29" s="29">
        <v>100.1</v>
      </c>
      <c r="Z29" s="29">
        <v>102.5</v>
      </c>
      <c r="AA29" s="29">
        <v>96.5</v>
      </c>
      <c r="AB29" s="29">
        <v>99</v>
      </c>
      <c r="AF29" s="139"/>
      <c r="AG29" s="139"/>
      <c r="AH29" s="139"/>
      <c r="AI29" s="139"/>
    </row>
    <row r="30" spans="1:35">
      <c r="A30" s="66">
        <v>2005</v>
      </c>
      <c r="B30" s="115">
        <f t="shared" si="1"/>
        <v>160.95551894563428</v>
      </c>
      <c r="C30" s="115">
        <f t="shared" si="2"/>
        <v>128.25806451612905</v>
      </c>
      <c r="D30" s="115">
        <f t="shared" si="3"/>
        <v>120.57416267942584</v>
      </c>
      <c r="E30" s="115">
        <f t="shared" si="4"/>
        <v>107.37605804111246</v>
      </c>
      <c r="F30" s="115">
        <f t="shared" si="5"/>
        <v>228.85085574572125</v>
      </c>
      <c r="G30" s="115">
        <f t="shared" si="6"/>
        <v>156.78807947019868</v>
      </c>
      <c r="H30" s="115">
        <f t="shared" si="7"/>
        <v>146.56</v>
      </c>
      <c r="I30" s="115">
        <f t="shared" si="8"/>
        <v>180.14059753954305</v>
      </c>
      <c r="J30" s="115">
        <f t="shared" si="9"/>
        <v>167.66784452296821</v>
      </c>
      <c r="K30" s="115">
        <f t="shared" si="10"/>
        <v>207.36196319018404</v>
      </c>
      <c r="L30" s="115">
        <f t="shared" si="11"/>
        <v>228.26086956521738</v>
      </c>
      <c r="M30" s="115">
        <f t="shared" si="12"/>
        <v>186.7816091954023</v>
      </c>
      <c r="N30" s="115">
        <f t="shared" si="13"/>
        <v>211.727078891258</v>
      </c>
      <c r="O30" s="66"/>
      <c r="P30" s="29">
        <v>97.7</v>
      </c>
      <c r="Q30" s="29">
        <v>99.4</v>
      </c>
      <c r="R30" s="29">
        <v>100.8</v>
      </c>
      <c r="S30" s="29">
        <v>88.8</v>
      </c>
      <c r="T30" s="29">
        <v>93.6</v>
      </c>
      <c r="U30" s="29">
        <v>94.7</v>
      </c>
      <c r="V30" s="29">
        <v>91.6</v>
      </c>
      <c r="W30" s="29">
        <v>102.5</v>
      </c>
      <c r="X30" s="29">
        <v>94.9</v>
      </c>
      <c r="Y30" s="29">
        <v>101.4</v>
      </c>
      <c r="Z30" s="29">
        <v>105</v>
      </c>
      <c r="AA30" s="29">
        <v>97.5</v>
      </c>
      <c r="AB30" s="29">
        <v>99.3</v>
      </c>
      <c r="AF30" s="139"/>
      <c r="AG30" s="139"/>
      <c r="AH30" s="139"/>
      <c r="AI30" s="139"/>
    </row>
    <row r="31" spans="1:35">
      <c r="A31" s="66">
        <v>2006</v>
      </c>
      <c r="B31" s="115">
        <f t="shared" si="1"/>
        <v>163.26194398682043</v>
      </c>
      <c r="C31" s="115">
        <f t="shared" si="2"/>
        <v>129.41935483870967</v>
      </c>
      <c r="D31" s="115">
        <f t="shared" si="3"/>
        <v>121.6507177033493</v>
      </c>
      <c r="E31" s="115">
        <f t="shared" si="4"/>
        <v>103.62756952841596</v>
      </c>
      <c r="F31" s="115">
        <f t="shared" si="5"/>
        <v>232.51833740831293</v>
      </c>
      <c r="G31" s="115">
        <f t="shared" si="6"/>
        <v>159.76821192052981</v>
      </c>
      <c r="H31" s="115">
        <f t="shared" si="7"/>
        <v>149.28</v>
      </c>
      <c r="I31" s="115">
        <f t="shared" si="8"/>
        <v>184.88576449912128</v>
      </c>
      <c r="J31" s="115">
        <f t="shared" si="9"/>
        <v>165.90106007067138</v>
      </c>
      <c r="K31" s="115">
        <f t="shared" si="10"/>
        <v>209.8159509202454</v>
      </c>
      <c r="L31" s="115">
        <f t="shared" si="11"/>
        <v>231.52173913043475</v>
      </c>
      <c r="M31" s="115">
        <f t="shared" si="12"/>
        <v>183.71647509578543</v>
      </c>
      <c r="N31" s="115">
        <f t="shared" si="13"/>
        <v>216.20469083155652</v>
      </c>
      <c r="O31" s="66"/>
      <c r="P31" s="29">
        <v>99.1</v>
      </c>
      <c r="Q31" s="29">
        <v>100.3</v>
      </c>
      <c r="R31" s="29">
        <v>101.7</v>
      </c>
      <c r="S31" s="29">
        <v>85.7</v>
      </c>
      <c r="T31" s="29">
        <v>95.1</v>
      </c>
      <c r="U31" s="29">
        <v>96.5</v>
      </c>
      <c r="V31" s="29">
        <v>93.3</v>
      </c>
      <c r="W31" s="29">
        <v>105.2</v>
      </c>
      <c r="X31" s="29">
        <v>93.9</v>
      </c>
      <c r="Y31" s="29">
        <v>102.6</v>
      </c>
      <c r="Z31" s="29">
        <v>106.5</v>
      </c>
      <c r="AA31" s="29">
        <v>95.9</v>
      </c>
      <c r="AB31" s="29">
        <v>101.4</v>
      </c>
      <c r="AF31" s="139"/>
      <c r="AG31" s="139"/>
      <c r="AH31" s="139"/>
      <c r="AI31" s="139"/>
    </row>
    <row r="32" spans="1:35">
      <c r="A32" s="66">
        <v>2007</v>
      </c>
      <c r="B32" s="115">
        <f t="shared" si="1"/>
        <v>161.94398682042831</v>
      </c>
      <c r="C32" s="115">
        <f t="shared" si="2"/>
        <v>137.8064516129032</v>
      </c>
      <c r="D32" s="115">
        <f t="shared" si="3"/>
        <v>129.1866028708134</v>
      </c>
      <c r="E32" s="115">
        <f t="shared" si="4"/>
        <v>105.32043530834341</v>
      </c>
      <c r="F32" s="115">
        <f t="shared" si="5"/>
        <v>254.76772616136921</v>
      </c>
      <c r="G32" s="115">
        <f t="shared" si="6"/>
        <v>150.99337748344374</v>
      </c>
      <c r="H32" s="115">
        <f t="shared" si="7"/>
        <v>136.47999999999999</v>
      </c>
      <c r="I32" s="115">
        <f t="shared" si="8"/>
        <v>185.23725834797892</v>
      </c>
      <c r="J32" s="115">
        <f t="shared" si="9"/>
        <v>163.95759717314488</v>
      </c>
      <c r="K32" s="115">
        <f t="shared" si="10"/>
        <v>212.47443762781185</v>
      </c>
      <c r="L32" s="115">
        <f t="shared" si="11"/>
        <v>235.21739130434781</v>
      </c>
      <c r="M32" s="115">
        <f t="shared" si="12"/>
        <v>183.14176245210726</v>
      </c>
      <c r="N32" s="115">
        <f t="shared" si="13"/>
        <v>219.61620469083155</v>
      </c>
      <c r="O32" s="66"/>
      <c r="P32" s="29">
        <v>98.3</v>
      </c>
      <c r="Q32" s="29">
        <v>106.8</v>
      </c>
      <c r="R32" s="29">
        <v>108</v>
      </c>
      <c r="S32" s="29">
        <v>87.1</v>
      </c>
      <c r="T32" s="29">
        <v>104.2</v>
      </c>
      <c r="U32" s="29">
        <v>91.2</v>
      </c>
      <c r="V32" s="29">
        <v>85.3</v>
      </c>
      <c r="W32" s="29">
        <v>105.4</v>
      </c>
      <c r="X32" s="29">
        <v>92.8</v>
      </c>
      <c r="Y32" s="29">
        <v>103.9</v>
      </c>
      <c r="Z32" s="29">
        <v>108.2</v>
      </c>
      <c r="AA32" s="29">
        <v>95.6</v>
      </c>
      <c r="AB32" s="29">
        <v>103</v>
      </c>
      <c r="AF32" s="139"/>
      <c r="AG32" s="139"/>
      <c r="AH32" s="139"/>
      <c r="AI32" s="139"/>
    </row>
    <row r="33" spans="1:35">
      <c r="A33" s="66">
        <v>2008</v>
      </c>
      <c r="B33" s="115">
        <f t="shared" si="1"/>
        <v>168.69851729818782</v>
      </c>
      <c r="C33" s="115">
        <f t="shared" si="2"/>
        <v>142.19354838709677</v>
      </c>
      <c r="D33" s="115">
        <f t="shared" si="3"/>
        <v>131.9377990430622</v>
      </c>
      <c r="E33" s="115">
        <f t="shared" si="4"/>
        <v>106.77146311970979</v>
      </c>
      <c r="F33" s="115">
        <f t="shared" si="5"/>
        <v>281.41809290953546</v>
      </c>
      <c r="G33" s="115">
        <f t="shared" si="6"/>
        <v>161.25827814569539</v>
      </c>
      <c r="H33" s="115">
        <f t="shared" si="7"/>
        <v>148.95999999999998</v>
      </c>
      <c r="I33" s="115">
        <f t="shared" si="8"/>
        <v>191.91564147627417</v>
      </c>
      <c r="J33" s="115">
        <f t="shared" si="9"/>
        <v>164.31095406360424</v>
      </c>
      <c r="K33" s="115">
        <f t="shared" si="10"/>
        <v>215.13292433537833</v>
      </c>
      <c r="L33" s="115">
        <f t="shared" si="11"/>
        <v>240</v>
      </c>
      <c r="M33" s="115">
        <f t="shared" si="12"/>
        <v>180.45977011494253</v>
      </c>
      <c r="N33" s="115">
        <f t="shared" si="13"/>
        <v>223.02771855010661</v>
      </c>
      <c r="O33" s="66"/>
      <c r="P33" s="29">
        <v>102.4</v>
      </c>
      <c r="Q33" s="29">
        <v>110.2</v>
      </c>
      <c r="R33" s="29">
        <v>110.3</v>
      </c>
      <c r="S33" s="29">
        <v>88.3</v>
      </c>
      <c r="T33" s="29">
        <v>115.1</v>
      </c>
      <c r="U33" s="29">
        <v>97.4</v>
      </c>
      <c r="V33" s="29">
        <v>93.1</v>
      </c>
      <c r="W33" s="29">
        <v>109.2</v>
      </c>
      <c r="X33" s="29">
        <v>93</v>
      </c>
      <c r="Y33" s="29">
        <v>105.2</v>
      </c>
      <c r="Z33" s="29">
        <v>110.4</v>
      </c>
      <c r="AA33" s="29">
        <v>94.2</v>
      </c>
      <c r="AB33" s="29">
        <v>104.6</v>
      </c>
      <c r="AF33" s="139"/>
      <c r="AG33" s="139"/>
      <c r="AH33" s="139"/>
      <c r="AI33" s="139"/>
    </row>
    <row r="34" spans="1:35">
      <c r="A34" s="66">
        <v>2009</v>
      </c>
      <c r="B34" s="115">
        <f t="shared" si="1"/>
        <v>169.0280065897858</v>
      </c>
      <c r="C34" s="115">
        <f t="shared" si="2"/>
        <v>131.48387096774195</v>
      </c>
      <c r="D34" s="115">
        <f t="shared" si="3"/>
        <v>121.53110047846891</v>
      </c>
      <c r="E34" s="115">
        <f t="shared" si="4"/>
        <v>111.97097944377265</v>
      </c>
      <c r="F34" s="115">
        <f t="shared" si="5"/>
        <v>258.43520782396092</v>
      </c>
      <c r="G34" s="115">
        <f t="shared" si="6"/>
        <v>167.5496688741722</v>
      </c>
      <c r="H34" s="115">
        <f t="shared" si="7"/>
        <v>156.47999999999999</v>
      </c>
      <c r="I34" s="115">
        <f t="shared" si="8"/>
        <v>196.66080843585237</v>
      </c>
      <c r="J34" s="115">
        <f t="shared" si="9"/>
        <v>165.54770318021201</v>
      </c>
      <c r="K34" s="115">
        <f t="shared" si="10"/>
        <v>215.74642126789368</v>
      </c>
      <c r="L34" s="115">
        <f t="shared" si="11"/>
        <v>239.13043478260869</v>
      </c>
      <c r="M34" s="115">
        <f t="shared" si="12"/>
        <v>180.07662835249042</v>
      </c>
      <c r="N34" s="115">
        <f t="shared" si="13"/>
        <v>225.58635394456289</v>
      </c>
      <c r="O34" s="66"/>
      <c r="P34" s="29">
        <v>102.6</v>
      </c>
      <c r="Q34" s="29">
        <v>101.9</v>
      </c>
      <c r="R34" s="29">
        <v>101.6</v>
      </c>
      <c r="S34" s="29">
        <v>92.6</v>
      </c>
      <c r="T34" s="29">
        <v>105.7</v>
      </c>
      <c r="U34" s="29">
        <v>101.2</v>
      </c>
      <c r="V34" s="29">
        <v>97.8</v>
      </c>
      <c r="W34" s="29">
        <v>111.9</v>
      </c>
      <c r="X34" s="29">
        <v>93.7</v>
      </c>
      <c r="Y34" s="29">
        <v>105.5</v>
      </c>
      <c r="Z34" s="29">
        <v>110</v>
      </c>
      <c r="AA34" s="29">
        <v>94</v>
      </c>
      <c r="AB34" s="29">
        <v>105.8</v>
      </c>
      <c r="AF34" s="139"/>
      <c r="AG34" s="139"/>
      <c r="AH34" s="139"/>
      <c r="AI34" s="139"/>
    </row>
    <row r="35" spans="1:35">
      <c r="A35" s="66">
        <v>2010</v>
      </c>
      <c r="B35" s="115">
        <f t="shared" si="1"/>
        <v>166.06260296540361</v>
      </c>
      <c r="C35" s="115">
        <f t="shared" si="2"/>
        <v>140.38709677419354</v>
      </c>
      <c r="D35" s="115">
        <f t="shared" si="3"/>
        <v>131.45933014354068</v>
      </c>
      <c r="E35" s="115">
        <f t="shared" si="4"/>
        <v>110.51995163240629</v>
      </c>
      <c r="F35" s="115">
        <f t="shared" si="5"/>
        <v>259.16870415647924</v>
      </c>
      <c r="G35" s="115">
        <f t="shared" si="6"/>
        <v>156.62251655629137</v>
      </c>
      <c r="H35" s="115">
        <f t="shared" si="7"/>
        <v>141.44</v>
      </c>
      <c r="I35" s="115">
        <f t="shared" si="8"/>
        <v>194.02460456942006</v>
      </c>
      <c r="J35" s="115">
        <f t="shared" si="9"/>
        <v>163.25088339222614</v>
      </c>
      <c r="K35" s="115">
        <f t="shared" si="10"/>
        <v>215.74642126789368</v>
      </c>
      <c r="L35" s="115">
        <f t="shared" si="11"/>
        <v>239.56521739130437</v>
      </c>
      <c r="M35" s="115">
        <f t="shared" si="12"/>
        <v>181.0344827586207</v>
      </c>
      <c r="N35" s="115">
        <f t="shared" si="13"/>
        <v>224.52025586353943</v>
      </c>
      <c r="O35" s="66"/>
      <c r="P35" s="29">
        <v>100.8</v>
      </c>
      <c r="Q35" s="29">
        <v>108.8</v>
      </c>
      <c r="R35" s="29">
        <v>109.9</v>
      </c>
      <c r="S35" s="29">
        <v>91.4</v>
      </c>
      <c r="T35" s="29">
        <v>106</v>
      </c>
      <c r="U35" s="29">
        <v>94.6</v>
      </c>
      <c r="V35" s="29">
        <v>88.4</v>
      </c>
      <c r="W35" s="29">
        <v>110.4</v>
      </c>
      <c r="X35" s="29">
        <v>92.4</v>
      </c>
      <c r="Y35" s="29">
        <v>105.5</v>
      </c>
      <c r="Z35" s="29">
        <v>110.2</v>
      </c>
      <c r="AA35" s="29">
        <v>94.5</v>
      </c>
      <c r="AB35" s="29">
        <v>105.3</v>
      </c>
      <c r="AF35" s="139"/>
      <c r="AG35" s="139"/>
      <c r="AH35" s="139"/>
      <c r="AI35" s="139"/>
    </row>
    <row r="36" spans="1:35">
      <c r="A36" s="66">
        <v>2011</v>
      </c>
      <c r="B36" s="115">
        <f t="shared" si="1"/>
        <v>165.23887973640856</v>
      </c>
      <c r="C36" s="115">
        <f t="shared" si="2"/>
        <v>136.7741935483871</v>
      </c>
      <c r="D36" s="115">
        <f t="shared" si="3"/>
        <v>129.06698564593302</v>
      </c>
      <c r="E36" s="115">
        <f t="shared" si="4"/>
        <v>106.52962515114872</v>
      </c>
      <c r="F36" s="115">
        <f t="shared" si="5"/>
        <v>240.09779951100248</v>
      </c>
      <c r="G36" s="115">
        <f t="shared" si="6"/>
        <v>156.78807947019868</v>
      </c>
      <c r="H36" s="115">
        <f t="shared" si="7"/>
        <v>141.44</v>
      </c>
      <c r="I36" s="115">
        <f t="shared" si="8"/>
        <v>195.07908611599299</v>
      </c>
      <c r="J36" s="115">
        <f t="shared" si="9"/>
        <v>163.60424028268551</v>
      </c>
      <c r="K36" s="115">
        <f t="shared" si="10"/>
        <v>215.95092024539878</v>
      </c>
      <c r="L36" s="115">
        <f t="shared" si="11"/>
        <v>240</v>
      </c>
      <c r="M36" s="115">
        <f t="shared" si="12"/>
        <v>179.6934865900383</v>
      </c>
      <c r="N36" s="115">
        <f t="shared" si="13"/>
        <v>225.15991471215352</v>
      </c>
      <c r="O36" s="66"/>
      <c r="P36" s="29">
        <v>100.3</v>
      </c>
      <c r="Q36" s="29">
        <v>106</v>
      </c>
      <c r="R36" s="29">
        <v>107.9</v>
      </c>
      <c r="S36" s="29">
        <v>88.1</v>
      </c>
      <c r="T36" s="29">
        <v>98.2</v>
      </c>
      <c r="U36" s="29">
        <v>94.7</v>
      </c>
      <c r="V36" s="29">
        <v>88.4</v>
      </c>
      <c r="W36" s="29">
        <v>111</v>
      </c>
      <c r="X36" s="29">
        <v>92.6</v>
      </c>
      <c r="Y36" s="29">
        <v>105.6</v>
      </c>
      <c r="Z36" s="29">
        <v>110.4</v>
      </c>
      <c r="AA36" s="29">
        <v>93.8</v>
      </c>
      <c r="AB36" s="29">
        <v>105.6</v>
      </c>
      <c r="AF36" s="139"/>
      <c r="AG36" s="139"/>
      <c r="AH36" s="139"/>
      <c r="AI36" s="139"/>
    </row>
    <row r="37" spans="1:35">
      <c r="A37" s="66">
        <v>2012</v>
      </c>
      <c r="B37" s="115">
        <f t="shared" si="1"/>
        <v>164.08566721581548</v>
      </c>
      <c r="C37" s="115">
        <f t="shared" si="2"/>
        <v>130.45161290322579</v>
      </c>
      <c r="D37" s="115">
        <f t="shared" si="3"/>
        <v>122.12918660287082</v>
      </c>
      <c r="E37" s="115">
        <f t="shared" si="4"/>
        <v>127.93228536880289</v>
      </c>
      <c r="F37" s="115">
        <f t="shared" si="5"/>
        <v>228.60635696821515</v>
      </c>
      <c r="G37" s="115">
        <f t="shared" si="6"/>
        <v>157.61589403973511</v>
      </c>
      <c r="H37" s="115">
        <f t="shared" si="7"/>
        <v>142.08000000000001</v>
      </c>
      <c r="I37" s="115">
        <f t="shared" si="8"/>
        <v>196.13356766256592</v>
      </c>
      <c r="J37" s="115">
        <f t="shared" si="9"/>
        <v>165.01766784452298</v>
      </c>
      <c r="K37" s="115">
        <f t="shared" si="10"/>
        <v>216.76891615541925</v>
      </c>
      <c r="L37" s="115">
        <f t="shared" si="11"/>
        <v>236.95652173913041</v>
      </c>
      <c r="M37" s="115">
        <f t="shared" si="12"/>
        <v>179.88505747126439</v>
      </c>
      <c r="N37" s="115">
        <f t="shared" si="13"/>
        <v>230.4904051172708</v>
      </c>
      <c r="O37" s="66"/>
      <c r="P37" s="29">
        <v>99.6</v>
      </c>
      <c r="Q37" s="29">
        <v>101.1</v>
      </c>
      <c r="R37" s="29">
        <v>102.1</v>
      </c>
      <c r="S37" s="29">
        <v>105.8</v>
      </c>
      <c r="T37" s="29">
        <v>93.5</v>
      </c>
      <c r="U37" s="29">
        <v>95.2</v>
      </c>
      <c r="V37" s="29">
        <v>88.8</v>
      </c>
      <c r="W37" s="29">
        <v>111.6</v>
      </c>
      <c r="X37" s="29">
        <v>93.4</v>
      </c>
      <c r="Y37" s="29">
        <v>106</v>
      </c>
      <c r="Z37" s="29">
        <v>109</v>
      </c>
      <c r="AA37" s="29">
        <v>93.9</v>
      </c>
      <c r="AB37" s="29">
        <v>108.1</v>
      </c>
      <c r="AF37" s="139"/>
      <c r="AG37" s="139"/>
      <c r="AH37" s="139"/>
      <c r="AI37" s="139"/>
    </row>
    <row r="39" spans="1:35">
      <c r="A39" s="66" t="s">
        <v>23</v>
      </c>
      <c r="B39" s="66"/>
      <c r="C39" s="66"/>
      <c r="D39" s="66"/>
      <c r="E39" s="66"/>
      <c r="F39" s="66"/>
      <c r="G39" s="66"/>
      <c r="H39" s="66"/>
      <c r="I39" s="66"/>
      <c r="J39" s="66"/>
      <c r="K39" s="66"/>
      <c r="L39" s="66"/>
      <c r="M39" s="66"/>
      <c r="N39" s="66"/>
      <c r="O39" s="66"/>
    </row>
    <row r="40" spans="1:35">
      <c r="A40" s="64" t="s">
        <v>2117</v>
      </c>
      <c r="B40" s="67">
        <f>((B37/B6)^(1/31)-1)*100</f>
        <v>1.6103068355381334</v>
      </c>
      <c r="C40" s="67">
        <f t="shared" ref="C40:N40" si="14">((C37/C6)^(1/31)-1)*100</f>
        <v>0.86121045477653979</v>
      </c>
      <c r="D40" s="67">
        <f t="shared" si="14"/>
        <v>0.64695215651970894</v>
      </c>
      <c r="E40" s="67">
        <f t="shared" si="14"/>
        <v>0.7977813132444167</v>
      </c>
      <c r="F40" s="67">
        <f t="shared" si="14"/>
        <v>2.7030860617928587</v>
      </c>
      <c r="G40" s="67">
        <f t="shared" si="14"/>
        <v>1.4785361642548844</v>
      </c>
      <c r="H40" s="67">
        <f t="shared" si="14"/>
        <v>1.1394104327751453</v>
      </c>
      <c r="I40" s="67">
        <f t="shared" si="14"/>
        <v>2.1967674439846707</v>
      </c>
      <c r="J40" s="67">
        <f t="shared" si="14"/>
        <v>1.6288733689029167</v>
      </c>
      <c r="K40" s="67">
        <f t="shared" si="14"/>
        <v>2.5270857555535597</v>
      </c>
      <c r="L40" s="67">
        <f t="shared" si="14"/>
        <v>2.8220092084106918</v>
      </c>
      <c r="M40" s="67">
        <f t="shared" si="14"/>
        <v>1.9120758979198627</v>
      </c>
      <c r="N40" s="67">
        <f t="shared" si="14"/>
        <v>2.7302817150440362</v>
      </c>
      <c r="P40" s="67">
        <f>((P32/P6)^(1/26)-1)*100</f>
        <v>1.8714513017893619</v>
      </c>
      <c r="Q40" s="67">
        <f t="shared" ref="Q40:AB40" si="15">((Q32/Q6)^(1/26)-1)*100</f>
        <v>1.2410221329888005</v>
      </c>
      <c r="R40" s="67">
        <f t="shared" si="15"/>
        <v>0.98981934351582979</v>
      </c>
      <c r="S40" s="67">
        <f t="shared" si="15"/>
        <v>0.19957304331161829</v>
      </c>
      <c r="T40" s="67">
        <f t="shared" si="15"/>
        <v>3.6623234858401688</v>
      </c>
      <c r="U40" s="67">
        <f t="shared" si="15"/>
        <v>1.5974940828318074</v>
      </c>
      <c r="V40" s="67">
        <f t="shared" si="15"/>
        <v>1.2033671172495763</v>
      </c>
      <c r="W40" s="67">
        <f t="shared" si="15"/>
        <v>2.3993604073626607</v>
      </c>
      <c r="X40" s="67">
        <f t="shared" si="15"/>
        <v>1.9198804512546852</v>
      </c>
      <c r="Y40" s="67">
        <f t="shared" si="15"/>
        <v>2.9410796383026572</v>
      </c>
      <c r="Z40" s="67">
        <f t="shared" si="15"/>
        <v>3.3444803284098823</v>
      </c>
      <c r="AA40" s="67">
        <f t="shared" si="15"/>
        <v>2.3545627311303274</v>
      </c>
      <c r="AB40" s="67">
        <f t="shared" si="15"/>
        <v>3.0720556850566183</v>
      </c>
    </row>
    <row r="41" spans="1:35">
      <c r="A41" s="64" t="s">
        <v>25</v>
      </c>
      <c r="B41" s="67">
        <f>((B14/B6)^(1/8)-1)*100</f>
        <v>4.7667332157593556</v>
      </c>
      <c r="C41" s="67">
        <f t="shared" ref="C41:N41" si="16">((C14/C6)^(1/8)-1)*100</f>
        <v>5.715964100769666</v>
      </c>
      <c r="D41" s="67">
        <f t="shared" si="16"/>
        <v>5.9456380148984023</v>
      </c>
      <c r="E41" s="67">
        <f t="shared" si="16"/>
        <v>5.5292132150098983</v>
      </c>
      <c r="F41" s="67">
        <f t="shared" si="16"/>
        <v>3.268185332961715</v>
      </c>
      <c r="G41" s="67">
        <f t="shared" si="16"/>
        <v>3.8797439291894609</v>
      </c>
      <c r="H41" s="67">
        <f t="shared" si="16"/>
        <v>3.7183693178268529</v>
      </c>
      <c r="I41" s="67">
        <f t="shared" si="16"/>
        <v>3.9378381547956698</v>
      </c>
      <c r="J41" s="67">
        <f t="shared" si="16"/>
        <v>4.6307321523691991</v>
      </c>
      <c r="K41" s="67">
        <f t="shared" si="16"/>
        <v>5.2615664280052377</v>
      </c>
      <c r="L41" s="67">
        <f t="shared" si="16"/>
        <v>5.4821347964242095</v>
      </c>
      <c r="M41" s="67">
        <f t="shared" si="16"/>
        <v>4.9619715341710391</v>
      </c>
      <c r="N41" s="67">
        <f t="shared" si="16"/>
        <v>5.3014069868161817</v>
      </c>
      <c r="P41" s="67">
        <f>((P14/P6)^(1/8)-1)*100</f>
        <v>4.7667332157593556</v>
      </c>
      <c r="Q41" s="67">
        <f t="shared" ref="Q41:AB41" si="17">((Q14/Q6)^(1/8)-1)*100</f>
        <v>5.715964100769666</v>
      </c>
      <c r="R41" s="67">
        <f t="shared" si="17"/>
        <v>5.9456380148984023</v>
      </c>
      <c r="S41" s="67">
        <f t="shared" si="17"/>
        <v>5.5292132150098983</v>
      </c>
      <c r="T41" s="67">
        <f t="shared" si="17"/>
        <v>3.268185332961715</v>
      </c>
      <c r="U41" s="67">
        <f t="shared" si="17"/>
        <v>3.8797439291894609</v>
      </c>
      <c r="V41" s="67">
        <f t="shared" si="17"/>
        <v>3.7183693178268529</v>
      </c>
      <c r="W41" s="67">
        <f t="shared" si="17"/>
        <v>3.9378381547956698</v>
      </c>
      <c r="X41" s="67">
        <f t="shared" si="17"/>
        <v>4.6307321523691991</v>
      </c>
      <c r="Y41" s="67">
        <f t="shared" si="17"/>
        <v>5.2615664280052377</v>
      </c>
      <c r="Z41" s="67">
        <f t="shared" si="17"/>
        <v>5.4821347964242095</v>
      </c>
      <c r="AA41" s="67">
        <f t="shared" si="17"/>
        <v>4.9619715341710391</v>
      </c>
      <c r="AB41" s="67">
        <f t="shared" si="17"/>
        <v>5.3014069868161817</v>
      </c>
    </row>
    <row r="42" spans="1:35">
      <c r="A42" s="64" t="s">
        <v>2119</v>
      </c>
      <c r="B42" s="67">
        <f>((B37/B14)^(1/23)-1)*100</f>
        <v>0.53485846906617951</v>
      </c>
      <c r="C42" s="67">
        <f t="shared" ref="C42:N42" si="18">((C37/C14)^(1/23)-1)*100</f>
        <v>-0.7746088079372937</v>
      </c>
      <c r="D42" s="67">
        <f t="shared" si="18"/>
        <v>-1.1332610414115374</v>
      </c>
      <c r="E42" s="67">
        <f t="shared" si="18"/>
        <v>-0.79771484752887423</v>
      </c>
      <c r="F42" s="67">
        <f t="shared" si="18"/>
        <v>2.507255509163353</v>
      </c>
      <c r="G42" s="67">
        <f t="shared" si="18"/>
        <v>0.65640999297629232</v>
      </c>
      <c r="H42" s="67">
        <f t="shared" si="18"/>
        <v>0.25749474320686527</v>
      </c>
      <c r="I42" s="67">
        <f t="shared" si="18"/>
        <v>1.5980390637982955</v>
      </c>
      <c r="J42" s="67">
        <f t="shared" si="18"/>
        <v>0.60506371951571936</v>
      </c>
      <c r="K42" s="67">
        <f t="shared" si="18"/>
        <v>1.5927083162399436</v>
      </c>
      <c r="L42" s="67">
        <f t="shared" si="18"/>
        <v>1.9125602807712916</v>
      </c>
      <c r="M42" s="67">
        <f t="shared" si="18"/>
        <v>0.87214868060203621</v>
      </c>
      <c r="N42" s="67">
        <f t="shared" si="18"/>
        <v>1.8507717928136547</v>
      </c>
      <c r="P42" s="67"/>
      <c r="Q42" s="67"/>
      <c r="R42" s="67"/>
      <c r="S42" s="67"/>
      <c r="T42" s="67"/>
      <c r="U42" s="67"/>
      <c r="V42" s="67"/>
      <c r="W42" s="67"/>
      <c r="X42" s="67"/>
      <c r="Y42" s="67"/>
      <c r="Z42" s="67"/>
      <c r="AA42" s="67"/>
      <c r="AB42" s="67"/>
    </row>
    <row r="43" spans="1:35">
      <c r="A43" s="109" t="s">
        <v>26</v>
      </c>
      <c r="B43" s="67">
        <f>((B25/B14)^(1/11)-1)*100</f>
        <v>1.9285356662590125</v>
      </c>
      <c r="C43" s="67">
        <f t="shared" ref="C43:N43" si="19">((C25/C14)^(1/11)-1)*100</f>
        <v>0.54865082091435369</v>
      </c>
      <c r="D43" s="67">
        <f t="shared" si="19"/>
        <v>-7.5643398190794464E-2</v>
      </c>
      <c r="E43" s="67">
        <f t="shared" si="19"/>
        <v>-2.507404448572903</v>
      </c>
      <c r="F43" s="67">
        <f t="shared" si="19"/>
        <v>7.3821464227495914</v>
      </c>
      <c r="G43" s="67">
        <f t="shared" si="19"/>
        <v>2.3901637902849826</v>
      </c>
      <c r="H43" s="67">
        <f t="shared" si="19"/>
        <v>2.4043848976393667</v>
      </c>
      <c r="I43" s="67">
        <f t="shared" si="19"/>
        <v>2.3628491274537478</v>
      </c>
      <c r="J43" s="67">
        <f t="shared" si="19"/>
        <v>1.8254800109095193</v>
      </c>
      <c r="K43" s="67">
        <f t="shared" si="19"/>
        <v>2.5958358827335548</v>
      </c>
      <c r="L43" s="67">
        <f t="shared" si="19"/>
        <v>3.048963152848394</v>
      </c>
      <c r="M43" s="67">
        <f t="shared" si="19"/>
        <v>2.0757995446531341</v>
      </c>
      <c r="N43" s="67">
        <f t="shared" si="19"/>
        <v>2.9673009952480012</v>
      </c>
      <c r="O43" s="109"/>
      <c r="P43" s="67">
        <f>((P25/P14)^(1/11)-1)*100</f>
        <v>1.9285356662590125</v>
      </c>
      <c r="Q43" s="67">
        <f t="shared" ref="Q43:AB43" si="20">((Q25/Q14)^(1/11)-1)*100</f>
        <v>0.54865082091435369</v>
      </c>
      <c r="R43" s="67">
        <f t="shared" si="20"/>
        <v>-7.5643398190794464E-2</v>
      </c>
      <c r="S43" s="67">
        <f t="shared" si="20"/>
        <v>-2.507404448572903</v>
      </c>
      <c r="T43" s="67">
        <f t="shared" si="20"/>
        <v>7.3821464227495914</v>
      </c>
      <c r="U43" s="67">
        <f t="shared" si="20"/>
        <v>2.3901637902849826</v>
      </c>
      <c r="V43" s="67">
        <f t="shared" si="20"/>
        <v>2.4043848976393667</v>
      </c>
      <c r="W43" s="67">
        <f t="shared" si="20"/>
        <v>2.3628491274537478</v>
      </c>
      <c r="X43" s="67">
        <f t="shared" si="20"/>
        <v>1.8254800109095193</v>
      </c>
      <c r="Y43" s="67">
        <f t="shared" si="20"/>
        <v>2.5958358827335548</v>
      </c>
      <c r="Z43" s="67">
        <f t="shared" si="20"/>
        <v>3.048963152848394</v>
      </c>
      <c r="AA43" s="67">
        <f t="shared" si="20"/>
        <v>2.0757995446531341</v>
      </c>
      <c r="AB43" s="67">
        <f t="shared" si="20"/>
        <v>2.9673009952480012</v>
      </c>
    </row>
    <row r="44" spans="1:35">
      <c r="A44" s="64" t="s">
        <v>2028</v>
      </c>
      <c r="B44" s="67">
        <f>((B37/B25)^(1/12)-1)*100</f>
        <v>-0.72593253440023098</v>
      </c>
      <c r="C44" s="67">
        <f t="shared" ref="C44:N44" si="21">((C37/C25)^(1/12)-1)*100</f>
        <v>-1.9722929329188843</v>
      </c>
      <c r="D44" s="67">
        <f t="shared" si="21"/>
        <v>-2.0929073474113546</v>
      </c>
      <c r="E44" s="67">
        <f t="shared" si="21"/>
        <v>0.79582634449242295</v>
      </c>
      <c r="F44" s="67">
        <f t="shared" si="21"/>
        <v>-1.7667330551345839</v>
      </c>
      <c r="G44" s="67">
        <f t="shared" si="21"/>
        <v>-0.90706253252682556</v>
      </c>
      <c r="H44" s="67">
        <f t="shared" si="21"/>
        <v>-1.6709254266105922</v>
      </c>
      <c r="I44" s="67">
        <f t="shared" si="21"/>
        <v>0.90198409052668627</v>
      </c>
      <c r="J44" s="67">
        <f t="shared" si="21"/>
        <v>-0.50079738295183418</v>
      </c>
      <c r="K44" s="67">
        <f t="shared" si="21"/>
        <v>0.68179315793752693</v>
      </c>
      <c r="L44" s="67">
        <f t="shared" si="21"/>
        <v>0.88187006045072902</v>
      </c>
      <c r="M44" s="67">
        <f t="shared" si="21"/>
        <v>-0.2187255745934813</v>
      </c>
      <c r="N44" s="67">
        <f t="shared" si="21"/>
        <v>0.83792567215614788</v>
      </c>
      <c r="O44" s="109"/>
      <c r="P44" s="67">
        <f>((P32/P25)^(1/7)-1)*100</f>
        <v>-1.4264113501784248</v>
      </c>
      <c r="Q44" s="67">
        <f t="shared" ref="Q44:AB44" si="22">((Q32/Q25)^(1/7)-1)*100</f>
        <v>-2.5970033364936529</v>
      </c>
      <c r="R44" s="67">
        <f t="shared" si="22"/>
        <v>-2.7838838776894859</v>
      </c>
      <c r="S44" s="67">
        <f t="shared" si="22"/>
        <v>-1.409577864958278</v>
      </c>
      <c r="T44" s="67">
        <f t="shared" si="22"/>
        <v>-1.4965801775214005</v>
      </c>
      <c r="U44" s="67">
        <f t="shared" si="22"/>
        <v>-2.1517859797199224</v>
      </c>
      <c r="V44" s="67">
        <f t="shared" si="22"/>
        <v>-3.4038256463868488</v>
      </c>
      <c r="W44" s="67">
        <f t="shared" si="22"/>
        <v>0.72539616416531505</v>
      </c>
      <c r="X44" s="67">
        <f t="shared" si="22"/>
        <v>-0.94820979082668178</v>
      </c>
      <c r="Y44" s="67">
        <f t="shared" si="22"/>
        <v>0.88283620002496122</v>
      </c>
      <c r="Z44" s="67">
        <f t="shared" si="22"/>
        <v>1.4097589688589096</v>
      </c>
      <c r="AA44" s="67">
        <f t="shared" si="22"/>
        <v>-0.11897747360143374</v>
      </c>
      <c r="AB44" s="67">
        <f t="shared" si="22"/>
        <v>0.74280825130537131</v>
      </c>
    </row>
    <row r="45" spans="1:35">
      <c r="A45" s="232"/>
      <c r="B45" s="232"/>
      <c r="C45" s="232"/>
      <c r="D45" s="232"/>
      <c r="E45" s="232"/>
      <c r="F45" s="232"/>
      <c r="G45" s="232"/>
      <c r="H45" s="232"/>
      <c r="I45" s="232"/>
      <c r="J45" s="232"/>
      <c r="K45" s="232"/>
      <c r="L45" s="232"/>
      <c r="M45" s="232"/>
      <c r="N45" s="232"/>
      <c r="O45" s="130"/>
      <c r="P45" s="130"/>
      <c r="Q45" s="130"/>
      <c r="R45" s="130"/>
      <c r="S45" s="130"/>
      <c r="T45" s="130"/>
      <c r="U45" s="130"/>
      <c r="V45" s="130"/>
      <c r="W45" s="130"/>
      <c r="X45" s="130"/>
      <c r="Y45" s="130"/>
      <c r="Z45" s="130"/>
      <c r="AA45" s="130"/>
      <c r="AB45" s="130"/>
    </row>
    <row r="46" spans="1:35">
      <c r="A46" s="232" t="s">
        <v>1840</v>
      </c>
      <c r="B46" s="232"/>
      <c r="C46" s="232"/>
      <c r="D46" s="232"/>
      <c r="E46" s="232"/>
      <c r="F46" s="232"/>
      <c r="G46" s="232"/>
      <c r="H46" s="232"/>
      <c r="I46" s="232"/>
      <c r="J46" s="232"/>
      <c r="K46" s="232"/>
      <c r="L46" s="232"/>
      <c r="M46" s="232"/>
      <c r="N46" s="232"/>
      <c r="O46" s="130"/>
      <c r="P46" s="130"/>
      <c r="Q46" s="130"/>
      <c r="R46" s="130"/>
      <c r="S46" s="130"/>
      <c r="T46" s="130"/>
      <c r="U46" s="130"/>
      <c r="V46" s="130"/>
      <c r="W46" s="130"/>
      <c r="X46" s="130"/>
      <c r="Y46" s="130"/>
      <c r="Z46" s="130"/>
      <c r="AA46" s="130"/>
      <c r="AB46" s="130"/>
    </row>
    <row r="49" spans="16:28">
      <c r="P49" s="139"/>
      <c r="Q49" s="139"/>
      <c r="R49" s="139"/>
      <c r="S49" s="139"/>
      <c r="T49" s="139"/>
      <c r="U49" s="139"/>
      <c r="V49" s="139"/>
      <c r="W49" s="139"/>
      <c r="X49" s="139"/>
      <c r="Y49" s="139"/>
      <c r="Z49" s="139"/>
      <c r="AA49" s="139"/>
      <c r="AB49" s="139"/>
    </row>
    <row r="50" spans="16:28">
      <c r="P50" s="139"/>
      <c r="Q50" s="139"/>
      <c r="R50" s="139"/>
      <c r="S50" s="139"/>
      <c r="T50" s="139"/>
      <c r="U50" s="139"/>
      <c r="V50" s="139"/>
      <c r="W50" s="139"/>
      <c r="X50" s="139"/>
      <c r="Y50" s="139"/>
      <c r="Z50" s="139"/>
      <c r="AA50" s="139"/>
      <c r="AB50" s="139"/>
    </row>
    <row r="51" spans="16:28">
      <c r="P51" s="139"/>
      <c r="Q51" s="139"/>
      <c r="R51" s="139"/>
      <c r="S51" s="139"/>
      <c r="T51" s="139"/>
      <c r="U51" s="139"/>
      <c r="V51" s="139"/>
      <c r="W51" s="139"/>
      <c r="X51" s="139"/>
      <c r="Y51" s="139"/>
      <c r="Z51" s="139"/>
      <c r="AA51" s="139"/>
      <c r="AB51" s="139"/>
    </row>
    <row r="52" spans="16:28">
      <c r="P52" s="139"/>
      <c r="Q52" s="139"/>
      <c r="R52" s="139"/>
      <c r="S52" s="139"/>
      <c r="T52" s="139"/>
      <c r="U52" s="139"/>
      <c r="V52" s="139"/>
      <c r="W52" s="139"/>
      <c r="X52" s="139"/>
      <c r="Y52" s="139"/>
      <c r="Z52" s="139"/>
      <c r="AA52" s="139"/>
      <c r="AB52" s="139"/>
    </row>
    <row r="53" spans="16:28">
      <c r="P53" s="139"/>
      <c r="Q53" s="139"/>
      <c r="R53" s="139"/>
      <c r="S53" s="139"/>
      <c r="T53" s="139"/>
      <c r="U53" s="139"/>
      <c r="V53" s="139"/>
      <c r="W53" s="139"/>
      <c r="X53" s="139"/>
      <c r="Y53" s="139"/>
      <c r="Z53" s="139"/>
      <c r="AA53" s="139"/>
      <c r="AB53" s="139"/>
    </row>
    <row r="54" spans="16:28">
      <c r="P54" s="139"/>
      <c r="Q54" s="139"/>
      <c r="R54" s="139"/>
      <c r="S54" s="139"/>
      <c r="T54" s="139"/>
      <c r="U54" s="139"/>
      <c r="V54" s="139"/>
      <c r="W54" s="139"/>
      <c r="X54" s="139"/>
      <c r="Y54" s="139"/>
      <c r="Z54" s="139"/>
      <c r="AA54" s="139"/>
      <c r="AB54" s="139"/>
    </row>
    <row r="55" spans="16:28">
      <c r="P55" s="139"/>
      <c r="Q55" s="139"/>
      <c r="R55" s="139"/>
      <c r="S55" s="139"/>
      <c r="T55" s="139"/>
      <c r="U55" s="139"/>
      <c r="V55" s="139"/>
      <c r="W55" s="139"/>
      <c r="X55" s="139"/>
      <c r="Y55" s="139"/>
      <c r="Z55" s="139"/>
      <c r="AA55" s="139"/>
      <c r="AB55" s="139"/>
    </row>
    <row r="56" spans="16:28">
      <c r="P56" s="139"/>
      <c r="Q56" s="139"/>
      <c r="R56" s="139"/>
      <c r="S56" s="139"/>
      <c r="T56" s="139"/>
      <c r="U56" s="139"/>
      <c r="V56" s="139"/>
      <c r="W56" s="139"/>
      <c r="X56" s="139"/>
      <c r="Y56" s="139"/>
      <c r="Z56" s="139"/>
      <c r="AA56" s="139"/>
      <c r="AB56" s="139"/>
    </row>
    <row r="57" spans="16:28">
      <c r="P57" s="139"/>
      <c r="Q57" s="139"/>
      <c r="R57" s="139"/>
      <c r="S57" s="139"/>
      <c r="T57" s="139"/>
      <c r="U57" s="139"/>
      <c r="V57" s="139"/>
      <c r="W57" s="139"/>
      <c r="X57" s="139"/>
      <c r="Y57" s="139"/>
      <c r="Z57" s="139"/>
      <c r="AA57" s="139"/>
      <c r="AB57" s="139"/>
    </row>
    <row r="58" spans="16:28">
      <c r="P58" s="139"/>
      <c r="Q58" s="139"/>
      <c r="R58" s="139"/>
      <c r="S58" s="139"/>
      <c r="T58" s="139"/>
      <c r="U58" s="139"/>
      <c r="V58" s="139"/>
      <c r="W58" s="139"/>
      <c r="X58" s="139"/>
      <c r="Y58" s="139"/>
      <c r="Z58" s="139"/>
      <c r="AA58" s="139"/>
      <c r="AB58" s="139"/>
    </row>
    <row r="59" spans="16:28">
      <c r="P59" s="139"/>
      <c r="Q59" s="139"/>
      <c r="R59" s="139"/>
      <c r="S59" s="139"/>
      <c r="T59" s="139"/>
      <c r="U59" s="139"/>
      <c r="V59" s="139"/>
      <c r="W59" s="139"/>
      <c r="X59" s="139"/>
      <c r="Y59" s="139"/>
      <c r="Z59" s="139"/>
      <c r="AA59" s="139"/>
      <c r="AB59" s="139"/>
    </row>
    <row r="60" spans="16:28">
      <c r="P60" s="139"/>
      <c r="Q60" s="139"/>
      <c r="R60" s="139"/>
      <c r="S60" s="139"/>
      <c r="T60" s="139"/>
      <c r="U60" s="139"/>
      <c r="V60" s="139"/>
      <c r="W60" s="139"/>
      <c r="X60" s="139"/>
      <c r="Y60" s="139"/>
      <c r="Z60" s="139"/>
      <c r="AA60" s="139"/>
      <c r="AB60" s="139"/>
    </row>
    <row r="61" spans="16:28">
      <c r="P61" s="139"/>
      <c r="Q61" s="139"/>
      <c r="R61" s="139"/>
      <c r="S61" s="139"/>
      <c r="T61" s="139"/>
      <c r="U61" s="139"/>
      <c r="V61" s="139"/>
      <c r="W61" s="139"/>
      <c r="X61" s="139"/>
      <c r="Y61" s="139"/>
      <c r="Z61" s="139"/>
      <c r="AA61" s="139"/>
      <c r="AB61" s="139"/>
    </row>
    <row r="62" spans="16:28">
      <c r="P62" s="139"/>
      <c r="Q62" s="139"/>
      <c r="R62" s="139"/>
      <c r="S62" s="139"/>
      <c r="T62" s="139"/>
      <c r="U62" s="139"/>
      <c r="V62" s="139"/>
      <c r="W62" s="139"/>
      <c r="X62" s="139"/>
      <c r="Y62" s="139"/>
      <c r="Z62" s="139"/>
      <c r="AA62" s="139"/>
      <c r="AB62" s="139"/>
    </row>
    <row r="63" spans="16:28">
      <c r="P63" s="139"/>
      <c r="Q63" s="139"/>
      <c r="R63" s="139"/>
      <c r="S63" s="139"/>
      <c r="T63" s="139"/>
      <c r="U63" s="139"/>
      <c r="V63" s="139"/>
      <c r="W63" s="139"/>
      <c r="X63" s="139"/>
      <c r="Y63" s="139"/>
      <c r="Z63" s="139"/>
      <c r="AA63" s="139"/>
      <c r="AB63" s="139"/>
    </row>
    <row r="64" spans="16:28">
      <c r="P64" s="139"/>
      <c r="Q64" s="139"/>
      <c r="R64" s="139"/>
      <c r="S64" s="139"/>
      <c r="T64" s="139"/>
      <c r="U64" s="139"/>
      <c r="V64" s="139"/>
      <c r="W64" s="139"/>
      <c r="X64" s="139"/>
      <c r="Y64" s="139"/>
      <c r="Z64" s="139"/>
      <c r="AA64" s="139"/>
      <c r="AB64" s="139"/>
    </row>
    <row r="65" spans="16:28">
      <c r="P65" s="139"/>
      <c r="Q65" s="139"/>
      <c r="R65" s="139"/>
      <c r="S65" s="139"/>
      <c r="T65" s="139"/>
      <c r="U65" s="139"/>
      <c r="V65" s="139"/>
      <c r="W65" s="139"/>
      <c r="X65" s="139"/>
      <c r="Y65" s="139"/>
      <c r="Z65" s="139"/>
      <c r="AA65" s="139"/>
      <c r="AB65" s="139"/>
    </row>
    <row r="66" spans="16:28">
      <c r="P66" s="139"/>
      <c r="Q66" s="139"/>
      <c r="R66" s="139"/>
      <c r="S66" s="139"/>
      <c r="T66" s="139"/>
      <c r="U66" s="139"/>
      <c r="V66" s="139"/>
      <c r="W66" s="139"/>
      <c r="X66" s="139"/>
      <c r="Y66" s="139"/>
      <c r="Z66" s="139"/>
      <c r="AA66" s="139"/>
      <c r="AB66" s="139"/>
    </row>
    <row r="67" spans="16:28">
      <c r="P67" s="139"/>
      <c r="Q67" s="139"/>
      <c r="R67" s="139"/>
      <c r="S67" s="139"/>
      <c r="T67" s="139"/>
      <c r="U67" s="139"/>
      <c r="V67" s="139"/>
      <c r="W67" s="139"/>
      <c r="X67" s="139"/>
      <c r="Y67" s="139"/>
      <c r="Z67" s="139"/>
      <c r="AA67" s="139"/>
      <c r="AB67" s="139"/>
    </row>
    <row r="68" spans="16:28">
      <c r="P68" s="139"/>
      <c r="Q68" s="139"/>
      <c r="R68" s="139"/>
      <c r="S68" s="139"/>
      <c r="T68" s="139"/>
      <c r="U68" s="139"/>
      <c r="V68" s="139"/>
      <c r="W68" s="139"/>
      <c r="X68" s="139"/>
      <c r="Y68" s="139"/>
      <c r="Z68" s="139"/>
      <c r="AA68" s="139"/>
      <c r="AB68" s="139"/>
    </row>
    <row r="69" spans="16:28">
      <c r="P69" s="139"/>
      <c r="Q69" s="139"/>
      <c r="R69" s="139"/>
      <c r="S69" s="139"/>
      <c r="T69" s="139"/>
      <c r="U69" s="139"/>
      <c r="V69" s="139"/>
      <c r="W69" s="139"/>
      <c r="X69" s="139"/>
      <c r="Y69" s="139"/>
      <c r="Z69" s="139"/>
      <c r="AA69" s="139"/>
      <c r="AB69" s="139"/>
    </row>
    <row r="70" spans="16:28">
      <c r="P70" s="139"/>
      <c r="Q70" s="139"/>
      <c r="R70" s="139"/>
      <c r="S70" s="139"/>
      <c r="T70" s="139"/>
      <c r="U70" s="139"/>
      <c r="V70" s="139"/>
      <c r="W70" s="139"/>
      <c r="X70" s="139"/>
      <c r="Y70" s="139"/>
      <c r="Z70" s="139"/>
      <c r="AA70" s="139"/>
      <c r="AB70" s="139"/>
    </row>
    <row r="71" spans="16:28">
      <c r="P71" s="139"/>
      <c r="Q71" s="139"/>
      <c r="R71" s="139"/>
      <c r="S71" s="139"/>
      <c r="T71" s="139"/>
      <c r="U71" s="139"/>
      <c r="V71" s="139"/>
      <c r="W71" s="139"/>
      <c r="X71" s="139"/>
      <c r="Y71" s="139"/>
      <c r="Z71" s="139"/>
      <c r="AA71" s="139"/>
      <c r="AB71" s="139"/>
    </row>
    <row r="72" spans="16:28">
      <c r="P72" s="139"/>
      <c r="Q72" s="139"/>
      <c r="R72" s="139"/>
      <c r="S72" s="139"/>
      <c r="T72" s="139"/>
      <c r="U72" s="139"/>
      <c r="V72" s="139"/>
      <c r="W72" s="139"/>
      <c r="X72" s="139"/>
      <c r="Y72" s="139"/>
      <c r="Z72" s="139"/>
      <c r="AA72" s="139"/>
      <c r="AB72" s="139"/>
    </row>
    <row r="73" spans="16:28">
      <c r="P73" s="139"/>
      <c r="Q73" s="139"/>
      <c r="R73" s="139"/>
      <c r="S73" s="139"/>
      <c r="T73" s="139"/>
      <c r="U73" s="139"/>
      <c r="V73" s="139"/>
      <c r="W73" s="139"/>
      <c r="X73" s="139"/>
      <c r="Y73" s="139"/>
      <c r="Z73" s="139"/>
      <c r="AA73" s="139"/>
      <c r="AB73" s="139"/>
    </row>
    <row r="74" spans="16:28">
      <c r="P74" s="139"/>
      <c r="Q74" s="139"/>
      <c r="R74" s="139"/>
      <c r="S74" s="139"/>
      <c r="T74" s="139"/>
      <c r="U74" s="139"/>
      <c r="V74" s="139"/>
      <c r="W74" s="139"/>
      <c r="X74" s="139"/>
      <c r="Y74" s="139"/>
      <c r="Z74" s="139"/>
      <c r="AA74" s="139"/>
      <c r="AB74" s="139"/>
    </row>
    <row r="75" spans="16:28">
      <c r="P75" s="139"/>
      <c r="Q75" s="139"/>
      <c r="R75" s="139"/>
      <c r="S75" s="139"/>
      <c r="T75" s="139"/>
      <c r="U75" s="139"/>
      <c r="V75" s="139"/>
      <c r="W75" s="139"/>
      <c r="X75" s="139"/>
      <c r="Y75" s="139"/>
      <c r="Z75" s="139"/>
      <c r="AA75" s="139"/>
      <c r="AB75" s="139"/>
    </row>
  </sheetData>
  <mergeCells count="15">
    <mergeCell ref="AF4:AF5"/>
    <mergeCell ref="A1:N1"/>
    <mergeCell ref="A45:N45"/>
    <mergeCell ref="A46:N46"/>
    <mergeCell ref="A2:A4"/>
    <mergeCell ref="B2:N2"/>
    <mergeCell ref="B3:B4"/>
    <mergeCell ref="C3:F3"/>
    <mergeCell ref="G3:J3"/>
    <mergeCell ref="K3:N3"/>
    <mergeCell ref="P2:AB2"/>
    <mergeCell ref="P3:P4"/>
    <mergeCell ref="Q3:T3"/>
    <mergeCell ref="U3:X3"/>
    <mergeCell ref="Y3:AB3"/>
  </mergeCells>
  <pageMargins left="0.7" right="0.7" top="0.75" bottom="0.75" header="0.3" footer="0.3"/>
  <pageSetup scale="71" orientation="landscape" horizontalDpi="0" verticalDpi="0" r:id="rId1"/>
  <colBreaks count="1" manualBreakCount="1">
    <brk id="14" max="1048575" man="1"/>
  </colBreaks>
</worksheet>
</file>

<file path=xl/worksheets/sheet120.xml><?xml version="1.0" encoding="utf-8"?>
<worksheet xmlns="http://schemas.openxmlformats.org/spreadsheetml/2006/main" xmlns:r="http://schemas.openxmlformats.org/officeDocument/2006/relationships">
  <sheetPr codeName="Sheet113"/>
  <dimension ref="A1:S68"/>
  <sheetViews>
    <sheetView view="pageBreakPreview" zoomScaleNormal="70" zoomScaleSheetLayoutView="100"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1.42578125" style="64" customWidth="1"/>
    <col min="2" max="2" width="7.7109375" style="64" customWidth="1"/>
    <col min="3" max="3" width="7.42578125" style="64" customWidth="1"/>
    <col min="4" max="4" width="8.42578125" style="64" customWidth="1"/>
    <col min="5" max="5" width="7.85546875" style="64" customWidth="1"/>
    <col min="6" max="6" width="7.28515625" style="64" customWidth="1"/>
    <col min="7" max="7" width="10" style="64" customWidth="1"/>
    <col min="8" max="8" width="10.42578125" style="64" customWidth="1"/>
    <col min="9" max="9" width="10.140625" style="64" customWidth="1"/>
    <col min="10" max="10" width="9.5703125" style="64" customWidth="1"/>
    <col min="11" max="11" width="10.7109375" style="64" customWidth="1"/>
    <col min="12" max="12" width="10.28515625" style="57" customWidth="1"/>
    <col min="13" max="13" width="13.5703125" style="57" customWidth="1"/>
    <col min="14" max="15" width="12.5703125" style="57" customWidth="1"/>
    <col min="16" max="16384" width="9.140625" style="64"/>
  </cols>
  <sheetData>
    <row r="1" spans="1:19">
      <c r="A1" s="66" t="s">
        <v>2001</v>
      </c>
    </row>
    <row r="2" spans="1:19" ht="30" customHeight="1">
      <c r="A2" s="96"/>
      <c r="B2" s="97" t="s">
        <v>113</v>
      </c>
      <c r="C2" s="97"/>
      <c r="D2" s="98" t="s">
        <v>116</v>
      </c>
      <c r="E2" s="99"/>
      <c r="F2" s="97" t="s">
        <v>117</v>
      </c>
      <c r="G2" s="97" t="s">
        <v>118</v>
      </c>
      <c r="H2" s="97" t="s">
        <v>119</v>
      </c>
      <c r="I2" s="97" t="s">
        <v>120</v>
      </c>
      <c r="J2" s="97" t="s">
        <v>1004</v>
      </c>
      <c r="K2" s="97" t="s">
        <v>122</v>
      </c>
      <c r="L2" s="97" t="s">
        <v>1003</v>
      </c>
      <c r="M2" s="97"/>
      <c r="N2" s="97"/>
      <c r="O2" s="97" t="s">
        <v>1079</v>
      </c>
    </row>
    <row r="3" spans="1:19" ht="75" customHeight="1">
      <c r="A3" s="96"/>
      <c r="B3" s="73" t="s">
        <v>114</v>
      </c>
      <c r="C3" s="73" t="s">
        <v>115</v>
      </c>
      <c r="D3" s="73" t="s">
        <v>114</v>
      </c>
      <c r="E3" s="73" t="s">
        <v>115</v>
      </c>
      <c r="F3" s="97"/>
      <c r="G3" s="97"/>
      <c r="H3" s="97"/>
      <c r="I3" s="97"/>
      <c r="J3" s="97"/>
      <c r="K3" s="97"/>
      <c r="L3" s="73" t="s">
        <v>1009</v>
      </c>
      <c r="M3" s="73" t="s">
        <v>1010</v>
      </c>
      <c r="N3" s="73" t="s">
        <v>1011</v>
      </c>
      <c r="O3" s="97"/>
      <c r="R3" s="70"/>
      <c r="S3" s="208"/>
    </row>
    <row r="4" spans="1:19" ht="15" customHeight="1">
      <c r="A4" s="96"/>
      <c r="B4" s="98" t="s">
        <v>844</v>
      </c>
      <c r="C4" s="100"/>
      <c r="D4" s="100"/>
      <c r="E4" s="100"/>
      <c r="F4" s="100"/>
      <c r="G4" s="100"/>
      <c r="H4" s="100"/>
      <c r="I4" s="99"/>
      <c r="J4" s="97" t="s">
        <v>1002</v>
      </c>
      <c r="K4" s="97"/>
      <c r="L4" s="103" t="s">
        <v>844</v>
      </c>
      <c r="M4" s="103"/>
      <c r="N4" s="103"/>
      <c r="O4" s="103"/>
      <c r="R4" s="70"/>
      <c r="S4" s="208"/>
    </row>
    <row r="5" spans="1:19" hidden="1" outlineLevel="1">
      <c r="B5" s="64" t="s">
        <v>90</v>
      </c>
      <c r="C5" s="64" t="s">
        <v>93</v>
      </c>
      <c r="D5" s="64" t="s">
        <v>136</v>
      </c>
      <c r="E5" s="64" t="s">
        <v>137</v>
      </c>
      <c r="F5" s="64" t="s">
        <v>138</v>
      </c>
      <c r="G5" s="64" t="s">
        <v>4</v>
      </c>
      <c r="H5" s="64" t="s">
        <v>142</v>
      </c>
      <c r="I5" s="64" t="s">
        <v>147</v>
      </c>
      <c r="L5" s="57" t="s">
        <v>154</v>
      </c>
      <c r="M5" s="57" t="s">
        <v>155</v>
      </c>
      <c r="N5" s="57" t="s">
        <v>156</v>
      </c>
    </row>
    <row r="6" spans="1:19" collapsed="1">
      <c r="A6" s="66">
        <v>1961</v>
      </c>
      <c r="B6" s="31">
        <v>71.099999999999994</v>
      </c>
      <c r="C6" s="31">
        <v>38.299999999999997</v>
      </c>
      <c r="D6" s="31">
        <v>23.5</v>
      </c>
      <c r="E6" s="31">
        <v>22.2</v>
      </c>
      <c r="F6" s="31">
        <v>18.899999999999999</v>
      </c>
      <c r="G6" s="31">
        <v>17.899999999999999</v>
      </c>
      <c r="H6" s="31">
        <v>46.7</v>
      </c>
      <c r="I6" s="31">
        <v>26.6</v>
      </c>
      <c r="J6" s="30">
        <v>1047.7</v>
      </c>
      <c r="K6" s="30">
        <v>390.2</v>
      </c>
      <c r="L6" s="31">
        <v>87.3</v>
      </c>
      <c r="M6" s="31">
        <v>40.4</v>
      </c>
      <c r="N6" s="31">
        <v>93.5</v>
      </c>
      <c r="O6" s="31">
        <f>'19b'!B6/'19a'!E5*100</f>
        <v>29.891924564796906</v>
      </c>
      <c r="S6" s="31"/>
    </row>
    <row r="7" spans="1:19" hidden="1" outlineLevel="1">
      <c r="A7" s="66">
        <v>1962</v>
      </c>
      <c r="B7" s="31">
        <v>73.5</v>
      </c>
      <c r="C7" s="31">
        <v>41.7</v>
      </c>
      <c r="D7" s="31">
        <v>24.8</v>
      </c>
      <c r="E7" s="31">
        <v>24.2</v>
      </c>
      <c r="F7" s="31">
        <v>20.7</v>
      </c>
      <c r="G7" s="31">
        <v>20.100000000000001</v>
      </c>
      <c r="H7" s="31">
        <v>48.2</v>
      </c>
      <c r="I7" s="31">
        <v>28.1</v>
      </c>
      <c r="J7" s="30">
        <v>1164.4000000000001</v>
      </c>
      <c r="K7" s="30">
        <v>446.7</v>
      </c>
      <c r="L7" s="31">
        <v>87.1</v>
      </c>
      <c r="M7" s="31">
        <v>41.4</v>
      </c>
      <c r="N7" s="31">
        <v>93.8</v>
      </c>
      <c r="O7" s="31">
        <f>'19b'!B7/'19a'!E6*100</f>
        <v>28.84723523898781</v>
      </c>
      <c r="S7" s="31"/>
    </row>
    <row r="8" spans="1:19" hidden="1" outlineLevel="1">
      <c r="A8" s="66">
        <v>1963</v>
      </c>
      <c r="B8" s="31">
        <v>75.5</v>
      </c>
      <c r="C8" s="31">
        <v>44.8</v>
      </c>
      <c r="D8" s="31">
        <v>25.9</v>
      </c>
      <c r="E8" s="31">
        <v>26</v>
      </c>
      <c r="F8" s="31">
        <v>22.4</v>
      </c>
      <c r="G8" s="31">
        <v>22.5</v>
      </c>
      <c r="H8" s="31">
        <v>50.2</v>
      </c>
      <c r="I8" s="31">
        <v>29.6</v>
      </c>
      <c r="J8" s="30">
        <v>1286</v>
      </c>
      <c r="K8" s="30">
        <v>509.1</v>
      </c>
      <c r="L8" s="31">
        <v>86.9</v>
      </c>
      <c r="M8" s="31">
        <v>41.9</v>
      </c>
      <c r="N8" s="31">
        <v>94.1</v>
      </c>
      <c r="O8" s="31">
        <f>'19b'!B8/'19a'!E7*100</f>
        <v>28.089004055881023</v>
      </c>
      <c r="S8" s="31"/>
    </row>
    <row r="9" spans="1:19" hidden="1" outlineLevel="1">
      <c r="A9" s="66">
        <v>1964</v>
      </c>
      <c r="B9" s="31">
        <v>76.400000000000006</v>
      </c>
      <c r="C9" s="31">
        <v>46.2</v>
      </c>
      <c r="D9" s="31">
        <v>26.9</v>
      </c>
      <c r="E9" s="31">
        <v>27.1</v>
      </c>
      <c r="F9" s="31">
        <v>24</v>
      </c>
      <c r="G9" s="31">
        <v>24.2</v>
      </c>
      <c r="H9" s="31">
        <v>52.5</v>
      </c>
      <c r="I9" s="31">
        <v>31.4</v>
      </c>
      <c r="J9" s="30">
        <v>1422.3</v>
      </c>
      <c r="K9" s="30">
        <v>548.79999999999995</v>
      </c>
      <c r="L9" s="31">
        <v>87</v>
      </c>
      <c r="M9" s="31">
        <v>42.9</v>
      </c>
      <c r="N9" s="31">
        <v>94.4</v>
      </c>
      <c r="O9" s="31">
        <f>'19b'!B9/'19a'!E8*100</f>
        <v>28.437800087298122</v>
      </c>
      <c r="S9" s="31"/>
    </row>
    <row r="10" spans="1:19" hidden="1" outlineLevel="1">
      <c r="A10" s="66">
        <v>1965</v>
      </c>
      <c r="B10" s="31">
        <v>76.400000000000006</v>
      </c>
      <c r="C10" s="31">
        <v>46.2</v>
      </c>
      <c r="D10" s="31">
        <v>27.2</v>
      </c>
      <c r="E10" s="31">
        <v>27.7</v>
      </c>
      <c r="F10" s="31">
        <v>24.6</v>
      </c>
      <c r="G10" s="31">
        <v>25.2</v>
      </c>
      <c r="H10" s="31">
        <v>54.4</v>
      </c>
      <c r="I10" s="31">
        <v>32.200000000000003</v>
      </c>
      <c r="J10" s="30">
        <v>1504.9</v>
      </c>
      <c r="K10" s="30">
        <v>577.5</v>
      </c>
      <c r="L10" s="31">
        <v>87.4</v>
      </c>
      <c r="M10" s="31">
        <v>42.9</v>
      </c>
      <c r="N10" s="31">
        <v>94.7</v>
      </c>
      <c r="O10" s="31">
        <f>'19b'!B10/'19a'!E9*100</f>
        <v>29.871723248818228</v>
      </c>
      <c r="S10" s="31"/>
    </row>
    <row r="11" spans="1:19" hidden="1" outlineLevel="1">
      <c r="A11" s="66">
        <v>1966</v>
      </c>
      <c r="B11" s="31">
        <v>76.5</v>
      </c>
      <c r="C11" s="31">
        <v>46.3</v>
      </c>
      <c r="D11" s="31">
        <v>28</v>
      </c>
      <c r="E11" s="31">
        <v>28.2</v>
      </c>
      <c r="F11" s="31">
        <v>25.4</v>
      </c>
      <c r="G11" s="31">
        <v>25.5</v>
      </c>
      <c r="H11" s="31">
        <v>55.1</v>
      </c>
      <c r="I11" s="31">
        <v>33.200000000000003</v>
      </c>
      <c r="J11" s="30">
        <v>1603.1</v>
      </c>
      <c r="K11" s="30">
        <v>614.6</v>
      </c>
      <c r="L11" s="31">
        <v>87.7</v>
      </c>
      <c r="M11" s="31">
        <v>44</v>
      </c>
      <c r="N11" s="31">
        <v>94.9</v>
      </c>
      <c r="O11" s="31">
        <f>'19b'!B11/'19a'!E10*100</f>
        <v>31.275096940973718</v>
      </c>
      <c r="S11" s="31"/>
    </row>
    <row r="12" spans="1:19" hidden="1" outlineLevel="1">
      <c r="A12" s="66">
        <v>1967</v>
      </c>
      <c r="B12" s="31">
        <v>77.5</v>
      </c>
      <c r="C12" s="31">
        <v>47.8</v>
      </c>
      <c r="D12" s="31">
        <v>28.8</v>
      </c>
      <c r="E12" s="31">
        <v>29.4</v>
      </c>
      <c r="F12" s="31">
        <v>25.9</v>
      </c>
      <c r="G12" s="31">
        <v>26.5</v>
      </c>
      <c r="H12" s="31">
        <v>55.4</v>
      </c>
      <c r="I12" s="31">
        <v>33.4</v>
      </c>
      <c r="J12" s="30">
        <v>1679.4</v>
      </c>
      <c r="K12" s="30">
        <v>654.1</v>
      </c>
      <c r="L12" s="31">
        <v>87.9</v>
      </c>
      <c r="M12" s="31">
        <v>44.5</v>
      </c>
      <c r="N12" s="31">
        <v>95.2</v>
      </c>
      <c r="O12" s="31">
        <f>'19b'!B12/'19a'!E11*100</f>
        <v>31.812228967909807</v>
      </c>
      <c r="S12" s="31"/>
    </row>
    <row r="13" spans="1:19" hidden="1" outlineLevel="1">
      <c r="A13" s="66">
        <v>1968</v>
      </c>
      <c r="B13" s="31">
        <v>79.599999999999994</v>
      </c>
      <c r="C13" s="31">
        <v>51.3</v>
      </c>
      <c r="D13" s="31">
        <v>31.1</v>
      </c>
      <c r="E13" s="31">
        <v>31.9</v>
      </c>
      <c r="F13" s="31">
        <v>27.9</v>
      </c>
      <c r="G13" s="31">
        <v>28.7</v>
      </c>
      <c r="H13" s="31">
        <v>55.8</v>
      </c>
      <c r="I13" s="31">
        <v>35.1</v>
      </c>
      <c r="J13" s="30">
        <v>1958.6</v>
      </c>
      <c r="K13" s="30">
        <v>783.9</v>
      </c>
      <c r="L13" s="31">
        <v>88</v>
      </c>
      <c r="M13" s="31">
        <v>46.6</v>
      </c>
      <c r="N13" s="31">
        <v>95.4</v>
      </c>
      <c r="O13" s="31">
        <f>'19b'!B13/'19a'!E12*100</f>
        <v>32.410551454624404</v>
      </c>
      <c r="S13" s="31"/>
    </row>
    <row r="14" spans="1:19" hidden="1" outlineLevel="1">
      <c r="A14" s="66">
        <v>1969</v>
      </c>
      <c r="B14" s="31">
        <v>77.900000000000006</v>
      </c>
      <c r="C14" s="31">
        <v>48.6</v>
      </c>
      <c r="D14" s="31">
        <v>32</v>
      </c>
      <c r="E14" s="31">
        <v>31.6</v>
      </c>
      <c r="F14" s="31">
        <v>29.1</v>
      </c>
      <c r="G14" s="31">
        <v>28.8</v>
      </c>
      <c r="H14" s="31">
        <v>59.3</v>
      </c>
      <c r="I14" s="31">
        <v>37.299999999999997</v>
      </c>
      <c r="J14" s="30">
        <v>2192.6999999999998</v>
      </c>
      <c r="K14" s="30">
        <v>845.6</v>
      </c>
      <c r="L14" s="31">
        <v>89.5</v>
      </c>
      <c r="M14" s="31">
        <v>48</v>
      </c>
      <c r="N14" s="31">
        <v>95.5</v>
      </c>
      <c r="O14" s="31">
        <f>'19b'!B14/'19a'!E13*100</f>
        <v>37.617066895368787</v>
      </c>
      <c r="S14" s="31"/>
    </row>
    <row r="15" spans="1:19" hidden="1" outlineLevel="1">
      <c r="A15" s="66">
        <v>1970</v>
      </c>
      <c r="B15" s="31">
        <v>78.5</v>
      </c>
      <c r="C15" s="31">
        <v>49.6</v>
      </c>
      <c r="D15" s="31">
        <v>33.200000000000003</v>
      </c>
      <c r="E15" s="31">
        <v>33.6</v>
      </c>
      <c r="F15" s="31">
        <v>28.9</v>
      </c>
      <c r="G15" s="31">
        <v>29.2</v>
      </c>
      <c r="H15" s="31">
        <v>58.8</v>
      </c>
      <c r="I15" s="31">
        <v>36.799999999999997</v>
      </c>
      <c r="J15" s="30">
        <v>1997.6</v>
      </c>
      <c r="K15" s="30">
        <v>717.2</v>
      </c>
      <c r="L15" s="31">
        <v>90.7</v>
      </c>
      <c r="M15" s="31">
        <v>48.8</v>
      </c>
      <c r="N15" s="31">
        <v>95.6</v>
      </c>
      <c r="O15" s="31">
        <f>'19b'!B15/'19a'!E14*100</f>
        <v>44.073351278600256</v>
      </c>
      <c r="S15" s="31"/>
    </row>
    <row r="16" spans="1:19" hidden="1" outlineLevel="1">
      <c r="A16" s="66">
        <v>1971</v>
      </c>
      <c r="B16" s="31">
        <v>78.2</v>
      </c>
      <c r="C16" s="31">
        <v>48.9</v>
      </c>
      <c r="D16" s="31">
        <v>33.6</v>
      </c>
      <c r="E16" s="31">
        <v>33.4</v>
      </c>
      <c r="F16" s="31">
        <v>31</v>
      </c>
      <c r="G16" s="31">
        <v>30.9</v>
      </c>
      <c r="H16" s="31">
        <v>63</v>
      </c>
      <c r="I16" s="31">
        <v>39.6</v>
      </c>
      <c r="J16" s="30">
        <v>2331</v>
      </c>
      <c r="K16" s="30">
        <v>854</v>
      </c>
      <c r="L16" s="31">
        <v>90.7</v>
      </c>
      <c r="M16" s="31">
        <v>49.3</v>
      </c>
      <c r="N16" s="31">
        <v>96</v>
      </c>
      <c r="O16" s="31">
        <f>'19b'!B16/'19a'!E15*100</f>
        <v>43.869298986486484</v>
      </c>
      <c r="S16" s="31"/>
    </row>
    <row r="17" spans="1:19" hidden="1" outlineLevel="1">
      <c r="A17" s="66">
        <v>1972</v>
      </c>
      <c r="B17" s="31">
        <v>76.599999999999994</v>
      </c>
      <c r="C17" s="31">
        <v>46.4</v>
      </c>
      <c r="D17" s="31">
        <v>33.200000000000003</v>
      </c>
      <c r="E17" s="31">
        <v>31.7</v>
      </c>
      <c r="F17" s="31">
        <v>33.9</v>
      </c>
      <c r="G17" s="31">
        <v>32.299999999999997</v>
      </c>
      <c r="H17" s="31">
        <v>69.7</v>
      </c>
      <c r="I17" s="31">
        <v>44.2</v>
      </c>
      <c r="J17" s="30">
        <v>3073.3</v>
      </c>
      <c r="K17" s="30">
        <v>1206.2</v>
      </c>
      <c r="L17" s="31">
        <v>90.4</v>
      </c>
      <c r="M17" s="31">
        <v>49.8</v>
      </c>
      <c r="N17" s="31">
        <v>96.3</v>
      </c>
      <c r="O17" s="31">
        <f>'19b'!B17/'19a'!E16*100</f>
        <v>42.259747706422019</v>
      </c>
      <c r="S17" s="31"/>
    </row>
    <row r="18" spans="1:19" collapsed="1">
      <c r="A18" s="66">
        <v>1973</v>
      </c>
      <c r="B18" s="31">
        <v>75.599999999999994</v>
      </c>
      <c r="C18" s="31">
        <v>44.9</v>
      </c>
      <c r="D18" s="31">
        <v>33.799999999999997</v>
      </c>
      <c r="E18" s="31">
        <v>31.7</v>
      </c>
      <c r="F18" s="31">
        <v>37.299999999999997</v>
      </c>
      <c r="G18" s="31">
        <v>34.9</v>
      </c>
      <c r="H18" s="31">
        <v>77.7</v>
      </c>
      <c r="I18" s="31">
        <v>49.2</v>
      </c>
      <c r="J18" s="30">
        <v>4161.2</v>
      </c>
      <c r="K18" s="30">
        <v>1713.7</v>
      </c>
      <c r="L18" s="31">
        <v>91.3</v>
      </c>
      <c r="M18" s="31">
        <v>50.7</v>
      </c>
      <c r="N18" s="31">
        <v>96.5</v>
      </c>
      <c r="O18" s="31">
        <f>'19b'!B18/'19a'!E17*100</f>
        <v>45.334040296924712</v>
      </c>
      <c r="S18" s="31"/>
    </row>
    <row r="19" spans="1:19" hidden="1" outlineLevel="1">
      <c r="A19" s="66">
        <v>1974</v>
      </c>
      <c r="B19" s="31">
        <v>76.2</v>
      </c>
      <c r="C19" s="31">
        <v>45.8</v>
      </c>
      <c r="D19" s="31">
        <v>35.1</v>
      </c>
      <c r="E19" s="31">
        <v>34.200000000000003</v>
      </c>
      <c r="F19" s="31">
        <v>36.6</v>
      </c>
      <c r="G19" s="31">
        <v>35.6</v>
      </c>
      <c r="H19" s="31">
        <v>77.8</v>
      </c>
      <c r="I19" s="31">
        <v>48</v>
      </c>
      <c r="J19" s="30">
        <v>4101.2</v>
      </c>
      <c r="K19" s="30">
        <v>1561.9</v>
      </c>
      <c r="L19" s="31">
        <v>93.3</v>
      </c>
      <c r="M19" s="31">
        <v>51.1</v>
      </c>
      <c r="N19" s="31">
        <v>96.7</v>
      </c>
      <c r="O19" s="31">
        <f>'19b'!B19/'19a'!E18*100</f>
        <v>53.757485029940121</v>
      </c>
      <c r="S19" s="31"/>
    </row>
    <row r="20" spans="1:19" hidden="1" outlineLevel="1">
      <c r="A20" s="66">
        <v>1975</v>
      </c>
      <c r="B20" s="31">
        <v>75.599999999999994</v>
      </c>
      <c r="C20" s="31">
        <v>44.9</v>
      </c>
      <c r="D20" s="31">
        <v>35.200000000000003</v>
      </c>
      <c r="E20" s="31">
        <v>34.6</v>
      </c>
      <c r="F20" s="31">
        <v>33.200000000000003</v>
      </c>
      <c r="G20" s="31">
        <v>32.6</v>
      </c>
      <c r="H20" s="31">
        <v>72.7</v>
      </c>
      <c r="I20" s="31">
        <v>44</v>
      </c>
      <c r="J20" s="30">
        <v>3898.7</v>
      </c>
      <c r="K20" s="30">
        <v>1462.4</v>
      </c>
      <c r="L20" s="31">
        <v>94.3</v>
      </c>
      <c r="M20" s="31">
        <v>51.1</v>
      </c>
      <c r="N20" s="31">
        <v>96.8</v>
      </c>
      <c r="O20" s="31">
        <f>'19b'!B20/'19a'!E19*100</f>
        <v>61.551510136532897</v>
      </c>
      <c r="S20" s="31"/>
    </row>
    <row r="21" spans="1:19" hidden="1" outlineLevel="1">
      <c r="A21" s="66">
        <v>1976</v>
      </c>
      <c r="B21" s="31">
        <v>79.2</v>
      </c>
      <c r="C21" s="31">
        <v>50.9</v>
      </c>
      <c r="D21" s="31">
        <v>38.799999999999997</v>
      </c>
      <c r="E21" s="31">
        <v>38.9</v>
      </c>
      <c r="F21" s="31">
        <v>40</v>
      </c>
      <c r="G21" s="31">
        <v>40.1</v>
      </c>
      <c r="H21" s="31">
        <v>78.8</v>
      </c>
      <c r="I21" s="31">
        <v>50.5</v>
      </c>
      <c r="J21" s="30">
        <v>5188.3999999999996</v>
      </c>
      <c r="K21" s="30">
        <v>1937</v>
      </c>
      <c r="L21" s="31">
        <v>93.8</v>
      </c>
      <c r="M21" s="31">
        <v>53.8</v>
      </c>
      <c r="N21" s="31">
        <v>97</v>
      </c>
      <c r="O21" s="31">
        <f>'19b'!B21/'19a'!E20*100</f>
        <v>56.676503972758226</v>
      </c>
      <c r="S21" s="31"/>
    </row>
    <row r="22" spans="1:19" hidden="1" outlineLevel="1">
      <c r="A22" s="66">
        <v>1977</v>
      </c>
      <c r="B22" s="31">
        <v>81.3</v>
      </c>
      <c r="C22" s="31">
        <v>54.4</v>
      </c>
      <c r="D22" s="31">
        <v>40</v>
      </c>
      <c r="E22" s="31">
        <v>41.4</v>
      </c>
      <c r="F22" s="31">
        <v>42.6</v>
      </c>
      <c r="G22" s="31">
        <v>44.1</v>
      </c>
      <c r="H22" s="31">
        <v>81.099999999999994</v>
      </c>
      <c r="I22" s="31">
        <v>52.4</v>
      </c>
      <c r="J22" s="30">
        <v>6154.9</v>
      </c>
      <c r="K22" s="30">
        <v>2464.6999999999998</v>
      </c>
      <c r="L22" s="31">
        <v>93.5</v>
      </c>
      <c r="M22" s="31">
        <v>54.2</v>
      </c>
      <c r="N22" s="31">
        <v>97.2</v>
      </c>
      <c r="O22" s="31">
        <f>'19b'!B22/'19a'!E21*100</f>
        <v>54.944159648480408</v>
      </c>
      <c r="S22" s="31"/>
    </row>
    <row r="23" spans="1:19" hidden="1" outlineLevel="1">
      <c r="A23" s="66">
        <v>1978</v>
      </c>
      <c r="B23" s="31">
        <v>80.599999999999994</v>
      </c>
      <c r="C23" s="31">
        <v>53.3</v>
      </c>
      <c r="D23" s="31">
        <v>39.4</v>
      </c>
      <c r="E23" s="31">
        <v>40.1</v>
      </c>
      <c r="F23" s="31">
        <v>44.6</v>
      </c>
      <c r="G23" s="31">
        <v>45.4</v>
      </c>
      <c r="H23" s="31">
        <v>85.2</v>
      </c>
      <c r="I23" s="31">
        <v>55.3</v>
      </c>
      <c r="J23" s="30">
        <v>7536.6</v>
      </c>
      <c r="K23" s="30">
        <v>3106.2</v>
      </c>
      <c r="L23" s="31">
        <v>93</v>
      </c>
      <c r="M23" s="31">
        <v>54.1</v>
      </c>
      <c r="N23" s="31">
        <v>97.2</v>
      </c>
      <c r="O23" s="31">
        <f>'19b'!B23/'19a'!E22*100</f>
        <v>52.660695831898032</v>
      </c>
      <c r="S23" s="31"/>
    </row>
    <row r="24" spans="1:19" hidden="1" outlineLevel="1">
      <c r="A24" s="66">
        <v>1979</v>
      </c>
      <c r="B24" s="31">
        <v>80</v>
      </c>
      <c r="C24" s="31">
        <v>52.3</v>
      </c>
      <c r="D24" s="31">
        <v>39.5</v>
      </c>
      <c r="E24" s="31">
        <v>39.5</v>
      </c>
      <c r="F24" s="31">
        <v>46</v>
      </c>
      <c r="G24" s="31">
        <v>46.1</v>
      </c>
      <c r="H24" s="31">
        <v>88.1</v>
      </c>
      <c r="I24" s="31">
        <v>57.5</v>
      </c>
      <c r="J24" s="30">
        <v>8956.2000000000007</v>
      </c>
      <c r="K24" s="30">
        <v>3523.5</v>
      </c>
      <c r="L24" s="31">
        <v>93.2</v>
      </c>
      <c r="M24" s="31">
        <v>54.5</v>
      </c>
      <c r="N24" s="31">
        <v>97.2</v>
      </c>
      <c r="O24" s="31">
        <f>'19b'!B24/'19a'!E23*100</f>
        <v>53.358862876254186</v>
      </c>
      <c r="S24" s="31"/>
    </row>
    <row r="25" spans="1:19" hidden="1" outlineLevel="1">
      <c r="A25" s="66">
        <v>1980</v>
      </c>
      <c r="B25" s="31">
        <v>82.1</v>
      </c>
      <c r="C25" s="31">
        <v>56.1</v>
      </c>
      <c r="D25" s="31">
        <v>42.1</v>
      </c>
      <c r="E25" s="31">
        <v>44</v>
      </c>
      <c r="F25" s="31">
        <v>46</v>
      </c>
      <c r="G25" s="31">
        <v>48.1</v>
      </c>
      <c r="H25" s="31">
        <v>85.7</v>
      </c>
      <c r="I25" s="31">
        <v>56.1</v>
      </c>
      <c r="J25" s="30">
        <v>8599.6</v>
      </c>
      <c r="K25" s="30">
        <v>3102</v>
      </c>
      <c r="L25" s="31">
        <v>94.4</v>
      </c>
      <c r="M25" s="31">
        <v>55.9</v>
      </c>
      <c r="N25" s="31">
        <v>97.3</v>
      </c>
      <c r="O25" s="31">
        <f>'19b'!B25/'19a'!E24*100</f>
        <v>60.945058865501231</v>
      </c>
      <c r="S25" s="31"/>
    </row>
    <row r="26" spans="1:19" collapsed="1">
      <c r="A26" s="66">
        <v>1981</v>
      </c>
      <c r="B26" s="31">
        <v>79.400000000000006</v>
      </c>
      <c r="C26" s="31">
        <v>51</v>
      </c>
      <c r="D26" s="31">
        <v>40.5</v>
      </c>
      <c r="E26" s="31">
        <v>40.700000000000003</v>
      </c>
      <c r="F26" s="31">
        <v>40.700000000000003</v>
      </c>
      <c r="G26" s="31">
        <v>40.9</v>
      </c>
      <c r="H26" s="31">
        <v>80.099999999999994</v>
      </c>
      <c r="I26" s="31">
        <v>51.3</v>
      </c>
      <c r="J26" s="30">
        <v>7754.6</v>
      </c>
      <c r="K26" s="30">
        <v>2641.8</v>
      </c>
      <c r="L26" s="31">
        <v>94.9</v>
      </c>
      <c r="M26" s="31">
        <v>55.2</v>
      </c>
      <c r="N26" s="31">
        <v>97.4</v>
      </c>
      <c r="O26" s="31">
        <f>'19b'!B26/'19a'!E25*100</f>
        <v>66.662141194724583</v>
      </c>
      <c r="S26" s="31"/>
    </row>
    <row r="27" spans="1:19">
      <c r="A27" s="66">
        <v>1982</v>
      </c>
      <c r="B27" s="31">
        <v>78.7</v>
      </c>
      <c r="C27" s="31">
        <v>49.6</v>
      </c>
      <c r="D27" s="31">
        <v>41.5</v>
      </c>
      <c r="E27" s="31">
        <v>40.9</v>
      </c>
      <c r="F27" s="31">
        <v>34.799999999999997</v>
      </c>
      <c r="G27" s="31">
        <v>34.4</v>
      </c>
      <c r="H27" s="31">
        <v>69.3</v>
      </c>
      <c r="I27" s="31">
        <v>44.3</v>
      </c>
      <c r="J27" s="30">
        <v>6583</v>
      </c>
      <c r="K27" s="30">
        <v>2006</v>
      </c>
      <c r="L27" s="31">
        <v>95.6</v>
      </c>
      <c r="M27" s="31">
        <v>56.4</v>
      </c>
      <c r="N27" s="31">
        <v>97.7</v>
      </c>
      <c r="O27" s="31">
        <f>'19b'!B27/'19a'!E26*100</f>
        <v>77.283426183844014</v>
      </c>
      <c r="S27" s="31"/>
    </row>
    <row r="28" spans="1:19">
      <c r="A28" s="66">
        <v>1983</v>
      </c>
      <c r="B28" s="31">
        <v>83.5</v>
      </c>
      <c r="C28" s="31">
        <v>59.4</v>
      </c>
      <c r="D28" s="31">
        <v>49.1</v>
      </c>
      <c r="E28" s="31">
        <v>48.7</v>
      </c>
      <c r="F28" s="31">
        <v>42.6</v>
      </c>
      <c r="G28" s="31">
        <v>42.3</v>
      </c>
      <c r="H28" s="31">
        <v>71.2</v>
      </c>
      <c r="I28" s="31">
        <v>51</v>
      </c>
      <c r="J28" s="30">
        <v>8873.7999999999993</v>
      </c>
      <c r="K28" s="30">
        <v>3079.3</v>
      </c>
      <c r="L28" s="31">
        <v>95.1</v>
      </c>
      <c r="M28" s="31">
        <v>63.1</v>
      </c>
      <c r="N28" s="31">
        <v>98.1</v>
      </c>
      <c r="O28" s="31">
        <f>'19b'!B28/'19a'!E27*100</f>
        <v>70.897752808988756</v>
      </c>
      <c r="S28" s="31"/>
    </row>
    <row r="29" spans="1:19">
      <c r="A29" s="66">
        <v>1984</v>
      </c>
      <c r="B29" s="31">
        <v>87.3</v>
      </c>
      <c r="C29" s="31">
        <v>67.599999999999994</v>
      </c>
      <c r="D29" s="31">
        <v>54</v>
      </c>
      <c r="E29" s="31">
        <v>55.8</v>
      </c>
      <c r="F29" s="31">
        <v>46.1</v>
      </c>
      <c r="G29" s="31">
        <v>47.7</v>
      </c>
      <c r="H29" s="31">
        <v>70.5</v>
      </c>
      <c r="I29" s="31">
        <v>52.8</v>
      </c>
      <c r="J29" s="30">
        <v>9416.2999999999993</v>
      </c>
      <c r="K29" s="30">
        <v>3206.2</v>
      </c>
      <c r="L29" s="31">
        <v>95.1</v>
      </c>
      <c r="M29" s="31">
        <v>66.2</v>
      </c>
      <c r="N29" s="31">
        <v>98.3</v>
      </c>
      <c r="O29" s="31">
        <f>'19b'!B29/'19a'!E28*100</f>
        <v>70.593108169785495</v>
      </c>
      <c r="S29" s="31"/>
    </row>
    <row r="30" spans="1:19">
      <c r="A30" s="66">
        <v>1985</v>
      </c>
      <c r="B30" s="31">
        <v>90.2</v>
      </c>
      <c r="C30" s="31">
        <v>74.400000000000006</v>
      </c>
      <c r="D30" s="31">
        <v>57.2</v>
      </c>
      <c r="E30" s="31">
        <v>61.3</v>
      </c>
      <c r="F30" s="31">
        <v>49.9</v>
      </c>
      <c r="G30" s="31">
        <v>53.4</v>
      </c>
      <c r="H30" s="31">
        <v>71.8</v>
      </c>
      <c r="I30" s="31">
        <v>55.3</v>
      </c>
      <c r="J30" s="30">
        <v>10410.6</v>
      </c>
      <c r="K30" s="30">
        <v>3675.6</v>
      </c>
      <c r="L30" s="31">
        <v>94.7</v>
      </c>
      <c r="M30" s="31">
        <v>67.900000000000006</v>
      </c>
      <c r="N30" s="31">
        <v>98.5</v>
      </c>
      <c r="O30" s="31">
        <f>'19b'!B30/'19a'!E29*100</f>
        <v>66.733571747876624</v>
      </c>
      <c r="S30" s="31"/>
    </row>
    <row r="31" spans="1:19">
      <c r="A31" s="66">
        <v>1986</v>
      </c>
      <c r="B31" s="31">
        <v>89.2</v>
      </c>
      <c r="C31" s="31">
        <v>72.099999999999994</v>
      </c>
      <c r="D31" s="31">
        <v>56.3</v>
      </c>
      <c r="E31" s="31">
        <v>59</v>
      </c>
      <c r="F31" s="31">
        <v>51.5</v>
      </c>
      <c r="G31" s="31">
        <v>54</v>
      </c>
      <c r="H31" s="31">
        <v>74.8</v>
      </c>
      <c r="I31" s="31">
        <v>57.7</v>
      </c>
      <c r="J31" s="30">
        <v>11487</v>
      </c>
      <c r="K31" s="30">
        <v>4238.2</v>
      </c>
      <c r="L31" s="31">
        <v>94.3</v>
      </c>
      <c r="M31" s="31">
        <v>67.7</v>
      </c>
      <c r="N31" s="31">
        <v>98.8</v>
      </c>
      <c r="O31" s="31">
        <f>'19b'!B31/'19a'!E30*100</f>
        <v>63.605879846612702</v>
      </c>
      <c r="S31" s="31"/>
    </row>
    <row r="32" spans="1:19">
      <c r="A32" s="66">
        <v>1987</v>
      </c>
      <c r="B32" s="31">
        <v>90.9</v>
      </c>
      <c r="C32" s="31">
        <v>75.900000000000006</v>
      </c>
      <c r="D32" s="31">
        <v>58.6</v>
      </c>
      <c r="E32" s="31">
        <v>61.9</v>
      </c>
      <c r="F32" s="31">
        <v>58.5</v>
      </c>
      <c r="G32" s="31">
        <v>61.9</v>
      </c>
      <c r="H32" s="31">
        <v>81.5</v>
      </c>
      <c r="I32" s="31">
        <v>64.400000000000006</v>
      </c>
      <c r="J32" s="30">
        <v>13578</v>
      </c>
      <c r="K32" s="30">
        <v>5075.2</v>
      </c>
      <c r="L32" s="31">
        <v>94</v>
      </c>
      <c r="M32" s="31">
        <v>69.3</v>
      </c>
      <c r="N32" s="31">
        <v>99</v>
      </c>
      <c r="O32" s="31">
        <f>'19b'!B32/'19a'!E31*100</f>
        <v>61.896524795001937</v>
      </c>
      <c r="S32" s="31"/>
    </row>
    <row r="33" spans="1:19">
      <c r="A33" s="66">
        <v>1988</v>
      </c>
      <c r="B33" s="31">
        <v>90.6</v>
      </c>
      <c r="C33" s="31">
        <v>75.2</v>
      </c>
      <c r="D33" s="31">
        <v>60.7</v>
      </c>
      <c r="E33" s="31">
        <v>63.6</v>
      </c>
      <c r="F33" s="31">
        <v>60.9</v>
      </c>
      <c r="G33" s="31">
        <v>63.8</v>
      </c>
      <c r="H33" s="31">
        <v>84.8</v>
      </c>
      <c r="I33" s="31">
        <v>67.2</v>
      </c>
      <c r="J33" s="30">
        <v>14146.7</v>
      </c>
      <c r="K33" s="30">
        <v>4730.8</v>
      </c>
      <c r="L33" s="31">
        <v>95</v>
      </c>
      <c r="M33" s="31">
        <v>71.099999999999994</v>
      </c>
      <c r="N33" s="31">
        <v>99.2</v>
      </c>
      <c r="O33" s="31">
        <f>'19b'!B33/'19a'!E32*100</f>
        <v>68.685775359502514</v>
      </c>
      <c r="S33" s="31"/>
    </row>
    <row r="34" spans="1:19">
      <c r="A34" s="66">
        <v>1989</v>
      </c>
      <c r="B34" s="31">
        <v>89.9</v>
      </c>
      <c r="C34" s="31">
        <v>73.5</v>
      </c>
      <c r="D34" s="31">
        <v>60.6</v>
      </c>
      <c r="E34" s="31">
        <v>62.8</v>
      </c>
      <c r="F34" s="31">
        <v>60.4</v>
      </c>
      <c r="G34" s="31">
        <v>62.6</v>
      </c>
      <c r="H34" s="31">
        <v>85.2</v>
      </c>
      <c r="I34" s="31">
        <v>67.2</v>
      </c>
      <c r="J34" s="30">
        <v>14494.4</v>
      </c>
      <c r="K34" s="30">
        <v>4847.8</v>
      </c>
      <c r="L34" s="31">
        <v>95.2</v>
      </c>
      <c r="M34" s="31">
        <v>71.3</v>
      </c>
      <c r="N34" s="31">
        <v>99.4</v>
      </c>
      <c r="O34" s="31">
        <f>'19b'!B34/'19a'!E33*100</f>
        <v>70.319319515056705</v>
      </c>
      <c r="S34" s="31"/>
    </row>
    <row r="35" spans="1:19">
      <c r="A35" s="66">
        <v>1990</v>
      </c>
      <c r="B35" s="31">
        <v>90.3</v>
      </c>
      <c r="C35" s="31">
        <v>74.5</v>
      </c>
      <c r="D35" s="31">
        <v>63.3</v>
      </c>
      <c r="E35" s="31">
        <v>65.3</v>
      </c>
      <c r="F35" s="31">
        <v>56.8</v>
      </c>
      <c r="G35" s="31">
        <v>58.6</v>
      </c>
      <c r="H35" s="31">
        <v>78.599999999999994</v>
      </c>
      <c r="I35" s="31">
        <v>62.9</v>
      </c>
      <c r="J35" s="30">
        <v>13507.6</v>
      </c>
      <c r="K35" s="30">
        <v>4243.7</v>
      </c>
      <c r="L35" s="31">
        <v>95.8</v>
      </c>
      <c r="M35" s="31">
        <v>73.5</v>
      </c>
      <c r="N35" s="31">
        <v>99.5</v>
      </c>
      <c r="O35" s="31">
        <f>'19b'!B35/'19a'!E34*100</f>
        <v>78.331668114682884</v>
      </c>
      <c r="S35" s="31"/>
    </row>
    <row r="36" spans="1:19">
      <c r="A36" s="66">
        <v>1991</v>
      </c>
      <c r="B36" s="31">
        <v>91.7</v>
      </c>
      <c r="C36" s="31">
        <v>78.2</v>
      </c>
      <c r="D36" s="31">
        <v>66.599999999999994</v>
      </c>
      <c r="E36" s="31">
        <v>69.7</v>
      </c>
      <c r="F36" s="31">
        <v>51.4</v>
      </c>
      <c r="G36" s="31">
        <v>53.8</v>
      </c>
      <c r="H36" s="31">
        <v>68.8</v>
      </c>
      <c r="I36" s="31">
        <v>56</v>
      </c>
      <c r="J36" s="30">
        <v>12040.8</v>
      </c>
      <c r="K36" s="30">
        <v>3674.4</v>
      </c>
      <c r="L36" s="31">
        <v>96.2</v>
      </c>
      <c r="M36" s="31">
        <v>75.7</v>
      </c>
      <c r="N36" s="31">
        <v>99.6</v>
      </c>
      <c r="O36" s="31">
        <f>'19b'!B36/'19a'!E35*100</f>
        <v>87.184090909090912</v>
      </c>
      <c r="S36" s="31"/>
    </row>
    <row r="37" spans="1:19">
      <c r="A37" s="66">
        <v>1992</v>
      </c>
      <c r="B37" s="31">
        <v>92.2</v>
      </c>
      <c r="C37" s="31">
        <v>79.7</v>
      </c>
      <c r="D37" s="31">
        <v>66.8</v>
      </c>
      <c r="E37" s="31">
        <v>69.900000000000006</v>
      </c>
      <c r="F37" s="31">
        <v>54.5</v>
      </c>
      <c r="G37" s="31">
        <v>57</v>
      </c>
      <c r="H37" s="31">
        <v>71.599999999999994</v>
      </c>
      <c r="I37" s="31">
        <v>59.1</v>
      </c>
      <c r="J37" s="30">
        <v>13866.1</v>
      </c>
      <c r="K37" s="30">
        <v>4468.2</v>
      </c>
      <c r="L37" s="31">
        <v>95.8</v>
      </c>
      <c r="M37" s="31">
        <v>76</v>
      </c>
      <c r="N37" s="31">
        <v>99.6</v>
      </c>
      <c r="O37" s="31">
        <f>'19b'!B37/'19a'!E36*100</f>
        <v>78.875896700143471</v>
      </c>
      <c r="S37" s="31"/>
    </row>
    <row r="38" spans="1:19">
      <c r="A38" s="66">
        <v>1993</v>
      </c>
      <c r="B38" s="31">
        <v>91.1</v>
      </c>
      <c r="C38" s="31">
        <v>76.900000000000006</v>
      </c>
      <c r="D38" s="31">
        <v>63.9</v>
      </c>
      <c r="E38" s="31">
        <v>66</v>
      </c>
      <c r="F38" s="31">
        <v>57.8</v>
      </c>
      <c r="G38" s="31">
        <v>59.7</v>
      </c>
      <c r="H38" s="31">
        <v>77.599999999999994</v>
      </c>
      <c r="I38" s="31">
        <v>63.5</v>
      </c>
      <c r="J38" s="30">
        <v>17844.400000000001</v>
      </c>
      <c r="K38" s="30">
        <v>6473</v>
      </c>
      <c r="L38" s="31">
        <v>94.8</v>
      </c>
      <c r="M38" s="31">
        <v>74.099999999999994</v>
      </c>
      <c r="N38" s="31">
        <v>99.8</v>
      </c>
      <c r="O38" s="31">
        <f>'19b'!B38/'19a'!E37*100</f>
        <v>71.691860465116292</v>
      </c>
      <c r="S38" s="31"/>
    </row>
    <row r="39" spans="1:19">
      <c r="A39" s="66">
        <v>1994</v>
      </c>
      <c r="B39" s="31">
        <v>89.1</v>
      </c>
      <c r="C39" s="31">
        <v>72.5</v>
      </c>
      <c r="D39" s="31">
        <v>62.2</v>
      </c>
      <c r="E39" s="31">
        <v>62.2</v>
      </c>
      <c r="F39" s="31">
        <v>62</v>
      </c>
      <c r="G39" s="31">
        <v>61.9</v>
      </c>
      <c r="H39" s="31">
        <v>85.4</v>
      </c>
      <c r="I39" s="31">
        <v>69.5</v>
      </c>
      <c r="J39" s="30">
        <v>21919.7</v>
      </c>
      <c r="K39" s="30">
        <v>8537</v>
      </c>
      <c r="L39" s="31">
        <v>94.9</v>
      </c>
      <c r="M39" s="31">
        <v>73.8</v>
      </c>
      <c r="N39" s="31">
        <v>99.7</v>
      </c>
      <c r="O39" s="31">
        <f>'19b'!B39/'19a'!E38*100</f>
        <v>71.880234833659486</v>
      </c>
      <c r="S39" s="31"/>
    </row>
    <row r="40" spans="1:19">
      <c r="A40" s="66">
        <v>1995</v>
      </c>
      <c r="B40" s="31">
        <v>88.2</v>
      </c>
      <c r="C40" s="31">
        <v>70.3</v>
      </c>
      <c r="D40" s="31">
        <v>64.8</v>
      </c>
      <c r="E40" s="31">
        <v>63.7</v>
      </c>
      <c r="F40" s="31">
        <v>65.5</v>
      </c>
      <c r="G40" s="31">
        <v>64.3</v>
      </c>
      <c r="H40" s="31">
        <v>91.5</v>
      </c>
      <c r="I40" s="31">
        <v>74.2</v>
      </c>
      <c r="J40" s="30">
        <v>22046.3</v>
      </c>
      <c r="K40" s="30">
        <v>7475.7</v>
      </c>
      <c r="L40" s="31">
        <v>96.8</v>
      </c>
      <c r="M40" s="31">
        <v>76.2</v>
      </c>
      <c r="N40" s="31">
        <v>99.7</v>
      </c>
      <c r="O40" s="31">
        <f>'19b'!B40/'19a'!E39*100</f>
        <v>81.771130837514463</v>
      </c>
      <c r="S40" s="31"/>
    </row>
    <row r="41" spans="1:19">
      <c r="A41" s="66">
        <v>1996</v>
      </c>
      <c r="B41" s="31">
        <v>88.1</v>
      </c>
      <c r="C41" s="31">
        <v>70.099999999999994</v>
      </c>
      <c r="D41" s="31">
        <v>65.099999999999994</v>
      </c>
      <c r="E41" s="31">
        <v>64</v>
      </c>
      <c r="F41" s="31">
        <v>67.900000000000006</v>
      </c>
      <c r="G41" s="31">
        <v>66.7</v>
      </c>
      <c r="H41" s="31">
        <v>95.1</v>
      </c>
      <c r="I41" s="31">
        <v>77.099999999999994</v>
      </c>
      <c r="J41" s="30">
        <v>23373.4</v>
      </c>
      <c r="K41" s="30">
        <v>7960</v>
      </c>
      <c r="L41" s="31">
        <v>97</v>
      </c>
      <c r="M41" s="31">
        <v>76.400000000000006</v>
      </c>
      <c r="N41" s="31">
        <v>99.7</v>
      </c>
      <c r="O41" s="31">
        <f>'19b'!B41/'19a'!E40*100</f>
        <v>82.878085265519815</v>
      </c>
      <c r="S41" s="31"/>
    </row>
    <row r="42" spans="1:19">
      <c r="A42" s="66">
        <v>1997</v>
      </c>
      <c r="B42" s="31">
        <v>89.5</v>
      </c>
      <c r="C42" s="31">
        <v>73.5</v>
      </c>
      <c r="D42" s="31">
        <v>70.8</v>
      </c>
      <c r="E42" s="31">
        <v>68.8</v>
      </c>
      <c r="F42" s="31">
        <v>77</v>
      </c>
      <c r="G42" s="31">
        <v>74.900000000000006</v>
      </c>
      <c r="H42" s="31">
        <v>101.9</v>
      </c>
      <c r="I42" s="31">
        <v>86</v>
      </c>
      <c r="J42" s="30">
        <v>26495.8</v>
      </c>
      <c r="K42" s="30">
        <v>9197.7999999999993</v>
      </c>
      <c r="L42" s="31">
        <v>97.7</v>
      </c>
      <c r="M42" s="31">
        <v>81</v>
      </c>
      <c r="N42" s="31">
        <v>99.9</v>
      </c>
      <c r="O42" s="31">
        <f>'19b'!B42/'19a'!E41*100</f>
        <v>86.908667621776502</v>
      </c>
      <c r="S42" s="31"/>
    </row>
    <row r="43" spans="1:19">
      <c r="A43" s="66">
        <v>1998</v>
      </c>
      <c r="B43" s="31">
        <v>91.5</v>
      </c>
      <c r="C43" s="31">
        <v>78.400000000000006</v>
      </c>
      <c r="D43" s="31">
        <v>76.099999999999994</v>
      </c>
      <c r="E43" s="31">
        <v>75.400000000000006</v>
      </c>
      <c r="F43" s="31">
        <v>79.3</v>
      </c>
      <c r="G43" s="31">
        <v>78.7</v>
      </c>
      <c r="H43" s="31">
        <v>100.4</v>
      </c>
      <c r="I43" s="31">
        <v>86.7</v>
      </c>
      <c r="J43" s="30">
        <v>26448.2</v>
      </c>
      <c r="K43" s="30">
        <v>9132.7999999999993</v>
      </c>
      <c r="L43" s="31">
        <v>98.6</v>
      </c>
      <c r="M43" s="31">
        <v>84.3</v>
      </c>
      <c r="N43" s="31">
        <v>100</v>
      </c>
      <c r="O43" s="31">
        <f>'19b'!B43/'19a'!E42*100</f>
        <v>92.401345291479828</v>
      </c>
      <c r="S43" s="31"/>
    </row>
    <row r="44" spans="1:19">
      <c r="A44" s="66">
        <v>1999</v>
      </c>
      <c r="B44" s="31">
        <v>92.4</v>
      </c>
      <c r="C44" s="31">
        <v>80.400000000000006</v>
      </c>
      <c r="D44" s="31">
        <v>74.5</v>
      </c>
      <c r="E44" s="31">
        <v>74.400000000000006</v>
      </c>
      <c r="F44" s="31">
        <v>84.9</v>
      </c>
      <c r="G44" s="31">
        <v>84.7</v>
      </c>
      <c r="H44" s="31">
        <v>105.3</v>
      </c>
      <c r="I44" s="31">
        <v>91.9</v>
      </c>
      <c r="J44" s="30">
        <v>30880.3</v>
      </c>
      <c r="K44" s="30">
        <v>11976.8</v>
      </c>
      <c r="L44" s="31">
        <v>97.3</v>
      </c>
      <c r="M44" s="31">
        <v>83</v>
      </c>
      <c r="N44" s="31">
        <v>99.8</v>
      </c>
      <c r="O44" s="31">
        <f>'19b'!B44/'19a'!E43*100</f>
        <v>85.763347022587283</v>
      </c>
      <c r="S44" s="31"/>
    </row>
    <row r="45" spans="1:19">
      <c r="A45" s="66">
        <v>2000</v>
      </c>
      <c r="B45" s="31">
        <v>93.7</v>
      </c>
      <c r="C45" s="31">
        <v>83.4</v>
      </c>
      <c r="D45" s="31">
        <v>84.8</v>
      </c>
      <c r="E45" s="31">
        <v>81.8</v>
      </c>
      <c r="F45" s="31">
        <v>97.5</v>
      </c>
      <c r="G45" s="31">
        <v>94</v>
      </c>
      <c r="H45" s="31">
        <v>112.7</v>
      </c>
      <c r="I45" s="31">
        <v>104.1</v>
      </c>
      <c r="J45" s="30">
        <v>33561.9</v>
      </c>
      <c r="K45" s="30">
        <v>12159.2</v>
      </c>
      <c r="L45" s="31">
        <v>99.1</v>
      </c>
      <c r="M45" s="31">
        <v>91.2</v>
      </c>
      <c r="N45" s="31">
        <v>100.2</v>
      </c>
      <c r="O45" s="31">
        <f>'19b'!B45/'19a'!E44*100</f>
        <v>94.806714140386575</v>
      </c>
      <c r="S45" s="31"/>
    </row>
    <row r="46" spans="1:19">
      <c r="A46" s="66">
        <v>2001</v>
      </c>
      <c r="B46" s="31">
        <v>95.2</v>
      </c>
      <c r="C46" s="31">
        <v>87.3</v>
      </c>
      <c r="D46" s="31">
        <v>91.5</v>
      </c>
      <c r="E46" s="31">
        <v>88.1</v>
      </c>
      <c r="F46" s="31">
        <v>93.1</v>
      </c>
      <c r="G46" s="31">
        <v>89.7</v>
      </c>
      <c r="H46" s="31">
        <v>102.8</v>
      </c>
      <c r="I46" s="31">
        <v>97.8</v>
      </c>
      <c r="J46" s="30">
        <v>31453.1</v>
      </c>
      <c r="K46" s="30">
        <v>11299.7</v>
      </c>
      <c r="L46" s="31">
        <v>100.2</v>
      </c>
      <c r="M46" s="31">
        <v>95.7</v>
      </c>
      <c r="N46" s="31">
        <v>100.1</v>
      </c>
      <c r="O46" s="31">
        <f>'19b'!B46/'19a'!E45*100</f>
        <v>101.4800842589046</v>
      </c>
      <c r="S46" s="31"/>
    </row>
    <row r="47" spans="1:19">
      <c r="A47" s="66">
        <v>2002</v>
      </c>
      <c r="B47" s="31">
        <v>100</v>
      </c>
      <c r="C47" s="31">
        <v>100</v>
      </c>
      <c r="D47" s="31">
        <v>100</v>
      </c>
      <c r="E47" s="31">
        <v>100</v>
      </c>
      <c r="F47" s="31">
        <v>100</v>
      </c>
      <c r="G47" s="31">
        <v>100</v>
      </c>
      <c r="H47" s="31">
        <v>100</v>
      </c>
      <c r="I47" s="31">
        <v>100</v>
      </c>
      <c r="J47" s="30">
        <v>33603</v>
      </c>
      <c r="K47" s="30">
        <v>12079.3</v>
      </c>
      <c r="L47" s="31">
        <v>100</v>
      </c>
      <c r="M47" s="31">
        <v>100</v>
      </c>
      <c r="N47" s="31">
        <v>100</v>
      </c>
      <c r="O47" s="31">
        <f>'19b'!B47/'19a'!E46*100</f>
        <v>100</v>
      </c>
      <c r="S47" s="31"/>
    </row>
    <row r="48" spans="1:19">
      <c r="A48" s="66">
        <v>2003</v>
      </c>
      <c r="B48" s="31">
        <v>100.3</v>
      </c>
      <c r="C48" s="31">
        <v>100.9</v>
      </c>
      <c r="D48" s="31">
        <v>102.1</v>
      </c>
      <c r="E48" s="31">
        <v>102.2</v>
      </c>
      <c r="F48" s="31">
        <v>101.1</v>
      </c>
      <c r="G48" s="31">
        <v>101.2</v>
      </c>
      <c r="H48" s="31">
        <v>100.4</v>
      </c>
      <c r="I48" s="31">
        <v>100.7</v>
      </c>
      <c r="J48" s="30">
        <v>32972.5</v>
      </c>
      <c r="K48" s="30">
        <v>11598.5</v>
      </c>
      <c r="L48" s="31">
        <v>100.2</v>
      </c>
      <c r="M48" s="31">
        <v>101.3</v>
      </c>
      <c r="N48" s="31">
        <v>100.3</v>
      </c>
      <c r="O48" s="31">
        <f>'19b'!B48/'19a'!E47*100</f>
        <v>101.38818897637796</v>
      </c>
      <c r="S48" s="31"/>
    </row>
    <row r="49" spans="1:19">
      <c r="A49" s="66">
        <v>2004</v>
      </c>
      <c r="B49" s="31">
        <v>101.3</v>
      </c>
      <c r="C49" s="31">
        <v>103.6</v>
      </c>
      <c r="D49" s="31">
        <v>104.4</v>
      </c>
      <c r="E49" s="31">
        <v>105.7</v>
      </c>
      <c r="F49" s="31">
        <v>104.9</v>
      </c>
      <c r="G49" s="31">
        <v>106.3</v>
      </c>
      <c r="H49" s="31">
        <v>102.6</v>
      </c>
      <c r="I49" s="31">
        <v>103.6</v>
      </c>
      <c r="J49" s="30">
        <v>37206.199999999997</v>
      </c>
      <c r="K49" s="30">
        <v>14139.8</v>
      </c>
      <c r="L49" s="31">
        <v>100.5</v>
      </c>
      <c r="M49" s="31">
        <v>102.3</v>
      </c>
      <c r="N49" s="31">
        <v>100.2</v>
      </c>
      <c r="O49" s="31">
        <f>'19b'!B49/'19a'!E48*100</f>
        <v>103.0376114773168</v>
      </c>
      <c r="S49" s="31"/>
    </row>
    <row r="50" spans="1:19">
      <c r="A50" s="66">
        <v>2005</v>
      </c>
      <c r="B50" s="31">
        <v>103.6</v>
      </c>
      <c r="C50" s="31">
        <v>110</v>
      </c>
      <c r="D50" s="31">
        <v>110.8</v>
      </c>
      <c r="E50" s="31">
        <v>116.4</v>
      </c>
      <c r="F50" s="31">
        <v>108.3</v>
      </c>
      <c r="G50" s="31">
        <v>113.8</v>
      </c>
      <c r="H50" s="31">
        <v>103.4</v>
      </c>
      <c r="I50" s="31">
        <v>104.6</v>
      </c>
      <c r="J50" s="30">
        <v>35724.1</v>
      </c>
      <c r="K50" s="30">
        <v>12773.5</v>
      </c>
      <c r="L50" s="31">
        <v>101.8</v>
      </c>
      <c r="M50" s="31">
        <v>104.8</v>
      </c>
      <c r="N50" s="31">
        <v>100.3</v>
      </c>
      <c r="O50" s="31">
        <f>'19b'!B50/'19a'!E49*100</f>
        <v>111.31711208615876</v>
      </c>
      <c r="S50" s="31"/>
    </row>
    <row r="51" spans="1:19">
      <c r="A51" s="66">
        <v>2006</v>
      </c>
      <c r="B51" s="31">
        <v>104.5</v>
      </c>
      <c r="C51" s="31">
        <v>113.1</v>
      </c>
      <c r="D51" s="31">
        <v>116.6</v>
      </c>
      <c r="E51" s="31">
        <v>124.1</v>
      </c>
      <c r="F51" s="31">
        <v>106.3</v>
      </c>
      <c r="G51" s="31">
        <v>113.2</v>
      </c>
      <c r="H51" s="31">
        <v>100.1</v>
      </c>
      <c r="I51" s="31">
        <v>101.7</v>
      </c>
      <c r="J51" s="30">
        <v>33053</v>
      </c>
      <c r="K51" s="30">
        <v>11104.1</v>
      </c>
      <c r="L51" s="31">
        <v>103.1</v>
      </c>
      <c r="M51" s="31">
        <v>107.8</v>
      </c>
      <c r="N51" s="31">
        <v>100.3</v>
      </c>
      <c r="O51" s="31">
        <f>'19b'!B51/'19a'!E50*100</f>
        <v>121.39610944848225</v>
      </c>
      <c r="S51" s="31"/>
    </row>
    <row r="52" spans="1:19">
      <c r="A52" s="66">
        <v>2007</v>
      </c>
      <c r="B52" s="31">
        <v>104.3</v>
      </c>
      <c r="C52" s="31">
        <v>112.3</v>
      </c>
      <c r="D52" s="31">
        <v>117.9</v>
      </c>
      <c r="E52" s="31">
        <v>129.5</v>
      </c>
      <c r="F52" s="31">
        <v>94.5</v>
      </c>
      <c r="G52" s="31">
        <v>103.9</v>
      </c>
      <c r="H52" s="31">
        <v>92.5</v>
      </c>
      <c r="I52" s="31">
        <v>90.6</v>
      </c>
      <c r="J52" s="30">
        <v>28318.9</v>
      </c>
      <c r="K52" s="30">
        <v>9457.2999999999993</v>
      </c>
      <c r="L52" s="31">
        <v>104.7</v>
      </c>
      <c r="M52" s="31">
        <v>107.5</v>
      </c>
      <c r="N52" s="31">
        <v>100.4</v>
      </c>
      <c r="O52" s="31">
        <f>'19b'!B52/'19a'!E51*100</f>
        <v>138.4127369956247</v>
      </c>
      <c r="S52" s="31"/>
    </row>
    <row r="53" spans="1:19">
      <c r="A53" s="66">
        <v>2008</v>
      </c>
      <c r="B53" s="31">
        <v>104.2</v>
      </c>
      <c r="C53" s="31">
        <v>111.9</v>
      </c>
      <c r="D53" s="31">
        <v>117.1</v>
      </c>
      <c r="E53" s="31">
        <v>131.6</v>
      </c>
      <c r="F53" s="31">
        <v>82.6</v>
      </c>
      <c r="G53" s="31">
        <v>92.8</v>
      </c>
      <c r="H53" s="31">
        <v>83</v>
      </c>
      <c r="I53" s="31">
        <v>79.3</v>
      </c>
      <c r="J53" s="30">
        <v>24345.5</v>
      </c>
      <c r="K53" s="30">
        <v>7996.5</v>
      </c>
      <c r="L53" s="31">
        <v>105.5</v>
      </c>
      <c r="M53" s="31">
        <v>106.2</v>
      </c>
      <c r="N53" s="31">
        <v>100.3</v>
      </c>
      <c r="O53" s="31">
        <f>'19b'!B53/'19a'!E52*100</f>
        <v>147.46268656716416</v>
      </c>
      <c r="S53" s="31"/>
    </row>
    <row r="54" spans="1:19">
      <c r="A54" s="66"/>
      <c r="B54" s="31"/>
      <c r="C54" s="31"/>
      <c r="D54" s="31"/>
      <c r="E54" s="31"/>
      <c r="F54" s="31"/>
      <c r="G54" s="31"/>
      <c r="H54" s="31"/>
      <c r="I54" s="31"/>
      <c r="J54" s="30"/>
      <c r="K54" s="30"/>
      <c r="L54" s="31"/>
      <c r="M54" s="31"/>
      <c r="N54" s="31"/>
      <c r="O54" s="31"/>
    </row>
    <row r="55" spans="1:19">
      <c r="A55" s="66" t="s">
        <v>23</v>
      </c>
      <c r="L55" s="64"/>
      <c r="M55" s="64"/>
      <c r="N55" s="64"/>
      <c r="O55" s="64"/>
    </row>
    <row r="56" spans="1:19">
      <c r="A56" s="64" t="s">
        <v>2118</v>
      </c>
      <c r="B56" s="67">
        <f>((B53/B6)^(1/47)-1)*100</f>
        <v>0.81656005280659194</v>
      </c>
      <c r="C56" s="67">
        <f t="shared" ref="C56:O56" si="0">((C53/C6)^(1/47)-1)*100</f>
        <v>2.3074003265725063</v>
      </c>
      <c r="D56" s="67">
        <f t="shared" si="0"/>
        <v>3.4761334362607421</v>
      </c>
      <c r="E56" s="67">
        <f t="shared" si="0"/>
        <v>3.8591449614698847</v>
      </c>
      <c r="F56" s="67">
        <f t="shared" si="0"/>
        <v>3.1877274099683106</v>
      </c>
      <c r="G56" s="67">
        <f t="shared" si="0"/>
        <v>3.5633941550087034</v>
      </c>
      <c r="H56" s="67">
        <f t="shared" si="0"/>
        <v>1.2311261810996399</v>
      </c>
      <c r="I56" s="67">
        <f t="shared" si="0"/>
        <v>2.3513174604021359</v>
      </c>
      <c r="J56" s="67">
        <f t="shared" si="0"/>
        <v>6.9221534220190728</v>
      </c>
      <c r="K56" s="67">
        <f t="shared" si="0"/>
        <v>6.6366891568216735</v>
      </c>
      <c r="L56" s="67">
        <f t="shared" si="0"/>
        <v>0.40370737134947099</v>
      </c>
      <c r="M56" s="67">
        <f t="shared" si="0"/>
        <v>2.0776598846249161</v>
      </c>
      <c r="N56" s="67">
        <f t="shared" si="0"/>
        <v>0.14948237682479437</v>
      </c>
      <c r="O56" s="67">
        <f t="shared" si="0"/>
        <v>3.4540292431552988</v>
      </c>
      <c r="Q56" s="138"/>
    </row>
    <row r="57" spans="1:19">
      <c r="A57" s="68" t="s">
        <v>1031</v>
      </c>
      <c r="B57" s="67">
        <f>((B18/B6)^(1/12)-1)*100</f>
        <v>0.51271780866397609</v>
      </c>
      <c r="C57" s="67">
        <f t="shared" ref="C57:O57" si="1">((C18/C6)^(1/12)-1)*100</f>
        <v>1.3337148334585214</v>
      </c>
      <c r="D57" s="67">
        <f t="shared" si="1"/>
        <v>3.0751723937721964</v>
      </c>
      <c r="E57" s="67">
        <f t="shared" si="1"/>
        <v>3.0130368921454931</v>
      </c>
      <c r="F57" s="67">
        <f t="shared" si="1"/>
        <v>5.8288115284858</v>
      </c>
      <c r="G57" s="67">
        <f t="shared" si="1"/>
        <v>5.7217555954847121</v>
      </c>
      <c r="H57" s="67">
        <f t="shared" si="1"/>
        <v>4.3338767557092206</v>
      </c>
      <c r="I57" s="67">
        <f t="shared" si="1"/>
        <v>5.258446377901671</v>
      </c>
      <c r="J57" s="67">
        <f t="shared" si="1"/>
        <v>12.179922892473671</v>
      </c>
      <c r="K57" s="67">
        <f t="shared" si="1"/>
        <v>13.123793661170602</v>
      </c>
      <c r="L57" s="67">
        <f t="shared" si="1"/>
        <v>0.37403380668890041</v>
      </c>
      <c r="M57" s="67">
        <f t="shared" si="1"/>
        <v>1.9104883827639085</v>
      </c>
      <c r="N57" s="67">
        <f t="shared" si="1"/>
        <v>0.26352638904776349</v>
      </c>
      <c r="O57" s="67">
        <f t="shared" si="1"/>
        <v>3.53150940747744</v>
      </c>
      <c r="Q57" s="138"/>
    </row>
    <row r="58" spans="1:19">
      <c r="A58" s="68" t="s">
        <v>1032</v>
      </c>
      <c r="B58" s="67">
        <f>((B26/B18)^(1/8)-1)*100</f>
        <v>0.614908913604717</v>
      </c>
      <c r="C58" s="67">
        <f t="shared" ref="C58:O58" si="2">((C26/C18)^(1/8)-1)*100</f>
        <v>1.6050933956840208</v>
      </c>
      <c r="D58" s="67">
        <f t="shared" si="2"/>
        <v>2.2862578882388629</v>
      </c>
      <c r="E58" s="67">
        <f t="shared" si="2"/>
        <v>3.1731982495676991</v>
      </c>
      <c r="F58" s="67">
        <f t="shared" si="2"/>
        <v>1.0964014789502929</v>
      </c>
      <c r="G58" s="67">
        <f t="shared" si="2"/>
        <v>2.0028332866042664</v>
      </c>
      <c r="H58" s="67">
        <f t="shared" si="2"/>
        <v>0.38098135469888383</v>
      </c>
      <c r="I58" s="67">
        <f t="shared" si="2"/>
        <v>0.52383133225146761</v>
      </c>
      <c r="J58" s="67">
        <f t="shared" si="2"/>
        <v>8.0917632586836596</v>
      </c>
      <c r="K58" s="67">
        <f t="shared" si="2"/>
        <v>5.5590911606381965</v>
      </c>
      <c r="L58" s="67">
        <f t="shared" si="2"/>
        <v>0.48458179351646979</v>
      </c>
      <c r="M58" s="67">
        <f t="shared" si="2"/>
        <v>1.0686325561304111</v>
      </c>
      <c r="N58" s="67">
        <f t="shared" si="2"/>
        <v>0.11610738128520204</v>
      </c>
      <c r="O58" s="67">
        <f t="shared" si="2"/>
        <v>4.937775605167527</v>
      </c>
      <c r="Q58" s="138"/>
    </row>
    <row r="59" spans="1:19">
      <c r="A59" s="69" t="s">
        <v>1783</v>
      </c>
      <c r="B59" s="67">
        <f>((B53/B26)^(1/27)-1)*100</f>
        <v>1.0118020832408758</v>
      </c>
      <c r="C59" s="67">
        <f t="shared" ref="C59:O59" si="3">((C53/C26)^(1/27)-1)*100</f>
        <v>2.9530591874647572</v>
      </c>
      <c r="D59" s="67">
        <f t="shared" si="3"/>
        <v>4.0106587795206927</v>
      </c>
      <c r="E59" s="67">
        <f t="shared" si="3"/>
        <v>4.442281708917073</v>
      </c>
      <c r="F59" s="67">
        <f t="shared" si="3"/>
        <v>2.6560745360734828</v>
      </c>
      <c r="G59" s="67">
        <f t="shared" si="3"/>
        <v>3.0810162296859955</v>
      </c>
      <c r="H59" s="67">
        <f t="shared" si="3"/>
        <v>0.13180810070325677</v>
      </c>
      <c r="I59" s="67">
        <f t="shared" si="3"/>
        <v>1.6262197546347057</v>
      </c>
      <c r="J59" s="67">
        <f t="shared" si="3"/>
        <v>4.3283157277400175</v>
      </c>
      <c r="K59" s="67">
        <f t="shared" si="3"/>
        <v>4.1873075651794434</v>
      </c>
      <c r="L59" s="67">
        <f t="shared" si="3"/>
        <v>0.39294500238440389</v>
      </c>
      <c r="M59" s="67">
        <f t="shared" si="3"/>
        <v>2.4531667431935578</v>
      </c>
      <c r="N59" s="67">
        <f t="shared" si="3"/>
        <v>0.10872381827640165</v>
      </c>
      <c r="O59" s="67">
        <f t="shared" si="3"/>
        <v>2.9841709455137089</v>
      </c>
      <c r="Q59" s="138"/>
    </row>
    <row r="60" spans="1:19">
      <c r="A60" s="68" t="s">
        <v>25</v>
      </c>
      <c r="B60" s="67">
        <f>((B34/B26)^(1/8)-1)*100</f>
        <v>1.5646084712784836</v>
      </c>
      <c r="C60" s="67">
        <f t="shared" ref="C60:O60" si="4">((C34/C26)^(1/8)-1)*100</f>
        <v>4.6741987965088549</v>
      </c>
      <c r="D60" s="67">
        <f t="shared" si="4"/>
        <v>5.1664466104088591</v>
      </c>
      <c r="E60" s="67">
        <f t="shared" si="4"/>
        <v>5.5712476985256609</v>
      </c>
      <c r="F60" s="67">
        <f t="shared" si="4"/>
        <v>5.0582872232824982</v>
      </c>
      <c r="G60" s="67">
        <f t="shared" si="4"/>
        <v>5.4645194552030318</v>
      </c>
      <c r="H60" s="67">
        <f t="shared" si="4"/>
        <v>0.77455401668762303</v>
      </c>
      <c r="I60" s="67">
        <f t="shared" si="4"/>
        <v>3.4323729717983031</v>
      </c>
      <c r="J60" s="67">
        <f t="shared" si="4"/>
        <v>8.1322164782941631</v>
      </c>
      <c r="K60" s="67">
        <f t="shared" si="4"/>
        <v>7.8836409105097927</v>
      </c>
      <c r="L60" s="67">
        <f t="shared" si="4"/>
        <v>3.9460735968788185E-2</v>
      </c>
      <c r="M60" s="67">
        <f t="shared" si="4"/>
        <v>3.2508906294719919</v>
      </c>
      <c r="N60" s="67">
        <f t="shared" si="4"/>
        <v>0.25439682865295854</v>
      </c>
      <c r="O60" s="67">
        <f t="shared" si="4"/>
        <v>0.66985081763517584</v>
      </c>
      <c r="Q60" s="138"/>
    </row>
    <row r="61" spans="1:19">
      <c r="A61" s="69" t="s">
        <v>2134</v>
      </c>
      <c r="B61" s="65">
        <f>((B53/B31)^(1/22)-1)*100</f>
        <v>0.70900658749817325</v>
      </c>
      <c r="C61" s="65">
        <f t="shared" ref="C61:O61" si="5">((C53/C31)^(1/22)-1)*100</f>
        <v>2.0180545336905942</v>
      </c>
      <c r="D61" s="65">
        <f t="shared" si="5"/>
        <v>3.3848138246283632</v>
      </c>
      <c r="E61" s="65">
        <f t="shared" si="5"/>
        <v>3.7137983516067008</v>
      </c>
      <c r="F61" s="65">
        <f t="shared" si="5"/>
        <v>2.1706219725514675</v>
      </c>
      <c r="G61" s="65">
        <f t="shared" si="5"/>
        <v>2.4917309887698025</v>
      </c>
      <c r="H61" s="65">
        <f t="shared" si="5"/>
        <v>0.47395016585951577</v>
      </c>
      <c r="I61" s="65">
        <f t="shared" si="5"/>
        <v>1.4558639282074237</v>
      </c>
      <c r="J61" s="65">
        <f t="shared" si="5"/>
        <v>3.4731860527325242</v>
      </c>
      <c r="K61" s="65">
        <f t="shared" si="5"/>
        <v>2.9277925730238019</v>
      </c>
      <c r="L61" s="65">
        <f t="shared" si="5"/>
        <v>0.5114386931143855</v>
      </c>
      <c r="M61" s="65">
        <f t="shared" si="5"/>
        <v>2.0676211819281365</v>
      </c>
      <c r="N61" s="65">
        <f t="shared" si="5"/>
        <v>6.8514779814710103E-2</v>
      </c>
      <c r="O61" s="65">
        <f t="shared" si="5"/>
        <v>3.8961160463542255</v>
      </c>
      <c r="Q61" s="138"/>
    </row>
    <row r="62" spans="1:19">
      <c r="A62" s="69" t="s">
        <v>26</v>
      </c>
      <c r="B62" s="65">
        <f>((B45/B34)^(1/11)-1)*100</f>
        <v>0.37707503458217495</v>
      </c>
      <c r="C62" s="65">
        <f t="shared" ref="C62:O62" si="6">((C45/C34)^(1/11)-1)*100</f>
        <v>1.1553771781955824</v>
      </c>
      <c r="D62" s="65">
        <f t="shared" si="6"/>
        <v>3.1016814279295701</v>
      </c>
      <c r="E62" s="65">
        <f t="shared" si="6"/>
        <v>2.4320317943536951</v>
      </c>
      <c r="F62" s="65">
        <f t="shared" si="6"/>
        <v>4.4494487988992137</v>
      </c>
      <c r="G62" s="65">
        <f t="shared" si="6"/>
        <v>3.7648637219595882</v>
      </c>
      <c r="H62" s="65">
        <f t="shared" si="6"/>
        <v>2.5755913136501718</v>
      </c>
      <c r="I62" s="65">
        <f t="shared" si="6"/>
        <v>4.0591160564076745</v>
      </c>
      <c r="J62" s="65">
        <f t="shared" si="6"/>
        <v>7.9318604912067991</v>
      </c>
      <c r="K62" s="65">
        <f t="shared" si="6"/>
        <v>8.7190083665037221</v>
      </c>
      <c r="L62" s="65">
        <f t="shared" si="6"/>
        <v>0.36566236990682732</v>
      </c>
      <c r="M62" s="65">
        <f t="shared" si="6"/>
        <v>2.263031862054854</v>
      </c>
      <c r="N62" s="65">
        <f t="shared" si="6"/>
        <v>7.2899968103778967E-2</v>
      </c>
      <c r="O62" s="65">
        <f t="shared" si="6"/>
        <v>2.7535338517866936</v>
      </c>
    </row>
    <row r="63" spans="1:19">
      <c r="A63" s="69" t="s">
        <v>1779</v>
      </c>
      <c r="B63" s="65">
        <f>((B53/B45)^(1/8)-1)*100</f>
        <v>1.3365269806046909</v>
      </c>
      <c r="C63" s="65">
        <f t="shared" ref="C63:O63" si="7">((C53/C45)^(1/8)-1)*100</f>
        <v>3.7428093492928971</v>
      </c>
      <c r="D63" s="65">
        <f t="shared" si="7"/>
        <v>4.1166366490393846</v>
      </c>
      <c r="E63" s="65">
        <f t="shared" si="7"/>
        <v>6.1238075083990262</v>
      </c>
      <c r="F63" s="65">
        <f t="shared" si="7"/>
        <v>-2.051694088103051</v>
      </c>
      <c r="G63" s="65">
        <f t="shared" si="7"/>
        <v>-0.16047288532499149</v>
      </c>
      <c r="H63" s="65">
        <f t="shared" si="7"/>
        <v>-3.7514330397914186</v>
      </c>
      <c r="I63" s="65">
        <f t="shared" si="7"/>
        <v>-3.3442250420479103</v>
      </c>
      <c r="J63" s="65">
        <f t="shared" si="7"/>
        <v>-3.9335991826489614</v>
      </c>
      <c r="K63" s="65">
        <f t="shared" si="7"/>
        <v>-5.1036808146031181</v>
      </c>
      <c r="L63" s="65">
        <f t="shared" si="7"/>
        <v>0.78533661191908521</v>
      </c>
      <c r="M63" s="65">
        <f t="shared" si="7"/>
        <v>1.9215946151025287</v>
      </c>
      <c r="N63" s="65">
        <f t="shared" si="7"/>
        <v>1.2469606354859053E-2</v>
      </c>
      <c r="O63" s="65">
        <f t="shared" si="7"/>
        <v>5.6769768888278893</v>
      </c>
    </row>
    <row r="64" spans="1:19">
      <c r="L64" s="64"/>
      <c r="M64" s="64"/>
      <c r="N64" s="64"/>
      <c r="O64" s="64"/>
    </row>
    <row r="65" spans="1:15">
      <c r="A65" s="64" t="s">
        <v>1012</v>
      </c>
      <c r="L65" s="64"/>
      <c r="M65" s="64"/>
      <c r="N65" s="64"/>
      <c r="O65" s="64"/>
    </row>
    <row r="66" spans="1:15">
      <c r="A66" s="69"/>
      <c r="B66" s="65"/>
      <c r="C66" s="65"/>
      <c r="D66" s="65"/>
      <c r="E66" s="65"/>
      <c r="F66" s="65"/>
      <c r="G66" s="65"/>
      <c r="H66" s="65"/>
      <c r="I66" s="65"/>
      <c r="J66" s="65"/>
      <c r="K66" s="65"/>
      <c r="L66" s="65"/>
      <c r="M66" s="65"/>
      <c r="N66" s="65"/>
      <c r="O66" s="65"/>
    </row>
    <row r="67" spans="1:15">
      <c r="B67" s="65"/>
    </row>
    <row r="68" spans="1:15">
      <c r="B68" s="65"/>
    </row>
  </sheetData>
  <mergeCells count="15">
    <mergeCell ref="O2:O3"/>
    <mergeCell ref="L4:O4"/>
    <mergeCell ref="S3:S4"/>
    <mergeCell ref="A2:A4"/>
    <mergeCell ref="L2:N2"/>
    <mergeCell ref="B4:I4"/>
    <mergeCell ref="G2:G3"/>
    <mergeCell ref="F2:F3"/>
    <mergeCell ref="D2:E2"/>
    <mergeCell ref="B2:C2"/>
    <mergeCell ref="J4:K4"/>
    <mergeCell ref="H2:H3"/>
    <mergeCell ref="I2:I3"/>
    <mergeCell ref="J2:J3"/>
    <mergeCell ref="K2:K3"/>
  </mergeCells>
  <pageMargins left="0.70866141732283472" right="0.70866141732283472" top="0.74803149606299213" bottom="0.74803149606299213" header="0.31496062992125984" footer="0.31496062992125984"/>
  <pageSetup scale="45" orientation="landscape" horizontalDpi="0" verticalDpi="0" r:id="rId1"/>
  <colBreaks count="1" manualBreakCount="1">
    <brk id="15" max="59" man="1"/>
  </colBreaks>
</worksheet>
</file>

<file path=xl/worksheets/sheet121.xml><?xml version="1.0" encoding="utf-8"?>
<worksheet xmlns="http://schemas.openxmlformats.org/spreadsheetml/2006/main" xmlns:r="http://schemas.openxmlformats.org/officeDocument/2006/relationships">
  <sheetPr codeName="Sheet114"/>
  <dimension ref="A1:P64"/>
  <sheetViews>
    <sheetView view="pageBreakPreview" zoomScaleNormal="70" zoomScaleSheetLayoutView="100"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 style="64" customWidth="1"/>
    <col min="2" max="2" width="10.85546875" style="64" customWidth="1"/>
    <col min="3" max="3" width="14.140625" style="64" customWidth="1"/>
    <col min="4" max="4" width="13.85546875" style="64" customWidth="1"/>
    <col min="5" max="5" width="11" style="64" customWidth="1"/>
    <col min="6" max="6" width="16.85546875" style="64" customWidth="1"/>
    <col min="7" max="7" width="13.85546875" style="64" customWidth="1"/>
    <col min="8" max="8" width="9.140625" style="64"/>
    <col min="9" max="10" width="33.7109375" style="64" hidden="1" customWidth="1" outlineLevel="1"/>
    <col min="11" max="11" width="9.140625" style="64" collapsed="1"/>
    <col min="12" max="12" width="14.85546875" style="64" customWidth="1"/>
    <col min="13" max="16384" width="9.140625" style="64"/>
  </cols>
  <sheetData>
    <row r="1" spans="1:13" ht="15" customHeight="1">
      <c r="A1" s="93" t="s">
        <v>2002</v>
      </c>
      <c r="B1" s="93"/>
      <c r="C1" s="93"/>
      <c r="D1" s="93"/>
      <c r="E1" s="93"/>
      <c r="F1" s="93"/>
      <c r="G1" s="93"/>
    </row>
    <row r="2" spans="1:13" ht="45">
      <c r="B2" s="73" t="s">
        <v>1006</v>
      </c>
      <c r="C2" s="73" t="s">
        <v>833</v>
      </c>
      <c r="D2" s="98" t="s">
        <v>744</v>
      </c>
      <c r="E2" s="99"/>
      <c r="F2" s="73" t="s">
        <v>840</v>
      </c>
      <c r="G2" s="73" t="s">
        <v>1082</v>
      </c>
      <c r="I2" s="73" t="s">
        <v>744</v>
      </c>
      <c r="J2" s="75" t="s">
        <v>840</v>
      </c>
      <c r="K2" s="70"/>
      <c r="L2" s="62"/>
      <c r="M2" s="70"/>
    </row>
    <row r="3" spans="1:13" ht="30">
      <c r="B3" s="98" t="s">
        <v>844</v>
      </c>
      <c r="C3" s="99"/>
      <c r="D3" s="73" t="s">
        <v>1005</v>
      </c>
      <c r="E3" s="73" t="s">
        <v>844</v>
      </c>
      <c r="F3" s="73" t="s">
        <v>1002</v>
      </c>
      <c r="G3" s="73" t="s">
        <v>784</v>
      </c>
      <c r="I3" s="73" t="s">
        <v>1005</v>
      </c>
      <c r="J3" s="75" t="s">
        <v>1002</v>
      </c>
      <c r="K3" s="70"/>
      <c r="L3" s="62"/>
      <c r="M3" s="70"/>
    </row>
    <row r="4" spans="1:13" hidden="1" outlineLevel="1">
      <c r="B4" s="64" t="s">
        <v>139</v>
      </c>
      <c r="C4" s="64" t="s">
        <v>140</v>
      </c>
      <c r="I4" s="64" t="s">
        <v>60</v>
      </c>
      <c r="J4" s="64" t="s">
        <v>148</v>
      </c>
      <c r="K4" s="70"/>
      <c r="L4" s="70"/>
      <c r="M4" s="70"/>
    </row>
    <row r="5" spans="1:13" collapsed="1">
      <c r="A5" s="66">
        <v>1961</v>
      </c>
      <c r="B5" s="31">
        <v>63.3</v>
      </c>
      <c r="C5" s="31">
        <v>78.5</v>
      </c>
      <c r="D5" s="30">
        <v>206.8</v>
      </c>
      <c r="E5" s="29">
        <f>D5/D$46*100</f>
        <v>80.623781676413259</v>
      </c>
      <c r="F5" s="30">
        <v>320.89999999999998</v>
      </c>
      <c r="G5" s="29">
        <f>F5/'19'!K6*100</f>
        <v>82.239876986160937</v>
      </c>
      <c r="I5" s="30">
        <v>194200000</v>
      </c>
      <c r="J5" s="30">
        <v>320900000</v>
      </c>
      <c r="K5" s="70"/>
      <c r="L5" s="70"/>
      <c r="M5" s="70"/>
    </row>
    <row r="6" spans="1:13" hidden="1" outlineLevel="1">
      <c r="A6" s="66">
        <v>1962</v>
      </c>
      <c r="B6" s="31">
        <v>66</v>
      </c>
      <c r="C6" s="31">
        <v>79.3</v>
      </c>
      <c r="D6" s="30">
        <v>213.4</v>
      </c>
      <c r="E6" s="29">
        <f t="shared" ref="E6:E52" si="0">D6/D$46*100</f>
        <v>83.196881091617939</v>
      </c>
      <c r="F6" s="30">
        <v>347.3</v>
      </c>
      <c r="G6" s="29">
        <f>F6/'19'!K7*100</f>
        <v>77.747929259010533</v>
      </c>
      <c r="I6" s="30">
        <v>200400000</v>
      </c>
      <c r="J6" s="30">
        <v>347300000</v>
      </c>
    </row>
    <row r="7" spans="1:13" hidden="1" outlineLevel="1">
      <c r="A7" s="66">
        <v>1963</v>
      </c>
      <c r="B7" s="31">
        <v>69.400000000000006</v>
      </c>
      <c r="C7" s="31">
        <v>80.2</v>
      </c>
      <c r="D7" s="30">
        <v>221.9</v>
      </c>
      <c r="E7" s="29">
        <f t="shared" si="0"/>
        <v>86.510721247563367</v>
      </c>
      <c r="F7" s="30">
        <v>379.4</v>
      </c>
      <c r="G7" s="29">
        <f>F7/'19'!K8*100</f>
        <v>74.523669220192488</v>
      </c>
      <c r="I7" s="30">
        <v>208200000</v>
      </c>
      <c r="J7" s="30">
        <v>379400000</v>
      </c>
    </row>
    <row r="8" spans="1:13" hidden="1" outlineLevel="1">
      <c r="A8" s="66">
        <v>1964</v>
      </c>
      <c r="B8" s="31">
        <v>72.400000000000006</v>
      </c>
      <c r="C8" s="31">
        <v>81.099999999999994</v>
      </c>
      <c r="D8" s="30">
        <v>229.1</v>
      </c>
      <c r="E8" s="29">
        <f t="shared" si="0"/>
        <v>89.317738791422997</v>
      </c>
      <c r="F8" s="30">
        <v>409.7</v>
      </c>
      <c r="G8" s="29">
        <f>F8/'19'!K9*100</f>
        <v>74.653790087463562</v>
      </c>
      <c r="I8" s="30">
        <v>215000000</v>
      </c>
      <c r="J8" s="30">
        <v>409700000</v>
      </c>
    </row>
    <row r="9" spans="1:13" hidden="1" outlineLevel="1">
      <c r="A9" s="66">
        <v>1965</v>
      </c>
      <c r="B9" s="31">
        <v>74.400000000000006</v>
      </c>
      <c r="C9" s="31">
        <v>82</v>
      </c>
      <c r="D9" s="30">
        <v>232.7</v>
      </c>
      <c r="E9" s="29">
        <f t="shared" si="0"/>
        <v>90.721247563352819</v>
      </c>
      <c r="F9" s="30">
        <v>446.7</v>
      </c>
      <c r="G9" s="29">
        <f>F9/'19'!K10*100</f>
        <v>77.350649350649348</v>
      </c>
      <c r="I9" s="30">
        <v>218300000</v>
      </c>
      <c r="J9" s="30">
        <v>446700000</v>
      </c>
    </row>
    <row r="10" spans="1:13" hidden="1" outlineLevel="1">
      <c r="A10" s="66">
        <v>1966</v>
      </c>
      <c r="B10" s="31">
        <v>74.8</v>
      </c>
      <c r="C10" s="31">
        <v>82.6</v>
      </c>
      <c r="D10" s="30">
        <v>232.1</v>
      </c>
      <c r="E10" s="29">
        <f t="shared" si="0"/>
        <v>90.487329434697855</v>
      </c>
      <c r="F10" s="30">
        <v>484.7</v>
      </c>
      <c r="G10" s="29">
        <f>F10/'19'!K11*100</f>
        <v>78.864301985030906</v>
      </c>
      <c r="I10" s="30">
        <v>217700000</v>
      </c>
      <c r="J10" s="30">
        <v>484700000</v>
      </c>
    </row>
    <row r="11" spans="1:13" hidden="1" outlineLevel="1">
      <c r="A11" s="66">
        <v>1967</v>
      </c>
      <c r="B11" s="31">
        <v>74.900000000000006</v>
      </c>
      <c r="C11" s="31">
        <v>83.3</v>
      </c>
      <c r="D11" s="30">
        <v>230.6</v>
      </c>
      <c r="E11" s="29">
        <f t="shared" si="0"/>
        <v>89.902534113060426</v>
      </c>
      <c r="F11" s="30">
        <v>504.8</v>
      </c>
      <c r="G11" s="29">
        <f>F11/'19'!K12*100</f>
        <v>77.17474392294757</v>
      </c>
      <c r="I11" s="30">
        <v>216300000</v>
      </c>
      <c r="J11" s="30">
        <v>504800000</v>
      </c>
    </row>
    <row r="12" spans="1:13" hidden="1" outlineLevel="1">
      <c r="A12" s="66">
        <v>1968</v>
      </c>
      <c r="B12" s="31">
        <v>75.3</v>
      </c>
      <c r="C12" s="31">
        <v>83.9</v>
      </c>
      <c r="D12" s="30">
        <v>230.3</v>
      </c>
      <c r="E12" s="29">
        <f t="shared" si="0"/>
        <v>89.785575048732952</v>
      </c>
      <c r="F12" s="30">
        <v>547.9</v>
      </c>
      <c r="G12" s="29">
        <f>F12/'19'!K13*100</f>
        <v>69.894119147850489</v>
      </c>
      <c r="I12" s="30">
        <v>216000000</v>
      </c>
      <c r="J12" s="30">
        <v>547900000</v>
      </c>
    </row>
    <row r="13" spans="1:13" hidden="1" outlineLevel="1">
      <c r="A13" s="66">
        <v>1969</v>
      </c>
      <c r="B13" s="31">
        <v>76.7</v>
      </c>
      <c r="C13" s="31">
        <v>84.3</v>
      </c>
      <c r="D13" s="30">
        <v>233.2</v>
      </c>
      <c r="E13" s="29">
        <f t="shared" si="0"/>
        <v>90.916179337231966</v>
      </c>
      <c r="F13" s="30">
        <v>602.9</v>
      </c>
      <c r="G13" s="29">
        <f>F13/'19'!K14*100</f>
        <v>71.298486281929982</v>
      </c>
      <c r="I13" s="30">
        <v>218600000</v>
      </c>
      <c r="J13" s="30">
        <v>602900000</v>
      </c>
    </row>
    <row r="14" spans="1:13" hidden="1" outlineLevel="1">
      <c r="A14" s="66">
        <v>1970</v>
      </c>
      <c r="B14" s="31">
        <v>73.599999999999994</v>
      </c>
      <c r="C14" s="31">
        <v>84.7</v>
      </c>
      <c r="D14" s="30">
        <v>222.9</v>
      </c>
      <c r="E14" s="29">
        <f t="shared" si="0"/>
        <v>86.900584795321649</v>
      </c>
      <c r="F14" s="30">
        <v>614.4</v>
      </c>
      <c r="G14" s="29">
        <f>F14/'19'!K15*100</f>
        <v>85.666480758505287</v>
      </c>
      <c r="I14" s="30">
        <v>208900000</v>
      </c>
      <c r="J14" s="30">
        <v>614400000</v>
      </c>
    </row>
    <row r="15" spans="1:13" hidden="1" outlineLevel="1">
      <c r="A15" s="66">
        <v>1971</v>
      </c>
      <c r="B15" s="31">
        <v>79.099999999999994</v>
      </c>
      <c r="C15" s="31">
        <v>85.7</v>
      </c>
      <c r="D15" s="30">
        <v>236.8</v>
      </c>
      <c r="E15" s="29">
        <f t="shared" si="0"/>
        <v>92.319688109161802</v>
      </c>
      <c r="F15" s="30">
        <v>707.1</v>
      </c>
      <c r="G15" s="29">
        <f>F15/'19'!K16*100</f>
        <v>82.798594847775178</v>
      </c>
      <c r="I15" s="30">
        <v>221800000</v>
      </c>
      <c r="J15" s="30">
        <v>707100000</v>
      </c>
    </row>
    <row r="16" spans="1:13" hidden="1" outlineLevel="1">
      <c r="A16" s="66">
        <v>1972</v>
      </c>
      <c r="B16" s="31">
        <v>88.4</v>
      </c>
      <c r="C16" s="31">
        <v>86.7</v>
      </c>
      <c r="D16" s="30">
        <v>261.60000000000002</v>
      </c>
      <c r="E16" s="29">
        <f t="shared" si="0"/>
        <v>101.98830409356725</v>
      </c>
      <c r="F16" s="30">
        <v>857.3</v>
      </c>
      <c r="G16" s="29">
        <f>F16/'19'!K17*100</f>
        <v>71.074448681810637</v>
      </c>
      <c r="I16" s="30">
        <v>245100000</v>
      </c>
      <c r="J16" s="30">
        <v>857300000</v>
      </c>
    </row>
    <row r="17" spans="1:12" collapsed="1">
      <c r="A17" s="66">
        <v>1973</v>
      </c>
      <c r="B17" s="31">
        <v>96.6</v>
      </c>
      <c r="C17" s="31">
        <v>87.5</v>
      </c>
      <c r="D17" s="30">
        <v>282.89999999999998</v>
      </c>
      <c r="E17" s="29">
        <f t="shared" si="0"/>
        <v>110.29239766081871</v>
      </c>
      <c r="F17" s="30">
        <v>1038.7</v>
      </c>
      <c r="G17" s="29">
        <f>F17/'19'!K18*100</f>
        <v>60.611542276944618</v>
      </c>
      <c r="I17" s="30">
        <v>265000000</v>
      </c>
      <c r="J17" s="30">
        <v>1038700000</v>
      </c>
    </row>
    <row r="18" spans="1:12" hidden="1" outlineLevel="1">
      <c r="A18" s="66">
        <v>1974</v>
      </c>
      <c r="B18" s="31">
        <v>91.7</v>
      </c>
      <c r="C18" s="31">
        <v>88</v>
      </c>
      <c r="D18" s="30">
        <v>267.2</v>
      </c>
      <c r="E18" s="29">
        <f t="shared" si="0"/>
        <v>104.17153996101365</v>
      </c>
      <c r="F18" s="30">
        <v>1165.7</v>
      </c>
      <c r="G18" s="29">
        <f>F18/'19'!K19*100</f>
        <v>74.633459248351357</v>
      </c>
      <c r="I18" s="30">
        <v>250400000</v>
      </c>
      <c r="J18" s="30">
        <v>1165700000</v>
      </c>
    </row>
    <row r="19" spans="1:12" hidden="1" outlineLevel="1">
      <c r="A19" s="66">
        <v>1975</v>
      </c>
      <c r="B19" s="31">
        <v>83.3</v>
      </c>
      <c r="C19" s="31">
        <v>88.4</v>
      </c>
      <c r="D19" s="30">
        <v>241.7</v>
      </c>
      <c r="E19" s="29">
        <f t="shared" si="0"/>
        <v>94.23001949317738</v>
      </c>
      <c r="F19" s="30">
        <v>1218.3</v>
      </c>
      <c r="G19" s="29">
        <f>F19/'19'!K20*100</f>
        <v>83.308260393873084</v>
      </c>
      <c r="I19" s="30">
        <v>226600000</v>
      </c>
      <c r="J19" s="30">
        <v>1218300000</v>
      </c>
    </row>
    <row r="20" spans="1:12" hidden="1" outlineLevel="1">
      <c r="A20" s="66">
        <v>1976</v>
      </c>
      <c r="B20" s="31">
        <v>91.8</v>
      </c>
      <c r="C20" s="31">
        <v>89.1</v>
      </c>
      <c r="D20" s="30">
        <v>264.3</v>
      </c>
      <c r="E20" s="29">
        <f t="shared" si="0"/>
        <v>103.04093567251462</v>
      </c>
      <c r="F20" s="30">
        <v>1558.5</v>
      </c>
      <c r="G20" s="29">
        <f>F20/'19'!K21*100</f>
        <v>80.459473412493537</v>
      </c>
      <c r="I20" s="30">
        <v>247600000</v>
      </c>
      <c r="J20" s="30">
        <v>1558500000</v>
      </c>
    </row>
    <row r="21" spans="1:12" hidden="1" outlineLevel="1">
      <c r="A21" s="66">
        <v>1977</v>
      </c>
      <c r="B21" s="31">
        <v>95.3</v>
      </c>
      <c r="C21" s="31">
        <v>89.5</v>
      </c>
      <c r="D21" s="30">
        <v>273.10000000000002</v>
      </c>
      <c r="E21" s="29">
        <f t="shared" si="0"/>
        <v>106.47173489278754</v>
      </c>
      <c r="F21" s="30">
        <v>1800</v>
      </c>
      <c r="G21" s="29">
        <f>F21/'19'!K22*100</f>
        <v>73.031200551791301</v>
      </c>
      <c r="I21" s="30">
        <v>255800000</v>
      </c>
      <c r="J21" s="30">
        <v>1800000000</v>
      </c>
    </row>
    <row r="22" spans="1:12" hidden="1" outlineLevel="1">
      <c r="A22" s="66">
        <v>1978</v>
      </c>
      <c r="B22" s="31">
        <v>101.4</v>
      </c>
      <c r="C22" s="31">
        <v>89.6</v>
      </c>
      <c r="D22" s="30">
        <v>290.3</v>
      </c>
      <c r="E22" s="29">
        <f t="shared" si="0"/>
        <v>113.17738791423002</v>
      </c>
      <c r="F22" s="30">
        <v>2070.1999999999998</v>
      </c>
      <c r="G22" s="29">
        <f>F22/'19'!K23*100</f>
        <v>66.64735046036958</v>
      </c>
      <c r="I22" s="30">
        <v>271900000</v>
      </c>
      <c r="J22" s="30">
        <v>2070200000</v>
      </c>
    </row>
    <row r="23" spans="1:12" hidden="1" outlineLevel="1">
      <c r="A23" s="66">
        <v>1979</v>
      </c>
      <c r="B23" s="31">
        <v>104.3</v>
      </c>
      <c r="C23" s="31">
        <v>89.5</v>
      </c>
      <c r="D23" s="30">
        <v>299</v>
      </c>
      <c r="E23" s="29">
        <f t="shared" si="0"/>
        <v>116.5692007797271</v>
      </c>
      <c r="F23" s="30">
        <v>2359.9</v>
      </c>
      <c r="G23" s="29">
        <f>F23/'19'!K24*100</f>
        <v>66.97601816375763</v>
      </c>
      <c r="I23" s="30">
        <v>280200000</v>
      </c>
      <c r="J23" s="30">
        <v>2359900000</v>
      </c>
    </row>
    <row r="24" spans="1:12" hidden="1" outlineLevel="1">
      <c r="A24" s="66">
        <v>1980</v>
      </c>
      <c r="B24" s="31">
        <v>98.2</v>
      </c>
      <c r="C24" s="31">
        <v>89.8</v>
      </c>
      <c r="D24" s="30">
        <v>280.3</v>
      </c>
      <c r="E24" s="29">
        <f t="shared" si="0"/>
        <v>109.27875243664718</v>
      </c>
      <c r="F24" s="30">
        <v>2514.9</v>
      </c>
      <c r="G24" s="29">
        <f>F24/'19'!K25*100</f>
        <v>81.073500967117994</v>
      </c>
      <c r="I24" s="30">
        <v>262600000</v>
      </c>
      <c r="J24" s="30">
        <v>2514900000</v>
      </c>
    </row>
    <row r="25" spans="1:12" collapsed="1">
      <c r="A25" s="66">
        <v>1981</v>
      </c>
      <c r="B25" s="31">
        <v>90.7</v>
      </c>
      <c r="C25" s="31">
        <v>90.2</v>
      </c>
      <c r="D25" s="30">
        <v>257.8</v>
      </c>
      <c r="E25" s="29">
        <f t="shared" si="0"/>
        <v>100.50682261208577</v>
      </c>
      <c r="F25" s="30">
        <v>2363</v>
      </c>
      <c r="G25" s="29">
        <f>F25/'19'!K26*100</f>
        <v>89.446589446589442</v>
      </c>
      <c r="I25" s="30">
        <v>241600000</v>
      </c>
      <c r="J25" s="30">
        <v>2363000000</v>
      </c>
      <c r="L25" s="139"/>
    </row>
    <row r="26" spans="1:12">
      <c r="A26" s="66">
        <v>1982</v>
      </c>
      <c r="B26" s="31">
        <v>76.7</v>
      </c>
      <c r="C26" s="31">
        <v>91.3</v>
      </c>
      <c r="D26" s="30">
        <v>215.4</v>
      </c>
      <c r="E26" s="29">
        <f t="shared" si="0"/>
        <v>83.976608187134502</v>
      </c>
      <c r="F26" s="30">
        <v>1555</v>
      </c>
      <c r="G26" s="29">
        <f>F26/'19'!K27*100</f>
        <v>77.51744765702891</v>
      </c>
      <c r="I26" s="30">
        <v>201900000</v>
      </c>
      <c r="J26" s="30">
        <v>1557700000</v>
      </c>
      <c r="L26" s="139"/>
    </row>
    <row r="27" spans="1:12">
      <c r="A27" s="66">
        <v>1983</v>
      </c>
      <c r="B27" s="31">
        <v>80.3</v>
      </c>
      <c r="C27" s="31">
        <v>92.5</v>
      </c>
      <c r="D27" s="30">
        <v>222.5</v>
      </c>
      <c r="E27" s="29">
        <f t="shared" si="0"/>
        <v>86.744639376218331</v>
      </c>
      <c r="F27" s="30">
        <v>2554.8000000000002</v>
      </c>
      <c r="G27" s="29">
        <f>F27/'19'!K28*100</f>
        <v>82.966908063520933</v>
      </c>
      <c r="I27" s="30">
        <v>208500000</v>
      </c>
      <c r="J27" s="30">
        <v>2554800000</v>
      </c>
      <c r="L27" s="139"/>
    </row>
    <row r="28" spans="1:12">
      <c r="A28" s="66">
        <v>1984</v>
      </c>
      <c r="B28" s="31">
        <v>79.7</v>
      </c>
      <c r="C28" s="31">
        <v>93.3</v>
      </c>
      <c r="D28" s="30">
        <v>219.1</v>
      </c>
      <c r="E28" s="29">
        <f t="shared" si="0"/>
        <v>85.419103313840154</v>
      </c>
      <c r="F28" s="30">
        <v>2695.4</v>
      </c>
      <c r="G28" s="29">
        <f>F28/'19'!K29*100</f>
        <v>84.068367537895341</v>
      </c>
      <c r="I28" s="30">
        <v>205300000</v>
      </c>
      <c r="J28" s="30">
        <v>2695400000</v>
      </c>
      <c r="L28" s="139"/>
    </row>
    <row r="29" spans="1:12">
      <c r="A29" s="66">
        <v>1985</v>
      </c>
      <c r="B29" s="31">
        <v>82.1</v>
      </c>
      <c r="C29" s="31">
        <v>94.2</v>
      </c>
      <c r="D29" s="30">
        <v>223.7</v>
      </c>
      <c r="E29" s="29">
        <f t="shared" si="0"/>
        <v>87.212475633528257</v>
      </c>
      <c r="F29" s="30">
        <v>2896.4</v>
      </c>
      <c r="G29" s="29">
        <f>F29/'19'!K30*100</f>
        <v>78.800740015235618</v>
      </c>
      <c r="I29" s="30">
        <v>209600000</v>
      </c>
      <c r="J29" s="30">
        <v>2896400000</v>
      </c>
      <c r="L29" s="139"/>
    </row>
    <row r="30" spans="1:12">
      <c r="A30" s="66">
        <v>1986</v>
      </c>
      <c r="B30" s="31">
        <v>86.9</v>
      </c>
      <c r="C30" s="31">
        <v>94.9</v>
      </c>
      <c r="D30" s="30">
        <v>234.7</v>
      </c>
      <c r="E30" s="29">
        <f t="shared" si="0"/>
        <v>91.500974658869396</v>
      </c>
      <c r="F30" s="30">
        <v>2960</v>
      </c>
      <c r="G30" s="29">
        <f>F30/'19'!K31*100</f>
        <v>69.840970223207961</v>
      </c>
      <c r="I30" s="30">
        <v>219800000</v>
      </c>
      <c r="J30" s="30">
        <v>2960000000</v>
      </c>
      <c r="L30" s="139"/>
    </row>
    <row r="31" spans="1:12">
      <c r="A31" s="66">
        <v>1987</v>
      </c>
      <c r="B31" s="31">
        <v>95.7</v>
      </c>
      <c r="C31" s="31">
        <v>95.9</v>
      </c>
      <c r="D31" s="30">
        <v>256.10000000000002</v>
      </c>
      <c r="E31" s="29">
        <f t="shared" si="0"/>
        <v>99.844054580896696</v>
      </c>
      <c r="F31" s="30">
        <v>3413.6</v>
      </c>
      <c r="G31" s="29">
        <f>F31/'19'!K32*100</f>
        <v>67.260403530895331</v>
      </c>
      <c r="I31" s="30">
        <v>239800000</v>
      </c>
      <c r="J31" s="30">
        <v>3413600000</v>
      </c>
      <c r="L31" s="139"/>
    </row>
    <row r="32" spans="1:12">
      <c r="A32" s="66">
        <v>1988</v>
      </c>
      <c r="B32" s="31">
        <v>96.9</v>
      </c>
      <c r="C32" s="31">
        <v>96.6</v>
      </c>
      <c r="D32" s="30">
        <v>257.3</v>
      </c>
      <c r="E32" s="29">
        <f t="shared" si="0"/>
        <v>100.31189083820664</v>
      </c>
      <c r="F32" s="30">
        <v>3611.7</v>
      </c>
      <c r="G32" s="29">
        <f>F32/'19'!K33*100</f>
        <v>76.34438149995772</v>
      </c>
      <c r="I32" s="30">
        <v>241000000</v>
      </c>
      <c r="J32" s="30">
        <v>3611700000</v>
      </c>
      <c r="L32" s="139"/>
    </row>
    <row r="33" spans="1:12">
      <c r="A33" s="66">
        <v>1989</v>
      </c>
      <c r="B33" s="31">
        <v>97</v>
      </c>
      <c r="C33" s="31">
        <v>97.3</v>
      </c>
      <c r="D33" s="30">
        <v>255.7</v>
      </c>
      <c r="E33" s="29">
        <f t="shared" si="0"/>
        <v>99.688109161793363</v>
      </c>
      <c r="F33" s="30">
        <v>3703.1</v>
      </c>
      <c r="G33" s="29">
        <f>F33/'19'!K34*100</f>
        <v>76.387227195841405</v>
      </c>
      <c r="I33" s="30">
        <v>239400000</v>
      </c>
      <c r="J33" s="30">
        <v>3703100000</v>
      </c>
      <c r="L33" s="139"/>
    </row>
    <row r="34" spans="1:12">
      <c r="A34" s="66">
        <v>1990</v>
      </c>
      <c r="B34" s="31">
        <v>87.7</v>
      </c>
      <c r="C34" s="31">
        <v>97.8</v>
      </c>
      <c r="D34" s="30">
        <v>230.2</v>
      </c>
      <c r="E34" s="29">
        <f t="shared" si="0"/>
        <v>89.746588693957108</v>
      </c>
      <c r="F34" s="30">
        <v>3590.7</v>
      </c>
      <c r="G34" s="29">
        <f>F34/'19'!K35*100</f>
        <v>84.61248438862313</v>
      </c>
      <c r="I34" s="30">
        <v>215600000</v>
      </c>
      <c r="J34" s="30">
        <v>3590700000</v>
      </c>
      <c r="L34" s="139"/>
    </row>
    <row r="35" spans="1:12">
      <c r="A35" s="66">
        <v>1991</v>
      </c>
      <c r="B35" s="31">
        <v>75.8</v>
      </c>
      <c r="C35" s="31">
        <v>98.2</v>
      </c>
      <c r="D35" s="30">
        <v>198</v>
      </c>
      <c r="E35" s="29">
        <f t="shared" si="0"/>
        <v>77.192982456140342</v>
      </c>
      <c r="F35" s="30">
        <v>3306.7</v>
      </c>
      <c r="G35" s="29">
        <f>F35/'19'!K36*100</f>
        <v>89.992924014805126</v>
      </c>
      <c r="I35" s="30">
        <v>185400000</v>
      </c>
      <c r="J35" s="30">
        <v>3306700000</v>
      </c>
      <c r="L35" s="139"/>
    </row>
    <row r="36" spans="1:12">
      <c r="A36" s="66">
        <v>1992</v>
      </c>
      <c r="B36" s="31">
        <v>80</v>
      </c>
      <c r="C36" s="31">
        <v>98.1</v>
      </c>
      <c r="D36" s="30">
        <v>209.1</v>
      </c>
      <c r="E36" s="29">
        <f t="shared" si="0"/>
        <v>81.520467836257311</v>
      </c>
      <c r="F36" s="30">
        <v>3573.2</v>
      </c>
      <c r="G36" s="29">
        <f>F36/'19'!K37*100</f>
        <v>79.969562687435655</v>
      </c>
      <c r="I36" s="30">
        <v>195900000</v>
      </c>
      <c r="J36" s="30">
        <v>3573200000</v>
      </c>
      <c r="L36" s="139"/>
    </row>
    <row r="37" spans="1:12">
      <c r="A37" s="66">
        <v>1993</v>
      </c>
      <c r="B37" s="31">
        <v>89.5</v>
      </c>
      <c r="C37" s="31">
        <v>98.8</v>
      </c>
      <c r="D37" s="30">
        <v>232.2</v>
      </c>
      <c r="E37" s="29">
        <f t="shared" si="0"/>
        <v>90.526315789473671</v>
      </c>
      <c r="F37" s="30">
        <v>3953.3</v>
      </c>
      <c r="G37" s="29">
        <f>F37/'19'!K38*100</f>
        <v>61.07369071527885</v>
      </c>
      <c r="I37" s="30">
        <v>217600000</v>
      </c>
      <c r="J37" s="30">
        <v>3953300000</v>
      </c>
      <c r="L37" s="139"/>
    </row>
    <row r="38" spans="1:12">
      <c r="A38" s="66">
        <v>1994</v>
      </c>
      <c r="B38" s="31">
        <v>98.3</v>
      </c>
      <c r="C38" s="31">
        <v>98.6</v>
      </c>
      <c r="D38" s="30">
        <v>255.5</v>
      </c>
      <c r="E38" s="29">
        <f t="shared" si="0"/>
        <v>99.610136452241719</v>
      </c>
      <c r="F38" s="30">
        <v>4398.1000000000004</v>
      </c>
      <c r="G38" s="29">
        <f>F38/'19'!K39*100</f>
        <v>51.518097692397802</v>
      </c>
      <c r="I38" s="30">
        <v>239400000</v>
      </c>
      <c r="J38" s="30">
        <v>4398100000</v>
      </c>
      <c r="L38" s="139"/>
    </row>
    <row r="39" spans="1:12">
      <c r="A39" s="66">
        <v>1995</v>
      </c>
      <c r="B39" s="31">
        <v>99.4</v>
      </c>
      <c r="C39" s="31">
        <v>98.4</v>
      </c>
      <c r="D39" s="30">
        <v>259.10000000000002</v>
      </c>
      <c r="E39" s="29">
        <f t="shared" si="0"/>
        <v>101.01364522417155</v>
      </c>
      <c r="F39" s="30">
        <v>4617.8</v>
      </c>
      <c r="G39" s="29">
        <f>F39/'19'!K40*100</f>
        <v>61.770804071859494</v>
      </c>
      <c r="I39" s="30">
        <v>242800000</v>
      </c>
      <c r="J39" s="30">
        <v>4617800000</v>
      </c>
      <c r="L39" s="139"/>
    </row>
    <row r="40" spans="1:12">
      <c r="A40" s="66">
        <v>1996</v>
      </c>
      <c r="B40" s="31">
        <v>102.9</v>
      </c>
      <c r="C40" s="31">
        <v>98.7</v>
      </c>
      <c r="D40" s="30">
        <v>267.39999999999998</v>
      </c>
      <c r="E40" s="29">
        <f t="shared" si="0"/>
        <v>104.24951267056531</v>
      </c>
      <c r="F40" s="30">
        <v>4788.7</v>
      </c>
      <c r="G40" s="29">
        <f>F40/'19'!K41*100</f>
        <v>60.159547738693462</v>
      </c>
      <c r="I40" s="30">
        <v>250700000</v>
      </c>
      <c r="J40" s="30">
        <v>4788700000</v>
      </c>
      <c r="L40" s="139"/>
    </row>
    <row r="41" spans="1:12">
      <c r="A41" s="66">
        <v>1997</v>
      </c>
      <c r="B41" s="31">
        <v>108.5</v>
      </c>
      <c r="C41" s="31">
        <v>99.7</v>
      </c>
      <c r="D41" s="30">
        <v>279.2</v>
      </c>
      <c r="E41" s="29">
        <f t="shared" si="0"/>
        <v>108.84990253411306</v>
      </c>
      <c r="F41" s="30">
        <v>5249.8</v>
      </c>
      <c r="G41" s="29">
        <f>F41/'19'!K42*100</f>
        <v>57.076692252495164</v>
      </c>
      <c r="I41" s="30">
        <v>261700000</v>
      </c>
      <c r="J41" s="30">
        <v>5247800000</v>
      </c>
      <c r="L41" s="139"/>
    </row>
    <row r="42" spans="1:12">
      <c r="A42" s="66">
        <v>1998</v>
      </c>
      <c r="B42" s="31">
        <v>104.2</v>
      </c>
      <c r="C42" s="31">
        <v>99.9</v>
      </c>
      <c r="D42" s="30">
        <v>267.60000000000002</v>
      </c>
      <c r="E42" s="29">
        <f t="shared" si="0"/>
        <v>104.32748538011695</v>
      </c>
      <c r="F42" s="30">
        <v>5245.2</v>
      </c>
      <c r="G42" s="29">
        <f>F42/'19'!K43*100</f>
        <v>57.432550805886471</v>
      </c>
      <c r="I42" s="30">
        <v>251800000</v>
      </c>
      <c r="J42" s="30">
        <v>5243900000</v>
      </c>
      <c r="L42" s="139"/>
    </row>
    <row r="43" spans="1:12">
      <c r="A43" s="66">
        <v>1999</v>
      </c>
      <c r="B43" s="31">
        <v>112.7</v>
      </c>
      <c r="C43" s="31">
        <v>98.9</v>
      </c>
      <c r="D43" s="30">
        <v>292.2</v>
      </c>
      <c r="E43" s="29">
        <f t="shared" si="0"/>
        <v>113.91812865497076</v>
      </c>
      <c r="F43" s="30">
        <v>5864.7</v>
      </c>
      <c r="G43" s="29">
        <f>F43/'19'!K44*100</f>
        <v>48.967169861732685</v>
      </c>
      <c r="I43" s="30">
        <v>276100000</v>
      </c>
      <c r="J43" s="30">
        <v>5864900000</v>
      </c>
      <c r="L43" s="139"/>
    </row>
    <row r="44" spans="1:12">
      <c r="A44" s="66">
        <v>2000</v>
      </c>
      <c r="B44" s="31">
        <v>115.9</v>
      </c>
      <c r="C44" s="31">
        <v>100.8</v>
      </c>
      <c r="D44" s="30">
        <v>294.89999999999998</v>
      </c>
      <c r="E44" s="29">
        <f t="shared" si="0"/>
        <v>114.97076023391813</v>
      </c>
      <c r="F44" s="30">
        <v>6434.6</v>
      </c>
      <c r="G44" s="29">
        <f>F44/'19'!K45*100</f>
        <v>52.919599973682473</v>
      </c>
      <c r="I44" s="30">
        <v>280000000</v>
      </c>
      <c r="J44" s="30">
        <v>6434700000</v>
      </c>
      <c r="L44" s="139"/>
    </row>
    <row r="45" spans="1:12">
      <c r="A45" s="66">
        <v>2001</v>
      </c>
      <c r="B45" s="31">
        <v>102.4</v>
      </c>
      <c r="C45" s="31">
        <v>100.6</v>
      </c>
      <c r="D45" s="30">
        <v>261.10000000000002</v>
      </c>
      <c r="E45" s="29">
        <f t="shared" si="0"/>
        <v>101.79337231968813</v>
      </c>
      <c r="F45" s="30">
        <v>6259.3</v>
      </c>
      <c r="G45" s="29">
        <f>F45/'19'!K46*100</f>
        <v>55.393506022283781</v>
      </c>
      <c r="I45" s="30">
        <v>269400000</v>
      </c>
      <c r="J45" s="30">
        <v>6259200000</v>
      </c>
      <c r="L45" s="139"/>
    </row>
    <row r="46" spans="1:12">
      <c r="A46" s="66">
        <v>2002</v>
      </c>
      <c r="B46" s="31">
        <v>100</v>
      </c>
      <c r="C46" s="31">
        <v>100</v>
      </c>
      <c r="D46" s="30">
        <v>256.5</v>
      </c>
      <c r="E46" s="29">
        <f t="shared" si="0"/>
        <v>100</v>
      </c>
      <c r="F46" s="30">
        <v>6475.5</v>
      </c>
      <c r="G46" s="29">
        <f>F46/'19'!K47*100</f>
        <v>53.608238888015038</v>
      </c>
      <c r="I46" s="30">
        <v>267700000</v>
      </c>
      <c r="J46" s="30">
        <v>6474800000</v>
      </c>
      <c r="L46" s="139"/>
    </row>
    <row r="47" spans="1:12">
      <c r="A47" s="66">
        <v>2003</v>
      </c>
      <c r="B47" s="31">
        <v>100.3</v>
      </c>
      <c r="C47" s="31">
        <v>101.3</v>
      </c>
      <c r="D47" s="30">
        <v>254</v>
      </c>
      <c r="E47" s="29">
        <f t="shared" si="0"/>
        <v>99.025341130604289</v>
      </c>
      <c r="F47" s="30">
        <v>6566</v>
      </c>
      <c r="G47" s="29">
        <f>F47/'19'!K48*100</f>
        <v>56.610768633875075</v>
      </c>
      <c r="I47" s="30">
        <v>258200000</v>
      </c>
      <c r="J47" s="30">
        <v>6565000000</v>
      </c>
      <c r="L47" s="139"/>
    </row>
    <row r="48" spans="1:12">
      <c r="A48" s="66">
        <v>2004</v>
      </c>
      <c r="B48" s="31">
        <v>101.8</v>
      </c>
      <c r="C48" s="31">
        <v>101.3</v>
      </c>
      <c r="D48" s="30">
        <v>257.89999999999998</v>
      </c>
      <c r="E48" s="29">
        <f t="shared" si="0"/>
        <v>100.54580896686159</v>
      </c>
      <c r="F48" s="30">
        <v>7086.6</v>
      </c>
      <c r="G48" s="29">
        <f>F48/'19'!K49*100</f>
        <v>50.11810633813775</v>
      </c>
      <c r="I48" s="30">
        <v>258300000</v>
      </c>
      <c r="J48" s="30">
        <v>7012800000</v>
      </c>
      <c r="L48" s="139"/>
    </row>
    <row r="49" spans="1:16">
      <c r="A49" s="66">
        <v>2005</v>
      </c>
      <c r="B49" s="31">
        <v>99</v>
      </c>
      <c r="C49" s="31">
        <v>101.3</v>
      </c>
      <c r="D49" s="30">
        <v>250.7</v>
      </c>
      <c r="E49" s="29">
        <f t="shared" si="0"/>
        <v>97.738791423001942</v>
      </c>
      <c r="F49" s="30">
        <v>7279.3</v>
      </c>
      <c r="G49" s="29">
        <f>F49/'19'!K50*100</f>
        <v>56.987513210944542</v>
      </c>
      <c r="I49" s="30"/>
      <c r="J49" s="30"/>
      <c r="L49" s="139"/>
    </row>
    <row r="50" spans="1:16">
      <c r="A50" s="66">
        <v>2006</v>
      </c>
      <c r="B50" s="31">
        <v>92.6</v>
      </c>
      <c r="C50" s="31">
        <v>101.6</v>
      </c>
      <c r="D50" s="30">
        <v>233.9</v>
      </c>
      <c r="E50" s="29">
        <f t="shared" si="0"/>
        <v>91.189083820662773</v>
      </c>
      <c r="F50" s="30">
        <v>6938.1</v>
      </c>
      <c r="G50" s="29">
        <f>F50/'19'!K51*100</f>
        <v>62.482326347925543</v>
      </c>
      <c r="I50" s="30"/>
      <c r="J50" s="30"/>
      <c r="L50" s="139"/>
    </row>
    <row r="51" spans="1:16">
      <c r="A51" s="66">
        <v>2007</v>
      </c>
      <c r="B51" s="31">
        <v>81.7</v>
      </c>
      <c r="C51" s="31">
        <v>101.9</v>
      </c>
      <c r="D51" s="30">
        <v>205.7</v>
      </c>
      <c r="E51" s="29">
        <f t="shared" si="0"/>
        <v>80.194931773879148</v>
      </c>
      <c r="F51" s="30">
        <v>6122</v>
      </c>
      <c r="G51" s="29">
        <f>F51/'19'!K52*100</f>
        <v>64.733063347889995</v>
      </c>
      <c r="I51" s="30"/>
      <c r="J51" s="30"/>
      <c r="L51" s="139"/>
    </row>
    <row r="52" spans="1:16">
      <c r="A52" s="66">
        <v>2008</v>
      </c>
      <c r="B52" s="31">
        <v>71.599999999999994</v>
      </c>
      <c r="C52" s="31">
        <v>101.6</v>
      </c>
      <c r="D52" s="30">
        <v>180.9</v>
      </c>
      <c r="E52" s="29">
        <f t="shared" si="0"/>
        <v>70.526315789473685</v>
      </c>
      <c r="F52" s="30">
        <v>5325.4</v>
      </c>
      <c r="G52" s="29">
        <f>F52/'19'!K53*100</f>
        <v>66.596636028262353</v>
      </c>
      <c r="I52" s="30"/>
      <c r="J52" s="30"/>
      <c r="L52" s="139"/>
    </row>
    <row r="53" spans="1:16">
      <c r="A53" s="66"/>
      <c r="B53" s="31"/>
      <c r="C53" s="31"/>
      <c r="D53" s="30"/>
      <c r="E53" s="30"/>
      <c r="F53" s="30"/>
      <c r="G53" s="30"/>
      <c r="I53" s="30"/>
      <c r="J53" s="30"/>
      <c r="L53" s="139"/>
    </row>
    <row r="54" spans="1:16">
      <c r="A54" s="66" t="s">
        <v>23</v>
      </c>
    </row>
    <row r="55" spans="1:16">
      <c r="A55" s="64" t="s">
        <v>2118</v>
      </c>
      <c r="B55" s="67">
        <f>((B52/B5)^(1/47)-1)*100</f>
        <v>0.26249230257884282</v>
      </c>
      <c r="C55" s="67">
        <f t="shared" ref="C55:G55" si="1">((C52/C5)^(1/47)-1)*100</f>
        <v>0.55032772832472876</v>
      </c>
      <c r="D55" s="67">
        <f t="shared" si="1"/>
        <v>-0.28429246235899264</v>
      </c>
      <c r="E55" s="67">
        <f t="shared" si="1"/>
        <v>-0.28429246235899264</v>
      </c>
      <c r="F55" s="67">
        <f t="shared" si="1"/>
        <v>6.1590625601249283</v>
      </c>
      <c r="G55" s="67">
        <f t="shared" si="1"/>
        <v>-0.44790081206886878</v>
      </c>
      <c r="H55" s="67"/>
      <c r="I55" s="67"/>
      <c r="J55" s="67"/>
      <c r="K55" s="67"/>
      <c r="L55" s="67"/>
      <c r="M55" s="67"/>
      <c r="N55" s="67"/>
      <c r="O55" s="67"/>
      <c r="P55" s="67"/>
    </row>
    <row r="56" spans="1:16">
      <c r="A56" s="68" t="s">
        <v>1031</v>
      </c>
      <c r="B56" s="67">
        <f>((B17/B5)^(1/12)-1)*100</f>
        <v>3.585218077308916</v>
      </c>
      <c r="C56" s="67">
        <f t="shared" ref="C56:G56" si="2">((C17/C5)^(1/12)-1)*100</f>
        <v>0.90860437990905041</v>
      </c>
      <c r="D56" s="67">
        <f t="shared" si="2"/>
        <v>2.6455677195986516</v>
      </c>
      <c r="E56" s="67">
        <f t="shared" si="2"/>
        <v>2.6455677195986516</v>
      </c>
      <c r="F56" s="67">
        <f t="shared" si="2"/>
        <v>10.283371495927462</v>
      </c>
      <c r="G56" s="67">
        <f t="shared" si="2"/>
        <v>-2.5108971979412087</v>
      </c>
      <c r="H56" s="67"/>
      <c r="I56" s="67"/>
      <c r="J56" s="67"/>
      <c r="K56" s="67"/>
      <c r="L56" s="67"/>
      <c r="M56" s="67"/>
      <c r="N56" s="67"/>
      <c r="O56" s="67"/>
      <c r="P56" s="67"/>
    </row>
    <row r="57" spans="1:16">
      <c r="A57" s="68" t="s">
        <v>1032</v>
      </c>
      <c r="B57" s="67">
        <f>((B25/B17)^(1/8)-1)*100</f>
        <v>-0.78467254643369566</v>
      </c>
      <c r="C57" s="67">
        <f t="shared" ref="C57:G57" si="3">((C25/C17)^(1/8)-1)*100</f>
        <v>0.38060539103881297</v>
      </c>
      <c r="D57" s="67">
        <f t="shared" si="3"/>
        <v>-1.154649508363903</v>
      </c>
      <c r="E57" s="67">
        <f t="shared" si="3"/>
        <v>-1.1546495083639141</v>
      </c>
      <c r="F57" s="67">
        <f t="shared" si="3"/>
        <v>10.820906613044601</v>
      </c>
      <c r="G57" s="67">
        <f t="shared" si="3"/>
        <v>4.9847108331001699</v>
      </c>
      <c r="H57" s="67"/>
      <c r="I57" s="67"/>
      <c r="J57" s="67"/>
      <c r="K57" s="67"/>
      <c r="L57" s="67"/>
      <c r="M57" s="67"/>
      <c r="N57" s="67"/>
      <c r="O57" s="67"/>
      <c r="P57" s="67"/>
    </row>
    <row r="58" spans="1:16">
      <c r="A58" s="69" t="s">
        <v>1783</v>
      </c>
      <c r="B58" s="67">
        <f>((B52/B25)^(1/27)-1)*100</f>
        <v>-0.87196239728841718</v>
      </c>
      <c r="C58" s="67">
        <f t="shared" ref="C58:G58" si="4">((C52/C25)^(1/27)-1)*100</f>
        <v>0.44176591418390032</v>
      </c>
      <c r="D58" s="67">
        <f t="shared" si="4"/>
        <v>-1.3034296933594924</v>
      </c>
      <c r="E58" s="67">
        <f t="shared" si="4"/>
        <v>-1.3034296933594924</v>
      </c>
      <c r="F58" s="67">
        <f t="shared" si="4"/>
        <v>3.055208169962409</v>
      </c>
      <c r="G58" s="67">
        <f t="shared" si="4"/>
        <v>-1.0866001067440956</v>
      </c>
      <c r="H58" s="67"/>
      <c r="I58" s="67"/>
      <c r="J58" s="67"/>
      <c r="K58" s="67"/>
      <c r="L58" s="67"/>
      <c r="M58" s="67"/>
      <c r="N58" s="67"/>
      <c r="O58" s="67"/>
      <c r="P58" s="67"/>
    </row>
    <row r="59" spans="1:16">
      <c r="A59" s="68" t="s">
        <v>25</v>
      </c>
      <c r="B59" s="67">
        <f>((B33/B25)^(1/8)-1)*100</f>
        <v>0.84295327788759256</v>
      </c>
      <c r="C59" s="67">
        <f t="shared" ref="C59:G59" si="5">((C33/C25)^(1/8)-1)*100</f>
        <v>0.9516188971173678</v>
      </c>
      <c r="D59" s="67">
        <f t="shared" si="5"/>
        <v>-0.10218785521387552</v>
      </c>
      <c r="E59" s="67">
        <f t="shared" si="5"/>
        <v>-0.10218785521387552</v>
      </c>
      <c r="F59" s="67">
        <f t="shared" si="5"/>
        <v>5.7761400431270093</v>
      </c>
      <c r="G59" s="67">
        <f t="shared" si="5"/>
        <v>-1.9534943848724673</v>
      </c>
      <c r="H59" s="65"/>
      <c r="I59" s="65"/>
      <c r="J59" s="65"/>
      <c r="K59" s="65"/>
      <c r="L59" s="65"/>
      <c r="M59" s="65"/>
      <c r="N59" s="65"/>
      <c r="O59" s="65"/>
      <c r="P59" s="65"/>
    </row>
    <row r="60" spans="1:16">
      <c r="A60" s="69" t="s">
        <v>2134</v>
      </c>
      <c r="B60" s="65">
        <f>((B52/B30)^(1/22)-1)*100</f>
        <v>-0.87642299934590495</v>
      </c>
      <c r="C60" s="65">
        <f t="shared" ref="C60:G60" si="6">((C52/C30)^(1/22)-1)*100</f>
        <v>0.31057141101253904</v>
      </c>
      <c r="D60" s="65">
        <f t="shared" si="6"/>
        <v>-1.1764959329710778</v>
      </c>
      <c r="E60" s="65">
        <f t="shared" si="6"/>
        <v>-1.1764959329710778</v>
      </c>
      <c r="F60" s="65">
        <f t="shared" si="6"/>
        <v>2.7054902879607878</v>
      </c>
      <c r="G60" s="65">
        <f t="shared" si="6"/>
        <v>-0.21597887169814145</v>
      </c>
      <c r="H60" s="65"/>
      <c r="I60" s="65"/>
      <c r="J60" s="65"/>
      <c r="K60" s="65"/>
      <c r="L60" s="65"/>
      <c r="M60" s="65"/>
      <c r="N60" s="65"/>
      <c r="O60" s="65"/>
      <c r="P60" s="65"/>
    </row>
    <row r="61" spans="1:16">
      <c r="A61" s="69" t="s">
        <v>26</v>
      </c>
      <c r="B61" s="65">
        <f>((B44/B33)^(1/11)-1)*100</f>
        <v>1.6315002460154604</v>
      </c>
      <c r="C61" s="65">
        <f t="shared" ref="C61:G61" si="7">((C44/C33)^(1/11)-1)*100</f>
        <v>0.32178358309733479</v>
      </c>
      <c r="D61" s="65">
        <f t="shared" si="7"/>
        <v>1.3050923463078679</v>
      </c>
      <c r="E61" s="65">
        <f t="shared" si="7"/>
        <v>1.3050923463078679</v>
      </c>
      <c r="F61" s="65">
        <f t="shared" si="7"/>
        <v>5.1511900618312012</v>
      </c>
      <c r="G61" s="65">
        <f t="shared" si="7"/>
        <v>-3.2816876811872731</v>
      </c>
      <c r="H61" s="65"/>
      <c r="I61" s="65"/>
      <c r="J61" s="65"/>
      <c r="K61" s="65"/>
      <c r="L61" s="65"/>
      <c r="M61" s="65"/>
      <c r="N61" s="65"/>
      <c r="O61" s="65"/>
      <c r="P61" s="65"/>
    </row>
    <row r="62" spans="1:16">
      <c r="A62" s="69" t="s">
        <v>1779</v>
      </c>
      <c r="B62" s="65">
        <f>((B52/B44)^(1/8)-1)*100</f>
        <v>-5.8427646393185313</v>
      </c>
      <c r="C62" s="65">
        <f t="shared" ref="C62:G62" si="8">((C52/C44)^(1/8)-1)*100</f>
        <v>9.8863581691932545E-2</v>
      </c>
      <c r="D62" s="65">
        <f t="shared" si="8"/>
        <v>-5.9258128909341234</v>
      </c>
      <c r="E62" s="65">
        <f t="shared" si="8"/>
        <v>-5.9258128909341234</v>
      </c>
      <c r="F62" s="65">
        <f t="shared" si="8"/>
        <v>-2.3372756639364556</v>
      </c>
      <c r="G62" s="65">
        <f t="shared" si="8"/>
        <v>2.9151869897735549</v>
      </c>
      <c r="H62" s="65"/>
      <c r="I62" s="65"/>
      <c r="J62" s="65"/>
      <c r="K62" s="65"/>
      <c r="L62" s="65"/>
      <c r="M62" s="65"/>
      <c r="N62" s="65"/>
      <c r="O62" s="65"/>
      <c r="P62" s="65"/>
    </row>
    <row r="64" spans="1:16" ht="30" customHeight="1">
      <c r="A64" s="104" t="s">
        <v>1012</v>
      </c>
      <c r="B64" s="104"/>
      <c r="C64" s="104"/>
      <c r="D64" s="104"/>
      <c r="E64" s="104"/>
      <c r="F64" s="104"/>
    </row>
  </sheetData>
  <mergeCells count="4">
    <mergeCell ref="B3:C3"/>
    <mergeCell ref="A64:F64"/>
    <mergeCell ref="D2:E2"/>
    <mergeCell ref="A1:G1"/>
  </mergeCells>
  <pageMargins left="0.70866141732283472" right="0.70866141732283472" top="0.74803149606299213" bottom="0.74803149606299213" header="0.31496062992125984" footer="0.31496062992125984"/>
  <pageSetup scale="86" orientation="portrait" horizontalDpi="0" verticalDpi="0" r:id="rId1"/>
</worksheet>
</file>

<file path=xl/worksheets/sheet122.xml><?xml version="1.0" encoding="utf-8"?>
<worksheet xmlns="http://schemas.openxmlformats.org/spreadsheetml/2006/main" xmlns:r="http://schemas.openxmlformats.org/officeDocument/2006/relationships">
  <sheetPr codeName="Sheet115"/>
  <dimension ref="A1:S64"/>
  <sheetViews>
    <sheetView view="pageBreakPreview" zoomScaleNormal="70" zoomScaleSheetLayoutView="100"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5703125" style="64" customWidth="1"/>
    <col min="2" max="2" width="8.5703125" style="64" customWidth="1"/>
    <col min="3" max="3" width="14.140625" style="64" customWidth="1"/>
    <col min="4" max="6" width="9.28515625" style="64" bestFit="1" customWidth="1"/>
    <col min="7" max="7" width="9.28515625" style="64" customWidth="1"/>
    <col min="8" max="8" width="8.5703125" style="64" customWidth="1"/>
    <col min="9" max="9" width="13" style="64" customWidth="1"/>
    <col min="10" max="10" width="7.85546875" style="64" customWidth="1"/>
    <col min="11" max="11" width="9.7109375" style="64" customWidth="1"/>
    <col min="12" max="12" width="8.28515625" style="64" customWidth="1"/>
    <col min="13" max="13" width="9.140625" style="64"/>
    <col min="14" max="18" width="22.42578125" style="64" hidden="1" customWidth="1" outlineLevel="1"/>
    <col min="19" max="19" width="9.140625" style="64" collapsed="1"/>
    <col min="20" max="16384" width="9.140625" style="64"/>
  </cols>
  <sheetData>
    <row r="1" spans="1:18">
      <c r="A1" s="108" t="s">
        <v>1093</v>
      </c>
      <c r="B1" s="108"/>
      <c r="C1" s="108"/>
      <c r="D1" s="108"/>
      <c r="E1" s="108"/>
      <c r="F1" s="108"/>
      <c r="G1" s="108"/>
      <c r="H1" s="108"/>
      <c r="I1" s="108"/>
      <c r="J1" s="108"/>
      <c r="K1" s="108"/>
      <c r="L1" s="108"/>
    </row>
    <row r="2" spans="1:18" ht="15" customHeight="1">
      <c r="A2" s="96"/>
      <c r="B2" s="97" t="s">
        <v>834</v>
      </c>
      <c r="C2" s="105" t="s">
        <v>128</v>
      </c>
      <c r="D2" s="106"/>
      <c r="E2" s="106"/>
      <c r="F2" s="106"/>
      <c r="G2" s="97" t="s">
        <v>1084</v>
      </c>
      <c r="H2" s="97" t="s">
        <v>841</v>
      </c>
      <c r="I2" s="107" t="s">
        <v>1008</v>
      </c>
      <c r="J2" s="107"/>
      <c r="K2" s="107"/>
      <c r="L2" s="107"/>
      <c r="N2" s="97" t="s">
        <v>123</v>
      </c>
      <c r="O2" s="107" t="s">
        <v>1008</v>
      </c>
      <c r="P2" s="107"/>
      <c r="Q2" s="107"/>
      <c r="R2" s="107"/>
    </row>
    <row r="3" spans="1:18" ht="45">
      <c r="A3" s="96"/>
      <c r="B3" s="97"/>
      <c r="C3" s="73" t="s">
        <v>1007</v>
      </c>
      <c r="D3" s="73" t="s">
        <v>124</v>
      </c>
      <c r="E3" s="73" t="s">
        <v>125</v>
      </c>
      <c r="F3" s="75" t="s">
        <v>126</v>
      </c>
      <c r="G3" s="97"/>
      <c r="H3" s="97"/>
      <c r="I3" s="73" t="s">
        <v>1007</v>
      </c>
      <c r="J3" s="73" t="s">
        <v>124</v>
      </c>
      <c r="K3" s="73" t="s">
        <v>125</v>
      </c>
      <c r="L3" s="73" t="s">
        <v>126</v>
      </c>
      <c r="N3" s="97"/>
      <c r="O3" s="73" t="s">
        <v>1007</v>
      </c>
      <c r="P3" s="73" t="s">
        <v>124</v>
      </c>
      <c r="Q3" s="73" t="s">
        <v>125</v>
      </c>
      <c r="R3" s="73" t="s">
        <v>126</v>
      </c>
    </row>
    <row r="4" spans="1:18" ht="15" customHeight="1">
      <c r="A4" s="96"/>
      <c r="B4" s="98" t="s">
        <v>844</v>
      </c>
      <c r="C4" s="100"/>
      <c r="D4" s="100"/>
      <c r="E4" s="100"/>
      <c r="F4" s="99"/>
      <c r="G4" s="73" t="s">
        <v>784</v>
      </c>
      <c r="H4" s="97" t="s">
        <v>1002</v>
      </c>
      <c r="I4" s="97"/>
      <c r="J4" s="97"/>
      <c r="K4" s="97"/>
      <c r="L4" s="97"/>
      <c r="N4" s="97" t="s">
        <v>1002</v>
      </c>
      <c r="O4" s="97"/>
      <c r="P4" s="97"/>
      <c r="Q4" s="97"/>
      <c r="R4" s="97"/>
    </row>
    <row r="5" spans="1:18" ht="15" hidden="1" customHeight="1" outlineLevel="1">
      <c r="B5" s="64" t="s">
        <v>141</v>
      </c>
      <c r="C5" s="64" t="s">
        <v>143</v>
      </c>
      <c r="D5" s="64" t="s">
        <v>144</v>
      </c>
      <c r="E5" s="64" t="s">
        <v>145</v>
      </c>
      <c r="F5" s="64" t="s">
        <v>146</v>
      </c>
      <c r="N5" s="64" t="s">
        <v>149</v>
      </c>
      <c r="O5" s="64" t="s">
        <v>150</v>
      </c>
      <c r="P5" s="64" t="s">
        <v>151</v>
      </c>
      <c r="Q5" s="64" t="s">
        <v>152</v>
      </c>
      <c r="R5" s="64" t="s">
        <v>153</v>
      </c>
    </row>
    <row r="6" spans="1:18" collapsed="1">
      <c r="A6" s="66">
        <v>1961</v>
      </c>
      <c r="B6" s="31">
        <v>24.1</v>
      </c>
      <c r="C6" s="31">
        <v>19.5</v>
      </c>
      <c r="D6" s="31">
        <v>28.9</v>
      </c>
      <c r="E6" s="31">
        <v>19.5</v>
      </c>
      <c r="F6" s="31">
        <v>16.100000000000001</v>
      </c>
      <c r="G6" s="31">
        <f>H6/'19'!K6*100</f>
        <v>17.760123013839056</v>
      </c>
      <c r="H6" s="30">
        <v>69.3</v>
      </c>
      <c r="I6" s="30">
        <v>657.4</v>
      </c>
      <c r="J6" s="30">
        <v>19.600000000000001</v>
      </c>
      <c r="K6" s="30">
        <v>580.1</v>
      </c>
      <c r="L6" s="30">
        <v>57.7</v>
      </c>
      <c r="N6" s="30">
        <v>69300000</v>
      </c>
      <c r="O6" s="30">
        <v>657400000</v>
      </c>
      <c r="P6" s="30">
        <v>19600000</v>
      </c>
      <c r="Q6" s="30">
        <v>580100000</v>
      </c>
      <c r="R6" s="30">
        <v>57700000</v>
      </c>
    </row>
    <row r="7" spans="1:18" hidden="1" outlineLevel="1">
      <c r="A7" s="66">
        <v>1962</v>
      </c>
      <c r="B7" s="31">
        <v>24</v>
      </c>
      <c r="C7" s="31">
        <v>21</v>
      </c>
      <c r="D7" s="31">
        <v>36.1</v>
      </c>
      <c r="E7" s="31">
        <v>20.7</v>
      </c>
      <c r="F7" s="31">
        <v>17.8</v>
      </c>
      <c r="G7" s="31">
        <f>H7/'19'!K7*100</f>
        <v>22.252070740989481</v>
      </c>
      <c r="H7" s="30">
        <v>99.4</v>
      </c>
      <c r="I7" s="30">
        <v>717.8</v>
      </c>
      <c r="J7" s="30">
        <v>24.5</v>
      </c>
      <c r="K7" s="30">
        <v>628.70000000000005</v>
      </c>
      <c r="L7" s="30">
        <v>64.5</v>
      </c>
      <c r="N7" s="30">
        <v>99400000</v>
      </c>
      <c r="O7" s="30">
        <v>717800000</v>
      </c>
      <c r="P7" s="30">
        <v>24500000</v>
      </c>
      <c r="Q7" s="30">
        <v>628700000</v>
      </c>
      <c r="R7" s="30">
        <v>64500000</v>
      </c>
    </row>
    <row r="8" spans="1:18" hidden="1" outlineLevel="1">
      <c r="A8" s="66">
        <v>1963</v>
      </c>
      <c r="B8" s="31">
        <v>24.3</v>
      </c>
      <c r="C8" s="31">
        <v>22.2</v>
      </c>
      <c r="D8" s="31">
        <v>37.200000000000003</v>
      </c>
      <c r="E8" s="31">
        <v>22.1</v>
      </c>
      <c r="F8" s="31">
        <v>18.100000000000001</v>
      </c>
      <c r="G8" s="31">
        <f>H8/'19'!K8*100</f>
        <v>25.456688273423687</v>
      </c>
      <c r="H8" s="30">
        <v>129.6</v>
      </c>
      <c r="I8" s="30">
        <v>776.9</v>
      </c>
      <c r="J8" s="30">
        <v>25.9</v>
      </c>
      <c r="K8" s="30">
        <v>683.6</v>
      </c>
      <c r="L8" s="30">
        <v>67.3</v>
      </c>
      <c r="N8" s="30">
        <v>129600000</v>
      </c>
      <c r="O8" s="30">
        <v>776900000</v>
      </c>
      <c r="P8" s="30">
        <v>25900000</v>
      </c>
      <c r="Q8" s="30">
        <v>683600000</v>
      </c>
      <c r="R8" s="30">
        <v>67300000</v>
      </c>
    </row>
    <row r="9" spans="1:18" hidden="1" outlineLevel="1">
      <c r="A9" s="66">
        <v>1964</v>
      </c>
      <c r="B9" s="31">
        <v>25.4</v>
      </c>
      <c r="C9" s="31">
        <v>23.8</v>
      </c>
      <c r="D9" s="31">
        <v>39</v>
      </c>
      <c r="E9" s="31">
        <v>23.7</v>
      </c>
      <c r="F9" s="31">
        <v>19.7</v>
      </c>
      <c r="G9" s="31">
        <f>H9/'19'!K9*100</f>
        <v>25.346209912536445</v>
      </c>
      <c r="H9" s="30">
        <v>139.1</v>
      </c>
      <c r="I9" s="30">
        <v>873.5</v>
      </c>
      <c r="J9" s="30">
        <v>27</v>
      </c>
      <c r="K9" s="30">
        <v>772.7</v>
      </c>
      <c r="L9" s="30">
        <v>73.8</v>
      </c>
      <c r="N9" s="30">
        <v>139100000</v>
      </c>
      <c r="O9" s="30">
        <v>873500000</v>
      </c>
      <c r="P9" s="30">
        <v>27000000</v>
      </c>
      <c r="Q9" s="30">
        <v>772700000</v>
      </c>
      <c r="R9" s="30">
        <v>73800000</v>
      </c>
    </row>
    <row r="10" spans="1:18" hidden="1" outlineLevel="1">
      <c r="A10" s="66">
        <v>1965</v>
      </c>
      <c r="B10" s="31">
        <v>27.1</v>
      </c>
      <c r="C10" s="31">
        <v>24.2</v>
      </c>
      <c r="D10" s="31">
        <v>41.1</v>
      </c>
      <c r="E10" s="31">
        <v>24</v>
      </c>
      <c r="F10" s="31">
        <v>20.7</v>
      </c>
      <c r="G10" s="31">
        <f>H10/'19'!K10*100</f>
        <v>22.666666666666668</v>
      </c>
      <c r="H10" s="30">
        <v>130.9</v>
      </c>
      <c r="I10" s="30">
        <v>927.4</v>
      </c>
      <c r="J10" s="30">
        <v>28.8</v>
      </c>
      <c r="K10" s="30">
        <v>818.7</v>
      </c>
      <c r="L10" s="30">
        <v>79.8</v>
      </c>
      <c r="N10" s="30">
        <v>130900000</v>
      </c>
      <c r="O10" s="30">
        <v>927400000</v>
      </c>
      <c r="P10" s="30">
        <v>28800000</v>
      </c>
      <c r="Q10" s="30">
        <v>818700000</v>
      </c>
      <c r="R10" s="30">
        <v>79800000</v>
      </c>
    </row>
    <row r="11" spans="1:18" hidden="1" outlineLevel="1">
      <c r="A11" s="66">
        <v>1966</v>
      </c>
      <c r="B11" s="31">
        <v>28.3</v>
      </c>
      <c r="C11" s="31">
        <v>25.2</v>
      </c>
      <c r="D11" s="31">
        <v>40.299999999999997</v>
      </c>
      <c r="E11" s="31">
        <v>24.9</v>
      </c>
      <c r="F11" s="31">
        <v>21.5</v>
      </c>
      <c r="G11" s="31">
        <f>H11/'19'!K11*100</f>
        <v>21.135698014969087</v>
      </c>
      <c r="H11" s="30">
        <v>129.9</v>
      </c>
      <c r="I11" s="30">
        <v>988.5</v>
      </c>
      <c r="J11" s="30">
        <v>28.4</v>
      </c>
      <c r="K11" s="30">
        <v>873.1</v>
      </c>
      <c r="L11" s="30">
        <v>87</v>
      </c>
      <c r="N11" s="30">
        <v>129900000</v>
      </c>
      <c r="O11" s="30">
        <v>988500000</v>
      </c>
      <c r="P11" s="30">
        <v>28400000</v>
      </c>
      <c r="Q11" s="30">
        <v>873100000</v>
      </c>
      <c r="R11" s="30">
        <v>87000000</v>
      </c>
    </row>
    <row r="12" spans="1:18" hidden="1" outlineLevel="1">
      <c r="A12" s="66">
        <v>1967</v>
      </c>
      <c r="B12" s="31">
        <v>28.6</v>
      </c>
      <c r="C12" s="31">
        <v>25.5</v>
      </c>
      <c r="D12" s="31">
        <v>41.8</v>
      </c>
      <c r="E12" s="31">
        <v>25</v>
      </c>
      <c r="F12" s="31">
        <v>23.1</v>
      </c>
      <c r="G12" s="31">
        <f>H12/'19'!K12*100</f>
        <v>22.82525607705244</v>
      </c>
      <c r="H12" s="30">
        <v>149.30000000000001</v>
      </c>
      <c r="I12" s="30">
        <v>1025.3</v>
      </c>
      <c r="J12" s="30">
        <v>30.4</v>
      </c>
      <c r="K12" s="30">
        <v>896</v>
      </c>
      <c r="L12" s="30">
        <v>98.9</v>
      </c>
      <c r="N12" s="30">
        <v>149300000</v>
      </c>
      <c r="O12" s="30">
        <v>1025300000</v>
      </c>
      <c r="P12" s="30">
        <v>30400000</v>
      </c>
      <c r="Q12" s="30">
        <v>896000000</v>
      </c>
      <c r="R12" s="30">
        <v>98900000</v>
      </c>
    </row>
    <row r="13" spans="1:18" hidden="1" outlineLevel="1">
      <c r="A13" s="66">
        <v>1968</v>
      </c>
      <c r="B13" s="31">
        <v>29.1</v>
      </c>
      <c r="C13" s="31">
        <v>27.4</v>
      </c>
      <c r="D13" s="31">
        <v>41.8</v>
      </c>
      <c r="E13" s="31">
        <v>27.2</v>
      </c>
      <c r="F13" s="31">
        <v>23.7</v>
      </c>
      <c r="G13" s="31">
        <f>H13/'19'!K13*100</f>
        <v>30.105880852149507</v>
      </c>
      <c r="H13" s="30">
        <v>236</v>
      </c>
      <c r="I13" s="30">
        <v>1174.7</v>
      </c>
      <c r="J13" s="30">
        <v>32</v>
      </c>
      <c r="K13" s="30">
        <v>1035.5</v>
      </c>
      <c r="L13" s="30">
        <v>107.3</v>
      </c>
      <c r="N13" s="30">
        <v>236000000</v>
      </c>
      <c r="O13" s="30">
        <v>1174700000</v>
      </c>
      <c r="P13" s="30">
        <v>32000000</v>
      </c>
      <c r="Q13" s="30">
        <v>1035500000</v>
      </c>
      <c r="R13" s="30">
        <v>107300000</v>
      </c>
    </row>
    <row r="14" spans="1:18" hidden="1" outlineLevel="1">
      <c r="A14" s="66">
        <v>1969</v>
      </c>
      <c r="B14" s="31">
        <v>34.200000000000003</v>
      </c>
      <c r="C14" s="31">
        <v>29.2</v>
      </c>
      <c r="D14" s="31">
        <v>45.7</v>
      </c>
      <c r="E14" s="31">
        <v>28.9</v>
      </c>
      <c r="F14" s="31">
        <v>25.5</v>
      </c>
      <c r="G14" s="31">
        <f>H14/'19'!K14*100</f>
        <v>28.701513718070011</v>
      </c>
      <c r="H14" s="30">
        <v>242.7</v>
      </c>
      <c r="I14" s="30">
        <v>1347</v>
      </c>
      <c r="J14" s="30">
        <v>35.4</v>
      </c>
      <c r="K14" s="30">
        <v>1190.4000000000001</v>
      </c>
      <c r="L14" s="30">
        <v>121.3</v>
      </c>
      <c r="N14" s="30">
        <v>242700000</v>
      </c>
      <c r="O14" s="30">
        <v>1347000000</v>
      </c>
      <c r="P14" s="30">
        <v>35400000</v>
      </c>
      <c r="Q14" s="30">
        <v>1190400000</v>
      </c>
      <c r="R14" s="30">
        <v>121300000</v>
      </c>
    </row>
    <row r="15" spans="1:18" hidden="1" outlineLevel="1">
      <c r="A15" s="66">
        <v>1970</v>
      </c>
      <c r="B15" s="31">
        <v>38.299999999999997</v>
      </c>
      <c r="C15" s="31">
        <v>28.6</v>
      </c>
      <c r="D15" s="31">
        <v>42.1</v>
      </c>
      <c r="E15" s="31">
        <v>28.3</v>
      </c>
      <c r="F15" s="31">
        <v>25.7</v>
      </c>
      <c r="G15" s="31">
        <f>H15/'19'!K15*100</f>
        <v>14.333519241494699</v>
      </c>
      <c r="H15" s="30">
        <v>102.8</v>
      </c>
      <c r="I15" s="30">
        <v>1280.4000000000001</v>
      </c>
      <c r="J15" s="30">
        <v>34.4</v>
      </c>
      <c r="K15" s="30">
        <v>1116.8</v>
      </c>
      <c r="L15" s="30">
        <v>129.19999999999999</v>
      </c>
      <c r="N15" s="30">
        <v>102800000</v>
      </c>
      <c r="O15" s="30">
        <v>1280400000</v>
      </c>
      <c r="P15" s="30">
        <v>34400000</v>
      </c>
      <c r="Q15" s="30">
        <v>1116800000</v>
      </c>
      <c r="R15" s="30">
        <v>129200000</v>
      </c>
    </row>
    <row r="16" spans="1:18" hidden="1" outlineLevel="1">
      <c r="A16" s="66">
        <v>1971</v>
      </c>
      <c r="B16" s="31">
        <v>40.5</v>
      </c>
      <c r="C16" s="31">
        <v>31</v>
      </c>
      <c r="D16" s="31">
        <v>49.8</v>
      </c>
      <c r="E16" s="31">
        <v>30.7</v>
      </c>
      <c r="F16" s="31">
        <v>26.1</v>
      </c>
      <c r="G16" s="31">
        <f>H16/'19'!K16*100</f>
        <v>17.189695550351288</v>
      </c>
      <c r="H16" s="30">
        <v>146.80000000000001</v>
      </c>
      <c r="I16" s="30">
        <v>1477</v>
      </c>
      <c r="J16" s="30">
        <v>41.6</v>
      </c>
      <c r="K16" s="30">
        <v>1297.9000000000001</v>
      </c>
      <c r="L16" s="30">
        <v>137.5</v>
      </c>
      <c r="N16" s="30">
        <v>146800000</v>
      </c>
      <c r="O16" s="30">
        <v>1477000000</v>
      </c>
      <c r="P16" s="30">
        <v>41600000</v>
      </c>
      <c r="Q16" s="30">
        <v>1297900000</v>
      </c>
      <c r="R16" s="30">
        <v>137500000</v>
      </c>
    </row>
    <row r="17" spans="1:18" hidden="1" outlineLevel="1">
      <c r="A17" s="66">
        <v>1972</v>
      </c>
      <c r="B17" s="31">
        <v>43.1</v>
      </c>
      <c r="C17" s="31">
        <v>34.700000000000003</v>
      </c>
      <c r="D17" s="31">
        <v>59.9</v>
      </c>
      <c r="E17" s="31">
        <v>34.200000000000003</v>
      </c>
      <c r="F17" s="31">
        <v>30.3</v>
      </c>
      <c r="G17" s="31">
        <f>H17/'19'!K17*100</f>
        <v>28.925551318189353</v>
      </c>
      <c r="H17" s="30">
        <v>348.9</v>
      </c>
      <c r="I17" s="30">
        <v>1867.1</v>
      </c>
      <c r="J17" s="30">
        <v>52.7</v>
      </c>
      <c r="K17" s="30">
        <v>1647</v>
      </c>
      <c r="L17" s="30">
        <v>167.5</v>
      </c>
      <c r="N17" s="30">
        <v>348900000</v>
      </c>
      <c r="O17" s="30">
        <v>1867100000</v>
      </c>
      <c r="P17" s="30">
        <v>52700000</v>
      </c>
      <c r="Q17" s="30">
        <v>1647000000</v>
      </c>
      <c r="R17" s="30">
        <v>167500000</v>
      </c>
    </row>
    <row r="18" spans="1:18" collapsed="1">
      <c r="A18" s="66">
        <v>1973</v>
      </c>
      <c r="B18" s="31">
        <v>50</v>
      </c>
      <c r="C18" s="31">
        <v>38.700000000000003</v>
      </c>
      <c r="D18" s="31">
        <v>66.5</v>
      </c>
      <c r="E18" s="31">
        <v>38.200000000000003</v>
      </c>
      <c r="F18" s="31">
        <v>33.700000000000003</v>
      </c>
      <c r="G18" s="31">
        <f>H18/'19'!K18*100</f>
        <v>39.388457723055375</v>
      </c>
      <c r="H18" s="30">
        <v>675</v>
      </c>
      <c r="I18" s="30">
        <v>2447.5</v>
      </c>
      <c r="J18" s="30">
        <v>65.099999999999994</v>
      </c>
      <c r="K18" s="30">
        <v>2180.9</v>
      </c>
      <c r="L18" s="30">
        <v>201.5</v>
      </c>
      <c r="N18" s="30">
        <v>675000000</v>
      </c>
      <c r="O18" s="30">
        <v>2447500000</v>
      </c>
      <c r="P18" s="30">
        <v>65100000</v>
      </c>
      <c r="Q18" s="30">
        <v>2180900000</v>
      </c>
      <c r="R18" s="30">
        <v>201500000</v>
      </c>
    </row>
    <row r="19" spans="1:18" hidden="1" outlineLevel="1">
      <c r="A19" s="66">
        <v>1974</v>
      </c>
      <c r="B19" s="31">
        <v>56</v>
      </c>
      <c r="C19" s="31">
        <v>37.1</v>
      </c>
      <c r="D19" s="31">
        <v>63.1</v>
      </c>
      <c r="E19" s="31">
        <v>36.4</v>
      </c>
      <c r="F19" s="31">
        <v>34</v>
      </c>
      <c r="G19" s="31">
        <f>H19/'19'!K19*100</f>
        <v>25.366540751648632</v>
      </c>
      <c r="H19" s="30">
        <v>396.2</v>
      </c>
      <c r="I19" s="30">
        <v>2539.3000000000002</v>
      </c>
      <c r="J19" s="30">
        <v>75</v>
      </c>
      <c r="K19" s="30">
        <v>2243.5</v>
      </c>
      <c r="L19" s="30">
        <v>220.9</v>
      </c>
      <c r="N19" s="30">
        <v>396200000</v>
      </c>
      <c r="O19" s="30">
        <v>2539300000</v>
      </c>
      <c r="P19" s="30">
        <v>75000000</v>
      </c>
      <c r="Q19" s="30">
        <v>2243500000</v>
      </c>
      <c r="R19" s="30">
        <v>220900000</v>
      </c>
    </row>
    <row r="20" spans="1:18" hidden="1" outlineLevel="1">
      <c r="A20" s="66">
        <v>1975</v>
      </c>
      <c r="B20" s="31">
        <v>58</v>
      </c>
      <c r="C20" s="31">
        <v>33.5</v>
      </c>
      <c r="D20" s="31">
        <v>57.5</v>
      </c>
      <c r="E20" s="31">
        <v>32.799999999999997</v>
      </c>
      <c r="F20" s="31">
        <v>31.8</v>
      </c>
      <c r="G20" s="31">
        <f>H20/'19'!K20*100</f>
        <v>16.691739606126912</v>
      </c>
      <c r="H20" s="30">
        <v>244.1</v>
      </c>
      <c r="I20" s="30">
        <v>2436.3000000000002</v>
      </c>
      <c r="J20" s="30">
        <v>81.8</v>
      </c>
      <c r="K20" s="30">
        <v>2118.4</v>
      </c>
      <c r="L20" s="30">
        <v>236.1</v>
      </c>
      <c r="N20" s="30">
        <v>244100000</v>
      </c>
      <c r="O20" s="30">
        <v>2436300000</v>
      </c>
      <c r="P20" s="30">
        <v>81800000</v>
      </c>
      <c r="Q20" s="30">
        <v>2118400000</v>
      </c>
      <c r="R20" s="30">
        <v>236100000</v>
      </c>
    </row>
    <row r="21" spans="1:18" hidden="1" outlineLevel="1">
      <c r="A21" s="66">
        <v>1976</v>
      </c>
      <c r="B21" s="31">
        <v>58.4</v>
      </c>
      <c r="C21" s="31">
        <v>39.799999999999997</v>
      </c>
      <c r="D21" s="31">
        <v>62.5</v>
      </c>
      <c r="E21" s="31">
        <v>39.5</v>
      </c>
      <c r="F21" s="31">
        <v>34.5</v>
      </c>
      <c r="G21" s="31">
        <f>H21/'19'!K21*100</f>
        <v>19.540526587506456</v>
      </c>
      <c r="H21" s="30">
        <v>378.5</v>
      </c>
      <c r="I21" s="30">
        <v>3251.4</v>
      </c>
      <c r="J21" s="30">
        <v>108</v>
      </c>
      <c r="K21" s="30">
        <v>2857.9</v>
      </c>
      <c r="L21" s="30">
        <v>285.5</v>
      </c>
      <c r="N21" s="30">
        <v>378500000</v>
      </c>
      <c r="O21" s="30">
        <v>3251400000</v>
      </c>
      <c r="P21" s="30">
        <v>108000000</v>
      </c>
      <c r="Q21" s="30">
        <v>2857900000</v>
      </c>
      <c r="R21" s="30">
        <v>285500000</v>
      </c>
    </row>
    <row r="22" spans="1:18" hidden="1" outlineLevel="1">
      <c r="A22" s="66">
        <v>1977</v>
      </c>
      <c r="B22" s="31">
        <v>58.5</v>
      </c>
      <c r="C22" s="31">
        <v>41.6</v>
      </c>
      <c r="D22" s="31">
        <v>63</v>
      </c>
      <c r="E22" s="31">
        <v>41.2</v>
      </c>
      <c r="F22" s="31">
        <v>36.9</v>
      </c>
      <c r="G22" s="31">
        <f>H22/'19'!K22*100</f>
        <v>26.968799448208713</v>
      </c>
      <c r="H22" s="30">
        <v>664.7</v>
      </c>
      <c r="I22" s="30">
        <v>3690.2</v>
      </c>
      <c r="J22" s="30">
        <v>132.9</v>
      </c>
      <c r="K22" s="30">
        <v>3231.8</v>
      </c>
      <c r="L22" s="30">
        <v>325.60000000000002</v>
      </c>
      <c r="N22" s="30">
        <v>664700000</v>
      </c>
      <c r="O22" s="30">
        <v>3690200000</v>
      </c>
      <c r="P22" s="30">
        <v>132900000</v>
      </c>
      <c r="Q22" s="30">
        <v>3231800000</v>
      </c>
      <c r="R22" s="30">
        <v>325600000</v>
      </c>
    </row>
    <row r="23" spans="1:18" hidden="1" outlineLevel="1">
      <c r="A23" s="66">
        <v>1978</v>
      </c>
      <c r="B23" s="31">
        <v>59.6</v>
      </c>
      <c r="C23" s="31">
        <v>44</v>
      </c>
      <c r="D23" s="31">
        <v>65.5</v>
      </c>
      <c r="E23" s="31">
        <v>43.5</v>
      </c>
      <c r="F23" s="31">
        <v>40.299999999999997</v>
      </c>
      <c r="G23" s="31">
        <f>H23/'19'!K23*100</f>
        <v>33.35264953963042</v>
      </c>
      <c r="H23" s="30">
        <v>1036</v>
      </c>
      <c r="I23" s="30">
        <v>4430.5</v>
      </c>
      <c r="J23" s="30">
        <v>161.1</v>
      </c>
      <c r="K23" s="30">
        <v>3884.9</v>
      </c>
      <c r="L23" s="30">
        <v>384.5</v>
      </c>
      <c r="N23" s="30">
        <v>1036000000</v>
      </c>
      <c r="O23" s="30">
        <v>4430500000</v>
      </c>
      <c r="P23" s="30">
        <v>161100000</v>
      </c>
      <c r="Q23" s="30">
        <v>3884900000</v>
      </c>
      <c r="R23" s="30">
        <v>384500000</v>
      </c>
    </row>
    <row r="24" spans="1:18" hidden="1" outlineLevel="1">
      <c r="A24" s="66">
        <v>1979</v>
      </c>
      <c r="B24" s="31">
        <v>62.2</v>
      </c>
      <c r="C24" s="31">
        <v>45.9</v>
      </c>
      <c r="D24" s="31">
        <v>65.900000000000006</v>
      </c>
      <c r="E24" s="31">
        <v>45.4</v>
      </c>
      <c r="F24" s="31">
        <v>42.1</v>
      </c>
      <c r="G24" s="31">
        <f>H24/'19'!K24*100</f>
        <v>33.02398183624237</v>
      </c>
      <c r="H24" s="30">
        <v>1163.5999999999999</v>
      </c>
      <c r="I24" s="30">
        <v>5432.7</v>
      </c>
      <c r="J24" s="30">
        <v>185.8</v>
      </c>
      <c r="K24" s="30">
        <v>4818.7</v>
      </c>
      <c r="L24" s="30">
        <v>428.2</v>
      </c>
      <c r="N24" s="30">
        <v>1163600000</v>
      </c>
      <c r="O24" s="30">
        <v>5432700000</v>
      </c>
      <c r="P24" s="30">
        <v>185800000</v>
      </c>
      <c r="Q24" s="30">
        <v>4818700000</v>
      </c>
      <c r="R24" s="30">
        <v>428200000</v>
      </c>
    </row>
    <row r="25" spans="1:18" hidden="1" outlineLevel="1">
      <c r="A25" s="66">
        <v>1980</v>
      </c>
      <c r="B25" s="31">
        <v>66.599999999999994</v>
      </c>
      <c r="C25" s="31">
        <v>44.8</v>
      </c>
      <c r="D25" s="31">
        <v>62.7</v>
      </c>
      <c r="E25" s="31">
        <v>44.2</v>
      </c>
      <c r="F25" s="31">
        <v>43.1</v>
      </c>
      <c r="G25" s="31">
        <f>H25/'19'!K25*100</f>
        <v>18.929722759509996</v>
      </c>
      <c r="H25" s="30">
        <v>587.20000000000005</v>
      </c>
      <c r="I25" s="30">
        <v>5497.6</v>
      </c>
      <c r="J25" s="30">
        <v>206.5</v>
      </c>
      <c r="K25" s="30">
        <v>4819.8999999999996</v>
      </c>
      <c r="L25" s="30">
        <v>471.2</v>
      </c>
      <c r="N25" s="30">
        <v>587200000</v>
      </c>
      <c r="O25" s="30">
        <v>5497600000</v>
      </c>
      <c r="P25" s="30">
        <v>206500000</v>
      </c>
      <c r="Q25" s="30">
        <v>4819900000</v>
      </c>
      <c r="R25" s="30">
        <v>471200000</v>
      </c>
    </row>
    <row r="26" spans="1:18" collapsed="1">
      <c r="A26" s="66">
        <v>1981</v>
      </c>
      <c r="B26" s="31">
        <v>67</v>
      </c>
      <c r="C26" s="31">
        <v>40.5</v>
      </c>
      <c r="D26" s="31">
        <v>57.5</v>
      </c>
      <c r="E26" s="31">
        <v>40</v>
      </c>
      <c r="F26" s="31">
        <v>38.1</v>
      </c>
      <c r="G26" s="31">
        <f>H26/'19'!K26*100</f>
        <v>10.557195851313498</v>
      </c>
      <c r="H26" s="30">
        <v>278.89999999999998</v>
      </c>
      <c r="I26" s="30">
        <v>5112.8</v>
      </c>
      <c r="J26" s="30">
        <v>249.1</v>
      </c>
      <c r="K26" s="30">
        <v>4399.8999999999996</v>
      </c>
      <c r="L26" s="30">
        <v>463.8</v>
      </c>
      <c r="N26" s="30">
        <v>278900000</v>
      </c>
      <c r="O26" s="30">
        <v>5112800000</v>
      </c>
      <c r="P26" s="30">
        <v>249100000</v>
      </c>
      <c r="Q26" s="30">
        <v>4399900000</v>
      </c>
      <c r="R26" s="30">
        <v>463800000</v>
      </c>
    </row>
    <row r="27" spans="1:18">
      <c r="A27" s="66">
        <v>1982</v>
      </c>
      <c r="B27" s="31">
        <v>64.900000000000006</v>
      </c>
      <c r="C27" s="31">
        <v>34.9</v>
      </c>
      <c r="D27" s="31">
        <v>49.9</v>
      </c>
      <c r="E27" s="31">
        <v>34.5</v>
      </c>
      <c r="F27" s="31">
        <v>32.799999999999997</v>
      </c>
      <c r="G27" s="31">
        <f>H27/'19'!K27*100</f>
        <v>22.482552342971086</v>
      </c>
      <c r="H27" s="30">
        <v>451</v>
      </c>
      <c r="I27" s="30">
        <v>4577</v>
      </c>
      <c r="J27" s="30">
        <v>257.3</v>
      </c>
      <c r="K27" s="30">
        <v>3875.1</v>
      </c>
      <c r="L27" s="30">
        <v>444.6</v>
      </c>
      <c r="N27" s="30">
        <v>448400000</v>
      </c>
      <c r="O27" s="30">
        <v>4577000000</v>
      </c>
      <c r="P27" s="30">
        <v>257300000</v>
      </c>
      <c r="Q27" s="30">
        <v>3875100000</v>
      </c>
      <c r="R27" s="30">
        <v>444600000</v>
      </c>
    </row>
    <row r="28" spans="1:18">
      <c r="A28" s="66">
        <v>1983</v>
      </c>
      <c r="B28" s="31">
        <v>61.5</v>
      </c>
      <c r="C28" s="31">
        <v>42.6</v>
      </c>
      <c r="D28" s="31">
        <v>52.9</v>
      </c>
      <c r="E28" s="31">
        <v>42.6</v>
      </c>
      <c r="F28" s="31">
        <v>38.700000000000003</v>
      </c>
      <c r="G28" s="31">
        <f>H28/'19'!K28*100</f>
        <v>17.033091936479071</v>
      </c>
      <c r="H28" s="30">
        <v>524.5</v>
      </c>
      <c r="I28" s="30">
        <v>5794.5</v>
      </c>
      <c r="J28" s="30">
        <v>304.10000000000002</v>
      </c>
      <c r="K28" s="30">
        <v>4944.8</v>
      </c>
      <c r="L28" s="30">
        <v>545.6</v>
      </c>
      <c r="N28" s="30">
        <v>524500000</v>
      </c>
      <c r="O28" s="30">
        <v>5794500000</v>
      </c>
      <c r="P28" s="30">
        <v>304100000</v>
      </c>
      <c r="Q28" s="30">
        <v>4944800000</v>
      </c>
      <c r="R28" s="30">
        <v>545600000</v>
      </c>
    </row>
    <row r="29" spans="1:18">
      <c r="A29" s="66">
        <v>1984</v>
      </c>
      <c r="B29" s="31">
        <v>60.3</v>
      </c>
      <c r="C29" s="31">
        <v>45.1</v>
      </c>
      <c r="D29" s="31">
        <v>55.4</v>
      </c>
      <c r="E29" s="31">
        <v>45.1</v>
      </c>
      <c r="F29" s="31">
        <v>41</v>
      </c>
      <c r="G29" s="31">
        <f>H29/'19'!K29*100</f>
        <v>15.928513505083899</v>
      </c>
      <c r="H29" s="30">
        <v>510.7</v>
      </c>
      <c r="I29" s="30">
        <v>6210.1</v>
      </c>
      <c r="J29" s="30">
        <v>333.6</v>
      </c>
      <c r="K29" s="30">
        <v>5291</v>
      </c>
      <c r="L29" s="30">
        <v>585.6</v>
      </c>
      <c r="N29" s="30">
        <v>510700000</v>
      </c>
      <c r="O29" s="30">
        <v>6210100000</v>
      </c>
      <c r="P29" s="30">
        <v>333600000</v>
      </c>
      <c r="Q29" s="30">
        <v>5291000000</v>
      </c>
      <c r="R29" s="30">
        <v>585600000</v>
      </c>
    </row>
    <row r="30" spans="1:18">
      <c r="A30" s="66">
        <v>1985</v>
      </c>
      <c r="B30" s="31">
        <v>58.2</v>
      </c>
      <c r="C30" s="31">
        <v>47.9</v>
      </c>
      <c r="D30" s="31">
        <v>56.5</v>
      </c>
      <c r="E30" s="31">
        <v>48</v>
      </c>
      <c r="F30" s="31">
        <v>44.1</v>
      </c>
      <c r="G30" s="31">
        <f>H30/'19'!K30*100</f>
        <v>21.199259984764392</v>
      </c>
      <c r="H30" s="30">
        <v>779.2</v>
      </c>
      <c r="I30" s="30">
        <v>6735</v>
      </c>
      <c r="J30" s="30">
        <v>350.8</v>
      </c>
      <c r="K30" s="30">
        <v>5744.3</v>
      </c>
      <c r="L30" s="30">
        <v>639.9</v>
      </c>
      <c r="N30" s="30">
        <v>779200000</v>
      </c>
      <c r="O30" s="30">
        <v>6735000000</v>
      </c>
      <c r="P30" s="30">
        <v>350800000</v>
      </c>
      <c r="Q30" s="30">
        <v>5744300000</v>
      </c>
      <c r="R30" s="30">
        <v>639900000</v>
      </c>
    </row>
    <row r="31" spans="1:18">
      <c r="A31" s="66">
        <v>1986</v>
      </c>
      <c r="B31" s="31">
        <v>58.2</v>
      </c>
      <c r="C31" s="31">
        <v>50</v>
      </c>
      <c r="D31" s="31">
        <v>59.5</v>
      </c>
      <c r="E31" s="31">
        <v>49.9</v>
      </c>
      <c r="F31" s="31">
        <v>47.3</v>
      </c>
      <c r="G31" s="31">
        <f>H31/'19'!K31*100</f>
        <v>30.159029776792035</v>
      </c>
      <c r="H31" s="30">
        <v>1278.2</v>
      </c>
      <c r="I31" s="30">
        <v>7248.8</v>
      </c>
      <c r="J31" s="30">
        <v>342.8</v>
      </c>
      <c r="K31" s="30">
        <v>6197.6</v>
      </c>
      <c r="L31" s="30">
        <v>708.4</v>
      </c>
      <c r="N31" s="30">
        <v>1278200000</v>
      </c>
      <c r="O31" s="30">
        <v>7248800000</v>
      </c>
      <c r="P31" s="30">
        <v>342800000</v>
      </c>
      <c r="Q31" s="30">
        <v>6197600000</v>
      </c>
      <c r="R31" s="30">
        <v>708400000</v>
      </c>
    </row>
    <row r="32" spans="1:18">
      <c r="A32" s="66">
        <v>1987</v>
      </c>
      <c r="B32" s="31">
        <v>61.8</v>
      </c>
      <c r="C32" s="31">
        <v>56.6</v>
      </c>
      <c r="D32" s="31">
        <v>59.3</v>
      </c>
      <c r="E32" s="31">
        <v>56.8</v>
      </c>
      <c r="F32" s="31">
        <v>53.7</v>
      </c>
      <c r="G32" s="31">
        <f>H32/'19'!K32*100</f>
        <v>32.739596469104661</v>
      </c>
      <c r="H32" s="30">
        <v>1661.6</v>
      </c>
      <c r="I32" s="30">
        <v>8502.7000000000007</v>
      </c>
      <c r="J32" s="30">
        <v>359.3</v>
      </c>
      <c r="K32" s="30">
        <v>7315.5</v>
      </c>
      <c r="L32" s="30">
        <v>828</v>
      </c>
      <c r="N32" s="30">
        <v>1661600000</v>
      </c>
      <c r="O32" s="30">
        <v>8502700000</v>
      </c>
      <c r="P32" s="30">
        <v>359300000</v>
      </c>
      <c r="Q32" s="30">
        <v>7315500000</v>
      </c>
      <c r="R32" s="30">
        <v>828000000</v>
      </c>
    </row>
    <row r="33" spans="1:18">
      <c r="A33" s="66">
        <v>1988</v>
      </c>
      <c r="B33" s="31">
        <v>68.900000000000006</v>
      </c>
      <c r="C33" s="31">
        <v>59.3</v>
      </c>
      <c r="D33" s="31">
        <v>60.2</v>
      </c>
      <c r="E33" s="31">
        <v>60.1</v>
      </c>
      <c r="F33" s="31">
        <v>52</v>
      </c>
      <c r="G33" s="31">
        <f>H33/'19'!K33*100</f>
        <v>23.653504692652405</v>
      </c>
      <c r="H33" s="30">
        <v>1119</v>
      </c>
      <c r="I33" s="30">
        <v>9415.9</v>
      </c>
      <c r="J33" s="30">
        <v>362.6</v>
      </c>
      <c r="K33" s="30">
        <v>8187.1</v>
      </c>
      <c r="L33" s="30">
        <v>866.2</v>
      </c>
      <c r="N33" s="30">
        <v>1119000000</v>
      </c>
      <c r="O33" s="30">
        <v>9415900000</v>
      </c>
      <c r="P33" s="30">
        <v>362600000</v>
      </c>
      <c r="Q33" s="30">
        <v>8187100000</v>
      </c>
      <c r="R33" s="30">
        <v>866200000</v>
      </c>
    </row>
    <row r="34" spans="1:18">
      <c r="A34" s="66">
        <v>1989</v>
      </c>
      <c r="B34" s="31">
        <v>70.099999999999994</v>
      </c>
      <c r="C34" s="31">
        <v>59</v>
      </c>
      <c r="D34" s="31">
        <v>60.6</v>
      </c>
      <c r="E34" s="31">
        <v>59.8</v>
      </c>
      <c r="F34" s="31">
        <v>51.9</v>
      </c>
      <c r="G34" s="31">
        <f>H34/'19'!K34*100</f>
        <v>23.610710012789305</v>
      </c>
      <c r="H34" s="30">
        <v>1144.5999999999999</v>
      </c>
      <c r="I34" s="30">
        <v>9646.7000000000007</v>
      </c>
      <c r="J34" s="30">
        <v>369.7</v>
      </c>
      <c r="K34" s="30">
        <v>8370.7999999999993</v>
      </c>
      <c r="L34" s="30">
        <v>906.2</v>
      </c>
      <c r="N34" s="30">
        <v>1144600000</v>
      </c>
      <c r="O34" s="30">
        <v>9646700000</v>
      </c>
      <c r="P34" s="30">
        <v>369700000</v>
      </c>
      <c r="Q34" s="30">
        <v>8370800000</v>
      </c>
      <c r="R34" s="30">
        <v>906200000</v>
      </c>
    </row>
    <row r="35" spans="1:18">
      <c r="A35" s="66">
        <v>1990</v>
      </c>
      <c r="B35" s="31">
        <v>70.3</v>
      </c>
      <c r="C35" s="31">
        <v>55.6</v>
      </c>
      <c r="D35" s="31">
        <v>57.4</v>
      </c>
      <c r="E35" s="31">
        <v>56</v>
      </c>
      <c r="F35" s="31">
        <v>51.7</v>
      </c>
      <c r="G35" s="31">
        <f>H35/'19'!K35*100</f>
        <v>15.385159177133161</v>
      </c>
      <c r="H35" s="30">
        <v>652.9</v>
      </c>
      <c r="I35" s="30">
        <v>9263.9</v>
      </c>
      <c r="J35" s="30">
        <v>371.4</v>
      </c>
      <c r="K35" s="30">
        <v>7936.6</v>
      </c>
      <c r="L35" s="30">
        <v>955.9</v>
      </c>
      <c r="N35" s="30">
        <v>652900000</v>
      </c>
      <c r="O35" s="30">
        <v>9263900000</v>
      </c>
      <c r="P35" s="30">
        <v>371400000</v>
      </c>
      <c r="Q35" s="30">
        <v>7936600000</v>
      </c>
      <c r="R35" s="30">
        <v>955900000</v>
      </c>
    </row>
    <row r="36" spans="1:18">
      <c r="A36" s="66">
        <v>1991</v>
      </c>
      <c r="B36" s="31">
        <v>67.3</v>
      </c>
      <c r="C36" s="31">
        <v>50</v>
      </c>
      <c r="D36" s="31">
        <v>57.6</v>
      </c>
      <c r="E36" s="31">
        <v>50</v>
      </c>
      <c r="F36" s="31">
        <v>46.9</v>
      </c>
      <c r="G36" s="31">
        <f>H36/'19'!K36*100</f>
        <v>10.009797517962117</v>
      </c>
      <c r="H36" s="30">
        <v>367.8</v>
      </c>
      <c r="I36" s="30">
        <v>8366.2999999999993</v>
      </c>
      <c r="J36" s="30">
        <v>369.4</v>
      </c>
      <c r="K36" s="30">
        <v>7106.1</v>
      </c>
      <c r="L36" s="30">
        <v>890.8</v>
      </c>
      <c r="N36" s="30">
        <v>367800000</v>
      </c>
      <c r="O36" s="30">
        <v>8366300000</v>
      </c>
      <c r="P36" s="30">
        <v>369400000</v>
      </c>
      <c r="Q36" s="30">
        <v>7106100000</v>
      </c>
      <c r="R36" s="30">
        <v>890800000</v>
      </c>
    </row>
    <row r="37" spans="1:18">
      <c r="A37" s="66">
        <v>1992</v>
      </c>
      <c r="B37" s="31">
        <v>64.3</v>
      </c>
      <c r="C37" s="31">
        <v>53</v>
      </c>
      <c r="D37" s="31">
        <v>62.2</v>
      </c>
      <c r="E37" s="31">
        <v>53.1</v>
      </c>
      <c r="F37" s="31">
        <v>49.2</v>
      </c>
      <c r="G37" s="31">
        <f>H37/'19'!K37*100</f>
        <v>20.028199274875789</v>
      </c>
      <c r="H37" s="30">
        <v>894.9</v>
      </c>
      <c r="I37" s="30">
        <v>9397.9</v>
      </c>
      <c r="J37" s="30">
        <v>401.6</v>
      </c>
      <c r="K37" s="30">
        <v>8041.6</v>
      </c>
      <c r="L37" s="30">
        <v>954.8</v>
      </c>
      <c r="N37" s="30">
        <v>894900000</v>
      </c>
      <c r="O37" s="30">
        <v>9397900000</v>
      </c>
      <c r="P37" s="30">
        <v>401600000</v>
      </c>
      <c r="Q37" s="30">
        <v>8041600000</v>
      </c>
      <c r="R37" s="30">
        <v>954800000</v>
      </c>
    </row>
    <row r="38" spans="1:18">
      <c r="A38" s="66">
        <v>1993</v>
      </c>
      <c r="B38" s="31">
        <v>64.900000000000006</v>
      </c>
      <c r="C38" s="31">
        <v>56.7</v>
      </c>
      <c r="D38" s="31">
        <v>64.2</v>
      </c>
      <c r="E38" s="31">
        <v>56.7</v>
      </c>
      <c r="F38" s="31">
        <v>53.9</v>
      </c>
      <c r="G38" s="31">
        <f>H38/'19'!K38*100</f>
        <v>38.926309284721142</v>
      </c>
      <c r="H38" s="30">
        <v>2519.6999999999998</v>
      </c>
      <c r="I38" s="30">
        <v>11371.4</v>
      </c>
      <c r="J38" s="30">
        <v>427.2</v>
      </c>
      <c r="K38" s="30">
        <v>9877.6</v>
      </c>
      <c r="L38" s="30">
        <v>1066.5999999999999</v>
      </c>
      <c r="N38" s="30">
        <v>2519700000</v>
      </c>
      <c r="O38" s="30">
        <v>11371400000</v>
      </c>
      <c r="P38" s="30">
        <v>427200000</v>
      </c>
      <c r="Q38" s="30">
        <v>9877600000</v>
      </c>
      <c r="R38" s="30">
        <v>1066600000</v>
      </c>
    </row>
    <row r="39" spans="1:18">
      <c r="A39" s="66">
        <v>1994</v>
      </c>
      <c r="B39" s="31">
        <v>71.599999999999994</v>
      </c>
      <c r="C39" s="31">
        <v>61.9</v>
      </c>
      <c r="D39" s="31">
        <v>67.599999999999994</v>
      </c>
      <c r="E39" s="31">
        <v>61.9</v>
      </c>
      <c r="F39" s="31">
        <v>60.5</v>
      </c>
      <c r="G39" s="31">
        <f>H39/'19'!K39*100</f>
        <v>48.481902307602198</v>
      </c>
      <c r="H39" s="30">
        <v>4138.8999999999996</v>
      </c>
      <c r="I39" s="30">
        <v>13382.6</v>
      </c>
      <c r="J39" s="30">
        <v>480.3</v>
      </c>
      <c r="K39" s="30">
        <v>11661.2</v>
      </c>
      <c r="L39" s="30">
        <v>1241</v>
      </c>
      <c r="N39" s="30">
        <v>4138900000</v>
      </c>
      <c r="O39" s="30">
        <v>13382600000</v>
      </c>
      <c r="P39" s="30">
        <v>480300000</v>
      </c>
      <c r="Q39" s="30">
        <v>11661200000</v>
      </c>
      <c r="R39" s="30">
        <v>1241000000</v>
      </c>
    </row>
    <row r="40" spans="1:18">
      <c r="A40" s="66">
        <v>1995</v>
      </c>
      <c r="B40" s="31">
        <v>82.6</v>
      </c>
      <c r="C40" s="31">
        <v>66</v>
      </c>
      <c r="D40" s="31">
        <v>70.3</v>
      </c>
      <c r="E40" s="31">
        <v>66.099999999999994</v>
      </c>
      <c r="F40" s="31">
        <v>63.3</v>
      </c>
      <c r="G40" s="31">
        <f>H40/'19'!K40*100</f>
        <v>38.230533595516142</v>
      </c>
      <c r="H40" s="30">
        <v>2858</v>
      </c>
      <c r="I40" s="30">
        <v>14570.5</v>
      </c>
      <c r="J40" s="30">
        <v>497.6</v>
      </c>
      <c r="K40" s="30">
        <v>12767.9</v>
      </c>
      <c r="L40" s="30">
        <v>1305</v>
      </c>
      <c r="N40" s="30">
        <v>2858000000</v>
      </c>
      <c r="O40" s="30">
        <v>14570500000</v>
      </c>
      <c r="P40" s="30">
        <v>497600000</v>
      </c>
      <c r="Q40" s="30">
        <v>12767900000</v>
      </c>
      <c r="R40" s="30">
        <v>1305000000</v>
      </c>
    </row>
    <row r="41" spans="1:18">
      <c r="A41" s="66">
        <v>1996</v>
      </c>
      <c r="B41" s="31">
        <v>86.4</v>
      </c>
      <c r="C41" s="31">
        <v>68.5</v>
      </c>
      <c r="D41" s="31">
        <v>73</v>
      </c>
      <c r="E41" s="31">
        <v>67.900000000000006</v>
      </c>
      <c r="F41" s="31">
        <v>71.900000000000006</v>
      </c>
      <c r="G41" s="31">
        <f>H41/'19'!K41*100</f>
        <v>39.840452261306538</v>
      </c>
      <c r="H41" s="30">
        <v>3171.3</v>
      </c>
      <c r="I41" s="30">
        <v>15413.4</v>
      </c>
      <c r="J41" s="30">
        <v>542.1</v>
      </c>
      <c r="K41" s="30">
        <v>13370.9</v>
      </c>
      <c r="L41" s="30">
        <v>1500.4</v>
      </c>
      <c r="N41" s="30">
        <v>3171300000</v>
      </c>
      <c r="O41" s="30">
        <v>15413400000</v>
      </c>
      <c r="P41" s="30">
        <v>542100000</v>
      </c>
      <c r="Q41" s="30">
        <v>13370900000</v>
      </c>
      <c r="R41" s="30">
        <v>1500400000</v>
      </c>
    </row>
    <row r="42" spans="1:18">
      <c r="A42" s="66">
        <v>1997</v>
      </c>
      <c r="B42" s="31">
        <v>94.6</v>
      </c>
      <c r="C42" s="31">
        <v>78.099999999999994</v>
      </c>
      <c r="D42" s="31">
        <v>86.3</v>
      </c>
      <c r="E42" s="31">
        <v>77.7</v>
      </c>
      <c r="F42" s="31">
        <v>78.8</v>
      </c>
      <c r="G42" s="31">
        <f>H42/'19'!K42*100</f>
        <v>42.924394964013132</v>
      </c>
      <c r="H42" s="30">
        <v>3948.1</v>
      </c>
      <c r="I42" s="30">
        <v>17298</v>
      </c>
      <c r="J42" s="30">
        <v>615</v>
      </c>
      <c r="K42" s="30">
        <v>15111</v>
      </c>
      <c r="L42" s="30">
        <v>1572</v>
      </c>
      <c r="N42" s="30">
        <v>3950000000</v>
      </c>
      <c r="O42" s="30">
        <v>17298000000</v>
      </c>
      <c r="P42" s="30">
        <v>615000000</v>
      </c>
      <c r="Q42" s="30">
        <v>15111000000</v>
      </c>
      <c r="R42" s="30">
        <v>1572000000</v>
      </c>
    </row>
    <row r="43" spans="1:18">
      <c r="A43" s="66">
        <v>1998</v>
      </c>
      <c r="B43" s="31">
        <v>96.4</v>
      </c>
      <c r="C43" s="31">
        <v>79.599999999999994</v>
      </c>
      <c r="D43" s="31">
        <v>94.8</v>
      </c>
      <c r="E43" s="31">
        <v>79.3</v>
      </c>
      <c r="F43" s="31">
        <v>76.7</v>
      </c>
      <c r="G43" s="31">
        <f>H43/'19'!K43*100</f>
        <v>42.567449194113529</v>
      </c>
      <c r="H43" s="30">
        <v>3887.6</v>
      </c>
      <c r="I43" s="30">
        <v>17315.5</v>
      </c>
      <c r="J43" s="30">
        <v>641.6</v>
      </c>
      <c r="K43" s="30">
        <v>15126.5</v>
      </c>
      <c r="L43" s="30">
        <v>1547.3</v>
      </c>
      <c r="N43" s="30">
        <v>3888800000</v>
      </c>
      <c r="O43" s="30">
        <v>17315500000</v>
      </c>
      <c r="P43" s="30">
        <v>641600000</v>
      </c>
      <c r="Q43" s="30">
        <v>15126500000</v>
      </c>
      <c r="R43" s="30">
        <v>1547300000</v>
      </c>
    </row>
    <row r="44" spans="1:18">
      <c r="A44" s="66">
        <v>1999</v>
      </c>
      <c r="B44" s="31">
        <v>97.7</v>
      </c>
      <c r="C44" s="31">
        <v>84.9</v>
      </c>
      <c r="D44" s="31">
        <v>90.1</v>
      </c>
      <c r="E44" s="31">
        <v>84.7</v>
      </c>
      <c r="F44" s="31">
        <v>84.6</v>
      </c>
      <c r="G44" s="31">
        <f>H44/'19'!K44*100</f>
        <v>51.032830138267329</v>
      </c>
      <c r="H44" s="30">
        <v>6112.1</v>
      </c>
      <c r="I44" s="30">
        <v>18903.5</v>
      </c>
      <c r="J44" s="30">
        <v>701</v>
      </c>
      <c r="K44" s="30">
        <v>16446.3</v>
      </c>
      <c r="L44" s="30">
        <v>1756.2</v>
      </c>
      <c r="N44" s="30">
        <v>6111900000</v>
      </c>
      <c r="O44" s="30">
        <v>18903500000</v>
      </c>
      <c r="P44" s="30">
        <v>701000000</v>
      </c>
      <c r="Q44" s="30">
        <v>16446300000</v>
      </c>
      <c r="R44" s="30">
        <v>1756200000</v>
      </c>
    </row>
    <row r="45" spans="1:18">
      <c r="A45" s="66">
        <v>2000</v>
      </c>
      <c r="B45" s="31">
        <v>109</v>
      </c>
      <c r="C45" s="31">
        <v>99.6</v>
      </c>
      <c r="D45" s="31">
        <v>98.4</v>
      </c>
      <c r="E45" s="31">
        <v>99.3</v>
      </c>
      <c r="F45" s="31">
        <v>102.4</v>
      </c>
      <c r="G45" s="31">
        <f>H45/'19'!K45*100</f>
        <v>47.08040002631752</v>
      </c>
      <c r="H45" s="30">
        <v>5724.6</v>
      </c>
      <c r="I45" s="30">
        <v>21402.7</v>
      </c>
      <c r="J45" s="30">
        <v>858.8</v>
      </c>
      <c r="K45" s="30">
        <v>18380.2</v>
      </c>
      <c r="L45" s="30">
        <v>2163.6999999999998</v>
      </c>
      <c r="N45" s="30">
        <v>5724400000</v>
      </c>
      <c r="O45" s="30">
        <v>21402700000</v>
      </c>
      <c r="P45" s="30">
        <v>858800000</v>
      </c>
      <c r="Q45" s="30">
        <v>18380200000</v>
      </c>
      <c r="R45" s="30">
        <v>2163700000</v>
      </c>
    </row>
    <row r="46" spans="1:18">
      <c r="A46" s="66">
        <v>2001</v>
      </c>
      <c r="B46" s="31">
        <v>103.3</v>
      </c>
      <c r="C46" s="31">
        <v>95.1</v>
      </c>
      <c r="D46" s="31">
        <v>96.6</v>
      </c>
      <c r="E46" s="31">
        <v>94.9</v>
      </c>
      <c r="F46" s="31">
        <v>95.9</v>
      </c>
      <c r="G46" s="31">
        <f>H46/'19'!K46*100</f>
        <v>44.606493977716219</v>
      </c>
      <c r="H46" s="30">
        <v>5040.3999999999996</v>
      </c>
      <c r="I46" s="30">
        <v>20153.400000000001</v>
      </c>
      <c r="J46" s="30">
        <v>882.9</v>
      </c>
      <c r="K46" s="30">
        <v>17160.900000000001</v>
      </c>
      <c r="L46" s="30">
        <v>2109.6</v>
      </c>
      <c r="N46" s="30">
        <v>5040500000</v>
      </c>
      <c r="O46" s="30">
        <v>20153400000</v>
      </c>
      <c r="P46" s="30">
        <v>882900000</v>
      </c>
      <c r="Q46" s="30">
        <v>17160900000</v>
      </c>
      <c r="R46" s="30">
        <v>2109600000</v>
      </c>
    </row>
    <row r="47" spans="1:18">
      <c r="A47" s="66">
        <v>2002</v>
      </c>
      <c r="B47" s="31">
        <v>100</v>
      </c>
      <c r="C47" s="31">
        <v>100</v>
      </c>
      <c r="D47" s="31">
        <v>100</v>
      </c>
      <c r="E47" s="31">
        <v>100</v>
      </c>
      <c r="F47" s="31">
        <v>100</v>
      </c>
      <c r="G47" s="31">
        <f>H47/'19'!K47*100</f>
        <v>46.39176111198497</v>
      </c>
      <c r="H47" s="30">
        <v>5603.8</v>
      </c>
      <c r="I47" s="30">
        <v>21523.8</v>
      </c>
      <c r="J47" s="30">
        <v>895.2</v>
      </c>
      <c r="K47" s="30">
        <v>18403.599999999999</v>
      </c>
      <c r="L47" s="30">
        <v>2225</v>
      </c>
      <c r="N47" s="30">
        <v>5604500000</v>
      </c>
      <c r="O47" s="30">
        <v>21523800000</v>
      </c>
      <c r="P47" s="30">
        <v>895200000</v>
      </c>
      <c r="Q47" s="30">
        <v>18403600000</v>
      </c>
      <c r="R47" s="30">
        <v>2225000000</v>
      </c>
    </row>
    <row r="48" spans="1:18">
      <c r="A48" s="66">
        <v>2003</v>
      </c>
      <c r="B48" s="31">
        <v>100.4</v>
      </c>
      <c r="C48" s="31">
        <v>101</v>
      </c>
      <c r="D48" s="31">
        <v>98.2</v>
      </c>
      <c r="E48" s="31">
        <v>100.9</v>
      </c>
      <c r="F48" s="31">
        <v>102.8</v>
      </c>
      <c r="G48" s="31">
        <f>H48/'19'!K48*100</f>
        <v>43.389231366124932</v>
      </c>
      <c r="H48" s="30">
        <v>5032.5</v>
      </c>
      <c r="I48" s="30">
        <v>21374</v>
      </c>
      <c r="J48" s="30">
        <v>957.8</v>
      </c>
      <c r="K48" s="30">
        <v>18095.599999999999</v>
      </c>
      <c r="L48" s="30">
        <v>2320.5</v>
      </c>
      <c r="N48" s="30">
        <v>5033600000</v>
      </c>
      <c r="O48" s="30">
        <v>21374000000</v>
      </c>
      <c r="P48" s="30">
        <v>957800000</v>
      </c>
      <c r="Q48" s="30">
        <v>18095600000</v>
      </c>
      <c r="R48" s="30">
        <v>2320500000</v>
      </c>
    </row>
    <row r="49" spans="1:18">
      <c r="A49" s="66">
        <v>2004</v>
      </c>
      <c r="B49" s="31">
        <v>103.6</v>
      </c>
      <c r="C49" s="31">
        <v>104.1</v>
      </c>
      <c r="D49" s="31">
        <v>102.5</v>
      </c>
      <c r="E49" s="31">
        <v>103.2</v>
      </c>
      <c r="F49" s="31">
        <v>111.8</v>
      </c>
      <c r="G49" s="31">
        <f>H49/'19'!K49*100</f>
        <v>49.881186438280608</v>
      </c>
      <c r="H49" s="30">
        <v>7053.1</v>
      </c>
      <c r="I49" s="30">
        <v>23066.400000000001</v>
      </c>
      <c r="J49" s="30">
        <v>1052.9000000000001</v>
      </c>
      <c r="K49" s="30">
        <v>19404.8</v>
      </c>
      <c r="L49" s="30">
        <v>2608.6999999999998</v>
      </c>
      <c r="N49" s="30">
        <v>7082600000</v>
      </c>
      <c r="O49" s="30">
        <v>22996100000</v>
      </c>
      <c r="P49" s="30">
        <v>1026900000</v>
      </c>
      <c r="Q49" s="30">
        <v>19371100000</v>
      </c>
      <c r="R49" s="30">
        <v>2598000000</v>
      </c>
    </row>
    <row r="50" spans="1:18">
      <c r="A50" s="66">
        <v>2005</v>
      </c>
      <c r="B50" s="31">
        <v>108.8</v>
      </c>
      <c r="C50" s="31">
        <v>105.2</v>
      </c>
      <c r="D50" s="31">
        <v>100.4</v>
      </c>
      <c r="E50" s="31">
        <v>105.5</v>
      </c>
      <c r="F50" s="31">
        <v>105.2</v>
      </c>
      <c r="G50" s="31">
        <f>H50/'19'!K50*100</f>
        <v>43.013269659842649</v>
      </c>
      <c r="H50" s="30">
        <v>5494.3</v>
      </c>
      <c r="I50" s="30">
        <v>22950.6</v>
      </c>
      <c r="J50" s="30">
        <v>1147.2</v>
      </c>
      <c r="K50" s="30">
        <v>19335.5</v>
      </c>
      <c r="L50" s="30">
        <v>2467.9</v>
      </c>
      <c r="N50" s="30"/>
      <c r="O50" s="30"/>
      <c r="P50" s="30"/>
      <c r="Q50" s="30"/>
      <c r="R50" s="30"/>
    </row>
    <row r="51" spans="1:18">
      <c r="A51" s="66">
        <v>2006</v>
      </c>
      <c r="B51" s="31">
        <v>110.7</v>
      </c>
      <c r="C51" s="31">
        <v>102.6</v>
      </c>
      <c r="D51" s="31">
        <v>96.5</v>
      </c>
      <c r="E51" s="31">
        <v>102.1</v>
      </c>
      <c r="F51" s="31">
        <v>109</v>
      </c>
      <c r="G51" s="31">
        <f>H51/'19'!K51*100</f>
        <v>37.517673652074457</v>
      </c>
      <c r="H51" s="30">
        <v>4166</v>
      </c>
      <c r="I51" s="30">
        <v>21948.9</v>
      </c>
      <c r="J51" s="30">
        <v>1037.2</v>
      </c>
      <c r="K51" s="30">
        <v>18319</v>
      </c>
      <c r="L51" s="30">
        <v>2592.6999999999998</v>
      </c>
      <c r="N51" s="30"/>
      <c r="O51" s="30"/>
      <c r="P51" s="30"/>
      <c r="Q51" s="30"/>
      <c r="R51" s="30"/>
    </row>
    <row r="52" spans="1:18">
      <c r="A52" s="66">
        <v>2007</v>
      </c>
      <c r="B52" s="31">
        <v>111</v>
      </c>
      <c r="C52" s="31">
        <v>89.8</v>
      </c>
      <c r="D52" s="31">
        <v>81.400000000000006</v>
      </c>
      <c r="E52" s="31">
        <v>89.2</v>
      </c>
      <c r="F52" s="31">
        <v>98.3</v>
      </c>
      <c r="G52" s="31">
        <f>H52/'19'!K52*100</f>
        <v>35.267994036352874</v>
      </c>
      <c r="H52" s="30">
        <v>3335.4</v>
      </c>
      <c r="I52" s="30">
        <v>18861.599999999999</v>
      </c>
      <c r="J52" s="30">
        <v>869.8</v>
      </c>
      <c r="K52" s="30">
        <v>15573.5</v>
      </c>
      <c r="L52" s="30">
        <v>2418.1999999999998</v>
      </c>
      <c r="N52" s="30"/>
      <c r="O52" s="30"/>
      <c r="P52" s="30"/>
      <c r="Q52" s="30"/>
      <c r="R52" s="30"/>
    </row>
    <row r="53" spans="1:18">
      <c r="A53" s="66">
        <v>2008</v>
      </c>
      <c r="B53" s="31">
        <v>104</v>
      </c>
      <c r="C53" s="31">
        <v>77.599999999999994</v>
      </c>
      <c r="D53" s="31">
        <v>68.400000000000006</v>
      </c>
      <c r="E53" s="31">
        <v>77.7</v>
      </c>
      <c r="F53" s="31">
        <v>80.900000000000006</v>
      </c>
      <c r="G53" s="31">
        <f>H53/'19'!K53*100</f>
        <v>33.402113424623273</v>
      </c>
      <c r="H53" s="30">
        <v>2671</v>
      </c>
      <c r="I53" s="30">
        <v>16349</v>
      </c>
      <c r="J53" s="30">
        <v>806.3</v>
      </c>
      <c r="K53" s="30">
        <v>13562.1</v>
      </c>
      <c r="L53" s="30">
        <v>1980.6</v>
      </c>
      <c r="N53" s="30"/>
      <c r="O53" s="30"/>
      <c r="P53" s="30"/>
      <c r="Q53" s="30"/>
      <c r="R53" s="30"/>
    </row>
    <row r="54" spans="1:18">
      <c r="A54" s="66"/>
      <c r="B54" s="31"/>
      <c r="C54" s="31"/>
      <c r="D54" s="31"/>
      <c r="E54" s="31"/>
      <c r="F54" s="31"/>
      <c r="G54" s="31"/>
      <c r="H54" s="30"/>
      <c r="I54" s="30"/>
      <c r="J54" s="30"/>
      <c r="K54" s="30"/>
      <c r="L54" s="30"/>
      <c r="N54" s="30"/>
      <c r="O54" s="30"/>
      <c r="P54" s="30"/>
      <c r="Q54" s="30"/>
      <c r="R54" s="30"/>
    </row>
    <row r="55" spans="1:18">
      <c r="A55" s="66" t="s">
        <v>23</v>
      </c>
    </row>
    <row r="56" spans="1:18">
      <c r="A56" s="64" t="s">
        <v>2118</v>
      </c>
      <c r="B56" s="67">
        <f>((B53/B6)^(1/47)-1)*100</f>
        <v>3.1599172360103456</v>
      </c>
      <c r="C56" s="67">
        <f t="shared" ref="C56:L56" si="0">((C53/C6)^(1/47)-1)*100</f>
        <v>2.9822269249785149</v>
      </c>
      <c r="D56" s="67">
        <f t="shared" si="0"/>
        <v>1.8499485664740245</v>
      </c>
      <c r="E56" s="67">
        <f t="shared" si="0"/>
        <v>2.9850487427933503</v>
      </c>
      <c r="F56" s="67">
        <f t="shared" si="0"/>
        <v>3.49455537455714</v>
      </c>
      <c r="G56" s="67">
        <f t="shared" si="0"/>
        <v>1.353036718789058</v>
      </c>
      <c r="H56" s="67">
        <f t="shared" si="0"/>
        <v>8.0795227168144237</v>
      </c>
      <c r="I56" s="67">
        <f t="shared" si="0"/>
        <v>7.0766869867902038</v>
      </c>
      <c r="J56" s="67">
        <f t="shared" si="0"/>
        <v>8.229473170947621</v>
      </c>
      <c r="K56" s="67">
        <f t="shared" si="0"/>
        <v>6.9359954410625146</v>
      </c>
      <c r="L56" s="67">
        <f t="shared" si="0"/>
        <v>7.81341098829198</v>
      </c>
      <c r="M56" s="67"/>
      <c r="N56" s="67"/>
      <c r="O56" s="67"/>
    </row>
    <row r="57" spans="1:18">
      <c r="A57" s="68" t="s">
        <v>1031</v>
      </c>
      <c r="B57" s="67">
        <f>((B18/B6)^(1/12)-1)*100</f>
        <v>6.2705055999749071</v>
      </c>
      <c r="C57" s="67">
        <f t="shared" ref="C57:L57" si="1">((C18/C6)^(1/12)-1)*100</f>
        <v>5.8781545101810107</v>
      </c>
      <c r="D57" s="67">
        <f t="shared" si="1"/>
        <v>7.1914922377441126</v>
      </c>
      <c r="E57" s="67">
        <f t="shared" si="1"/>
        <v>5.7634792850143279</v>
      </c>
      <c r="F57" s="67">
        <f t="shared" si="1"/>
        <v>6.3490632154540982</v>
      </c>
      <c r="G57" s="67">
        <f t="shared" si="1"/>
        <v>6.8628905281859165</v>
      </c>
      <c r="H57" s="67">
        <f t="shared" si="1"/>
        <v>20.887355781467654</v>
      </c>
      <c r="I57" s="67">
        <f t="shared" si="1"/>
        <v>11.576932299059074</v>
      </c>
      <c r="J57" s="67">
        <f t="shared" si="1"/>
        <v>10.520729564937259</v>
      </c>
      <c r="K57" s="67">
        <f t="shared" si="1"/>
        <v>11.66774356774274</v>
      </c>
      <c r="L57" s="67">
        <f t="shared" si="1"/>
        <v>10.983462453892635</v>
      </c>
      <c r="M57" s="67"/>
      <c r="N57" s="67"/>
      <c r="O57" s="67"/>
    </row>
    <row r="58" spans="1:18">
      <c r="A58" s="68" t="s">
        <v>1032</v>
      </c>
      <c r="B58" s="67">
        <f>((B26/B18)^(1/8)-1)*100</f>
        <v>3.7261120950544457</v>
      </c>
      <c r="C58" s="67">
        <f t="shared" ref="C58:L58" si="2">((C26/C18)^(1/8)-1)*100</f>
        <v>0.56989744794802011</v>
      </c>
      <c r="D58" s="67">
        <f t="shared" si="2"/>
        <v>-1.8012917491297409</v>
      </c>
      <c r="E58" s="67">
        <f t="shared" si="2"/>
        <v>0.57720869801078933</v>
      </c>
      <c r="F58" s="67">
        <f t="shared" si="2"/>
        <v>1.5457810465065336</v>
      </c>
      <c r="G58" s="67">
        <f t="shared" si="2"/>
        <v>-15.175276963984485</v>
      </c>
      <c r="H58" s="67">
        <f t="shared" si="2"/>
        <v>-10.459793283653518</v>
      </c>
      <c r="I58" s="67">
        <f t="shared" si="2"/>
        <v>9.6458031295977076</v>
      </c>
      <c r="J58" s="67">
        <f t="shared" si="2"/>
        <v>18.263054662978284</v>
      </c>
      <c r="K58" s="67">
        <f t="shared" si="2"/>
        <v>9.169389513780434</v>
      </c>
      <c r="L58" s="67">
        <f t="shared" si="2"/>
        <v>10.983128184039392</v>
      </c>
      <c r="M58" s="67"/>
      <c r="N58" s="67"/>
      <c r="O58" s="67"/>
    </row>
    <row r="59" spans="1:18">
      <c r="A59" s="68" t="s">
        <v>25</v>
      </c>
      <c r="B59" s="67">
        <f t="shared" ref="B59" si="3">((B34/B26)^(1/8)-1)*100</f>
        <v>0.56697845623763232</v>
      </c>
      <c r="C59" s="67">
        <f t="shared" ref="C59:L59" si="4">((C34/C26)^(1/8)-1)*100</f>
        <v>4.8152859667771386</v>
      </c>
      <c r="D59" s="67">
        <f t="shared" si="4"/>
        <v>0.65853317292201563</v>
      </c>
      <c r="E59" s="67">
        <f t="shared" si="4"/>
        <v>5.1550535983353685</v>
      </c>
      <c r="F59" s="67">
        <f>((F34/F26)^(1/8)-1)*100</f>
        <v>3.9394220861320495</v>
      </c>
      <c r="G59" s="67">
        <f>((G34/G26)^(1/8)-1)*100</f>
        <v>10.584703692006169</v>
      </c>
      <c r="H59" s="67">
        <f t="shared" si="4"/>
        <v>19.302804633035198</v>
      </c>
      <c r="I59" s="67">
        <f t="shared" si="4"/>
        <v>8.2592455055942935</v>
      </c>
      <c r="J59" s="67">
        <f t="shared" si="4"/>
        <v>5.0592909442141787</v>
      </c>
      <c r="K59" s="67">
        <f t="shared" si="4"/>
        <v>8.3716086347707552</v>
      </c>
      <c r="L59" s="67">
        <f t="shared" si="4"/>
        <v>8.7330735040070717</v>
      </c>
      <c r="M59" s="67"/>
      <c r="N59" s="67"/>
      <c r="O59" s="67"/>
    </row>
    <row r="60" spans="1:18">
      <c r="A60" s="69" t="s">
        <v>2134</v>
      </c>
      <c r="B60" s="65">
        <f>((B53/B31)^(1/22)-1)*100</f>
        <v>2.6737824665539645</v>
      </c>
      <c r="C60" s="65">
        <f t="shared" ref="C60:L60" si="5">((C53/C31)^(1/22)-1)*100</f>
        <v>2.0180213812321712</v>
      </c>
      <c r="D60" s="65">
        <f t="shared" si="5"/>
        <v>0.63563213062760582</v>
      </c>
      <c r="E60" s="65">
        <f t="shared" si="5"/>
        <v>2.0332780782284621</v>
      </c>
      <c r="F60" s="65">
        <f t="shared" si="5"/>
        <v>2.4695622605007683</v>
      </c>
      <c r="G60" s="65">
        <f t="shared" si="5"/>
        <v>0.46532839999886555</v>
      </c>
      <c r="H60" s="65">
        <f t="shared" si="5"/>
        <v>3.40674482335801</v>
      </c>
      <c r="I60" s="65">
        <f t="shared" si="5"/>
        <v>3.766145636946483</v>
      </c>
      <c r="J60" s="65">
        <f t="shared" si="5"/>
        <v>3.9643294178379529</v>
      </c>
      <c r="K60" s="65">
        <f t="shared" si="5"/>
        <v>3.6237358447001489</v>
      </c>
      <c r="L60" s="65">
        <f t="shared" si="5"/>
        <v>4.784316007354894</v>
      </c>
      <c r="M60" s="65"/>
      <c r="N60" s="65"/>
      <c r="O60" s="65"/>
    </row>
    <row r="61" spans="1:18">
      <c r="A61" s="69" t="s">
        <v>26</v>
      </c>
      <c r="B61" s="65">
        <f t="shared" ref="B61" si="6">((B45/B34)^(1/11)-1)*100</f>
        <v>4.0945623576472467</v>
      </c>
      <c r="C61" s="65">
        <f t="shared" ref="C61:L61" si="7">((C45/C34)^(1/11)-1)*100</f>
        <v>4.8753427882423761</v>
      </c>
      <c r="D61" s="65">
        <f t="shared" si="7"/>
        <v>4.5053217637883947</v>
      </c>
      <c r="E61" s="65">
        <f t="shared" si="7"/>
        <v>4.7182923005728794</v>
      </c>
      <c r="F61" s="65">
        <f t="shared" si="7"/>
        <v>6.3727130827090139</v>
      </c>
      <c r="G61" s="65">
        <f>((G45/G34)^(1/11)-1)*100</f>
        <v>6.475155142592981</v>
      </c>
      <c r="H61" s="65">
        <f t="shared" si="7"/>
        <v>15.758732827723488</v>
      </c>
      <c r="I61" s="65">
        <f t="shared" si="7"/>
        <v>7.513427754334856</v>
      </c>
      <c r="J61" s="65">
        <f t="shared" si="7"/>
        <v>7.9634113571258824</v>
      </c>
      <c r="K61" s="65">
        <f t="shared" si="7"/>
        <v>7.412054685425451</v>
      </c>
      <c r="L61" s="65">
        <f t="shared" si="7"/>
        <v>8.2333699061872601</v>
      </c>
      <c r="M61" s="65"/>
      <c r="N61" s="65"/>
      <c r="O61" s="65"/>
    </row>
    <row r="62" spans="1:18">
      <c r="A62" s="69" t="s">
        <v>1779</v>
      </c>
      <c r="B62" s="65">
        <f>((B53/B45)^(1/8)-1)*100</f>
        <v>-0.58524303039976244</v>
      </c>
      <c r="C62" s="65">
        <f t="shared" ref="C62:L62" si="8">((C53/C45)^(1/8)-1)*100</f>
        <v>-3.0717665032595209</v>
      </c>
      <c r="D62" s="65">
        <f t="shared" si="8"/>
        <v>-4.444074008468835</v>
      </c>
      <c r="E62" s="65">
        <f t="shared" si="8"/>
        <v>-3.0195999468610291</v>
      </c>
      <c r="F62" s="65">
        <f t="shared" si="8"/>
        <v>-2.9029421220141294</v>
      </c>
      <c r="G62" s="65">
        <f t="shared" si="8"/>
        <v>-4.1997317217157715</v>
      </c>
      <c r="H62" s="65">
        <f t="shared" si="8"/>
        <v>-9.0890716341728854</v>
      </c>
      <c r="I62" s="65">
        <f t="shared" si="8"/>
        <v>-3.3108307685041805</v>
      </c>
      <c r="J62" s="65">
        <f t="shared" si="8"/>
        <v>-0.78540177909267594</v>
      </c>
      <c r="K62" s="65">
        <f t="shared" si="8"/>
        <v>-3.7286440623657047</v>
      </c>
      <c r="L62" s="65">
        <f t="shared" si="8"/>
        <v>-1.099163194050401</v>
      </c>
      <c r="M62" s="65"/>
      <c r="N62" s="65"/>
      <c r="O62" s="65"/>
    </row>
    <row r="64" spans="1:18">
      <c r="A64" s="64" t="s">
        <v>1012</v>
      </c>
    </row>
  </sheetData>
  <mergeCells count="12">
    <mergeCell ref="O2:R2"/>
    <mergeCell ref="N4:R4"/>
    <mergeCell ref="H2:H3"/>
    <mergeCell ref="C2:F2"/>
    <mergeCell ref="B2:B3"/>
    <mergeCell ref="G2:G3"/>
    <mergeCell ref="A1:L1"/>
    <mergeCell ref="A2:A4"/>
    <mergeCell ref="N2:N3"/>
    <mergeCell ref="B4:F4"/>
    <mergeCell ref="H4:L4"/>
    <mergeCell ref="I2:L2"/>
  </mergeCells>
  <pageMargins left="0.70866141732283472" right="0.70866141732283472" top="0.74803149606299213" bottom="0.74803149606299213" header="0.31496062992125984" footer="0.31496062992125984"/>
  <pageSetup scale="75" orientation="portrait" horizontalDpi="0" verticalDpi="0" r:id="rId1"/>
</worksheet>
</file>

<file path=xl/worksheets/sheet123.xml><?xml version="1.0" encoding="utf-8"?>
<worksheet xmlns="http://schemas.openxmlformats.org/spreadsheetml/2006/main" xmlns:r="http://schemas.openxmlformats.org/officeDocument/2006/relationships">
  <sheetPr codeName="Sheet116"/>
  <dimension ref="A1:F18"/>
  <sheetViews>
    <sheetView view="pageBreakPreview" zoomScaleNormal="100" zoomScaleSheetLayoutView="100" workbookViewId="0">
      <selection activeCell="AC38" sqref="AC38"/>
    </sheetView>
  </sheetViews>
  <sheetFormatPr defaultRowHeight="15"/>
  <cols>
    <col min="1" max="1" width="30.5703125" style="64" customWidth="1"/>
    <col min="2" max="6" width="12.140625" style="135" customWidth="1"/>
    <col min="7" max="16384" width="9.140625" style="64"/>
  </cols>
  <sheetData>
    <row r="1" spans="1:6">
      <c r="A1" s="66" t="s">
        <v>2155</v>
      </c>
    </row>
    <row r="2" spans="1:6">
      <c r="A2" s="66"/>
      <c r="B2" s="72" t="s">
        <v>1031</v>
      </c>
      <c r="C2" s="165" t="s">
        <v>1032</v>
      </c>
      <c r="D2" s="165" t="s">
        <v>25</v>
      </c>
      <c r="E2" s="165" t="s">
        <v>26</v>
      </c>
      <c r="F2" s="165" t="s">
        <v>1779</v>
      </c>
    </row>
    <row r="3" spans="1:6">
      <c r="A3" s="66" t="s">
        <v>1087</v>
      </c>
      <c r="B3" s="110"/>
      <c r="C3" s="203"/>
      <c r="D3" s="203"/>
      <c r="E3" s="203"/>
      <c r="F3" s="203"/>
    </row>
    <row r="4" spans="1:6">
      <c r="A4" s="69" t="s">
        <v>1080</v>
      </c>
      <c r="B4" s="31">
        <f>AVERAGE('19a'!G5:G17)</f>
        <v>75.684510215867036</v>
      </c>
      <c r="C4" s="31">
        <f>AVERAGE('19a'!G17:G25)</f>
        <v>75.131932769032062</v>
      </c>
      <c r="D4" s="31">
        <f>AVERAGE('19a'!G25:G33)</f>
        <v>78.070337241130304</v>
      </c>
      <c r="E4" s="31">
        <f>AVERAGE('19a'!G33:G44)</f>
        <v>65.156695949894313</v>
      </c>
      <c r="F4" s="31">
        <f>AVERAGE('19a'!G44:G52)</f>
        <v>57.716639865668498</v>
      </c>
    </row>
    <row r="5" spans="1:6">
      <c r="A5" s="69" t="s">
        <v>1081</v>
      </c>
      <c r="B5" s="31">
        <f>AVERAGE('19b'!G6:G18)</f>
        <v>24.314410084829778</v>
      </c>
      <c r="C5" s="31">
        <f>AVERAGE('19b'!G18:G26)</f>
        <v>24.868846011471376</v>
      </c>
      <c r="D5" s="31">
        <f>AVERAGE('19b'!G26:G34)</f>
        <v>21.929272730216706</v>
      </c>
      <c r="E5" s="31">
        <f>AVERAGE('19b'!G34:G45)</f>
        <v>34.843178146218158</v>
      </c>
      <c r="F5" s="31">
        <f>AVERAGE('19b'!G45:G53)</f>
        <v>42.28334707703528</v>
      </c>
    </row>
    <row r="6" spans="1:6">
      <c r="A6" s="69"/>
      <c r="B6" s="31"/>
      <c r="C6" s="31"/>
      <c r="D6" s="31"/>
      <c r="E6" s="31"/>
      <c r="F6" s="31"/>
    </row>
    <row r="7" spans="1:6">
      <c r="A7" s="204" t="s">
        <v>793</v>
      </c>
      <c r="B7" s="31"/>
      <c r="C7" s="31"/>
      <c r="D7" s="31"/>
      <c r="E7" s="31"/>
      <c r="F7" s="31"/>
    </row>
    <row r="8" spans="1:6">
      <c r="A8" s="68" t="s">
        <v>116</v>
      </c>
      <c r="B8" s="205">
        <f>'19'!E57</f>
        <v>3.0130368921454931</v>
      </c>
      <c r="C8" s="67">
        <f>'19'!E58</f>
        <v>3.1731982495676991</v>
      </c>
      <c r="D8" s="67">
        <f>'19'!E60</f>
        <v>5.5712476985256609</v>
      </c>
      <c r="E8" s="67">
        <f>'19'!E62</f>
        <v>2.4320317943536951</v>
      </c>
      <c r="F8" s="67">
        <f>'19'!E63</f>
        <v>6.1238075083990262</v>
      </c>
    </row>
    <row r="9" spans="1:6">
      <c r="A9" s="69" t="s">
        <v>113</v>
      </c>
      <c r="B9" s="67">
        <f>'19'!C57</f>
        <v>1.3337148334585214</v>
      </c>
      <c r="C9" s="67">
        <f>'19'!C58</f>
        <v>1.6050933956840208</v>
      </c>
      <c r="D9" s="67">
        <f>'19'!C60</f>
        <v>4.6741987965088549</v>
      </c>
      <c r="E9" s="67">
        <f>'19'!C62</f>
        <v>1.1553771781955824</v>
      </c>
      <c r="F9" s="67">
        <f>'19'!C63</f>
        <v>3.7428093492928971</v>
      </c>
    </row>
    <row r="10" spans="1:6">
      <c r="A10" s="69" t="s">
        <v>833</v>
      </c>
      <c r="B10" s="67">
        <f>'19a'!C56</f>
        <v>0.90860437990905041</v>
      </c>
      <c r="C10" s="67">
        <f>'19a'!C57</f>
        <v>0.38060539103881297</v>
      </c>
      <c r="D10" s="67">
        <f>'19a'!C59</f>
        <v>0.9516188971173678</v>
      </c>
      <c r="E10" s="67">
        <f>'19a'!C61</f>
        <v>0.32178358309733479</v>
      </c>
      <c r="F10" s="67">
        <f>'19a'!C62</f>
        <v>9.8863581691932545E-2</v>
      </c>
    </row>
    <row r="11" spans="1:6">
      <c r="A11" s="69" t="s">
        <v>1086</v>
      </c>
      <c r="B11" s="67">
        <f>'19'!O57</f>
        <v>3.53150940747744</v>
      </c>
      <c r="C11" s="67">
        <f>'19'!O58</f>
        <v>4.937775605167527</v>
      </c>
      <c r="D11" s="67">
        <f>'19'!O60</f>
        <v>0.66985081763517584</v>
      </c>
      <c r="E11" s="67">
        <f>'19'!O62</f>
        <v>2.7535338517866936</v>
      </c>
      <c r="F11" s="67">
        <f>'19'!O63</f>
        <v>5.6769768888278893</v>
      </c>
    </row>
    <row r="12" spans="1:6">
      <c r="B12" s="67"/>
      <c r="C12" s="67"/>
      <c r="D12" s="67"/>
      <c r="E12" s="67"/>
      <c r="F12" s="67"/>
    </row>
    <row r="13" spans="1:6">
      <c r="A13" s="66" t="s">
        <v>1085</v>
      </c>
      <c r="B13" s="67"/>
      <c r="C13" s="67"/>
      <c r="D13" s="67"/>
      <c r="E13" s="67"/>
      <c r="F13" s="67"/>
    </row>
    <row r="14" spans="1:6">
      <c r="A14" s="69" t="s">
        <v>113</v>
      </c>
      <c r="B14" s="67">
        <f>B9</f>
        <v>1.3337148334585214</v>
      </c>
      <c r="C14" s="67">
        <f>C9</f>
        <v>1.6050933956840208</v>
      </c>
      <c r="D14" s="67">
        <f>D9</f>
        <v>4.6741987965088549</v>
      </c>
      <c r="E14" s="67">
        <f>E9</f>
        <v>1.1553771781955824</v>
      </c>
      <c r="F14" s="67">
        <f>F9</f>
        <v>3.7428093492928971</v>
      </c>
    </row>
    <row r="15" spans="1:6">
      <c r="A15" s="69" t="s">
        <v>833</v>
      </c>
      <c r="B15" s="67">
        <f t="shared" ref="B15:F16" si="0">B4/100*B10</f>
        <v>0.68767277473408062</v>
      </c>
      <c r="C15" s="67">
        <f t="shared" si="0"/>
        <v>0.28595618651059251</v>
      </c>
      <c r="D15" s="67">
        <f t="shared" si="0"/>
        <v>0.74293208222985385</v>
      </c>
      <c r="E15" s="67">
        <f t="shared" si="0"/>
        <v>0.20966355085540594</v>
      </c>
      <c r="F15" s="67">
        <f t="shared" si="0"/>
        <v>5.7060737403433683E-2</v>
      </c>
    </row>
    <row r="16" spans="1:6">
      <c r="A16" s="69" t="s">
        <v>1086</v>
      </c>
      <c r="B16" s="67">
        <f t="shared" si="0"/>
        <v>0.858665679518407</v>
      </c>
      <c r="C16" s="67">
        <f t="shared" si="0"/>
        <v>1.2279678116411112</v>
      </c>
      <c r="D16" s="67">
        <f t="shared" si="0"/>
        <v>0.14689341268480424</v>
      </c>
      <c r="E16" s="67">
        <f t="shared" si="0"/>
        <v>0.95941870529446027</v>
      </c>
      <c r="F16" s="67">
        <f t="shared" si="0"/>
        <v>2.400415841386176</v>
      </c>
    </row>
    <row r="18" spans="1:1">
      <c r="A18" s="195" t="s">
        <v>1089</v>
      </c>
    </row>
  </sheetData>
  <pageMargins left="0.7" right="0.7" top="0.75" bottom="0.75" header="0.3" footer="0.3"/>
  <pageSetup orientation="landscape" horizontalDpi="0" verticalDpi="0" r:id="rId1"/>
</worksheet>
</file>

<file path=xl/worksheets/sheet124.xml><?xml version="1.0" encoding="utf-8"?>
<worksheet xmlns="http://schemas.openxmlformats.org/spreadsheetml/2006/main" xmlns:r="http://schemas.openxmlformats.org/officeDocument/2006/relationships">
  <sheetPr codeName="Sheet117"/>
  <dimension ref="A1:U68"/>
  <sheetViews>
    <sheetView view="pageBreakPreview" zoomScaleNormal="70" zoomScaleSheetLayoutView="100"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2" style="64" customWidth="1"/>
    <col min="2" max="2" width="8.5703125" style="64" customWidth="1"/>
    <col min="3" max="3" width="10.5703125" style="64" customWidth="1"/>
    <col min="4" max="5" width="8.85546875" style="64" customWidth="1"/>
    <col min="6" max="6" width="8" style="64" customWidth="1"/>
    <col min="7" max="7" width="9.28515625" style="64" customWidth="1"/>
    <col min="8" max="8" width="10.42578125" style="64" customWidth="1"/>
    <col min="9" max="9" width="10.140625" style="64" customWidth="1"/>
    <col min="10" max="10" width="7.85546875" style="64" customWidth="1"/>
    <col min="11" max="11" width="10" style="64" customWidth="1"/>
    <col min="12" max="12" width="9.42578125" style="64" customWidth="1"/>
    <col min="13" max="14" width="14" style="64" customWidth="1"/>
    <col min="15" max="15" width="12.140625" style="64" customWidth="1"/>
    <col min="16" max="16384" width="9.140625" style="64"/>
  </cols>
  <sheetData>
    <row r="1" spans="1:21">
      <c r="A1" s="108" t="s">
        <v>1866</v>
      </c>
      <c r="B1" s="108"/>
      <c r="C1" s="108"/>
      <c r="D1" s="108"/>
      <c r="E1" s="108"/>
      <c r="F1" s="108"/>
      <c r="G1" s="108"/>
      <c r="H1" s="108"/>
      <c r="I1" s="108"/>
      <c r="J1" s="108"/>
      <c r="K1" s="108"/>
      <c r="L1" s="108"/>
      <c r="M1" s="108"/>
      <c r="N1" s="108"/>
      <c r="O1" s="66"/>
    </row>
    <row r="2" spans="1:21" ht="30" customHeight="1">
      <c r="A2" s="207"/>
      <c r="B2" s="97" t="s">
        <v>113</v>
      </c>
      <c r="C2" s="97"/>
      <c r="D2" s="103" t="s">
        <v>116</v>
      </c>
      <c r="E2" s="103"/>
      <c r="F2" s="97" t="s">
        <v>117</v>
      </c>
      <c r="G2" s="97" t="s">
        <v>118</v>
      </c>
      <c r="H2" s="101" t="s">
        <v>119</v>
      </c>
      <c r="I2" s="97" t="s">
        <v>120</v>
      </c>
      <c r="J2" s="97" t="s">
        <v>121</v>
      </c>
      <c r="K2" s="97" t="s">
        <v>122</v>
      </c>
      <c r="L2" s="97" t="s">
        <v>1003</v>
      </c>
      <c r="M2" s="97"/>
      <c r="N2" s="97"/>
      <c r="O2" s="97" t="s">
        <v>1079</v>
      </c>
      <c r="R2" s="70"/>
      <c r="S2" s="70"/>
      <c r="T2" s="70"/>
      <c r="U2" s="70"/>
    </row>
    <row r="3" spans="1:21" ht="60">
      <c r="A3" s="207"/>
      <c r="B3" s="73" t="s">
        <v>114</v>
      </c>
      <c r="C3" s="73" t="s">
        <v>115</v>
      </c>
      <c r="D3" s="73" t="s">
        <v>114</v>
      </c>
      <c r="E3" s="73" t="s">
        <v>115</v>
      </c>
      <c r="F3" s="97"/>
      <c r="G3" s="97"/>
      <c r="H3" s="102"/>
      <c r="I3" s="97"/>
      <c r="J3" s="97"/>
      <c r="K3" s="97"/>
      <c r="L3" s="73" t="s">
        <v>1009</v>
      </c>
      <c r="M3" s="73" t="s">
        <v>1010</v>
      </c>
      <c r="N3" s="73" t="s">
        <v>1011</v>
      </c>
      <c r="O3" s="97"/>
      <c r="R3" s="70"/>
      <c r="S3" s="208"/>
      <c r="T3" s="70"/>
      <c r="U3" s="70"/>
    </row>
    <row r="4" spans="1:21">
      <c r="A4" s="207"/>
      <c r="B4" s="97" t="s">
        <v>844</v>
      </c>
      <c r="C4" s="97"/>
      <c r="D4" s="97"/>
      <c r="E4" s="97"/>
      <c r="F4" s="97"/>
      <c r="G4" s="97"/>
      <c r="H4" s="97"/>
      <c r="I4" s="97"/>
      <c r="J4" s="97" t="s">
        <v>1002</v>
      </c>
      <c r="K4" s="97"/>
      <c r="L4" s="209" t="s">
        <v>844</v>
      </c>
      <c r="M4" s="210"/>
      <c r="N4" s="210"/>
      <c r="O4" s="210"/>
      <c r="R4" s="70"/>
      <c r="S4" s="208"/>
      <c r="T4" s="70"/>
      <c r="U4" s="70"/>
    </row>
    <row r="5" spans="1:21" hidden="1" outlineLevel="1">
      <c r="B5" s="57" t="s">
        <v>91</v>
      </c>
      <c r="C5" s="57" t="s">
        <v>94</v>
      </c>
      <c r="D5" s="57" t="s">
        <v>157</v>
      </c>
      <c r="E5" s="57" t="s">
        <v>158</v>
      </c>
      <c r="F5" s="57" t="s">
        <v>159</v>
      </c>
      <c r="G5" s="57" t="s">
        <v>5</v>
      </c>
      <c r="H5" s="57" t="s">
        <v>163</v>
      </c>
      <c r="I5" s="57" t="s">
        <v>168</v>
      </c>
      <c r="J5" s="57"/>
      <c r="K5" s="57"/>
      <c r="L5" s="57" t="s">
        <v>175</v>
      </c>
      <c r="M5" s="57" t="s">
        <v>176</v>
      </c>
      <c r="N5" s="57" t="s">
        <v>177</v>
      </c>
      <c r="O5" s="57"/>
      <c r="R5" s="70"/>
      <c r="S5" s="70"/>
      <c r="T5" s="70"/>
      <c r="U5" s="70"/>
    </row>
    <row r="6" spans="1:21" collapsed="1">
      <c r="A6" s="66">
        <v>1961</v>
      </c>
      <c r="B6" s="28">
        <v>87.6</v>
      </c>
      <c r="C6" s="28">
        <v>64.5</v>
      </c>
      <c r="D6" s="28">
        <v>31.1</v>
      </c>
      <c r="E6" s="28">
        <v>33.299999999999997</v>
      </c>
      <c r="F6" s="28">
        <v>34.6</v>
      </c>
      <c r="G6" s="28">
        <v>37.1</v>
      </c>
      <c r="H6" s="28">
        <v>57.5</v>
      </c>
      <c r="I6" s="28">
        <v>39.5</v>
      </c>
      <c r="J6" s="56">
        <v>2155.1</v>
      </c>
      <c r="K6" s="56">
        <v>938.8</v>
      </c>
      <c r="L6" s="28">
        <v>83.5</v>
      </c>
      <c r="M6" s="28">
        <v>45.9</v>
      </c>
      <c r="N6" s="28">
        <v>92.5</v>
      </c>
      <c r="O6" s="28">
        <f>'20b'!B6/'20a'!E5*100</f>
        <v>34.027646786870079</v>
      </c>
      <c r="R6" s="70"/>
      <c r="S6" s="211"/>
      <c r="T6" s="70"/>
      <c r="U6" s="70"/>
    </row>
    <row r="7" spans="1:21" hidden="1" outlineLevel="1">
      <c r="A7" s="66">
        <v>1962</v>
      </c>
      <c r="B7" s="28">
        <v>88.3</v>
      </c>
      <c r="C7" s="28">
        <v>65.599999999999994</v>
      </c>
      <c r="D7" s="28">
        <v>31.6</v>
      </c>
      <c r="E7" s="28">
        <v>33.799999999999997</v>
      </c>
      <c r="F7" s="28">
        <v>36.200000000000003</v>
      </c>
      <c r="G7" s="28">
        <v>38.700000000000003</v>
      </c>
      <c r="H7" s="28">
        <v>59</v>
      </c>
      <c r="I7" s="28">
        <v>41</v>
      </c>
      <c r="J7" s="56">
        <v>2277.9</v>
      </c>
      <c r="K7" s="56">
        <v>988.2</v>
      </c>
      <c r="L7" s="28">
        <v>83.1</v>
      </c>
      <c r="M7" s="28">
        <v>46.3</v>
      </c>
      <c r="N7" s="28">
        <v>92.8</v>
      </c>
      <c r="O7" s="28">
        <f>'20b'!B7/'20a'!E6*100</f>
        <v>33.326325247079964</v>
      </c>
      <c r="R7" s="70"/>
      <c r="S7" s="211"/>
      <c r="T7" s="70"/>
      <c r="U7" s="70"/>
    </row>
    <row r="8" spans="1:21" hidden="1" outlineLevel="1">
      <c r="A8" s="66">
        <v>1963</v>
      </c>
      <c r="B8" s="28">
        <v>88.7</v>
      </c>
      <c r="C8" s="28">
        <v>66.3</v>
      </c>
      <c r="D8" s="28">
        <v>32.799999999999997</v>
      </c>
      <c r="E8" s="28">
        <v>34.700000000000003</v>
      </c>
      <c r="F8" s="28">
        <v>37.799999999999997</v>
      </c>
      <c r="G8" s="28">
        <v>39.9</v>
      </c>
      <c r="H8" s="28">
        <v>60.2</v>
      </c>
      <c r="I8" s="28">
        <v>42.6</v>
      </c>
      <c r="J8" s="56">
        <v>2393.3000000000002</v>
      </c>
      <c r="K8" s="56">
        <v>1030.9000000000001</v>
      </c>
      <c r="L8" s="28">
        <v>83.5</v>
      </c>
      <c r="M8" s="28">
        <v>47.7</v>
      </c>
      <c r="N8" s="28">
        <v>93.1</v>
      </c>
      <c r="O8" s="28">
        <f>'20b'!B8/'20a'!E7*100</f>
        <v>33.95894454382826</v>
      </c>
      <c r="R8" s="70"/>
      <c r="S8" s="211"/>
      <c r="T8" s="70"/>
      <c r="U8" s="70"/>
    </row>
    <row r="9" spans="1:21" hidden="1" outlineLevel="1">
      <c r="A9" s="66">
        <v>1964</v>
      </c>
      <c r="B9" s="28">
        <v>89</v>
      </c>
      <c r="C9" s="28">
        <v>66.8</v>
      </c>
      <c r="D9" s="28">
        <v>33.9</v>
      </c>
      <c r="E9" s="28">
        <v>35.700000000000003</v>
      </c>
      <c r="F9" s="28">
        <v>41.3</v>
      </c>
      <c r="G9" s="28">
        <v>43.5</v>
      </c>
      <c r="H9" s="28">
        <v>65.099999999999994</v>
      </c>
      <c r="I9" s="28">
        <v>46.4</v>
      </c>
      <c r="J9" s="56">
        <v>2646.1</v>
      </c>
      <c r="K9" s="56">
        <v>1133.5</v>
      </c>
      <c r="L9" s="28">
        <v>84</v>
      </c>
      <c r="M9" s="28">
        <v>48.6</v>
      </c>
      <c r="N9" s="28">
        <v>93.4</v>
      </c>
      <c r="O9" s="28">
        <f>'20b'!B9/'20a'!E8*100</f>
        <v>35.189500423370021</v>
      </c>
      <c r="R9" s="70"/>
      <c r="S9" s="211"/>
      <c r="T9" s="70"/>
      <c r="U9" s="70"/>
    </row>
    <row r="10" spans="1:21" hidden="1" outlineLevel="1">
      <c r="A10" s="66">
        <v>1965</v>
      </c>
      <c r="B10" s="28">
        <v>87.3</v>
      </c>
      <c r="C10" s="28">
        <v>63.8</v>
      </c>
      <c r="D10" s="28">
        <v>35</v>
      </c>
      <c r="E10" s="28">
        <v>36</v>
      </c>
      <c r="F10" s="28">
        <v>43.3</v>
      </c>
      <c r="G10" s="28">
        <v>44.5</v>
      </c>
      <c r="H10" s="28">
        <v>69.8</v>
      </c>
      <c r="I10" s="28">
        <v>49.6</v>
      </c>
      <c r="J10" s="56">
        <v>2816.5</v>
      </c>
      <c r="K10" s="56">
        <v>1167.4000000000001</v>
      </c>
      <c r="L10" s="28">
        <v>85.7</v>
      </c>
      <c r="M10" s="28">
        <v>50</v>
      </c>
      <c r="N10" s="28">
        <v>93.6</v>
      </c>
      <c r="O10" s="28">
        <f>'20b'!B10/'20a'!E9*100</f>
        <v>39.066472303206993</v>
      </c>
      <c r="R10" s="70"/>
      <c r="S10" s="211"/>
      <c r="T10" s="70"/>
      <c r="U10" s="70"/>
    </row>
    <row r="11" spans="1:21" hidden="1" outlineLevel="1">
      <c r="A11" s="66">
        <v>1966</v>
      </c>
      <c r="B11" s="28">
        <v>85.9</v>
      </c>
      <c r="C11" s="28">
        <v>61.4</v>
      </c>
      <c r="D11" s="28">
        <v>35.5</v>
      </c>
      <c r="E11" s="28">
        <v>36.1</v>
      </c>
      <c r="F11" s="28">
        <v>46.8</v>
      </c>
      <c r="G11" s="28">
        <v>47.6</v>
      </c>
      <c r="H11" s="28">
        <v>77.5</v>
      </c>
      <c r="I11" s="28">
        <v>54.4</v>
      </c>
      <c r="J11" s="56">
        <v>3107.5</v>
      </c>
      <c r="K11" s="56">
        <v>1255.3</v>
      </c>
      <c r="L11" s="28">
        <v>87</v>
      </c>
      <c r="M11" s="28">
        <v>50.7</v>
      </c>
      <c r="N11" s="28">
        <v>93.8</v>
      </c>
      <c r="O11" s="28">
        <f>'20b'!B11/'20a'!E10*100</f>
        <v>42.607039499413368</v>
      </c>
      <c r="R11" s="70"/>
      <c r="S11" s="211"/>
      <c r="T11" s="70"/>
      <c r="U11" s="70"/>
    </row>
    <row r="12" spans="1:21" hidden="1" outlineLevel="1">
      <c r="A12" s="66">
        <v>1967</v>
      </c>
      <c r="B12" s="28">
        <v>83.4</v>
      </c>
      <c r="C12" s="28">
        <v>57</v>
      </c>
      <c r="D12" s="28">
        <v>34.9</v>
      </c>
      <c r="E12" s="28">
        <v>34.5</v>
      </c>
      <c r="F12" s="28">
        <v>46.7</v>
      </c>
      <c r="G12" s="28">
        <v>46.2</v>
      </c>
      <c r="H12" s="28">
        <v>81</v>
      </c>
      <c r="I12" s="28">
        <v>56</v>
      </c>
      <c r="J12" s="56">
        <v>3174.8</v>
      </c>
      <c r="K12" s="56">
        <v>1225.2</v>
      </c>
      <c r="L12" s="28">
        <v>87.8</v>
      </c>
      <c r="M12" s="28">
        <v>50.7</v>
      </c>
      <c r="N12" s="28">
        <v>94</v>
      </c>
      <c r="O12" s="28">
        <f>'20b'!B12/'20a'!E11*100</f>
        <v>45.614940315748946</v>
      </c>
      <c r="R12" s="70"/>
      <c r="S12" s="211"/>
      <c r="T12" s="70"/>
      <c r="U12" s="70"/>
    </row>
    <row r="13" spans="1:21" hidden="1" outlineLevel="1">
      <c r="A13" s="66">
        <v>1968</v>
      </c>
      <c r="B13" s="28">
        <v>84.9</v>
      </c>
      <c r="C13" s="28">
        <v>59.7</v>
      </c>
      <c r="D13" s="28">
        <v>36.5</v>
      </c>
      <c r="E13" s="28">
        <v>36.299999999999997</v>
      </c>
      <c r="F13" s="28">
        <v>49</v>
      </c>
      <c r="G13" s="28">
        <v>48.7</v>
      </c>
      <c r="H13" s="28">
        <v>81.599999999999994</v>
      </c>
      <c r="I13" s="28">
        <v>57.7</v>
      </c>
      <c r="J13" s="56">
        <v>3351.1</v>
      </c>
      <c r="K13" s="56">
        <v>1274.3</v>
      </c>
      <c r="L13" s="28">
        <v>87.7</v>
      </c>
      <c r="M13" s="28">
        <v>52</v>
      </c>
      <c r="N13" s="28">
        <v>94.2</v>
      </c>
      <c r="O13" s="28">
        <f>'20b'!B13/'20a'!E12*100</f>
        <v>45.348082822085885</v>
      </c>
      <c r="R13" s="70"/>
      <c r="S13" s="211"/>
      <c r="T13" s="70"/>
      <c r="U13" s="70"/>
    </row>
    <row r="14" spans="1:21" hidden="1" outlineLevel="1">
      <c r="A14" s="66">
        <v>1969</v>
      </c>
      <c r="B14" s="28">
        <v>86.7</v>
      </c>
      <c r="C14" s="28">
        <v>63</v>
      </c>
      <c r="D14" s="28">
        <v>38.1</v>
      </c>
      <c r="E14" s="28">
        <v>38.200000000000003</v>
      </c>
      <c r="F14" s="28">
        <v>53.4</v>
      </c>
      <c r="G14" s="28">
        <v>53.5</v>
      </c>
      <c r="H14" s="28">
        <v>84.9</v>
      </c>
      <c r="I14" s="28">
        <v>61.6</v>
      </c>
      <c r="J14" s="56">
        <v>3773.6</v>
      </c>
      <c r="K14" s="56">
        <v>1474</v>
      </c>
      <c r="L14" s="28">
        <v>87.5</v>
      </c>
      <c r="M14" s="28">
        <v>53.3</v>
      </c>
      <c r="N14" s="28">
        <v>94.3</v>
      </c>
      <c r="O14" s="28">
        <f>'20b'!B14/'20a'!E13*100</f>
        <v>44.513097866077992</v>
      </c>
      <c r="R14" s="70"/>
      <c r="S14" s="211"/>
      <c r="T14" s="70"/>
      <c r="U14" s="70"/>
    </row>
    <row r="15" spans="1:21" hidden="1" outlineLevel="1">
      <c r="A15" s="66">
        <v>1970</v>
      </c>
      <c r="B15" s="28">
        <v>85.8</v>
      </c>
      <c r="C15" s="28">
        <v>61.3</v>
      </c>
      <c r="D15" s="28">
        <v>38.1</v>
      </c>
      <c r="E15" s="28">
        <v>38</v>
      </c>
      <c r="F15" s="28">
        <v>53.4</v>
      </c>
      <c r="G15" s="28">
        <v>53.3</v>
      </c>
      <c r="H15" s="28">
        <v>86.9</v>
      </c>
      <c r="I15" s="28">
        <v>62.3</v>
      </c>
      <c r="J15" s="56">
        <v>3918.3</v>
      </c>
      <c r="K15" s="56">
        <v>1547.3</v>
      </c>
      <c r="L15" s="28">
        <v>88.1</v>
      </c>
      <c r="M15" s="28">
        <v>53.3</v>
      </c>
      <c r="N15" s="28">
        <v>94.5</v>
      </c>
      <c r="O15" s="28">
        <f>'20b'!B15/'20a'!E14*100</f>
        <v>47.141461623209686</v>
      </c>
      <c r="R15" s="70"/>
      <c r="S15" s="211"/>
      <c r="T15" s="70"/>
      <c r="U15" s="70"/>
    </row>
    <row r="16" spans="1:21" hidden="1" outlineLevel="1">
      <c r="A16" s="66">
        <v>1971</v>
      </c>
      <c r="B16" s="28">
        <v>85.4</v>
      </c>
      <c r="C16" s="28">
        <v>60.6</v>
      </c>
      <c r="D16" s="28">
        <v>38.9</v>
      </c>
      <c r="E16" s="28">
        <v>38.299999999999997</v>
      </c>
      <c r="F16" s="28">
        <v>53.8</v>
      </c>
      <c r="G16" s="28">
        <v>53</v>
      </c>
      <c r="H16" s="28">
        <v>87.4</v>
      </c>
      <c r="I16" s="28">
        <v>63</v>
      </c>
      <c r="J16" s="56">
        <v>3986.5</v>
      </c>
      <c r="K16" s="56">
        <v>1527.3</v>
      </c>
      <c r="L16" s="28">
        <v>88.6</v>
      </c>
      <c r="M16" s="28">
        <v>54.3</v>
      </c>
      <c r="N16" s="28">
        <v>94.7</v>
      </c>
      <c r="O16" s="28">
        <f>'20b'!B16/'20a'!E15*100</f>
        <v>49.436675363399168</v>
      </c>
      <c r="R16" s="70"/>
      <c r="S16" s="211"/>
      <c r="T16" s="70"/>
      <c r="U16" s="70"/>
    </row>
    <row r="17" spans="1:21" hidden="1" outlineLevel="1">
      <c r="A17" s="66">
        <v>1972</v>
      </c>
      <c r="B17" s="28">
        <v>87.5</v>
      </c>
      <c r="C17" s="28">
        <v>64.599999999999994</v>
      </c>
      <c r="D17" s="28">
        <v>41.3</v>
      </c>
      <c r="E17" s="28">
        <v>41.1</v>
      </c>
      <c r="F17" s="28">
        <v>57.8</v>
      </c>
      <c r="G17" s="28">
        <v>57.5</v>
      </c>
      <c r="H17" s="28">
        <v>89</v>
      </c>
      <c r="I17" s="28">
        <v>66</v>
      </c>
      <c r="J17" s="56">
        <v>4338.2</v>
      </c>
      <c r="K17" s="56">
        <v>1652.1</v>
      </c>
      <c r="L17" s="28">
        <v>88.5</v>
      </c>
      <c r="M17" s="28">
        <v>56.1</v>
      </c>
      <c r="N17" s="28">
        <v>95</v>
      </c>
      <c r="O17" s="28">
        <f>'20b'!B17/'20a'!E16*100</f>
        <v>48.871523178807941</v>
      </c>
      <c r="R17" s="70"/>
      <c r="S17" s="211"/>
      <c r="T17" s="70"/>
      <c r="U17" s="70"/>
    </row>
    <row r="18" spans="1:21" collapsed="1">
      <c r="A18" s="66">
        <v>1973</v>
      </c>
      <c r="B18" s="28">
        <v>89</v>
      </c>
      <c r="C18" s="28">
        <v>67.5</v>
      </c>
      <c r="D18" s="28">
        <v>43.7</v>
      </c>
      <c r="E18" s="28">
        <v>43.1</v>
      </c>
      <c r="F18" s="28">
        <v>61.4</v>
      </c>
      <c r="G18" s="28">
        <v>60.6</v>
      </c>
      <c r="H18" s="28">
        <v>89.8</v>
      </c>
      <c r="I18" s="28">
        <v>69</v>
      </c>
      <c r="J18" s="56">
        <v>5159.8999999999996</v>
      </c>
      <c r="K18" s="56">
        <v>2067</v>
      </c>
      <c r="L18" s="28">
        <v>88.4</v>
      </c>
      <c r="M18" s="28">
        <v>58.2</v>
      </c>
      <c r="N18" s="28">
        <v>95.3</v>
      </c>
      <c r="O18" s="28">
        <f>'20b'!B18/'20a'!E17*100</f>
        <v>48.229890109890114</v>
      </c>
      <c r="R18" s="70"/>
      <c r="S18" s="211"/>
      <c r="T18" s="70"/>
      <c r="U18" s="70"/>
    </row>
    <row r="19" spans="1:21" hidden="1" outlineLevel="1">
      <c r="A19" s="66">
        <v>1974</v>
      </c>
      <c r="B19" s="28">
        <v>91.2</v>
      </c>
      <c r="C19" s="28">
        <v>71.599999999999994</v>
      </c>
      <c r="D19" s="28">
        <v>45.8</v>
      </c>
      <c r="E19" s="28">
        <v>45.4</v>
      </c>
      <c r="F19" s="28">
        <v>67.3</v>
      </c>
      <c r="G19" s="28">
        <v>66.8</v>
      </c>
      <c r="H19" s="28">
        <v>93.4</v>
      </c>
      <c r="I19" s="28">
        <v>73.8</v>
      </c>
      <c r="J19" s="56">
        <v>7598.1</v>
      </c>
      <c r="K19" s="56">
        <v>3301.2</v>
      </c>
      <c r="L19" s="28">
        <v>87.9</v>
      </c>
      <c r="M19" s="28">
        <v>59.7</v>
      </c>
      <c r="N19" s="28">
        <v>95.6</v>
      </c>
      <c r="O19" s="28">
        <f>'20b'!B19/'20a'!E18*100</f>
        <v>46.833671683584186</v>
      </c>
      <c r="R19" s="70"/>
      <c r="S19" s="211"/>
      <c r="T19" s="70"/>
      <c r="U19" s="70"/>
    </row>
    <row r="20" spans="1:21" hidden="1" outlineLevel="1">
      <c r="A20" s="66">
        <v>1975</v>
      </c>
      <c r="B20" s="28">
        <v>83.3</v>
      </c>
      <c r="C20" s="28">
        <v>57.6</v>
      </c>
      <c r="D20" s="28">
        <v>41.3</v>
      </c>
      <c r="E20" s="28">
        <v>39</v>
      </c>
      <c r="F20" s="28">
        <v>53</v>
      </c>
      <c r="G20" s="28">
        <v>50</v>
      </c>
      <c r="H20" s="28">
        <v>86.8</v>
      </c>
      <c r="I20" s="28">
        <v>63.6</v>
      </c>
      <c r="J20" s="56">
        <v>7015.8</v>
      </c>
      <c r="K20" s="56">
        <v>2818.7</v>
      </c>
      <c r="L20" s="28">
        <v>90.1</v>
      </c>
      <c r="M20" s="28">
        <v>57.5</v>
      </c>
      <c r="N20" s="28">
        <v>95.8</v>
      </c>
      <c r="O20" s="28">
        <f>'20b'!B20/'20a'!E19*100</f>
        <v>53.467443729903529</v>
      </c>
      <c r="R20" s="70"/>
      <c r="S20" s="211"/>
      <c r="T20" s="70"/>
      <c r="U20" s="70"/>
    </row>
    <row r="21" spans="1:21" hidden="1" outlineLevel="1">
      <c r="A21" s="66">
        <v>1976</v>
      </c>
      <c r="B21" s="28">
        <v>87.1</v>
      </c>
      <c r="C21" s="28">
        <v>64.400000000000006</v>
      </c>
      <c r="D21" s="28">
        <v>43.5</v>
      </c>
      <c r="E21" s="28">
        <v>42.7</v>
      </c>
      <c r="F21" s="28">
        <v>61</v>
      </c>
      <c r="G21" s="28">
        <v>59.7</v>
      </c>
      <c r="H21" s="28">
        <v>92.7</v>
      </c>
      <c r="I21" s="28">
        <v>70</v>
      </c>
      <c r="J21" s="56">
        <v>8240.9</v>
      </c>
      <c r="K21" s="56">
        <v>3246.6</v>
      </c>
      <c r="L21" s="28">
        <v>89.1</v>
      </c>
      <c r="M21" s="28">
        <v>58.4</v>
      </c>
      <c r="N21" s="28">
        <v>96</v>
      </c>
      <c r="O21" s="28">
        <f>'20b'!B21/'20a'!E20*100</f>
        <v>49.424935638102241</v>
      </c>
      <c r="R21" s="70"/>
      <c r="S21" s="211"/>
      <c r="T21" s="70"/>
      <c r="U21" s="70"/>
    </row>
    <row r="22" spans="1:21" hidden="1" outlineLevel="1">
      <c r="A22" s="66">
        <v>1977</v>
      </c>
      <c r="B22" s="28">
        <v>88.3</v>
      </c>
      <c r="C22" s="28">
        <v>66.7</v>
      </c>
      <c r="D22" s="28">
        <v>45.6</v>
      </c>
      <c r="E22" s="28">
        <v>45.2</v>
      </c>
      <c r="F22" s="28">
        <v>61.1</v>
      </c>
      <c r="G22" s="28">
        <v>60.6</v>
      </c>
      <c r="H22" s="28">
        <v>90.8</v>
      </c>
      <c r="I22" s="28">
        <v>69.2</v>
      </c>
      <c r="J22" s="56">
        <v>8734.7999999999993</v>
      </c>
      <c r="K22" s="56">
        <v>3410.3</v>
      </c>
      <c r="L22" s="28">
        <v>89.7</v>
      </c>
      <c r="M22" s="28">
        <v>59.8</v>
      </c>
      <c r="N22" s="28">
        <v>96.2</v>
      </c>
      <c r="O22" s="28">
        <f>'20b'!B22/'20a'!E21*100</f>
        <v>52.189850057670114</v>
      </c>
      <c r="R22" s="70"/>
      <c r="S22" s="211"/>
      <c r="T22" s="70"/>
      <c r="U22" s="70"/>
    </row>
    <row r="23" spans="1:21" hidden="1" outlineLevel="1">
      <c r="A23" s="66">
        <v>1978</v>
      </c>
      <c r="B23" s="28">
        <v>92.1</v>
      </c>
      <c r="C23" s="28">
        <v>74.3</v>
      </c>
      <c r="D23" s="28">
        <v>48.7</v>
      </c>
      <c r="E23" s="28">
        <v>49.9</v>
      </c>
      <c r="F23" s="28">
        <v>66.7</v>
      </c>
      <c r="G23" s="28">
        <v>68.3</v>
      </c>
      <c r="H23" s="28">
        <v>91.9</v>
      </c>
      <c r="I23" s="28">
        <v>72.400000000000006</v>
      </c>
      <c r="J23" s="56">
        <v>9887.4</v>
      </c>
      <c r="K23" s="56">
        <v>3871.5</v>
      </c>
      <c r="L23" s="28">
        <v>89.2</v>
      </c>
      <c r="M23" s="28">
        <v>61.4</v>
      </c>
      <c r="N23" s="28">
        <v>96.4</v>
      </c>
      <c r="O23" s="28">
        <f>'20b'!B23/'20a'!E22*100</f>
        <v>49.845396467493416</v>
      </c>
      <c r="R23" s="70"/>
      <c r="S23" s="211"/>
      <c r="T23" s="70"/>
      <c r="U23" s="70"/>
    </row>
    <row r="24" spans="1:21" hidden="1" outlineLevel="1">
      <c r="A24" s="66">
        <v>1979</v>
      </c>
      <c r="B24" s="28">
        <v>91.9</v>
      </c>
      <c r="C24" s="28">
        <v>73.900000000000006</v>
      </c>
      <c r="D24" s="28">
        <v>49.2</v>
      </c>
      <c r="E24" s="28">
        <v>49.1</v>
      </c>
      <c r="F24" s="28">
        <v>68.7</v>
      </c>
      <c r="G24" s="28">
        <v>68.599999999999994</v>
      </c>
      <c r="H24" s="28">
        <v>92.9</v>
      </c>
      <c r="I24" s="28">
        <v>74.8</v>
      </c>
      <c r="J24" s="56">
        <v>12072.4</v>
      </c>
      <c r="K24" s="56">
        <v>4911</v>
      </c>
      <c r="L24" s="28">
        <v>88.8</v>
      </c>
      <c r="M24" s="28">
        <v>62.5</v>
      </c>
      <c r="N24" s="28">
        <v>96.6</v>
      </c>
      <c r="O24" s="28">
        <f>'20b'!B24/'20a'!E23*100</f>
        <v>48.281372187384726</v>
      </c>
      <c r="R24" s="70"/>
      <c r="S24" s="211"/>
      <c r="T24" s="70"/>
      <c r="U24" s="70"/>
    </row>
    <row r="25" spans="1:21" hidden="1" outlineLevel="1">
      <c r="A25" s="66">
        <v>1980</v>
      </c>
      <c r="B25" s="28">
        <v>91.6</v>
      </c>
      <c r="C25" s="28">
        <v>73.3</v>
      </c>
      <c r="D25" s="28">
        <v>50.2</v>
      </c>
      <c r="E25" s="28">
        <v>50.1</v>
      </c>
      <c r="F25" s="28">
        <v>70.2</v>
      </c>
      <c r="G25" s="28">
        <v>70.099999999999994</v>
      </c>
      <c r="H25" s="28">
        <v>95.6</v>
      </c>
      <c r="I25" s="28">
        <v>76.7</v>
      </c>
      <c r="J25" s="56">
        <v>14192.2</v>
      </c>
      <c r="K25" s="56">
        <v>5680.8</v>
      </c>
      <c r="L25" s="28">
        <v>89.5</v>
      </c>
      <c r="M25" s="28">
        <v>63.2</v>
      </c>
      <c r="N25" s="28">
        <v>96.8</v>
      </c>
      <c r="O25" s="28">
        <f>'20b'!B25/'20a'!E24*100</f>
        <v>50.729212656364965</v>
      </c>
      <c r="R25" s="70"/>
      <c r="S25" s="211"/>
      <c r="T25" s="70"/>
      <c r="U25" s="70"/>
    </row>
    <row r="26" spans="1:21" collapsed="1">
      <c r="A26" s="66">
        <v>1981</v>
      </c>
      <c r="B26" s="28">
        <v>89.2</v>
      </c>
      <c r="C26" s="28">
        <v>68.400000000000006</v>
      </c>
      <c r="D26" s="28">
        <v>48.8</v>
      </c>
      <c r="E26" s="28">
        <v>49</v>
      </c>
      <c r="F26" s="28">
        <v>68.8</v>
      </c>
      <c r="G26" s="28">
        <v>69</v>
      </c>
      <c r="H26" s="28">
        <v>100.9</v>
      </c>
      <c r="I26" s="28">
        <v>77.2</v>
      </c>
      <c r="J26" s="56">
        <v>15341.3</v>
      </c>
      <c r="K26" s="56">
        <v>5716</v>
      </c>
      <c r="L26" s="28">
        <v>91</v>
      </c>
      <c r="M26" s="28">
        <v>62</v>
      </c>
      <c r="N26" s="28">
        <v>96.9</v>
      </c>
      <c r="O26" s="28">
        <f>'20b'!B26/'20a'!E25*100</f>
        <v>56.053343076360981</v>
      </c>
      <c r="R26" s="70"/>
      <c r="S26" s="211"/>
      <c r="T26" s="70"/>
      <c r="U26" s="70"/>
    </row>
    <row r="27" spans="1:21">
      <c r="A27" s="66">
        <v>1982</v>
      </c>
      <c r="B27" s="28">
        <v>87.2</v>
      </c>
      <c r="C27" s="28">
        <v>64.3</v>
      </c>
      <c r="D27" s="28">
        <v>49.7</v>
      </c>
      <c r="E27" s="28">
        <v>48.7</v>
      </c>
      <c r="F27" s="28">
        <v>62.5</v>
      </c>
      <c r="G27" s="28">
        <v>61.3</v>
      </c>
      <c r="H27" s="28">
        <v>95.4</v>
      </c>
      <c r="I27" s="28">
        <v>71.7</v>
      </c>
      <c r="J27" s="56">
        <v>14379.6</v>
      </c>
      <c r="K27" s="56">
        <v>4783.3999999999996</v>
      </c>
      <c r="L27" s="28">
        <v>92.7</v>
      </c>
      <c r="M27" s="28">
        <v>63.3</v>
      </c>
      <c r="N27" s="28">
        <v>97.2</v>
      </c>
      <c r="O27" s="28">
        <f>'20b'!B27/'20a'!E26*100</f>
        <v>65.263282848956194</v>
      </c>
      <c r="S27" s="31"/>
    </row>
    <row r="28" spans="1:21">
      <c r="A28" s="66">
        <v>1983</v>
      </c>
      <c r="B28" s="28">
        <v>91.9</v>
      </c>
      <c r="C28" s="28">
        <v>75.400000000000006</v>
      </c>
      <c r="D28" s="28">
        <v>55.2</v>
      </c>
      <c r="E28" s="28">
        <v>57.4</v>
      </c>
      <c r="F28" s="28">
        <v>67.2</v>
      </c>
      <c r="G28" s="28">
        <v>69.8</v>
      </c>
      <c r="H28" s="28">
        <v>92.6</v>
      </c>
      <c r="I28" s="28">
        <v>73</v>
      </c>
      <c r="J28" s="56">
        <v>14927.3</v>
      </c>
      <c r="K28" s="56">
        <v>4973.7</v>
      </c>
      <c r="L28" s="28">
        <v>92.5</v>
      </c>
      <c r="M28" s="28">
        <v>66.599999999999994</v>
      </c>
      <c r="N28" s="28">
        <v>97.5</v>
      </c>
      <c r="O28" s="28">
        <f>'20b'!B28/'20a'!E27*100</f>
        <v>64.18544223444772</v>
      </c>
      <c r="S28" s="31"/>
    </row>
    <row r="29" spans="1:21">
      <c r="A29" s="66">
        <v>1984</v>
      </c>
      <c r="B29" s="28">
        <v>93.5</v>
      </c>
      <c r="C29" s="28">
        <v>79.099999999999994</v>
      </c>
      <c r="D29" s="28">
        <v>57.9</v>
      </c>
      <c r="E29" s="28">
        <v>60</v>
      </c>
      <c r="F29" s="28">
        <v>71</v>
      </c>
      <c r="G29" s="28">
        <v>73.5</v>
      </c>
      <c r="H29" s="28">
        <v>92.9</v>
      </c>
      <c r="I29" s="28">
        <v>75.900000000000006</v>
      </c>
      <c r="J29" s="56">
        <v>17439.400000000001</v>
      </c>
      <c r="K29" s="56">
        <v>6141.6</v>
      </c>
      <c r="L29" s="28">
        <v>92.2</v>
      </c>
      <c r="M29" s="28">
        <v>68.8</v>
      </c>
      <c r="N29" s="28">
        <v>97.6</v>
      </c>
      <c r="O29" s="28">
        <f>'20b'!B29/'20a'!E28*100</f>
        <v>62.176638655462192</v>
      </c>
      <c r="S29" s="31"/>
    </row>
    <row r="30" spans="1:21">
      <c r="A30" s="66">
        <v>1985</v>
      </c>
      <c r="B30" s="28">
        <v>93.2</v>
      </c>
      <c r="C30" s="28">
        <v>78.5</v>
      </c>
      <c r="D30" s="28">
        <v>60.5</v>
      </c>
      <c r="E30" s="28">
        <v>61.2</v>
      </c>
      <c r="F30" s="28">
        <v>72.2</v>
      </c>
      <c r="G30" s="28">
        <v>73.099999999999994</v>
      </c>
      <c r="H30" s="28">
        <v>93.2</v>
      </c>
      <c r="I30" s="28">
        <v>77.5</v>
      </c>
      <c r="J30" s="56">
        <v>18017.599999999999</v>
      </c>
      <c r="K30" s="56">
        <v>6216.8</v>
      </c>
      <c r="L30" s="28">
        <v>93</v>
      </c>
      <c r="M30" s="28">
        <v>71.3</v>
      </c>
      <c r="N30" s="28">
        <v>97.8</v>
      </c>
      <c r="O30" s="28">
        <f>'20b'!B30/'20a'!E29*100</f>
        <v>66.994394135403184</v>
      </c>
      <c r="S30" s="31"/>
    </row>
    <row r="31" spans="1:21">
      <c r="A31" s="66">
        <v>1986</v>
      </c>
      <c r="B31" s="28">
        <v>93.1</v>
      </c>
      <c r="C31" s="28">
        <v>78.2</v>
      </c>
      <c r="D31" s="28">
        <v>61.6</v>
      </c>
      <c r="E31" s="28">
        <v>60.9</v>
      </c>
      <c r="F31" s="28">
        <v>76.599999999999994</v>
      </c>
      <c r="G31" s="28">
        <v>75.7</v>
      </c>
      <c r="H31" s="28">
        <v>96.7</v>
      </c>
      <c r="I31" s="28">
        <v>82.2</v>
      </c>
      <c r="J31" s="56">
        <v>19876.099999999999</v>
      </c>
      <c r="K31" s="56">
        <v>7298.2</v>
      </c>
      <c r="L31" s="28">
        <v>92.9</v>
      </c>
      <c r="M31" s="28">
        <v>72.8</v>
      </c>
      <c r="N31" s="28">
        <v>97.9</v>
      </c>
      <c r="O31" s="28">
        <f>'20b'!B31/'20a'!E30*100</f>
        <v>65.886412593206288</v>
      </c>
      <c r="S31" s="31"/>
    </row>
    <row r="32" spans="1:21">
      <c r="A32" s="66">
        <v>1987</v>
      </c>
      <c r="B32" s="28">
        <v>92.4</v>
      </c>
      <c r="C32" s="28">
        <v>76.7</v>
      </c>
      <c r="D32" s="28">
        <v>61.7</v>
      </c>
      <c r="E32" s="28">
        <v>60.3</v>
      </c>
      <c r="F32" s="28">
        <v>80.3</v>
      </c>
      <c r="G32" s="28">
        <v>78.400000000000006</v>
      </c>
      <c r="H32" s="28">
        <v>102.3</v>
      </c>
      <c r="I32" s="28">
        <v>86.9</v>
      </c>
      <c r="J32" s="56">
        <v>22844.799999999999</v>
      </c>
      <c r="K32" s="56">
        <v>9030.2999999999993</v>
      </c>
      <c r="L32" s="28">
        <v>93.1</v>
      </c>
      <c r="M32" s="28">
        <v>73.2</v>
      </c>
      <c r="N32" s="28">
        <v>98</v>
      </c>
      <c r="O32" s="28">
        <f>'20b'!B32/'20a'!E31*100</f>
        <v>67.166917293233084</v>
      </c>
      <c r="S32" s="31"/>
    </row>
    <row r="33" spans="1:19">
      <c r="A33" s="66">
        <v>1988</v>
      </c>
      <c r="B33" s="28">
        <v>90.8</v>
      </c>
      <c r="C33" s="28">
        <v>73.400000000000006</v>
      </c>
      <c r="D33" s="28">
        <v>63.8</v>
      </c>
      <c r="E33" s="28">
        <v>61.9</v>
      </c>
      <c r="F33" s="28">
        <v>82.3</v>
      </c>
      <c r="G33" s="28">
        <v>79.8</v>
      </c>
      <c r="H33" s="28">
        <v>108.7</v>
      </c>
      <c r="I33" s="28">
        <v>90.5</v>
      </c>
      <c r="J33" s="56">
        <v>25613.4</v>
      </c>
      <c r="K33" s="56">
        <v>10347.1</v>
      </c>
      <c r="L33" s="28">
        <v>95.7</v>
      </c>
      <c r="M33" s="28">
        <v>74.900000000000006</v>
      </c>
      <c r="N33" s="28">
        <v>98.1</v>
      </c>
      <c r="O33" s="28">
        <f>'20b'!B33/'20a'!E32*100</f>
        <v>76.935463258785944</v>
      </c>
      <c r="S33" s="31"/>
    </row>
    <row r="34" spans="1:19">
      <c r="A34" s="66">
        <v>1989</v>
      </c>
      <c r="B34" s="28">
        <v>86.9</v>
      </c>
      <c r="C34" s="28">
        <v>65.599999999999994</v>
      </c>
      <c r="D34" s="28">
        <v>63.2</v>
      </c>
      <c r="E34" s="28">
        <v>61</v>
      </c>
      <c r="F34" s="28">
        <v>81.3</v>
      </c>
      <c r="G34" s="28">
        <v>78.400000000000006</v>
      </c>
      <c r="H34" s="28">
        <v>119.5</v>
      </c>
      <c r="I34" s="28">
        <v>93.6</v>
      </c>
      <c r="J34" s="56">
        <v>25903.8</v>
      </c>
      <c r="K34" s="56">
        <v>9855.7999999999993</v>
      </c>
      <c r="L34" s="28">
        <v>99.3</v>
      </c>
      <c r="M34" s="28">
        <v>74.599999999999994</v>
      </c>
      <c r="N34" s="28">
        <v>98.2</v>
      </c>
      <c r="O34" s="28">
        <f>'20b'!B34/'20a'!E33*100</f>
        <v>93.405766920304373</v>
      </c>
      <c r="S34" s="31"/>
    </row>
    <row r="35" spans="1:19">
      <c r="A35" s="66">
        <v>1990</v>
      </c>
      <c r="B35" s="28">
        <v>86</v>
      </c>
      <c r="C35" s="28">
        <v>63.9</v>
      </c>
      <c r="D35" s="28">
        <v>63.6</v>
      </c>
      <c r="E35" s="28">
        <v>62.8</v>
      </c>
      <c r="F35" s="28">
        <v>78.5</v>
      </c>
      <c r="G35" s="28">
        <v>77.5</v>
      </c>
      <c r="H35" s="28">
        <v>121.3</v>
      </c>
      <c r="I35" s="28">
        <v>91.2</v>
      </c>
      <c r="J35" s="56">
        <v>24058.5</v>
      </c>
      <c r="K35" s="56">
        <v>8495.1</v>
      </c>
      <c r="L35" s="28">
        <v>101.2</v>
      </c>
      <c r="M35" s="28">
        <v>74.3</v>
      </c>
      <c r="N35" s="28">
        <v>98.3</v>
      </c>
      <c r="O35" s="28">
        <f>'20b'!B35/'20a'!E34*100</f>
        <v>105.61043405676128</v>
      </c>
      <c r="S35" s="31"/>
    </row>
    <row r="36" spans="1:19">
      <c r="A36" s="66">
        <v>1991</v>
      </c>
      <c r="B36" s="28">
        <v>85.8</v>
      </c>
      <c r="C36" s="28">
        <v>63.3</v>
      </c>
      <c r="D36" s="28">
        <v>64.8</v>
      </c>
      <c r="E36" s="28">
        <v>63.7</v>
      </c>
      <c r="F36" s="28">
        <v>76.3</v>
      </c>
      <c r="G36" s="28">
        <v>75</v>
      </c>
      <c r="H36" s="28">
        <v>118.5</v>
      </c>
      <c r="I36" s="28">
        <v>88.9</v>
      </c>
      <c r="J36" s="56">
        <v>21221.200000000001</v>
      </c>
      <c r="K36" s="56">
        <v>6551</v>
      </c>
      <c r="L36" s="28">
        <v>101.7</v>
      </c>
      <c r="M36" s="28">
        <v>75.3</v>
      </c>
      <c r="N36" s="28">
        <v>98.6</v>
      </c>
      <c r="O36" s="28">
        <f>'20b'!B36/'20a'!E35*100</f>
        <v>111.59063457330416</v>
      </c>
      <c r="S36" s="31"/>
    </row>
    <row r="37" spans="1:19">
      <c r="A37" s="66">
        <v>1992</v>
      </c>
      <c r="B37" s="28">
        <v>87.2</v>
      </c>
      <c r="C37" s="28">
        <v>67</v>
      </c>
      <c r="D37" s="28">
        <v>68.400000000000006</v>
      </c>
      <c r="E37" s="28">
        <v>68</v>
      </c>
      <c r="F37" s="28">
        <v>77.5</v>
      </c>
      <c r="G37" s="28">
        <v>77.099999999999994</v>
      </c>
      <c r="H37" s="28">
        <v>115.1</v>
      </c>
      <c r="I37" s="28">
        <v>88.8</v>
      </c>
      <c r="J37" s="56">
        <v>20681.2</v>
      </c>
      <c r="K37" s="56">
        <v>5920.7</v>
      </c>
      <c r="L37" s="28">
        <v>101.8</v>
      </c>
      <c r="M37" s="28">
        <v>77.900000000000006</v>
      </c>
      <c r="N37" s="28">
        <v>98.8</v>
      </c>
      <c r="O37" s="28">
        <f>'20b'!B37/'20a'!E36*100</f>
        <v>114.34947751022261</v>
      </c>
      <c r="S37" s="31"/>
    </row>
    <row r="38" spans="1:19">
      <c r="A38" s="66">
        <v>1993</v>
      </c>
      <c r="B38" s="28">
        <v>89.6</v>
      </c>
      <c r="C38" s="28">
        <v>73.5</v>
      </c>
      <c r="D38" s="28">
        <v>74.599999999999994</v>
      </c>
      <c r="E38" s="28">
        <v>75.599999999999994</v>
      </c>
      <c r="F38" s="28">
        <v>81.400000000000006</v>
      </c>
      <c r="G38" s="28">
        <v>82.6</v>
      </c>
      <c r="H38" s="28">
        <v>112.4</v>
      </c>
      <c r="I38" s="28">
        <v>90.9</v>
      </c>
      <c r="J38" s="56">
        <v>21266.1</v>
      </c>
      <c r="K38" s="56">
        <v>6320.6</v>
      </c>
      <c r="L38" s="28">
        <v>101.9</v>
      </c>
      <c r="M38" s="28">
        <v>82.4</v>
      </c>
      <c r="N38" s="28">
        <v>99.1</v>
      </c>
      <c r="O38" s="28">
        <f>'20b'!B38/'20a'!E37*100</f>
        <v>115.82413955681281</v>
      </c>
      <c r="S38" s="31"/>
    </row>
    <row r="39" spans="1:19">
      <c r="A39" s="66">
        <v>1994</v>
      </c>
      <c r="B39" s="28">
        <v>90.8</v>
      </c>
      <c r="C39" s="28">
        <v>76.599999999999994</v>
      </c>
      <c r="D39" s="28">
        <v>79</v>
      </c>
      <c r="E39" s="28">
        <v>78.3</v>
      </c>
      <c r="F39" s="28">
        <v>88</v>
      </c>
      <c r="G39" s="28">
        <v>87.3</v>
      </c>
      <c r="H39" s="28">
        <v>114</v>
      </c>
      <c r="I39" s="28">
        <v>97</v>
      </c>
      <c r="J39" s="56">
        <v>25596.3</v>
      </c>
      <c r="K39" s="56">
        <v>8080.1</v>
      </c>
      <c r="L39" s="28">
        <v>101.5</v>
      </c>
      <c r="M39" s="28">
        <v>86.3</v>
      </c>
      <c r="N39" s="28">
        <v>99.3</v>
      </c>
      <c r="O39" s="28">
        <f>'20b'!B39/'20a'!E38*100</f>
        <v>109.25431870669743</v>
      </c>
      <c r="S39" s="31"/>
    </row>
    <row r="40" spans="1:19">
      <c r="A40" s="66">
        <v>1995</v>
      </c>
      <c r="B40" s="28">
        <v>89.5</v>
      </c>
      <c r="C40" s="28">
        <v>73.400000000000006</v>
      </c>
      <c r="D40" s="28">
        <v>77.3</v>
      </c>
      <c r="E40" s="28">
        <v>75.2</v>
      </c>
      <c r="F40" s="28">
        <v>90.4</v>
      </c>
      <c r="G40" s="28">
        <v>88</v>
      </c>
      <c r="H40" s="28">
        <v>119.8</v>
      </c>
      <c r="I40" s="28">
        <v>101</v>
      </c>
      <c r="J40" s="56">
        <v>36755.9</v>
      </c>
      <c r="K40" s="56">
        <v>14470.7</v>
      </c>
      <c r="L40" s="28">
        <v>101.4</v>
      </c>
      <c r="M40" s="28">
        <v>85.6</v>
      </c>
      <c r="N40" s="28">
        <v>99.5</v>
      </c>
      <c r="O40" s="28">
        <f>'20b'!B40/'20a'!E39*100</f>
        <v>108.55369718309859</v>
      </c>
      <c r="S40" s="31"/>
    </row>
    <row r="41" spans="1:19">
      <c r="A41" s="66">
        <v>1996</v>
      </c>
      <c r="B41" s="28">
        <v>90.2</v>
      </c>
      <c r="C41" s="28">
        <v>74.900000000000006</v>
      </c>
      <c r="D41" s="28">
        <v>80.2</v>
      </c>
      <c r="E41" s="28">
        <v>78.8</v>
      </c>
      <c r="F41" s="28">
        <v>90.4</v>
      </c>
      <c r="G41" s="28">
        <v>88.8</v>
      </c>
      <c r="H41" s="28">
        <v>118.6</v>
      </c>
      <c r="I41" s="28">
        <v>100.2</v>
      </c>
      <c r="J41" s="56">
        <v>32199.200000000001</v>
      </c>
      <c r="K41" s="56">
        <v>12224.8</v>
      </c>
      <c r="L41" s="28">
        <v>102.4</v>
      </c>
      <c r="M41" s="28">
        <v>87.3</v>
      </c>
      <c r="N41" s="28">
        <v>99.5</v>
      </c>
      <c r="O41" s="28">
        <f>'20b'!B41/'20a'!E40*100</f>
        <v>113.96380255941499</v>
      </c>
      <c r="S41" s="31"/>
    </row>
    <row r="42" spans="1:19">
      <c r="A42" s="66">
        <v>1997</v>
      </c>
      <c r="B42" s="28">
        <v>91.2</v>
      </c>
      <c r="C42" s="28">
        <v>77.3</v>
      </c>
      <c r="D42" s="28">
        <v>83.8</v>
      </c>
      <c r="E42" s="28">
        <v>81.599999999999994</v>
      </c>
      <c r="F42" s="28">
        <v>92.6</v>
      </c>
      <c r="G42" s="28">
        <v>90.2</v>
      </c>
      <c r="H42" s="28">
        <v>116.7</v>
      </c>
      <c r="I42" s="28">
        <v>101.6</v>
      </c>
      <c r="J42" s="56">
        <v>30892</v>
      </c>
      <c r="K42" s="56">
        <v>10836.8</v>
      </c>
      <c r="L42" s="28">
        <v>102.4</v>
      </c>
      <c r="M42" s="28">
        <v>90.1</v>
      </c>
      <c r="N42" s="28">
        <v>99.6</v>
      </c>
      <c r="O42" s="28">
        <f>'20b'!B42/'20a'!E41*100</f>
        <v>114.07552447552447</v>
      </c>
      <c r="S42" s="31"/>
    </row>
    <row r="43" spans="1:19">
      <c r="A43" s="66">
        <v>1998</v>
      </c>
      <c r="B43" s="28">
        <v>92.2</v>
      </c>
      <c r="C43" s="28">
        <v>79.5</v>
      </c>
      <c r="D43" s="28">
        <v>85</v>
      </c>
      <c r="E43" s="28">
        <v>84.8</v>
      </c>
      <c r="F43" s="28">
        <v>88.2</v>
      </c>
      <c r="G43" s="28">
        <v>87.9</v>
      </c>
      <c r="H43" s="28">
        <v>110.6</v>
      </c>
      <c r="I43" s="28">
        <v>95.7</v>
      </c>
      <c r="J43" s="56">
        <v>30455.599999999999</v>
      </c>
      <c r="K43" s="56">
        <v>11431.3</v>
      </c>
      <c r="L43" s="28">
        <v>102.7</v>
      </c>
      <c r="M43" s="28">
        <v>90.1</v>
      </c>
      <c r="N43" s="28">
        <v>99.7</v>
      </c>
      <c r="O43" s="28">
        <f>'20b'!B43/'20a'!E42*100</f>
        <v>115.71002979145979</v>
      </c>
      <c r="S43" s="31"/>
    </row>
    <row r="44" spans="1:19">
      <c r="A44" s="66">
        <v>1999</v>
      </c>
      <c r="B44" s="28">
        <v>95.3</v>
      </c>
      <c r="C44" s="28">
        <v>87.3</v>
      </c>
      <c r="D44" s="28">
        <v>89.4</v>
      </c>
      <c r="E44" s="28">
        <v>89.5</v>
      </c>
      <c r="F44" s="28">
        <v>96.6</v>
      </c>
      <c r="G44" s="28">
        <v>96.7</v>
      </c>
      <c r="H44" s="28">
        <v>110.8</v>
      </c>
      <c r="I44" s="28">
        <v>101.3</v>
      </c>
      <c r="J44" s="56">
        <v>32759.9</v>
      </c>
      <c r="K44" s="56">
        <v>11382</v>
      </c>
      <c r="L44" s="28">
        <v>101.1</v>
      </c>
      <c r="M44" s="28">
        <v>92.9</v>
      </c>
      <c r="N44" s="28">
        <v>99.8</v>
      </c>
      <c r="O44" s="28">
        <f>'20b'!B44/'20a'!E43*100</f>
        <v>105.70028571428571</v>
      </c>
      <c r="S44" s="31"/>
    </row>
    <row r="45" spans="1:19">
      <c r="A45" s="66">
        <v>2000</v>
      </c>
      <c r="B45" s="28">
        <v>97.6</v>
      </c>
      <c r="C45" s="28">
        <v>93.2</v>
      </c>
      <c r="D45" s="28">
        <v>94.8</v>
      </c>
      <c r="E45" s="28">
        <v>94.2</v>
      </c>
      <c r="F45" s="28">
        <v>100.9</v>
      </c>
      <c r="G45" s="28">
        <v>100.4</v>
      </c>
      <c r="H45" s="28">
        <v>107.7</v>
      </c>
      <c r="I45" s="28">
        <v>103.4</v>
      </c>
      <c r="J45" s="56">
        <v>38708.300000000003</v>
      </c>
      <c r="K45" s="56">
        <v>14534.6</v>
      </c>
      <c r="L45" s="28">
        <v>100.7</v>
      </c>
      <c r="M45" s="28">
        <v>96.7</v>
      </c>
      <c r="N45" s="28">
        <v>99.7</v>
      </c>
      <c r="O45" s="28">
        <f>'20b'!B45/'20a'!E44*100</f>
        <v>103.57959381044486</v>
      </c>
      <c r="S45" s="31"/>
    </row>
    <row r="46" spans="1:19">
      <c r="A46" s="66">
        <v>2001</v>
      </c>
      <c r="B46" s="28">
        <v>96.4</v>
      </c>
      <c r="C46" s="28">
        <v>90.2</v>
      </c>
      <c r="D46" s="28">
        <v>92</v>
      </c>
      <c r="E46" s="28">
        <v>89.7</v>
      </c>
      <c r="F46" s="28">
        <v>97.7</v>
      </c>
      <c r="G46" s="28">
        <v>95.3</v>
      </c>
      <c r="H46" s="28">
        <v>105.6</v>
      </c>
      <c r="I46" s="28">
        <v>101.3</v>
      </c>
      <c r="J46" s="56">
        <v>37129.800000000003</v>
      </c>
      <c r="K46" s="56">
        <v>13554.3</v>
      </c>
      <c r="L46" s="28">
        <v>99.8</v>
      </c>
      <c r="M46" s="28">
        <v>95.5</v>
      </c>
      <c r="N46" s="28">
        <v>100</v>
      </c>
      <c r="O46" s="28">
        <f>'20b'!B46/'20a'!E45*100</f>
        <v>99.029762481822587</v>
      </c>
      <c r="S46" s="31"/>
    </row>
    <row r="47" spans="1:19">
      <c r="A47" s="66">
        <v>2002</v>
      </c>
      <c r="B47" s="28">
        <v>100</v>
      </c>
      <c r="C47" s="28">
        <v>100</v>
      </c>
      <c r="D47" s="28">
        <v>100</v>
      </c>
      <c r="E47" s="28">
        <v>100</v>
      </c>
      <c r="F47" s="28">
        <v>100</v>
      </c>
      <c r="G47" s="28">
        <v>100</v>
      </c>
      <c r="H47" s="28">
        <v>100</v>
      </c>
      <c r="I47" s="28">
        <v>100</v>
      </c>
      <c r="J47" s="56">
        <v>35194.400000000001</v>
      </c>
      <c r="K47" s="56">
        <v>11864.8</v>
      </c>
      <c r="L47" s="28">
        <v>100</v>
      </c>
      <c r="M47" s="28">
        <v>100</v>
      </c>
      <c r="N47" s="28">
        <v>100</v>
      </c>
      <c r="O47" s="28">
        <f>'20b'!B47/'20a'!E46*100</f>
        <v>100</v>
      </c>
      <c r="S47" s="31"/>
    </row>
    <row r="48" spans="1:19">
      <c r="A48" s="66">
        <v>2003</v>
      </c>
      <c r="B48" s="28">
        <v>100</v>
      </c>
      <c r="C48" s="28">
        <v>100.1</v>
      </c>
      <c r="D48" s="28">
        <v>100.7</v>
      </c>
      <c r="E48" s="28">
        <v>99.5</v>
      </c>
      <c r="F48" s="28">
        <v>101.5</v>
      </c>
      <c r="G48" s="28">
        <v>100.3</v>
      </c>
      <c r="H48" s="28">
        <v>100.2</v>
      </c>
      <c r="I48" s="28">
        <v>101.4</v>
      </c>
      <c r="J48" s="56">
        <v>34803.5</v>
      </c>
      <c r="K48" s="56">
        <v>10706</v>
      </c>
      <c r="L48" s="28">
        <v>99.8</v>
      </c>
      <c r="M48" s="28">
        <v>100.8</v>
      </c>
      <c r="N48" s="28">
        <v>100</v>
      </c>
      <c r="O48" s="28">
        <f>'20b'!B48/'20a'!E47*100</f>
        <v>98.737353091466545</v>
      </c>
      <c r="S48" s="31"/>
    </row>
    <row r="49" spans="1:19">
      <c r="A49" s="66">
        <v>2004</v>
      </c>
      <c r="B49" s="28">
        <v>100.7</v>
      </c>
      <c r="C49" s="28">
        <v>102.2</v>
      </c>
      <c r="D49" s="28">
        <v>98.3</v>
      </c>
      <c r="E49" s="28">
        <v>98.7</v>
      </c>
      <c r="F49" s="28">
        <v>101.8</v>
      </c>
      <c r="G49" s="28">
        <v>102.2</v>
      </c>
      <c r="H49" s="28">
        <v>100.1</v>
      </c>
      <c r="I49" s="28">
        <v>101.2</v>
      </c>
      <c r="J49" s="56">
        <v>35178.800000000003</v>
      </c>
      <c r="K49" s="56">
        <v>11034.3</v>
      </c>
      <c r="L49" s="28">
        <v>98.8</v>
      </c>
      <c r="M49" s="28">
        <v>98.7</v>
      </c>
      <c r="N49" s="28">
        <v>100.1</v>
      </c>
      <c r="O49" s="28">
        <f>'20b'!B49/'20a'!E48*100</f>
        <v>89.615912481352566</v>
      </c>
      <c r="S49" s="31"/>
    </row>
    <row r="50" spans="1:19">
      <c r="A50" s="66">
        <v>2005</v>
      </c>
      <c r="B50" s="28">
        <v>102.1</v>
      </c>
      <c r="C50" s="28">
        <v>106.8</v>
      </c>
      <c r="D50" s="28">
        <v>96.1</v>
      </c>
      <c r="E50" s="28">
        <v>103.1</v>
      </c>
      <c r="F50" s="28">
        <v>96.6</v>
      </c>
      <c r="G50" s="28">
        <v>103.6</v>
      </c>
      <c r="H50" s="28">
        <v>97.1</v>
      </c>
      <c r="I50" s="28">
        <v>94.6</v>
      </c>
      <c r="J50" s="56">
        <v>33471</v>
      </c>
      <c r="K50" s="56">
        <v>11109.6</v>
      </c>
      <c r="L50" s="28">
        <v>98.5</v>
      </c>
      <c r="M50" s="28">
        <v>95.2</v>
      </c>
      <c r="N50" s="28">
        <v>100.4</v>
      </c>
      <c r="O50" s="28">
        <f>'20b'!B50/'20a'!E49*100</f>
        <v>87.648668032786887</v>
      </c>
      <c r="S50" s="31"/>
    </row>
    <row r="51" spans="1:19">
      <c r="A51" s="66">
        <v>2006</v>
      </c>
      <c r="B51" s="28">
        <v>100.1</v>
      </c>
      <c r="C51" s="28">
        <v>100.8</v>
      </c>
      <c r="D51" s="28">
        <v>93.6</v>
      </c>
      <c r="E51" s="28">
        <v>96.9</v>
      </c>
      <c r="F51" s="28">
        <v>89.9</v>
      </c>
      <c r="G51" s="28">
        <v>93</v>
      </c>
      <c r="H51" s="28">
        <v>92.3</v>
      </c>
      <c r="I51" s="28">
        <v>89.7</v>
      </c>
      <c r="J51" s="56">
        <v>31536.9</v>
      </c>
      <c r="K51" s="56">
        <v>10632.1</v>
      </c>
      <c r="L51" s="28">
        <v>98.4</v>
      </c>
      <c r="M51" s="28">
        <v>94.6</v>
      </c>
      <c r="N51" s="28">
        <v>100.3</v>
      </c>
      <c r="O51" s="28">
        <f>'20b'!B51/'20a'!E50*100</f>
        <v>86.681545064377687</v>
      </c>
      <c r="S51" s="31"/>
    </row>
    <row r="52" spans="1:19">
      <c r="A52" s="66">
        <v>2007</v>
      </c>
      <c r="B52" s="28">
        <v>100.6</v>
      </c>
      <c r="C52" s="28">
        <v>102.1</v>
      </c>
      <c r="D52" s="28">
        <v>95.7</v>
      </c>
      <c r="E52" s="28">
        <v>99.5</v>
      </c>
      <c r="F52" s="28">
        <v>89.4</v>
      </c>
      <c r="G52" s="28">
        <v>93</v>
      </c>
      <c r="H52" s="28">
        <v>91.1</v>
      </c>
      <c r="I52" s="28">
        <v>88.9</v>
      </c>
      <c r="J52" s="56">
        <v>31262.5</v>
      </c>
      <c r="K52" s="56">
        <v>9849.7000000000007</v>
      </c>
      <c r="L52" s="28">
        <v>98.5</v>
      </c>
      <c r="M52" s="28">
        <v>95.9</v>
      </c>
      <c r="N52" s="28">
        <v>100.8</v>
      </c>
      <c r="O52" s="28">
        <f>'20b'!B52/'20a'!E51*100</f>
        <v>86.881763085399442</v>
      </c>
      <c r="S52" s="31"/>
    </row>
    <row r="53" spans="1:19">
      <c r="A53" s="66">
        <v>2008</v>
      </c>
      <c r="B53" s="28">
        <v>99.6</v>
      </c>
      <c r="C53" s="28">
        <v>99</v>
      </c>
      <c r="D53" s="28">
        <v>93.6</v>
      </c>
      <c r="E53" s="28">
        <v>98</v>
      </c>
      <c r="F53" s="28">
        <v>81.5</v>
      </c>
      <c r="G53" s="28">
        <v>85.3</v>
      </c>
      <c r="H53" s="28">
        <v>86.2</v>
      </c>
      <c r="I53" s="28">
        <v>81.900000000000006</v>
      </c>
      <c r="J53" s="56">
        <v>29560.6</v>
      </c>
      <c r="K53" s="56">
        <v>9342.1</v>
      </c>
      <c r="L53" s="28">
        <v>98.6</v>
      </c>
      <c r="M53" s="28">
        <v>94.3</v>
      </c>
      <c r="N53" s="28">
        <v>101.1</v>
      </c>
      <c r="O53" s="28">
        <f>'20b'!B53/'20a'!E52*100</f>
        <v>88.14751773049646</v>
      </c>
      <c r="S53" s="31"/>
    </row>
    <row r="54" spans="1:19">
      <c r="A54" s="66"/>
      <c r="B54" s="28"/>
      <c r="C54" s="28"/>
      <c r="D54" s="28"/>
      <c r="E54" s="28"/>
      <c r="F54" s="28"/>
      <c r="G54" s="28"/>
      <c r="H54" s="28"/>
      <c r="I54" s="28"/>
      <c r="J54" s="56"/>
      <c r="K54" s="56"/>
      <c r="L54" s="28"/>
      <c r="M54" s="28"/>
      <c r="N54" s="28"/>
      <c r="O54" s="28"/>
    </row>
    <row r="55" spans="1:19">
      <c r="A55" s="66" t="s">
        <v>23</v>
      </c>
    </row>
    <row r="56" spans="1:19">
      <c r="A56" s="64" t="s">
        <v>2118</v>
      </c>
      <c r="B56" s="67">
        <f>((B53/B6)^(1/47)-1)*100</f>
        <v>0.27352481679090435</v>
      </c>
      <c r="C56" s="67">
        <f t="shared" ref="C56:O56" si="0">((C53/C6)^(1/47)-1)*100</f>
        <v>0.91577336662314046</v>
      </c>
      <c r="D56" s="67">
        <f t="shared" si="0"/>
        <v>2.371998111899698</v>
      </c>
      <c r="E56" s="67">
        <f t="shared" si="0"/>
        <v>2.3231925021772515</v>
      </c>
      <c r="F56" s="67">
        <f t="shared" si="0"/>
        <v>1.8395866385915394</v>
      </c>
      <c r="G56" s="67">
        <f t="shared" si="0"/>
        <v>1.7871812259623088</v>
      </c>
      <c r="H56" s="67">
        <f t="shared" si="0"/>
        <v>0.86517916268813444</v>
      </c>
      <c r="I56" s="67">
        <f t="shared" si="0"/>
        <v>1.5635838111186962</v>
      </c>
      <c r="J56" s="67">
        <f t="shared" si="0"/>
        <v>5.7296317359293081</v>
      </c>
      <c r="K56" s="67">
        <f t="shared" si="0"/>
        <v>5.0101568181919909</v>
      </c>
      <c r="L56" s="67">
        <f t="shared" si="0"/>
        <v>0.35429557326207561</v>
      </c>
      <c r="M56" s="67">
        <f t="shared" si="0"/>
        <v>1.5437435822295287</v>
      </c>
      <c r="N56" s="67">
        <f t="shared" si="0"/>
        <v>0.18933109372392121</v>
      </c>
      <c r="O56" s="67">
        <f t="shared" si="0"/>
        <v>2.0458341874819652</v>
      </c>
    </row>
    <row r="57" spans="1:19">
      <c r="A57" s="68" t="s">
        <v>1031</v>
      </c>
      <c r="B57" s="67">
        <f>((B18/B6)^(1/12)-1)*100</f>
        <v>0.13221542587722457</v>
      </c>
      <c r="C57" s="67">
        <f t="shared" ref="C57:O57" si="1">((C18/C6)^(1/12)-1)*100</f>
        <v>0.37957167286559734</v>
      </c>
      <c r="D57" s="67">
        <f t="shared" si="1"/>
        <v>2.8750566396184007</v>
      </c>
      <c r="E57" s="67">
        <f t="shared" si="1"/>
        <v>2.1729861384746529</v>
      </c>
      <c r="F57" s="67">
        <f t="shared" si="1"/>
        <v>4.8957009374734684</v>
      </c>
      <c r="G57" s="67">
        <f t="shared" si="1"/>
        <v>4.1737327849555417</v>
      </c>
      <c r="H57" s="67">
        <f t="shared" si="1"/>
        <v>3.7848688844735578</v>
      </c>
      <c r="I57" s="67">
        <f t="shared" si="1"/>
        <v>4.7581128430604913</v>
      </c>
      <c r="J57" s="67">
        <f t="shared" si="1"/>
        <v>7.5468814228977887</v>
      </c>
      <c r="K57" s="67">
        <f t="shared" si="1"/>
        <v>6.7982040774149377</v>
      </c>
      <c r="L57" s="67">
        <f t="shared" si="1"/>
        <v>0.47634206710811533</v>
      </c>
      <c r="M57" s="67">
        <f t="shared" si="1"/>
        <v>1.9982040518033761</v>
      </c>
      <c r="N57" s="67">
        <f t="shared" si="1"/>
        <v>0.2488187591936919</v>
      </c>
      <c r="O57" s="67">
        <f t="shared" si="1"/>
        <v>2.9493707269418801</v>
      </c>
    </row>
    <row r="58" spans="1:19">
      <c r="A58" s="68" t="s">
        <v>1032</v>
      </c>
      <c r="B58" s="67">
        <f>((B26/B18)^(1/8)-1)*100</f>
        <v>2.806230990251013E-2</v>
      </c>
      <c r="C58" s="67">
        <f t="shared" ref="C58:O58" si="2">((C26/C18)^(1/8)-1)*100</f>
        <v>0.16570246944727085</v>
      </c>
      <c r="D58" s="67">
        <f t="shared" si="2"/>
        <v>1.3893404975366064</v>
      </c>
      <c r="E58" s="67">
        <f t="shared" si="2"/>
        <v>1.6166448117176158</v>
      </c>
      <c r="F58" s="67">
        <f t="shared" si="2"/>
        <v>1.4325884580064896</v>
      </c>
      <c r="G58" s="67">
        <f t="shared" si="2"/>
        <v>1.6358815266018789</v>
      </c>
      <c r="H58" s="67">
        <f t="shared" si="2"/>
        <v>1.4674751233205496</v>
      </c>
      <c r="I58" s="67">
        <f t="shared" si="2"/>
        <v>1.4135594944846508</v>
      </c>
      <c r="J58" s="67">
        <f t="shared" si="2"/>
        <v>14.591554181077093</v>
      </c>
      <c r="K58" s="67">
        <f t="shared" si="2"/>
        <v>13.558322368290554</v>
      </c>
      <c r="L58" s="67">
        <f t="shared" si="2"/>
        <v>0.36300147115995163</v>
      </c>
      <c r="M58" s="67">
        <f t="shared" si="2"/>
        <v>0.79374647522902908</v>
      </c>
      <c r="N58" s="67">
        <f t="shared" si="2"/>
        <v>0.2083380757675668</v>
      </c>
      <c r="O58" s="67">
        <f t="shared" si="2"/>
        <v>1.8968258992644316</v>
      </c>
    </row>
    <row r="59" spans="1:19">
      <c r="A59" s="69" t="s">
        <v>1783</v>
      </c>
      <c r="B59" s="67">
        <f>((B53/B26)^(1/27)-1)*100</f>
        <v>0.40928389932157749</v>
      </c>
      <c r="C59" s="67">
        <f t="shared" ref="C59:O59" si="3">((C53/C26)^(1/27)-1)*100</f>
        <v>1.3788531170425555</v>
      </c>
      <c r="D59" s="67">
        <f t="shared" si="3"/>
        <v>2.4415519259934459</v>
      </c>
      <c r="E59" s="67">
        <f t="shared" si="3"/>
        <v>2.6004484707038644</v>
      </c>
      <c r="F59" s="67">
        <f t="shared" si="3"/>
        <v>0.62937702941863183</v>
      </c>
      <c r="G59" s="67">
        <f t="shared" si="3"/>
        <v>0.78852949834813391</v>
      </c>
      <c r="H59" s="67">
        <f t="shared" si="3"/>
        <v>-0.58148703962274118</v>
      </c>
      <c r="I59" s="67">
        <f t="shared" si="3"/>
        <v>0.21912689515906081</v>
      </c>
      <c r="J59" s="67">
        <f t="shared" si="3"/>
        <v>2.4589828328010821</v>
      </c>
      <c r="K59" s="67">
        <f t="shared" si="3"/>
        <v>1.8361417072232378</v>
      </c>
      <c r="L59" s="67">
        <f t="shared" si="3"/>
        <v>0.29752229606707647</v>
      </c>
      <c r="M59" s="67">
        <f t="shared" si="3"/>
        <v>1.5652601606545469</v>
      </c>
      <c r="N59" s="67">
        <f t="shared" si="3"/>
        <v>0.15727394272189166</v>
      </c>
      <c r="O59" s="67">
        <f t="shared" si="3"/>
        <v>1.6908315773573657</v>
      </c>
    </row>
    <row r="60" spans="1:19">
      <c r="A60" s="68" t="s">
        <v>25</v>
      </c>
      <c r="B60" s="67">
        <f>((B34/B26)^(1/8)-1)*100</f>
        <v>-0.32600503726051278</v>
      </c>
      <c r="C60" s="67">
        <f t="shared" ref="C60:O60" si="4">((C34/C26)^(1/8)-1)*100</f>
        <v>-0.52110163859562242</v>
      </c>
      <c r="D60" s="67">
        <f t="shared" si="4"/>
        <v>3.2849769751515101</v>
      </c>
      <c r="E60" s="67">
        <f t="shared" si="4"/>
        <v>2.7760019544520009</v>
      </c>
      <c r="F60" s="67">
        <f t="shared" si="4"/>
        <v>2.1087038619175491</v>
      </c>
      <c r="G60" s="67">
        <f t="shared" si="4"/>
        <v>1.6092794184936476</v>
      </c>
      <c r="H60" s="67">
        <f t="shared" si="4"/>
        <v>2.1373515717240332</v>
      </c>
      <c r="I60" s="67">
        <f t="shared" si="4"/>
        <v>2.4371102558268687</v>
      </c>
      <c r="J60" s="67">
        <f t="shared" si="4"/>
        <v>6.7671535545758443</v>
      </c>
      <c r="K60" s="67">
        <f t="shared" si="4"/>
        <v>7.0471126586274302</v>
      </c>
      <c r="L60" s="67">
        <f t="shared" si="4"/>
        <v>1.0970497457236439</v>
      </c>
      <c r="M60" s="67">
        <f t="shared" si="4"/>
        <v>2.3395239033230153</v>
      </c>
      <c r="N60" s="67">
        <f t="shared" si="4"/>
        <v>0.16672253352885136</v>
      </c>
      <c r="O60" s="67">
        <f t="shared" si="4"/>
        <v>6.5912416964755138</v>
      </c>
    </row>
    <row r="61" spans="1:19">
      <c r="A61" s="69" t="s">
        <v>2134</v>
      </c>
      <c r="B61" s="65">
        <f>((B53/B31)^(1/22)-1)*100</f>
        <v>0.30723454771730552</v>
      </c>
      <c r="C61" s="65">
        <f t="shared" ref="C61:O61" si="5">((C53/C31)^(1/22)-1)*100</f>
        <v>1.0778133824395741</v>
      </c>
      <c r="D61" s="65">
        <f t="shared" si="5"/>
        <v>1.9198720652658041</v>
      </c>
      <c r="E61" s="65">
        <f t="shared" si="5"/>
        <v>2.1859785865921966</v>
      </c>
      <c r="F61" s="65">
        <f t="shared" si="5"/>
        <v>0.28224275471659954</v>
      </c>
      <c r="G61" s="65">
        <f t="shared" si="5"/>
        <v>0.54418576829518006</v>
      </c>
      <c r="H61" s="65">
        <f t="shared" si="5"/>
        <v>-0.52110670715312946</v>
      </c>
      <c r="I61" s="65">
        <f t="shared" si="5"/>
        <v>-1.6618215399366587E-2</v>
      </c>
      <c r="J61" s="65">
        <f t="shared" si="5"/>
        <v>1.820575812049352</v>
      </c>
      <c r="K61" s="65">
        <f t="shared" si="5"/>
        <v>1.1286091116268659</v>
      </c>
      <c r="L61" s="65">
        <f t="shared" si="5"/>
        <v>0.27103762548312815</v>
      </c>
      <c r="M61" s="65">
        <f t="shared" si="5"/>
        <v>1.183150109760045</v>
      </c>
      <c r="N61" s="65">
        <f t="shared" si="5"/>
        <v>0.14630499643932815</v>
      </c>
      <c r="O61" s="65">
        <f t="shared" si="5"/>
        <v>1.3318802342789482</v>
      </c>
    </row>
    <row r="62" spans="1:19">
      <c r="A62" s="69" t="s">
        <v>26</v>
      </c>
      <c r="B62" s="65">
        <f>((B45/B34)^(1/11)-1)*100</f>
        <v>1.0612229116316207</v>
      </c>
      <c r="C62" s="65">
        <f t="shared" ref="C62:O62" si="6">((C45/C34)^(1/11)-1)*100</f>
        <v>3.2439790237627442</v>
      </c>
      <c r="D62" s="65">
        <f t="shared" si="6"/>
        <v>3.7548235793918971</v>
      </c>
      <c r="E62" s="65">
        <f t="shared" si="6"/>
        <v>4.0294879217863899</v>
      </c>
      <c r="F62" s="65">
        <f t="shared" si="6"/>
        <v>1.9828933506466084</v>
      </c>
      <c r="G62" s="65">
        <f t="shared" si="6"/>
        <v>2.2739997907239573</v>
      </c>
      <c r="H62" s="65">
        <f t="shared" si="6"/>
        <v>-0.94070008247409964</v>
      </c>
      <c r="I62" s="65">
        <f t="shared" si="6"/>
        <v>0.90933297993969209</v>
      </c>
      <c r="J62" s="65">
        <f t="shared" si="6"/>
        <v>3.7189802462689547</v>
      </c>
      <c r="K62" s="65">
        <f t="shared" si="6"/>
        <v>3.5946630164379378</v>
      </c>
      <c r="L62" s="65">
        <f t="shared" si="6"/>
        <v>0.1273558348758419</v>
      </c>
      <c r="M62" s="65">
        <f t="shared" si="6"/>
        <v>2.3868852846045341</v>
      </c>
      <c r="N62" s="65">
        <f t="shared" si="6"/>
        <v>0.13790829348927502</v>
      </c>
      <c r="O62" s="65">
        <f t="shared" si="6"/>
        <v>0.94431488870094782</v>
      </c>
    </row>
    <row r="63" spans="1:19">
      <c r="A63" s="69" t="s">
        <v>1779</v>
      </c>
      <c r="B63" s="65">
        <f>((B53/B45)^(1/8)-1)*100</f>
        <v>0.25388012079659017</v>
      </c>
      <c r="C63" s="65">
        <f t="shared" ref="C63:O63" si="7">((C53/C45)^(1/8)-1)*100</f>
        <v>0.75750627719037844</v>
      </c>
      <c r="D63" s="65">
        <f t="shared" si="7"/>
        <v>-0.15911110606668943</v>
      </c>
      <c r="E63" s="65">
        <f t="shared" si="7"/>
        <v>0.49556509566726081</v>
      </c>
      <c r="F63" s="65">
        <f t="shared" si="7"/>
        <v>-2.6337810365627767</v>
      </c>
      <c r="G63" s="65">
        <f t="shared" si="7"/>
        <v>-2.0167332254547143</v>
      </c>
      <c r="H63" s="65">
        <f t="shared" si="7"/>
        <v>-2.7451103729009607</v>
      </c>
      <c r="I63" s="65">
        <f t="shared" si="7"/>
        <v>-2.8717821081906014</v>
      </c>
      <c r="J63" s="65">
        <f t="shared" si="7"/>
        <v>-3.3139888855422961</v>
      </c>
      <c r="K63" s="65">
        <f t="shared" si="7"/>
        <v>-5.3751555827690751</v>
      </c>
      <c r="L63" s="65">
        <f t="shared" si="7"/>
        <v>-0.26308504956237266</v>
      </c>
      <c r="M63" s="65">
        <f t="shared" si="7"/>
        <v>-0.31365971711135865</v>
      </c>
      <c r="N63" s="65">
        <f t="shared" si="7"/>
        <v>0.17445761376926328</v>
      </c>
      <c r="O63" s="65">
        <f t="shared" si="7"/>
        <v>-1.9964098525087515</v>
      </c>
    </row>
    <row r="65" spans="1:15">
      <c r="A65" s="64" t="s">
        <v>1012</v>
      </c>
    </row>
    <row r="66" spans="1:15" hidden="1" outlineLevel="1">
      <c r="A66" s="69" t="s">
        <v>658</v>
      </c>
      <c r="B66" s="67">
        <f>((B48/B24)^(1/24)-1)*100</f>
        <v>0.35257490751432474</v>
      </c>
      <c r="C66" s="67">
        <f t="shared" ref="C66:O66" si="8">((C48/C24)^(1/24)-1)*100</f>
        <v>1.2724309556954028</v>
      </c>
      <c r="D66" s="67">
        <f t="shared" si="8"/>
        <v>3.0293631433720103</v>
      </c>
      <c r="E66" s="67">
        <f t="shared" si="8"/>
        <v>2.9866424338553355</v>
      </c>
      <c r="F66" s="67">
        <f t="shared" si="8"/>
        <v>1.6395860724536471</v>
      </c>
      <c r="G66" s="67">
        <f t="shared" si="8"/>
        <v>1.5953975416352018</v>
      </c>
      <c r="H66" s="67">
        <f t="shared" si="8"/>
        <v>0.31568282718996699</v>
      </c>
      <c r="I66" s="67">
        <f t="shared" si="8"/>
        <v>1.2757997877025584</v>
      </c>
      <c r="J66" s="67">
        <f t="shared" si="8"/>
        <v>4.5104106822285717</v>
      </c>
      <c r="K66" s="67">
        <f t="shared" si="8"/>
        <v>3.3004914578661948</v>
      </c>
      <c r="L66" s="67">
        <f t="shared" si="8"/>
        <v>0.48777549245095919</v>
      </c>
      <c r="M66" s="67">
        <f t="shared" si="8"/>
        <v>2.0115128107736302</v>
      </c>
      <c r="N66" s="67">
        <f t="shared" si="8"/>
        <v>0.14423493854820446</v>
      </c>
      <c r="O66" s="67">
        <f t="shared" si="8"/>
        <v>3.0257800681847025</v>
      </c>
    </row>
    <row r="67" spans="1:15" collapsed="1">
      <c r="C67" s="65"/>
    </row>
    <row r="68" spans="1:15">
      <c r="C68" s="65"/>
    </row>
  </sheetData>
  <mergeCells count="17">
    <mergeCell ref="O2:O3"/>
    <mergeCell ref="S3:S4"/>
    <mergeCell ref="A1:N1"/>
    <mergeCell ref="A2:A4"/>
    <mergeCell ref="B4:G4"/>
    <mergeCell ref="H4:I4"/>
    <mergeCell ref="J4:K4"/>
    <mergeCell ref="H2:H3"/>
    <mergeCell ref="I2:I3"/>
    <mergeCell ref="J2:J3"/>
    <mergeCell ref="K2:K3"/>
    <mergeCell ref="B2:C2"/>
    <mergeCell ref="D2:E2"/>
    <mergeCell ref="L4:O4"/>
    <mergeCell ref="F2:F3"/>
    <mergeCell ref="G2:G3"/>
    <mergeCell ref="L2:N2"/>
  </mergeCells>
  <pageMargins left="0.70866141732283472" right="0.70866141732283472" top="0.74803149606299213" bottom="0.74803149606299213" header="0.31496062992125984" footer="0.31496062992125984"/>
  <pageSetup scale="67" orientation="landscape" horizontalDpi="0" verticalDpi="0" r:id="rId1"/>
</worksheet>
</file>

<file path=xl/worksheets/sheet125.xml><?xml version="1.0" encoding="utf-8"?>
<worksheet xmlns="http://schemas.openxmlformats.org/spreadsheetml/2006/main" xmlns:r="http://schemas.openxmlformats.org/officeDocument/2006/relationships">
  <sheetPr codeName="Sheet118"/>
  <dimension ref="A1:N64"/>
  <sheetViews>
    <sheetView view="pageBreakPreview" zoomScaleNormal="70" zoomScaleSheetLayoutView="100"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2" style="64" customWidth="1"/>
    <col min="2" max="2" width="11.85546875" style="64" customWidth="1"/>
    <col min="3" max="3" width="14" style="64" customWidth="1"/>
    <col min="4" max="4" width="10.5703125" style="64" customWidth="1"/>
    <col min="5" max="5" width="11.7109375" style="64" customWidth="1"/>
    <col min="6" max="6" width="14.85546875" style="64" customWidth="1"/>
    <col min="7" max="7" width="13.5703125" style="64" customWidth="1"/>
    <col min="8" max="8" width="14.28515625" style="64" customWidth="1"/>
    <col min="9" max="9" width="35.85546875" style="64" customWidth="1"/>
    <col min="10" max="10" width="14.85546875" style="64" customWidth="1"/>
    <col min="11" max="16384" width="9.140625" style="64"/>
  </cols>
  <sheetData>
    <row r="1" spans="1:11" ht="31.5" customHeight="1">
      <c r="A1" s="93" t="s">
        <v>2003</v>
      </c>
      <c r="B1" s="93"/>
      <c r="C1" s="93"/>
      <c r="D1" s="93"/>
      <c r="E1" s="93"/>
      <c r="F1" s="93"/>
      <c r="G1" s="93"/>
      <c r="I1" s="70"/>
      <c r="J1" s="70"/>
      <c r="K1" s="70"/>
    </row>
    <row r="2" spans="1:11" ht="30">
      <c r="A2" s="96"/>
      <c r="B2" s="73" t="s">
        <v>127</v>
      </c>
      <c r="C2" s="73" t="s">
        <v>833</v>
      </c>
      <c r="D2" s="98" t="s">
        <v>744</v>
      </c>
      <c r="E2" s="99"/>
      <c r="F2" s="76" t="s">
        <v>840</v>
      </c>
      <c r="G2" s="73" t="s">
        <v>1082</v>
      </c>
      <c r="I2" s="70"/>
      <c r="J2" s="62"/>
      <c r="K2" s="70"/>
    </row>
    <row r="3" spans="1:11" ht="30">
      <c r="A3" s="96"/>
      <c r="B3" s="98" t="s">
        <v>844</v>
      </c>
      <c r="C3" s="99"/>
      <c r="D3" s="73" t="s">
        <v>1005</v>
      </c>
      <c r="E3" s="117" t="s">
        <v>844</v>
      </c>
      <c r="F3" s="73" t="s">
        <v>1002</v>
      </c>
      <c r="G3" s="73" t="s">
        <v>784</v>
      </c>
      <c r="I3" s="70"/>
      <c r="J3" s="62"/>
      <c r="K3" s="70"/>
    </row>
    <row r="4" spans="1:11" hidden="1" outlineLevel="1">
      <c r="B4" s="57" t="s">
        <v>160</v>
      </c>
      <c r="C4" s="57" t="s">
        <v>161</v>
      </c>
      <c r="D4" s="57" t="s">
        <v>61</v>
      </c>
      <c r="F4" s="57" t="s">
        <v>169</v>
      </c>
      <c r="G4" s="57"/>
      <c r="I4" s="70"/>
      <c r="J4" s="70"/>
      <c r="K4" s="70"/>
    </row>
    <row r="5" spans="1:11" collapsed="1">
      <c r="A5" s="66">
        <v>1961</v>
      </c>
      <c r="B5" s="28">
        <v>80.2</v>
      </c>
      <c r="C5" s="28">
        <v>72</v>
      </c>
      <c r="D5" s="56">
        <v>216.3</v>
      </c>
      <c r="E5" s="28">
        <f>D5/D$46*100</f>
        <v>111.38002059732237</v>
      </c>
      <c r="F5" s="56">
        <v>511.3</v>
      </c>
      <c r="G5" s="58">
        <f>F5/'20'!K6*100</f>
        <v>54.463144439710277</v>
      </c>
      <c r="I5" s="70"/>
      <c r="J5" s="70"/>
      <c r="K5" s="70"/>
    </row>
    <row r="6" spans="1:11" hidden="1" outlineLevel="1">
      <c r="A6" s="66">
        <v>1962</v>
      </c>
      <c r="B6" s="28">
        <v>83.6</v>
      </c>
      <c r="C6" s="28">
        <v>72.900000000000006</v>
      </c>
      <c r="D6" s="56">
        <v>222.6</v>
      </c>
      <c r="E6" s="28">
        <f t="shared" ref="E6:E52" si="0">D6/D$46*100</f>
        <v>114.62409886714728</v>
      </c>
      <c r="F6" s="56">
        <v>539.9</v>
      </c>
      <c r="G6" s="58">
        <f>F6/'20'!K7*100</f>
        <v>54.634689334142884</v>
      </c>
      <c r="I6" s="70"/>
      <c r="J6" s="70"/>
      <c r="K6" s="70"/>
    </row>
    <row r="7" spans="1:11" hidden="1" outlineLevel="1">
      <c r="A7" s="66">
        <v>1963</v>
      </c>
      <c r="B7" s="28">
        <v>85.1</v>
      </c>
      <c r="C7" s="28">
        <v>73.900000000000006</v>
      </c>
      <c r="D7" s="56">
        <v>223.6</v>
      </c>
      <c r="E7" s="28">
        <f t="shared" si="0"/>
        <v>115.13903192584965</v>
      </c>
      <c r="F7" s="56">
        <v>563.20000000000005</v>
      </c>
      <c r="G7" s="58">
        <f>F7/'20'!K8*100</f>
        <v>54.631875060626633</v>
      </c>
      <c r="I7" s="70"/>
      <c r="J7" s="70"/>
      <c r="K7" s="70"/>
    </row>
    <row r="8" spans="1:11" hidden="1" outlineLevel="1">
      <c r="A8" s="66">
        <v>1964</v>
      </c>
      <c r="B8" s="28">
        <v>91.1</v>
      </c>
      <c r="C8" s="28">
        <v>74.900000000000006</v>
      </c>
      <c r="D8" s="56">
        <v>236.2</v>
      </c>
      <c r="E8" s="28">
        <f t="shared" si="0"/>
        <v>121.62718846549949</v>
      </c>
      <c r="F8" s="56">
        <v>613.6</v>
      </c>
      <c r="G8" s="58">
        <f>F8/'20'!K9*100</f>
        <v>54.133215703573001</v>
      </c>
      <c r="I8" s="70"/>
      <c r="J8" s="70"/>
      <c r="K8" s="70"/>
    </row>
    <row r="9" spans="1:11" hidden="1" outlineLevel="1">
      <c r="A9" s="66">
        <v>1965</v>
      </c>
      <c r="B9" s="28">
        <v>93.6</v>
      </c>
      <c r="C9" s="28">
        <v>75.7</v>
      </c>
      <c r="D9" s="56">
        <v>240.1</v>
      </c>
      <c r="E9" s="28">
        <f t="shared" si="0"/>
        <v>123.63542739443874</v>
      </c>
      <c r="F9" s="56">
        <v>663.8</v>
      </c>
      <c r="G9" s="58">
        <f>F9/'20'!K10*100</f>
        <v>56.861401404831234</v>
      </c>
      <c r="I9" s="70"/>
      <c r="J9" s="70"/>
      <c r="K9" s="70"/>
    </row>
    <row r="10" spans="1:11" hidden="1" outlineLevel="1">
      <c r="A10" s="66">
        <v>1966</v>
      </c>
      <c r="B10" s="28">
        <v>100.7</v>
      </c>
      <c r="C10" s="28">
        <v>76.5</v>
      </c>
      <c r="D10" s="56">
        <v>255.7</v>
      </c>
      <c r="E10" s="28">
        <f t="shared" si="0"/>
        <v>131.66838311019569</v>
      </c>
      <c r="F10" s="56">
        <v>772.6</v>
      </c>
      <c r="G10" s="58">
        <f>F10/'20'!K11*100</f>
        <v>61.547040548076161</v>
      </c>
      <c r="I10" s="70"/>
      <c r="J10" s="70"/>
      <c r="K10" s="70"/>
    </row>
    <row r="11" spans="1:11" hidden="1" outlineLevel="1">
      <c r="A11" s="66">
        <v>1967</v>
      </c>
      <c r="B11" s="28">
        <v>103.1</v>
      </c>
      <c r="C11" s="28">
        <v>77.099999999999994</v>
      </c>
      <c r="D11" s="56">
        <v>259.7</v>
      </c>
      <c r="E11" s="28">
        <f t="shared" si="0"/>
        <v>133.72811534500514</v>
      </c>
      <c r="F11" s="56">
        <v>840.5</v>
      </c>
      <c r="G11" s="58">
        <f>F11/'20'!K12*100</f>
        <v>68.601044727391454</v>
      </c>
      <c r="I11" s="70"/>
      <c r="J11" s="70"/>
      <c r="K11" s="70"/>
    </row>
    <row r="12" spans="1:11" hidden="1" outlineLevel="1">
      <c r="A12" s="66">
        <v>1968</v>
      </c>
      <c r="B12" s="28">
        <v>104.2</v>
      </c>
      <c r="C12" s="28">
        <v>77.599999999999994</v>
      </c>
      <c r="D12" s="56">
        <v>260.8</v>
      </c>
      <c r="E12" s="28">
        <f t="shared" si="0"/>
        <v>134.29454170957777</v>
      </c>
      <c r="F12" s="56">
        <v>901.5</v>
      </c>
      <c r="G12" s="58">
        <f>F12/'20'!K13*100</f>
        <v>70.744722592796052</v>
      </c>
      <c r="I12" s="70"/>
      <c r="J12" s="70"/>
      <c r="K12" s="70"/>
    </row>
    <row r="13" spans="1:11" hidden="1" outlineLevel="1">
      <c r="A13" s="66">
        <v>1969</v>
      </c>
      <c r="B13" s="28">
        <v>109.3</v>
      </c>
      <c r="C13" s="28">
        <v>78.099999999999994</v>
      </c>
      <c r="D13" s="56">
        <v>271.8</v>
      </c>
      <c r="E13" s="28">
        <f t="shared" si="0"/>
        <v>139.95880535530384</v>
      </c>
      <c r="F13" s="56">
        <v>1001.2</v>
      </c>
      <c r="G13" s="58">
        <f>F13/'20'!K14*100</f>
        <v>67.924016282225239</v>
      </c>
      <c r="I13" s="70"/>
      <c r="J13" s="70"/>
      <c r="K13" s="70"/>
    </row>
    <row r="14" spans="1:11" hidden="1" outlineLevel="1">
      <c r="A14" s="66">
        <v>1970</v>
      </c>
      <c r="B14" s="28">
        <v>110</v>
      </c>
      <c r="C14" s="28">
        <v>78.5</v>
      </c>
      <c r="D14" s="56">
        <v>272.3</v>
      </c>
      <c r="E14" s="28">
        <f t="shared" si="0"/>
        <v>140.21627188465501</v>
      </c>
      <c r="F14" s="56">
        <v>1063.7</v>
      </c>
      <c r="G14" s="58">
        <f>F14/'20'!K15*100</f>
        <v>68.745556776320043</v>
      </c>
      <c r="I14" s="70"/>
      <c r="J14" s="70"/>
      <c r="K14" s="70"/>
    </row>
    <row r="15" spans="1:11" hidden="1" outlineLevel="1">
      <c r="A15" s="66">
        <v>1971</v>
      </c>
      <c r="B15" s="28">
        <v>109.5</v>
      </c>
      <c r="C15" s="28">
        <v>79.3</v>
      </c>
      <c r="D15" s="56">
        <v>268.3</v>
      </c>
      <c r="E15" s="28">
        <f t="shared" si="0"/>
        <v>138.15653964984554</v>
      </c>
      <c r="F15" s="56">
        <v>1124.8</v>
      </c>
      <c r="G15" s="58">
        <f>F15/'20'!K16*100</f>
        <v>73.646303935048778</v>
      </c>
      <c r="I15" s="70"/>
      <c r="J15" s="70"/>
      <c r="K15" s="70"/>
    </row>
    <row r="16" spans="1:11" hidden="1" outlineLevel="1">
      <c r="A16" s="66">
        <v>1972</v>
      </c>
      <c r="B16" s="28">
        <v>112.2</v>
      </c>
      <c r="C16" s="28">
        <v>80.2</v>
      </c>
      <c r="D16" s="56">
        <v>271.8</v>
      </c>
      <c r="E16" s="28">
        <f t="shared" si="0"/>
        <v>139.95880535530384</v>
      </c>
      <c r="F16" s="56">
        <v>1227</v>
      </c>
      <c r="G16" s="58">
        <f>F16/'20'!K17*100</f>
        <v>74.269112039222804</v>
      </c>
      <c r="I16" s="70"/>
      <c r="J16" s="70"/>
      <c r="K16" s="70"/>
    </row>
    <row r="17" spans="1:11" collapsed="1">
      <c r="A17" s="66">
        <v>1973</v>
      </c>
      <c r="B17" s="28">
        <v>114.1</v>
      </c>
      <c r="C17" s="28">
        <v>81.099999999999994</v>
      </c>
      <c r="D17" s="56">
        <v>273</v>
      </c>
      <c r="E17" s="28">
        <f t="shared" si="0"/>
        <v>140.57672502574664</v>
      </c>
      <c r="F17" s="56">
        <v>1338.8</v>
      </c>
      <c r="G17" s="58">
        <f>F17/'20'!K18*100</f>
        <v>64.770198355104014</v>
      </c>
      <c r="I17" s="70"/>
      <c r="J17" s="70"/>
      <c r="K17" s="70"/>
    </row>
    <row r="18" spans="1:11" hidden="1" outlineLevel="1">
      <c r="A18" s="66">
        <v>1974</v>
      </c>
      <c r="B18" s="28">
        <v>120.7</v>
      </c>
      <c r="C18" s="28">
        <v>82</v>
      </c>
      <c r="D18" s="56">
        <v>285.7</v>
      </c>
      <c r="E18" s="28">
        <f t="shared" si="0"/>
        <v>147.11637487126674</v>
      </c>
      <c r="F18" s="56">
        <v>1656.2</v>
      </c>
      <c r="G18" s="58">
        <f>F18/'20'!K19*100</f>
        <v>50.169635284139105</v>
      </c>
      <c r="I18" s="70"/>
      <c r="J18" s="70"/>
      <c r="K18" s="70"/>
    </row>
    <row r="19" spans="1:11" hidden="1" outlineLevel="1">
      <c r="A19" s="66">
        <v>1975</v>
      </c>
      <c r="B19" s="28">
        <v>106.1</v>
      </c>
      <c r="C19" s="28">
        <v>82.8</v>
      </c>
      <c r="D19" s="56">
        <v>248.8</v>
      </c>
      <c r="E19" s="28">
        <f t="shared" si="0"/>
        <v>128.11534500514935</v>
      </c>
      <c r="F19" s="56">
        <v>1698.1</v>
      </c>
      <c r="G19" s="58">
        <f>F19/'20'!K20*100</f>
        <v>60.244084152268776</v>
      </c>
      <c r="I19" s="70"/>
      <c r="J19" s="70"/>
      <c r="K19" s="70"/>
    </row>
    <row r="20" spans="1:11" hidden="1" outlineLevel="1">
      <c r="A20" s="66">
        <v>1976</v>
      </c>
      <c r="B20" s="28">
        <v>117.1</v>
      </c>
      <c r="C20" s="28">
        <v>83.6</v>
      </c>
      <c r="D20" s="56">
        <v>271.89999999999998</v>
      </c>
      <c r="E20" s="28">
        <f t="shared" si="0"/>
        <v>140.01029866117406</v>
      </c>
      <c r="F20" s="56">
        <v>2132.6999999999998</v>
      </c>
      <c r="G20" s="58">
        <f>F20/'20'!K21*100</f>
        <v>65.69026058029938</v>
      </c>
      <c r="I20" s="70"/>
      <c r="J20" s="70"/>
      <c r="K20" s="70"/>
    </row>
    <row r="21" spans="1:11" hidden="1" outlineLevel="1">
      <c r="A21" s="66">
        <v>1977</v>
      </c>
      <c r="B21" s="28">
        <v>113</v>
      </c>
      <c r="C21" s="28">
        <v>84.3</v>
      </c>
      <c r="D21" s="56">
        <v>260.10000000000002</v>
      </c>
      <c r="E21" s="28">
        <f t="shared" si="0"/>
        <v>133.93408856848612</v>
      </c>
      <c r="F21" s="56">
        <v>2288.6</v>
      </c>
      <c r="G21" s="58">
        <f>F21/'20'!K22*100</f>
        <v>67.108465530891706</v>
      </c>
      <c r="I21" s="70"/>
      <c r="J21" s="70"/>
      <c r="K21" s="70"/>
    </row>
    <row r="22" spans="1:11" hidden="1" outlineLevel="1">
      <c r="A22" s="66">
        <v>1978</v>
      </c>
      <c r="B22" s="28">
        <v>116.5</v>
      </c>
      <c r="C22" s="28">
        <v>85</v>
      </c>
      <c r="D22" s="56">
        <v>266.10000000000002</v>
      </c>
      <c r="E22" s="28">
        <f t="shared" si="0"/>
        <v>137.02368692070033</v>
      </c>
      <c r="F22" s="56">
        <v>2521.6</v>
      </c>
      <c r="G22" s="58">
        <f>F22/'20'!K23*100</f>
        <v>65.132377631409014</v>
      </c>
      <c r="I22" s="70"/>
      <c r="J22" s="70"/>
      <c r="K22" s="70"/>
    </row>
    <row r="23" spans="1:11" hidden="1" outlineLevel="1">
      <c r="A23" s="66">
        <v>1979</v>
      </c>
      <c r="B23" s="28">
        <v>119.5</v>
      </c>
      <c r="C23" s="28">
        <v>85.6</v>
      </c>
      <c r="D23" s="56">
        <v>271.10000000000002</v>
      </c>
      <c r="E23" s="28">
        <f t="shared" si="0"/>
        <v>139.59835221421218</v>
      </c>
      <c r="F23" s="56">
        <v>2757</v>
      </c>
      <c r="G23" s="58">
        <f>F23/'20'!K24*100</f>
        <v>56.139279169211974</v>
      </c>
      <c r="I23" s="70"/>
      <c r="J23" s="70"/>
      <c r="K23" s="70"/>
    </row>
    <row r="24" spans="1:11" hidden="1" outlineLevel="1">
      <c r="A24" s="66">
        <v>1980</v>
      </c>
      <c r="B24" s="28">
        <v>120.7</v>
      </c>
      <c r="C24" s="28">
        <v>86.3</v>
      </c>
      <c r="D24" s="56">
        <v>271.8</v>
      </c>
      <c r="E24" s="28">
        <f t="shared" si="0"/>
        <v>139.95880535530384</v>
      </c>
      <c r="F24" s="56">
        <v>3072.4</v>
      </c>
      <c r="G24" s="58">
        <f>F24/'20'!K25*100</f>
        <v>54.083931840585834</v>
      </c>
      <c r="I24" s="70"/>
      <c r="J24" s="70"/>
      <c r="K24" s="70"/>
    </row>
    <row r="25" spans="1:11" collapsed="1">
      <c r="A25" s="66">
        <v>1981</v>
      </c>
      <c r="B25" s="28">
        <v>122.4</v>
      </c>
      <c r="C25" s="28">
        <v>86.9</v>
      </c>
      <c r="D25" s="56">
        <v>273.7</v>
      </c>
      <c r="E25" s="28">
        <f t="shared" si="0"/>
        <v>140.93717816683829</v>
      </c>
      <c r="F25" s="56">
        <v>3435.1</v>
      </c>
      <c r="G25" s="58">
        <f>F25/'20'!K26*100</f>
        <v>60.096221133659903</v>
      </c>
      <c r="I25" s="70"/>
      <c r="J25" s="206"/>
      <c r="K25" s="70"/>
    </row>
    <row r="26" spans="1:11">
      <c r="A26" s="66">
        <v>1982</v>
      </c>
      <c r="B26" s="28">
        <v>110.6</v>
      </c>
      <c r="C26" s="28">
        <v>87.9</v>
      </c>
      <c r="D26" s="56">
        <v>244.3</v>
      </c>
      <c r="E26" s="28">
        <f t="shared" si="0"/>
        <v>125.79814624098869</v>
      </c>
      <c r="F26" s="56">
        <v>3602.7</v>
      </c>
      <c r="G26" s="58">
        <f>F26/'20'!K27*100</f>
        <v>75.316720324455417</v>
      </c>
      <c r="J26" s="139"/>
    </row>
    <row r="27" spans="1:11">
      <c r="A27" s="66">
        <v>1983</v>
      </c>
      <c r="B27" s="28">
        <v>108.2</v>
      </c>
      <c r="C27" s="28">
        <v>88.9</v>
      </c>
      <c r="D27" s="56">
        <v>236.3</v>
      </c>
      <c r="E27" s="28">
        <f t="shared" si="0"/>
        <v>121.67868177136974</v>
      </c>
      <c r="F27" s="56">
        <v>3790.4</v>
      </c>
      <c r="G27" s="58">
        <f>F27/'20'!K28*100</f>
        <v>76.208858596216103</v>
      </c>
      <c r="J27" s="139"/>
    </row>
    <row r="28" spans="1:11">
      <c r="A28" s="66">
        <v>1984</v>
      </c>
      <c r="B28" s="28">
        <v>109.8</v>
      </c>
      <c r="C28" s="28">
        <v>89.6</v>
      </c>
      <c r="D28" s="56">
        <v>238</v>
      </c>
      <c r="E28" s="28">
        <f t="shared" si="0"/>
        <v>122.55406797116375</v>
      </c>
      <c r="F28" s="56">
        <v>3977.6</v>
      </c>
      <c r="G28" s="58">
        <f>F28/'20'!K29*100</f>
        <v>64.764882115409662</v>
      </c>
      <c r="J28" s="139"/>
    </row>
    <row r="29" spans="1:11">
      <c r="A29" s="66">
        <v>1985</v>
      </c>
      <c r="B29" s="28">
        <v>107.6</v>
      </c>
      <c r="C29" s="28">
        <v>90.1</v>
      </c>
      <c r="D29" s="56">
        <v>231.9</v>
      </c>
      <c r="E29" s="28">
        <f t="shared" si="0"/>
        <v>119.4129763130793</v>
      </c>
      <c r="F29" s="56">
        <v>4236.6000000000004</v>
      </c>
      <c r="G29" s="58">
        <f>F29/'20'!K30*100</f>
        <v>68.147600051473432</v>
      </c>
      <c r="J29" s="139"/>
    </row>
    <row r="30" spans="1:11">
      <c r="A30" s="66">
        <v>1986</v>
      </c>
      <c r="B30" s="28">
        <v>112.5</v>
      </c>
      <c r="C30" s="28">
        <v>90.5</v>
      </c>
      <c r="D30" s="56">
        <v>241.4</v>
      </c>
      <c r="E30" s="28">
        <f t="shared" si="0"/>
        <v>124.30484037075182</v>
      </c>
      <c r="F30" s="56">
        <v>4516.8</v>
      </c>
      <c r="G30" s="58">
        <f>F30/'20'!K31*100</f>
        <v>61.889232961552167</v>
      </c>
      <c r="J30" s="139"/>
    </row>
    <row r="31" spans="1:11">
      <c r="A31" s="66">
        <v>1987</v>
      </c>
      <c r="B31" s="28">
        <v>118.2</v>
      </c>
      <c r="C31" s="28">
        <v>90.8</v>
      </c>
      <c r="D31" s="56">
        <v>252.7</v>
      </c>
      <c r="E31" s="28">
        <f t="shared" si="0"/>
        <v>130.12358393408857</v>
      </c>
      <c r="F31" s="56">
        <v>4720.3999999999996</v>
      </c>
      <c r="G31" s="58">
        <f>F31/'20'!K32*100</f>
        <v>52.272903447283035</v>
      </c>
      <c r="J31" s="139"/>
    </row>
    <row r="32" spans="1:11">
      <c r="A32" s="66">
        <v>1988</v>
      </c>
      <c r="B32" s="28">
        <v>117.7</v>
      </c>
      <c r="C32" s="28">
        <v>91.3</v>
      </c>
      <c r="D32" s="56">
        <v>250.4</v>
      </c>
      <c r="E32" s="28">
        <f t="shared" si="0"/>
        <v>128.93923789907313</v>
      </c>
      <c r="F32" s="56">
        <v>5050.3999999999996</v>
      </c>
      <c r="G32" s="58">
        <f>F32/'20'!K33*100</f>
        <v>48.809811444752633</v>
      </c>
      <c r="J32" s="139"/>
    </row>
    <row r="33" spans="1:10">
      <c r="A33" s="66">
        <v>1989</v>
      </c>
      <c r="B33" s="28">
        <v>118</v>
      </c>
      <c r="C33" s="28">
        <v>91.8</v>
      </c>
      <c r="D33" s="56">
        <v>249.7</v>
      </c>
      <c r="E33" s="28">
        <f t="shared" si="0"/>
        <v>128.57878475798145</v>
      </c>
      <c r="F33" s="56">
        <v>5257.2</v>
      </c>
      <c r="G33" s="58">
        <f>F33/'20'!K34*100</f>
        <v>53.341179812902048</v>
      </c>
      <c r="J33" s="139"/>
    </row>
    <row r="34" spans="1:10">
      <c r="A34" s="66">
        <v>1990</v>
      </c>
      <c r="B34" s="28">
        <v>114.1</v>
      </c>
      <c r="C34" s="28">
        <v>92.5</v>
      </c>
      <c r="D34" s="56">
        <v>239.6</v>
      </c>
      <c r="E34" s="28">
        <f t="shared" si="0"/>
        <v>123.37796086508754</v>
      </c>
      <c r="F34" s="56">
        <v>5320.5</v>
      </c>
      <c r="G34" s="58">
        <f>F34/'20'!K35*100</f>
        <v>62.630222128050285</v>
      </c>
      <c r="J34" s="139"/>
    </row>
    <row r="35" spans="1:10">
      <c r="A35" s="66">
        <v>1991</v>
      </c>
      <c r="B35" s="28">
        <v>110.2</v>
      </c>
      <c r="C35" s="28">
        <v>93.7</v>
      </c>
      <c r="D35" s="56">
        <v>228.5</v>
      </c>
      <c r="E35" s="28">
        <f t="shared" si="0"/>
        <v>117.66220391349125</v>
      </c>
      <c r="F35" s="56">
        <v>5418.6</v>
      </c>
      <c r="G35" s="58">
        <f>F35/'20'!K36*100</f>
        <v>82.714089451992066</v>
      </c>
      <c r="J35" s="139"/>
    </row>
    <row r="36" spans="1:10">
      <c r="A36" s="66">
        <v>1992</v>
      </c>
      <c r="B36" s="28">
        <v>106.8</v>
      </c>
      <c r="C36" s="28">
        <v>94.2</v>
      </c>
      <c r="D36" s="56">
        <v>220.1</v>
      </c>
      <c r="E36" s="28">
        <f t="shared" si="0"/>
        <v>113.33676622039135</v>
      </c>
      <c r="F36" s="56">
        <v>5410.7</v>
      </c>
      <c r="G36" s="58">
        <f>F36/'20'!K37*100</f>
        <v>91.386153664262665</v>
      </c>
      <c r="J36" s="139"/>
    </row>
    <row r="37" spans="1:10">
      <c r="A37" s="66">
        <v>1993</v>
      </c>
      <c r="B37" s="28">
        <v>104.3</v>
      </c>
      <c r="C37" s="28">
        <v>95.5</v>
      </c>
      <c r="D37" s="56">
        <v>212.1</v>
      </c>
      <c r="E37" s="28">
        <f t="shared" si="0"/>
        <v>109.21730175077241</v>
      </c>
      <c r="F37" s="56">
        <v>5457.3</v>
      </c>
      <c r="G37" s="58">
        <f>F37/'20'!K38*100</f>
        <v>86.341486567730911</v>
      </c>
      <c r="J37" s="139"/>
    </row>
    <row r="38" spans="1:10">
      <c r="A38" s="66">
        <v>1994</v>
      </c>
      <c r="B38" s="28">
        <v>107.2</v>
      </c>
      <c r="C38" s="28">
        <v>96.2</v>
      </c>
      <c r="D38" s="56">
        <v>216.5</v>
      </c>
      <c r="E38" s="28">
        <f t="shared" si="0"/>
        <v>111.48300720906283</v>
      </c>
      <c r="F38" s="56">
        <v>5674.4</v>
      </c>
      <c r="G38" s="58">
        <f>F38/'20'!K39*100</f>
        <v>70.226853628049142</v>
      </c>
      <c r="J38" s="139"/>
    </row>
    <row r="39" spans="1:10">
      <c r="A39" s="66">
        <v>1995</v>
      </c>
      <c r="B39" s="28">
        <v>113.5</v>
      </c>
      <c r="C39" s="28">
        <v>97</v>
      </c>
      <c r="D39" s="56">
        <v>227.2</v>
      </c>
      <c r="E39" s="28">
        <f t="shared" si="0"/>
        <v>116.99279093717816</v>
      </c>
      <c r="F39" s="56">
        <v>6050.8</v>
      </c>
      <c r="G39" s="58">
        <f>F39/'20'!K40*100</f>
        <v>41.814148589909259</v>
      </c>
      <c r="J39" s="139"/>
    </row>
    <row r="40" spans="1:10">
      <c r="A40" s="66">
        <v>1996</v>
      </c>
      <c r="B40" s="28">
        <v>109.7</v>
      </c>
      <c r="C40" s="28">
        <v>97.3</v>
      </c>
      <c r="D40" s="56">
        <v>218.8</v>
      </c>
      <c r="E40" s="28">
        <f t="shared" si="0"/>
        <v>112.66735324407829</v>
      </c>
      <c r="F40" s="56">
        <v>6132.9</v>
      </c>
      <c r="G40" s="58">
        <f>F40/'20'!K41*100</f>
        <v>50.167691904980039</v>
      </c>
      <c r="J40" s="139"/>
    </row>
    <row r="41" spans="1:10">
      <c r="A41" s="66">
        <v>1997</v>
      </c>
      <c r="B41" s="28">
        <v>108.2</v>
      </c>
      <c r="C41" s="28">
        <v>97.9</v>
      </c>
      <c r="D41" s="56">
        <v>214.5</v>
      </c>
      <c r="E41" s="28">
        <f t="shared" si="0"/>
        <v>110.4531410916581</v>
      </c>
      <c r="F41" s="56">
        <v>6117</v>
      </c>
      <c r="G41" s="58">
        <f>F41/'20'!K42*100</f>
        <v>56.446552487819289</v>
      </c>
      <c r="J41" s="139"/>
    </row>
    <row r="42" spans="1:10">
      <c r="A42" s="66">
        <v>1998</v>
      </c>
      <c r="B42" s="28">
        <v>102</v>
      </c>
      <c r="C42" s="28">
        <v>98.4</v>
      </c>
      <c r="D42" s="56">
        <v>201.4</v>
      </c>
      <c r="E42" s="28">
        <f t="shared" si="0"/>
        <v>103.70751802265706</v>
      </c>
      <c r="F42" s="56">
        <v>5911.2</v>
      </c>
      <c r="G42" s="58">
        <f>F42/'20'!K43*100</f>
        <v>51.710654081338078</v>
      </c>
      <c r="J42" s="139"/>
    </row>
    <row r="43" spans="1:10">
      <c r="A43" s="66">
        <v>1999</v>
      </c>
      <c r="B43" s="28">
        <v>106.8</v>
      </c>
      <c r="C43" s="28">
        <v>98.8</v>
      </c>
      <c r="D43" s="56">
        <v>210</v>
      </c>
      <c r="E43" s="28">
        <f t="shared" si="0"/>
        <v>108.13594232749743</v>
      </c>
      <c r="F43" s="56">
        <v>6264.4</v>
      </c>
      <c r="G43" s="58">
        <f>F43/'20'!K44*100</f>
        <v>55.037778949218065</v>
      </c>
      <c r="J43" s="139"/>
    </row>
    <row r="44" spans="1:10">
      <c r="A44" s="66">
        <v>2000</v>
      </c>
      <c r="B44" s="28">
        <v>104.5</v>
      </c>
      <c r="C44" s="28">
        <v>98.2</v>
      </c>
      <c r="D44" s="56">
        <v>206.8</v>
      </c>
      <c r="E44" s="28">
        <f t="shared" si="0"/>
        <v>106.48815653964985</v>
      </c>
      <c r="F44" s="56">
        <v>6411.6</v>
      </c>
      <c r="G44" s="58">
        <f>F44/'20'!K45*100</f>
        <v>44.112669079300431</v>
      </c>
      <c r="J44" s="139"/>
    </row>
    <row r="45" spans="1:10">
      <c r="A45" s="66">
        <v>2001</v>
      </c>
      <c r="B45" s="28">
        <v>106.1</v>
      </c>
      <c r="C45" s="28">
        <v>99.8</v>
      </c>
      <c r="D45" s="56">
        <v>206.3</v>
      </c>
      <c r="E45" s="28">
        <f t="shared" si="0"/>
        <v>106.23069001029867</v>
      </c>
      <c r="F45" s="56">
        <v>6486.1</v>
      </c>
      <c r="G45" s="58">
        <f>F45/'20'!K46*100</f>
        <v>47.8527109478173</v>
      </c>
      <c r="J45" s="139"/>
    </row>
    <row r="46" spans="1:10">
      <c r="A46" s="66">
        <v>2002</v>
      </c>
      <c r="B46" s="28">
        <v>100</v>
      </c>
      <c r="C46" s="28">
        <v>100</v>
      </c>
      <c r="D46" s="56">
        <v>194.2</v>
      </c>
      <c r="E46" s="28">
        <f t="shared" si="0"/>
        <v>100</v>
      </c>
      <c r="F46" s="56">
        <v>6615.7</v>
      </c>
      <c r="G46" s="58">
        <f>F46/'20'!K47*100</f>
        <v>55.759051985705618</v>
      </c>
      <c r="J46" s="139"/>
    </row>
    <row r="47" spans="1:10">
      <c r="A47" s="66">
        <v>2003</v>
      </c>
      <c r="B47" s="28">
        <v>100.6</v>
      </c>
      <c r="C47" s="28">
        <v>99.8</v>
      </c>
      <c r="D47" s="56">
        <v>195.7</v>
      </c>
      <c r="E47" s="28">
        <f t="shared" si="0"/>
        <v>100.77239958805355</v>
      </c>
      <c r="F47" s="56">
        <v>6877.7</v>
      </c>
      <c r="G47" s="58">
        <f>F47/'20'!K48*100</f>
        <v>64.241546796189056</v>
      </c>
      <c r="J47" s="139"/>
    </row>
    <row r="48" spans="1:10">
      <c r="A48" s="66">
        <v>2004</v>
      </c>
      <c r="B48" s="28">
        <v>104.3</v>
      </c>
      <c r="C48" s="28">
        <v>100.7</v>
      </c>
      <c r="D48" s="56">
        <v>201.1</v>
      </c>
      <c r="E48" s="28">
        <f t="shared" si="0"/>
        <v>103.55303810504634</v>
      </c>
      <c r="F48" s="56">
        <v>7214.7</v>
      </c>
      <c r="G48" s="58">
        <f>F48/'20'!K49*100</f>
        <v>65.384301677496538</v>
      </c>
      <c r="J48" s="139"/>
    </row>
    <row r="49" spans="1:14">
      <c r="A49" s="66">
        <v>2005</v>
      </c>
      <c r="B49" s="28">
        <v>102.3</v>
      </c>
      <c r="C49" s="28">
        <v>101.8</v>
      </c>
      <c r="D49" s="56">
        <v>195.2</v>
      </c>
      <c r="E49" s="28">
        <f t="shared" si="0"/>
        <v>100.51493305870235</v>
      </c>
      <c r="F49" s="56">
        <v>7562.8</v>
      </c>
      <c r="G49" s="58">
        <f>F49/'20'!K50*100</f>
        <v>68.074458126305188</v>
      </c>
      <c r="J49" s="139"/>
    </row>
    <row r="50" spans="1:14">
      <c r="A50" s="66">
        <v>2006</v>
      </c>
      <c r="B50" s="28">
        <v>97.5</v>
      </c>
      <c r="C50" s="28">
        <v>101.6</v>
      </c>
      <c r="D50" s="56">
        <v>186.4</v>
      </c>
      <c r="E50" s="28">
        <f t="shared" si="0"/>
        <v>95.983522142121529</v>
      </c>
      <c r="F50" s="56">
        <v>7250.6</v>
      </c>
      <c r="G50" s="58">
        <f>F50/'20'!K51*100</f>
        <v>68.195370622924926</v>
      </c>
      <c r="J50" s="139"/>
    </row>
    <row r="51" spans="1:14">
      <c r="A51" s="66">
        <v>2007</v>
      </c>
      <c r="B51" s="28">
        <v>96.7</v>
      </c>
      <c r="C51" s="28">
        <v>103.5</v>
      </c>
      <c r="D51" s="56">
        <v>181.5</v>
      </c>
      <c r="E51" s="28">
        <f t="shared" si="0"/>
        <v>93.460350154479926</v>
      </c>
      <c r="F51" s="56">
        <v>7156.3</v>
      </c>
      <c r="G51" s="58">
        <f>F51/'20'!K52*100</f>
        <v>72.655004720955958</v>
      </c>
      <c r="J51" s="139"/>
    </row>
    <row r="52" spans="1:14">
      <c r="A52" s="66">
        <v>2008</v>
      </c>
      <c r="B52" s="28">
        <v>91.6</v>
      </c>
      <c r="C52" s="28">
        <v>105.1</v>
      </c>
      <c r="D52" s="56">
        <v>169.2</v>
      </c>
      <c r="E52" s="28">
        <f t="shared" si="0"/>
        <v>87.126673532440776</v>
      </c>
      <c r="F52" s="56">
        <v>6754.4</v>
      </c>
      <c r="G52" s="58">
        <f>F52/'20'!K53*100</f>
        <v>72.300660451076311</v>
      </c>
      <c r="J52" s="139"/>
    </row>
    <row r="53" spans="1:14">
      <c r="A53" s="66"/>
      <c r="B53" s="28"/>
      <c r="C53" s="28"/>
      <c r="D53" s="56"/>
      <c r="F53" s="56"/>
      <c r="G53" s="56"/>
    </row>
    <row r="54" spans="1:14">
      <c r="A54" s="66" t="s">
        <v>23</v>
      </c>
    </row>
    <row r="55" spans="1:14">
      <c r="A55" s="64" t="s">
        <v>2118</v>
      </c>
      <c r="B55" s="67">
        <f>((B52/B5)^(1/47)-1)*100</f>
        <v>0.28318266804412406</v>
      </c>
      <c r="C55" s="67">
        <f t="shared" ref="C55:G55" si="1">((C52/C5)^(1/47)-1)*100</f>
        <v>0.80802611279233716</v>
      </c>
      <c r="D55" s="67">
        <f t="shared" si="1"/>
        <v>-0.52115826705019241</v>
      </c>
      <c r="E55" s="67">
        <f t="shared" si="1"/>
        <v>-0.52115826705019241</v>
      </c>
      <c r="F55" s="67">
        <f t="shared" si="1"/>
        <v>5.6450541038121749</v>
      </c>
      <c r="G55" s="67">
        <f t="shared" si="1"/>
        <v>0.60460559707515849</v>
      </c>
      <c r="H55" s="67"/>
      <c r="I55" s="67"/>
      <c r="J55" s="67"/>
      <c r="K55" s="67"/>
      <c r="L55" s="67"/>
      <c r="M55" s="67"/>
      <c r="N55" s="67"/>
    </row>
    <row r="56" spans="1:14">
      <c r="A56" s="68" t="s">
        <v>1031</v>
      </c>
      <c r="B56" s="67">
        <f>((B17/B5)^(1/12)-1)*100</f>
        <v>2.9815141469824447</v>
      </c>
      <c r="C56" s="67">
        <f t="shared" ref="C56:G56" si="2">((C17/C5)^(1/12)-1)*100</f>
        <v>0.9967417241071086</v>
      </c>
      <c r="D56" s="67">
        <f t="shared" si="2"/>
        <v>1.958986692467235</v>
      </c>
      <c r="E56" s="67">
        <f t="shared" si="2"/>
        <v>1.958986692467235</v>
      </c>
      <c r="F56" s="67">
        <f t="shared" si="2"/>
        <v>8.3519319276992512</v>
      </c>
      <c r="G56" s="67">
        <f t="shared" si="2"/>
        <v>1.4548258219380328</v>
      </c>
      <c r="H56" s="67"/>
      <c r="I56" s="67"/>
      <c r="J56" s="67"/>
      <c r="K56" s="67"/>
      <c r="L56" s="67"/>
      <c r="M56" s="67"/>
      <c r="N56" s="67"/>
    </row>
    <row r="57" spans="1:14">
      <c r="A57" s="68" t="s">
        <v>1032</v>
      </c>
      <c r="B57" s="67">
        <f>((B25/B17)^(1/8)-1)*100</f>
        <v>0.88160233846026337</v>
      </c>
      <c r="C57" s="67">
        <f t="shared" ref="C57:G57" si="3">((C25/C17)^(1/8)-1)*100</f>
        <v>0.86717677042873476</v>
      </c>
      <c r="D57" s="67">
        <f t="shared" si="3"/>
        <v>3.201538460160247E-2</v>
      </c>
      <c r="E57" s="67">
        <f t="shared" si="3"/>
        <v>3.201538460160247E-2</v>
      </c>
      <c r="F57" s="67">
        <f t="shared" si="3"/>
        <v>12.500113368078658</v>
      </c>
      <c r="G57" s="67">
        <f t="shared" si="3"/>
        <v>-0.93186388997534841</v>
      </c>
      <c r="H57" s="67"/>
      <c r="I57" s="67"/>
      <c r="J57" s="67"/>
      <c r="K57" s="67"/>
      <c r="L57" s="67"/>
      <c r="M57" s="67"/>
      <c r="N57" s="67"/>
    </row>
    <row r="58" spans="1:14">
      <c r="A58" s="69" t="s">
        <v>1783</v>
      </c>
      <c r="B58" s="67">
        <f>((B52/B25)^(1/27)-1)*100</f>
        <v>-1.0678248672825408</v>
      </c>
      <c r="C58" s="67">
        <f t="shared" ref="C58:G58" si="4">((C52/C25)^(1/27)-1)*100</f>
        <v>0.70676083232013021</v>
      </c>
      <c r="D58" s="67">
        <f t="shared" si="4"/>
        <v>-1.7655292499167752</v>
      </c>
      <c r="E58" s="67">
        <f t="shared" si="4"/>
        <v>-1.7655292499167752</v>
      </c>
      <c r="F58" s="67">
        <f t="shared" si="4"/>
        <v>2.5358720396194689</v>
      </c>
      <c r="G58" s="67">
        <f t="shared" si="4"/>
        <v>0.68711394664573433</v>
      </c>
      <c r="H58" s="67"/>
      <c r="I58" s="67"/>
      <c r="J58" s="67"/>
      <c r="K58" s="67"/>
      <c r="L58" s="67"/>
      <c r="M58" s="67"/>
      <c r="N58" s="67"/>
    </row>
    <row r="59" spans="1:14">
      <c r="A59" s="68" t="s">
        <v>25</v>
      </c>
      <c r="B59" s="67">
        <f>((B33/B25)^(1/8)-1)*100</f>
        <v>-0.45657632691532557</v>
      </c>
      <c r="C59" s="67">
        <f t="shared" ref="C59:G59" si="5">((C33/C25)^(1/8)-1)*100</f>
        <v>0.68803447284855324</v>
      </c>
      <c r="D59" s="67">
        <f t="shared" si="5"/>
        <v>-1.1406004971308725</v>
      </c>
      <c r="E59" s="67">
        <f t="shared" si="5"/>
        <v>-1.1406004971308725</v>
      </c>
      <c r="F59" s="67">
        <f t="shared" si="5"/>
        <v>5.4634293958620406</v>
      </c>
      <c r="G59" s="67">
        <f t="shared" si="5"/>
        <v>-1.47942641649359</v>
      </c>
      <c r="H59" s="65"/>
      <c r="I59" s="65"/>
      <c r="J59" s="65"/>
      <c r="K59" s="65"/>
      <c r="L59" s="65"/>
      <c r="M59" s="65"/>
      <c r="N59" s="65"/>
    </row>
    <row r="60" spans="1:14">
      <c r="A60" s="69" t="s">
        <v>2134</v>
      </c>
      <c r="B60" s="65">
        <f>((B52/B30)^(1/22)-1)*100</f>
        <v>-0.92984067682648774</v>
      </c>
      <c r="C60" s="65">
        <f t="shared" ref="C60:G60" si="6">((C52/C30)^(1/22)-1)*100</f>
        <v>0.68214529874288665</v>
      </c>
      <c r="D60" s="65">
        <f t="shared" si="6"/>
        <v>-1.6023591521250991</v>
      </c>
      <c r="E60" s="65">
        <f t="shared" si="6"/>
        <v>-1.6023591521250991</v>
      </c>
      <c r="F60" s="65">
        <f t="shared" si="6"/>
        <v>1.845876634331578</v>
      </c>
      <c r="G60" s="65">
        <f t="shared" si="6"/>
        <v>0.70926271903235527</v>
      </c>
      <c r="H60" s="65"/>
      <c r="I60" s="65"/>
      <c r="J60" s="65"/>
      <c r="K60" s="65"/>
      <c r="L60" s="65"/>
      <c r="M60" s="65"/>
      <c r="N60" s="65"/>
    </row>
    <row r="61" spans="1:14">
      <c r="A61" s="69" t="s">
        <v>26</v>
      </c>
      <c r="B61" s="65">
        <f>((B44/B33)^(1/11)-1)*100</f>
        <v>-1.098445748277721</v>
      </c>
      <c r="C61" s="65">
        <f t="shared" ref="C61:G61" si="7">((C44/C33)^(1/11)-1)*100</f>
        <v>0.61455265299645845</v>
      </c>
      <c r="D61" s="65">
        <f t="shared" si="7"/>
        <v>-1.6991091072342424</v>
      </c>
      <c r="E61" s="65">
        <f t="shared" si="7"/>
        <v>-1.6991091072342424</v>
      </c>
      <c r="F61" s="65">
        <f t="shared" si="7"/>
        <v>1.8210209523775278</v>
      </c>
      <c r="G61" s="65">
        <f t="shared" si="7"/>
        <v>-1.7120979135565872</v>
      </c>
      <c r="H61" s="65"/>
      <c r="I61" s="65"/>
      <c r="J61" s="65"/>
      <c r="K61" s="65"/>
      <c r="L61" s="65"/>
      <c r="M61" s="65"/>
      <c r="N61" s="65"/>
    </row>
    <row r="62" spans="1:14">
      <c r="A62" s="69" t="s">
        <v>1779</v>
      </c>
      <c r="B62" s="65">
        <f>((B52/B44)^(1/8)-1)*100</f>
        <v>-1.6334594647262946</v>
      </c>
      <c r="C62" s="65">
        <f t="shared" ref="C62:G62" si="8">((C52/C44)^(1/8)-1)*100</f>
        <v>0.85243852229170969</v>
      </c>
      <c r="D62" s="65">
        <f t="shared" si="8"/>
        <v>-2.4771851535739797</v>
      </c>
      <c r="E62" s="65">
        <f t="shared" si="8"/>
        <v>-2.4771851535739797</v>
      </c>
      <c r="F62" s="65">
        <f t="shared" si="8"/>
        <v>0.65319022555465622</v>
      </c>
      <c r="G62" s="65">
        <f t="shared" si="8"/>
        <v>6.3707854374299933</v>
      </c>
      <c r="H62" s="65"/>
      <c r="I62" s="65"/>
      <c r="J62" s="65"/>
      <c r="K62" s="65"/>
      <c r="L62" s="65"/>
      <c r="M62" s="65"/>
      <c r="N62" s="65"/>
    </row>
    <row r="64" spans="1:14" ht="30" customHeight="1">
      <c r="A64" s="104" t="s">
        <v>1012</v>
      </c>
      <c r="B64" s="104"/>
      <c r="C64" s="104"/>
      <c r="D64" s="104"/>
      <c r="E64" s="104"/>
      <c r="F64" s="104"/>
      <c r="G64" s="104"/>
    </row>
  </sheetData>
  <mergeCells count="5">
    <mergeCell ref="A2:A3"/>
    <mergeCell ref="B3:C3"/>
    <mergeCell ref="D2:E2"/>
    <mergeCell ref="A64:G64"/>
    <mergeCell ref="A1:G1"/>
  </mergeCells>
  <pageMargins left="0.70866141732283472" right="0.70866141732283472" top="0.74803149606299213" bottom="0.74803149606299213" header="0.31496062992125984" footer="0.31496062992125984"/>
  <pageSetup scale="89" orientation="portrait" horizontalDpi="0" verticalDpi="0" r:id="rId1"/>
</worksheet>
</file>

<file path=xl/worksheets/sheet126.xml><?xml version="1.0" encoding="utf-8"?>
<worksheet xmlns="http://schemas.openxmlformats.org/spreadsheetml/2006/main" xmlns:r="http://schemas.openxmlformats.org/officeDocument/2006/relationships">
  <sheetPr codeName="Sheet119"/>
  <dimension ref="A1:M64"/>
  <sheetViews>
    <sheetView view="pageBreakPreview" zoomScaleNormal="70" zoomScaleSheetLayoutView="100"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2" style="64" customWidth="1"/>
    <col min="2" max="2" width="9.28515625" style="64" bestFit="1" customWidth="1"/>
    <col min="3" max="3" width="14" style="64" customWidth="1"/>
    <col min="4" max="6" width="9.28515625" style="64" bestFit="1" customWidth="1"/>
    <col min="7" max="7" width="9.28515625" style="64" customWidth="1"/>
    <col min="8" max="8" width="8" style="64" customWidth="1"/>
    <col min="9" max="9" width="12.85546875" style="64" customWidth="1"/>
    <col min="10" max="10" width="8.5703125" style="64" customWidth="1"/>
    <col min="11" max="11" width="8.7109375" style="64" customWidth="1"/>
    <col min="12" max="12" width="9.140625" style="64" customWidth="1"/>
    <col min="13" max="16384" width="9.140625" style="64"/>
  </cols>
  <sheetData>
    <row r="1" spans="1:12">
      <c r="A1" s="93" t="s">
        <v>2004</v>
      </c>
      <c r="B1" s="93"/>
      <c r="C1" s="93"/>
      <c r="D1" s="93"/>
      <c r="E1" s="93"/>
      <c r="F1" s="93"/>
      <c r="G1" s="93"/>
      <c r="H1" s="93"/>
      <c r="I1" s="93"/>
      <c r="J1" s="93"/>
      <c r="K1" s="93"/>
      <c r="L1" s="93"/>
    </row>
    <row r="2" spans="1:12" ht="15" customHeight="1">
      <c r="A2" s="96"/>
      <c r="B2" s="97" t="s">
        <v>834</v>
      </c>
      <c r="C2" s="105" t="s">
        <v>128</v>
      </c>
      <c r="D2" s="106"/>
      <c r="E2" s="106"/>
      <c r="F2" s="106"/>
      <c r="G2" s="97" t="s">
        <v>1084</v>
      </c>
      <c r="H2" s="97" t="s">
        <v>841</v>
      </c>
      <c r="I2" s="107" t="s">
        <v>1008</v>
      </c>
      <c r="J2" s="107"/>
      <c r="K2" s="107"/>
      <c r="L2" s="107"/>
    </row>
    <row r="3" spans="1:12" ht="45">
      <c r="A3" s="96"/>
      <c r="B3" s="97"/>
      <c r="C3" s="73" t="s">
        <v>1007</v>
      </c>
      <c r="D3" s="73" t="s">
        <v>124</v>
      </c>
      <c r="E3" s="73" t="s">
        <v>125</v>
      </c>
      <c r="F3" s="75" t="s">
        <v>126</v>
      </c>
      <c r="G3" s="97"/>
      <c r="H3" s="97"/>
      <c r="I3" s="73" t="s">
        <v>1007</v>
      </c>
      <c r="J3" s="73" t="s">
        <v>124</v>
      </c>
      <c r="K3" s="73" t="s">
        <v>125</v>
      </c>
      <c r="L3" s="73" t="s">
        <v>126</v>
      </c>
    </row>
    <row r="4" spans="1:12" ht="30">
      <c r="A4" s="96"/>
      <c r="B4" s="97" t="s">
        <v>844</v>
      </c>
      <c r="C4" s="97"/>
      <c r="D4" s="97"/>
      <c r="E4" s="97"/>
      <c r="F4" s="97"/>
      <c r="G4" s="73" t="s">
        <v>784</v>
      </c>
      <c r="H4" s="97" t="s">
        <v>1002</v>
      </c>
      <c r="I4" s="97"/>
      <c r="J4" s="97"/>
      <c r="K4" s="97"/>
      <c r="L4" s="97"/>
    </row>
    <row r="5" spans="1:12" hidden="1" outlineLevel="1">
      <c r="B5" s="57" t="s">
        <v>162</v>
      </c>
      <c r="C5" s="57" t="s">
        <v>164</v>
      </c>
      <c r="D5" s="57" t="s">
        <v>165</v>
      </c>
      <c r="E5" s="57" t="s">
        <v>166</v>
      </c>
      <c r="F5" s="57" t="s">
        <v>167</v>
      </c>
      <c r="G5" s="57"/>
      <c r="H5" s="57" t="s">
        <v>170</v>
      </c>
      <c r="I5" s="57" t="s">
        <v>171</v>
      </c>
      <c r="J5" s="57" t="s">
        <v>172</v>
      </c>
      <c r="K5" s="57" t="s">
        <v>173</v>
      </c>
      <c r="L5" s="57" t="s">
        <v>174</v>
      </c>
    </row>
    <row r="6" spans="1:12" collapsed="1">
      <c r="A6" s="66">
        <v>1961</v>
      </c>
      <c r="B6" s="28">
        <v>37.9</v>
      </c>
      <c r="C6" s="28">
        <v>32.700000000000003</v>
      </c>
      <c r="D6" s="28">
        <v>57.2</v>
      </c>
      <c r="E6" s="28">
        <v>32.200000000000003</v>
      </c>
      <c r="F6" s="28">
        <v>17.5</v>
      </c>
      <c r="G6" s="28">
        <f>H6/'20'!K6*100</f>
        <v>45.536855560289737</v>
      </c>
      <c r="H6" s="56">
        <v>427.5</v>
      </c>
      <c r="I6" s="56">
        <v>1216.4000000000001</v>
      </c>
      <c r="J6" s="56">
        <v>118.2</v>
      </c>
      <c r="K6" s="56">
        <v>990</v>
      </c>
      <c r="L6" s="56">
        <v>108.2</v>
      </c>
    </row>
    <row r="7" spans="1:12" hidden="1" outlineLevel="1">
      <c r="A7" s="66">
        <v>1962</v>
      </c>
      <c r="B7" s="28">
        <v>38.200000000000003</v>
      </c>
      <c r="C7" s="28">
        <v>34.200000000000003</v>
      </c>
      <c r="D7" s="28">
        <v>56.2</v>
      </c>
      <c r="E7" s="28">
        <v>34</v>
      </c>
      <c r="F7" s="28">
        <v>18.5</v>
      </c>
      <c r="G7" s="28">
        <f>H7/'20'!K7*100</f>
        <v>45.365310665857109</v>
      </c>
      <c r="H7" s="56">
        <v>448.3</v>
      </c>
      <c r="I7" s="56">
        <v>1289.7</v>
      </c>
      <c r="J7" s="56">
        <v>123.2</v>
      </c>
      <c r="K7" s="56">
        <v>1050.7</v>
      </c>
      <c r="L7" s="56">
        <v>115.8</v>
      </c>
    </row>
    <row r="8" spans="1:12" hidden="1" outlineLevel="1">
      <c r="A8" s="66">
        <v>1963</v>
      </c>
      <c r="B8" s="28">
        <v>39.1</v>
      </c>
      <c r="C8" s="28">
        <v>36.1</v>
      </c>
      <c r="D8" s="28">
        <v>57.8</v>
      </c>
      <c r="E8" s="28">
        <v>36</v>
      </c>
      <c r="F8" s="28">
        <v>19.399999999999999</v>
      </c>
      <c r="G8" s="28">
        <f>H8/'20'!K8*100</f>
        <v>45.37782520128043</v>
      </c>
      <c r="H8" s="56">
        <v>467.8</v>
      </c>
      <c r="I8" s="56">
        <v>1362.4</v>
      </c>
      <c r="J8" s="56">
        <v>127</v>
      </c>
      <c r="K8" s="56">
        <v>1112.4000000000001</v>
      </c>
      <c r="L8" s="56">
        <v>123</v>
      </c>
    </row>
    <row r="9" spans="1:12" hidden="1" outlineLevel="1">
      <c r="A9" s="66">
        <v>1964</v>
      </c>
      <c r="B9" s="28">
        <v>42.8</v>
      </c>
      <c r="C9" s="28">
        <v>39.5</v>
      </c>
      <c r="D9" s="28">
        <v>63.5</v>
      </c>
      <c r="E9" s="28">
        <v>39.4</v>
      </c>
      <c r="F9" s="28">
        <v>20.399999999999999</v>
      </c>
      <c r="G9" s="28">
        <f>H9/'20'!K9*100</f>
        <v>45.857962064402294</v>
      </c>
      <c r="H9" s="56">
        <v>519.79999999999995</v>
      </c>
      <c r="I9" s="56">
        <v>1512.6</v>
      </c>
      <c r="J9" s="56">
        <v>139.5</v>
      </c>
      <c r="K9" s="56">
        <v>1242.2</v>
      </c>
      <c r="L9" s="56">
        <v>130.80000000000001</v>
      </c>
    </row>
    <row r="10" spans="1:12" hidden="1" outlineLevel="1">
      <c r="A10" s="66">
        <v>1965</v>
      </c>
      <c r="B10" s="28">
        <v>48.3</v>
      </c>
      <c r="C10" s="28">
        <v>42.1</v>
      </c>
      <c r="D10" s="28">
        <v>67.599999999999994</v>
      </c>
      <c r="E10" s="28">
        <v>42</v>
      </c>
      <c r="F10" s="28">
        <v>22.6</v>
      </c>
      <c r="G10" s="28">
        <f>H10/'20'!K10*100</f>
        <v>43.147164639369535</v>
      </c>
      <c r="H10" s="56">
        <v>503.7</v>
      </c>
      <c r="I10" s="56">
        <v>1649.1</v>
      </c>
      <c r="J10" s="56">
        <v>152.5</v>
      </c>
      <c r="K10" s="56">
        <v>1347.6</v>
      </c>
      <c r="L10" s="56">
        <v>148.9</v>
      </c>
    </row>
    <row r="11" spans="1:12" hidden="1" outlineLevel="1">
      <c r="A11" s="66">
        <v>1966</v>
      </c>
      <c r="B11" s="28">
        <v>56.1</v>
      </c>
      <c r="C11" s="28">
        <v>45.9</v>
      </c>
      <c r="D11" s="28">
        <v>72.3</v>
      </c>
      <c r="E11" s="28">
        <v>45.9</v>
      </c>
      <c r="F11" s="28">
        <v>24.2</v>
      </c>
      <c r="G11" s="28">
        <f>H11/'20'!K11*100</f>
        <v>38.452959451923846</v>
      </c>
      <c r="H11" s="56">
        <v>482.7</v>
      </c>
      <c r="I11" s="56">
        <v>1852.1</v>
      </c>
      <c r="J11" s="56">
        <v>164.9</v>
      </c>
      <c r="K11" s="56">
        <v>1522</v>
      </c>
      <c r="L11" s="56">
        <v>165.3</v>
      </c>
    </row>
    <row r="12" spans="1:12" hidden="1" outlineLevel="1">
      <c r="A12" s="66">
        <v>1967</v>
      </c>
      <c r="B12" s="28">
        <v>61</v>
      </c>
      <c r="C12" s="28">
        <v>46.7</v>
      </c>
      <c r="D12" s="28">
        <v>75</v>
      </c>
      <c r="E12" s="28">
        <v>46.6</v>
      </c>
      <c r="F12" s="28">
        <v>24.5</v>
      </c>
      <c r="G12" s="28">
        <f>H12/'20'!K12*100</f>
        <v>31.390793339862881</v>
      </c>
      <c r="H12" s="56">
        <v>384.6</v>
      </c>
      <c r="I12" s="56">
        <v>1949.6</v>
      </c>
      <c r="J12" s="56">
        <v>177</v>
      </c>
      <c r="K12" s="56">
        <v>1597.5</v>
      </c>
      <c r="L12" s="56">
        <v>175.2</v>
      </c>
    </row>
    <row r="13" spans="1:12" hidden="1" outlineLevel="1">
      <c r="A13" s="66">
        <v>1968</v>
      </c>
      <c r="B13" s="28">
        <v>60.9</v>
      </c>
      <c r="C13" s="28">
        <v>48.8</v>
      </c>
      <c r="D13" s="28">
        <v>77.099999999999994</v>
      </c>
      <c r="E13" s="28">
        <v>48.9</v>
      </c>
      <c r="F13" s="28">
        <v>25.1</v>
      </c>
      <c r="G13" s="28">
        <f>H13/'20'!K13*100</f>
        <v>29.247429961547518</v>
      </c>
      <c r="H13" s="56">
        <v>372.7</v>
      </c>
      <c r="I13" s="56">
        <v>2076.9</v>
      </c>
      <c r="J13" s="56">
        <v>185.6</v>
      </c>
      <c r="K13" s="56">
        <v>1703.4</v>
      </c>
      <c r="L13" s="56">
        <v>187.9</v>
      </c>
    </row>
    <row r="14" spans="1:12" hidden="1" outlineLevel="1">
      <c r="A14" s="66">
        <v>1969</v>
      </c>
      <c r="B14" s="28">
        <v>62.3</v>
      </c>
      <c r="C14" s="28">
        <v>52.9</v>
      </c>
      <c r="D14" s="28">
        <v>84.5</v>
      </c>
      <c r="E14" s="28">
        <v>52.9</v>
      </c>
      <c r="F14" s="28">
        <v>27.7</v>
      </c>
      <c r="G14" s="28">
        <f>H14/'20'!K14*100</f>
        <v>32.082767978290363</v>
      </c>
      <c r="H14" s="56">
        <v>472.9</v>
      </c>
      <c r="I14" s="56">
        <v>2299.5</v>
      </c>
      <c r="J14" s="56">
        <v>203.7</v>
      </c>
      <c r="K14" s="56">
        <v>1880.6</v>
      </c>
      <c r="L14" s="56">
        <v>215.3</v>
      </c>
    </row>
    <row r="15" spans="1:12" hidden="1" outlineLevel="1">
      <c r="A15" s="66">
        <v>1970</v>
      </c>
      <c r="B15" s="28">
        <v>66.099999999999994</v>
      </c>
      <c r="C15" s="28">
        <v>53.1</v>
      </c>
      <c r="D15" s="28">
        <v>83.8</v>
      </c>
      <c r="E15" s="28">
        <v>53.1</v>
      </c>
      <c r="F15" s="28">
        <v>27.9</v>
      </c>
      <c r="G15" s="28">
        <f>H15/'20'!K15*100</f>
        <v>31.254443223679964</v>
      </c>
      <c r="H15" s="56">
        <v>483.6</v>
      </c>
      <c r="I15" s="56">
        <v>2371.1</v>
      </c>
      <c r="J15" s="56">
        <v>210.3</v>
      </c>
      <c r="K15" s="56">
        <v>1933.6</v>
      </c>
      <c r="L15" s="56">
        <v>227.2</v>
      </c>
    </row>
    <row r="16" spans="1:12" hidden="1" outlineLevel="1">
      <c r="A16" s="66">
        <v>1971</v>
      </c>
      <c r="B16" s="28">
        <v>68.3</v>
      </c>
      <c r="C16" s="28">
        <v>53.8</v>
      </c>
      <c r="D16" s="28">
        <v>91.2</v>
      </c>
      <c r="E16" s="28">
        <v>53.5</v>
      </c>
      <c r="F16" s="28">
        <v>27.8</v>
      </c>
      <c r="G16" s="28">
        <f>H16/'20'!K16*100</f>
        <v>26.353696064951222</v>
      </c>
      <c r="H16" s="56">
        <v>402.5</v>
      </c>
      <c r="I16" s="56">
        <v>2459.1999999999998</v>
      </c>
      <c r="J16" s="56">
        <v>238.5</v>
      </c>
      <c r="K16" s="56">
        <v>1986.3</v>
      </c>
      <c r="L16" s="56">
        <v>234.4</v>
      </c>
    </row>
    <row r="17" spans="1:12" hidden="1" outlineLevel="1">
      <c r="A17" s="66">
        <v>1972</v>
      </c>
      <c r="B17" s="28">
        <v>68.400000000000006</v>
      </c>
      <c r="C17" s="28">
        <v>57.5</v>
      </c>
      <c r="D17" s="28">
        <v>97.2</v>
      </c>
      <c r="E17" s="28">
        <v>57.1</v>
      </c>
      <c r="F17" s="28">
        <v>29.9</v>
      </c>
      <c r="G17" s="28">
        <f>H17/'20'!K17*100</f>
        <v>25.730887960777192</v>
      </c>
      <c r="H17" s="56">
        <v>425.1</v>
      </c>
      <c r="I17" s="56">
        <v>2686.1</v>
      </c>
      <c r="J17" s="56">
        <v>258.10000000000002</v>
      </c>
      <c r="K17" s="56">
        <v>2163.1</v>
      </c>
      <c r="L17" s="56">
        <v>265</v>
      </c>
    </row>
    <row r="18" spans="1:12" collapsed="1">
      <c r="A18" s="66">
        <v>1973</v>
      </c>
      <c r="B18" s="28">
        <v>67.8</v>
      </c>
      <c r="C18" s="28">
        <v>61.4</v>
      </c>
      <c r="D18" s="28">
        <v>100.9</v>
      </c>
      <c r="E18" s="28">
        <v>61.3</v>
      </c>
      <c r="F18" s="28">
        <v>32</v>
      </c>
      <c r="G18" s="28">
        <f>H18/'20'!K18*100</f>
        <v>35.224963715529753</v>
      </c>
      <c r="H18" s="56">
        <v>728.1</v>
      </c>
      <c r="I18" s="56">
        <v>3092.9</v>
      </c>
      <c r="J18" s="56">
        <v>281.39999999999998</v>
      </c>
      <c r="K18" s="56">
        <v>2512.6999999999998</v>
      </c>
      <c r="L18" s="56">
        <v>298.89999999999998</v>
      </c>
    </row>
    <row r="19" spans="1:12" hidden="1" outlineLevel="1">
      <c r="A19" s="66">
        <v>1974</v>
      </c>
      <c r="B19" s="28">
        <v>68.900000000000006</v>
      </c>
      <c r="C19" s="28">
        <v>67.099999999999994</v>
      </c>
      <c r="D19" s="28">
        <v>119.3</v>
      </c>
      <c r="E19" s="28">
        <v>66.2</v>
      </c>
      <c r="F19" s="28">
        <v>35.299999999999997</v>
      </c>
      <c r="G19" s="28">
        <f>H19/'20'!K19*100</f>
        <v>49.830364715860902</v>
      </c>
      <c r="H19" s="56">
        <v>1645</v>
      </c>
      <c r="I19" s="56">
        <v>4296.8999999999996</v>
      </c>
      <c r="J19" s="56">
        <v>439.3</v>
      </c>
      <c r="K19" s="56">
        <v>3489.8</v>
      </c>
      <c r="L19" s="56">
        <v>367.7</v>
      </c>
    </row>
    <row r="20" spans="1:12" hidden="1" outlineLevel="1">
      <c r="A20" s="66">
        <v>1975</v>
      </c>
      <c r="B20" s="28">
        <v>68.5</v>
      </c>
      <c r="C20" s="28">
        <v>54.7</v>
      </c>
      <c r="D20" s="28">
        <v>94.9</v>
      </c>
      <c r="E20" s="28">
        <v>53.8</v>
      </c>
      <c r="F20" s="28">
        <v>30.9</v>
      </c>
      <c r="G20" s="28">
        <f>H20/'20'!K20*100</f>
        <v>39.755915847731224</v>
      </c>
      <c r="H20" s="56">
        <v>1120.5999999999999</v>
      </c>
      <c r="I20" s="56">
        <v>4197.1000000000004</v>
      </c>
      <c r="J20" s="56">
        <v>437.7</v>
      </c>
      <c r="K20" s="56">
        <v>3395.1</v>
      </c>
      <c r="L20" s="56">
        <v>364.3</v>
      </c>
    </row>
    <row r="21" spans="1:12" hidden="1" outlineLevel="1">
      <c r="A21" s="66">
        <v>1976</v>
      </c>
      <c r="B21" s="28">
        <v>69.2</v>
      </c>
      <c r="C21" s="28">
        <v>61.5</v>
      </c>
      <c r="D21" s="28">
        <v>107</v>
      </c>
      <c r="E21" s="28">
        <v>60.4</v>
      </c>
      <c r="F21" s="28">
        <v>34.299999999999997</v>
      </c>
      <c r="G21" s="28">
        <f>H21/'20'!K21*100</f>
        <v>34.309739419700612</v>
      </c>
      <c r="H21" s="56">
        <v>1113.9000000000001</v>
      </c>
      <c r="I21" s="56">
        <v>4994.3</v>
      </c>
      <c r="J21" s="56">
        <v>586.6</v>
      </c>
      <c r="K21" s="56">
        <v>3966.4</v>
      </c>
      <c r="L21" s="56">
        <v>441.4</v>
      </c>
    </row>
    <row r="22" spans="1:12" hidden="1" outlineLevel="1">
      <c r="A22" s="66">
        <v>1977</v>
      </c>
      <c r="B22" s="28">
        <v>69.900000000000006</v>
      </c>
      <c r="C22" s="28">
        <v>61.2</v>
      </c>
      <c r="D22" s="28">
        <v>102.5</v>
      </c>
      <c r="E22" s="28">
        <v>60.2</v>
      </c>
      <c r="F22" s="28">
        <v>35.4</v>
      </c>
      <c r="G22" s="28">
        <f>H22/'20'!K22*100</f>
        <v>32.894466762454911</v>
      </c>
      <c r="H22" s="56">
        <v>1121.8</v>
      </c>
      <c r="I22" s="56">
        <v>5324.5</v>
      </c>
      <c r="J22" s="56">
        <v>695.6</v>
      </c>
      <c r="K22" s="56">
        <v>4148.2</v>
      </c>
      <c r="L22" s="56">
        <v>480.6</v>
      </c>
    </row>
    <row r="23" spans="1:12" hidden="1" outlineLevel="1">
      <c r="A23" s="66">
        <v>1978</v>
      </c>
      <c r="B23" s="28">
        <v>68.3</v>
      </c>
      <c r="C23" s="28">
        <v>65.400000000000006</v>
      </c>
      <c r="D23" s="28">
        <v>101.9</v>
      </c>
      <c r="E23" s="28">
        <v>64.8</v>
      </c>
      <c r="F23" s="28">
        <v>39.700000000000003</v>
      </c>
      <c r="G23" s="28">
        <f>H23/'20'!K23*100</f>
        <v>34.867622368590986</v>
      </c>
      <c r="H23" s="56">
        <v>1349.9</v>
      </c>
      <c r="I23" s="56">
        <v>6015.9</v>
      </c>
      <c r="J23" s="56">
        <v>816.9</v>
      </c>
      <c r="K23" s="56">
        <v>4630.6000000000004</v>
      </c>
      <c r="L23" s="56">
        <v>568.4</v>
      </c>
    </row>
    <row r="24" spans="1:12" hidden="1" outlineLevel="1">
      <c r="A24" s="66">
        <v>1979</v>
      </c>
      <c r="B24" s="28">
        <v>67.400000000000006</v>
      </c>
      <c r="C24" s="28">
        <v>68.400000000000006</v>
      </c>
      <c r="D24" s="28">
        <v>101.9</v>
      </c>
      <c r="E24" s="28">
        <v>68.3</v>
      </c>
      <c r="F24" s="28">
        <v>41.8</v>
      </c>
      <c r="G24" s="28">
        <f>H24/'20'!K24*100</f>
        <v>43.86275707595194</v>
      </c>
      <c r="H24" s="56">
        <v>2154.1</v>
      </c>
      <c r="I24" s="56">
        <v>7161.3</v>
      </c>
      <c r="J24" s="56">
        <v>941</v>
      </c>
      <c r="K24" s="56">
        <v>5581.5</v>
      </c>
      <c r="L24" s="56">
        <v>638.9</v>
      </c>
    </row>
    <row r="25" spans="1:12" hidden="1" outlineLevel="1">
      <c r="A25" s="66">
        <v>1980</v>
      </c>
      <c r="B25" s="28">
        <v>71</v>
      </c>
      <c r="C25" s="28">
        <v>70</v>
      </c>
      <c r="D25" s="28">
        <v>97</v>
      </c>
      <c r="E25" s="28">
        <v>70.2</v>
      </c>
      <c r="F25" s="28">
        <v>45.5</v>
      </c>
      <c r="G25" s="28">
        <f>H25/'20'!K25*100</f>
        <v>45.916068159414166</v>
      </c>
      <c r="H25" s="56">
        <v>2608.4</v>
      </c>
      <c r="I25" s="56">
        <v>8511.4</v>
      </c>
      <c r="J25" s="56">
        <v>1044</v>
      </c>
      <c r="K25" s="56">
        <v>6720.8</v>
      </c>
      <c r="L25" s="56">
        <v>746.6</v>
      </c>
    </row>
    <row r="26" spans="1:12" collapsed="1">
      <c r="A26" s="66">
        <v>1981</v>
      </c>
      <c r="B26" s="28">
        <v>79</v>
      </c>
      <c r="C26" s="28">
        <v>68.400000000000006</v>
      </c>
      <c r="D26" s="28">
        <v>88.8</v>
      </c>
      <c r="E26" s="28">
        <v>68.3</v>
      </c>
      <c r="F26" s="28">
        <v>50.5</v>
      </c>
      <c r="G26" s="31">
        <f>H26/'20'!K26*100</f>
        <v>39.903778866340097</v>
      </c>
      <c r="H26" s="56">
        <v>2280.9</v>
      </c>
      <c r="I26" s="56">
        <v>9625.2999999999993</v>
      </c>
      <c r="J26" s="56">
        <v>1270.2</v>
      </c>
      <c r="K26" s="56">
        <v>7438.1</v>
      </c>
      <c r="L26" s="56">
        <v>917</v>
      </c>
    </row>
    <row r="27" spans="1:12">
      <c r="A27" s="66">
        <v>1982</v>
      </c>
      <c r="B27" s="28">
        <v>82.1</v>
      </c>
      <c r="C27" s="28">
        <v>62.9</v>
      </c>
      <c r="D27" s="28">
        <v>80.900000000000006</v>
      </c>
      <c r="E27" s="28">
        <v>62.6</v>
      </c>
      <c r="F27" s="28">
        <v>48.5</v>
      </c>
      <c r="G27" s="31">
        <f>H27/'20'!K27*100</f>
        <v>24.685370238742319</v>
      </c>
      <c r="H27" s="56">
        <v>1180.8</v>
      </c>
      <c r="I27" s="56">
        <v>9596.1</v>
      </c>
      <c r="J27" s="56">
        <v>1360.9</v>
      </c>
      <c r="K27" s="56">
        <v>7259.3</v>
      </c>
      <c r="L27" s="56">
        <v>976</v>
      </c>
    </row>
    <row r="28" spans="1:12">
      <c r="A28" s="66">
        <v>1983</v>
      </c>
      <c r="B28" s="28">
        <v>78.099999999999994</v>
      </c>
      <c r="C28" s="28">
        <v>65.599999999999994</v>
      </c>
      <c r="D28" s="28">
        <v>81.2</v>
      </c>
      <c r="E28" s="28">
        <v>66</v>
      </c>
      <c r="F28" s="28">
        <v>49.3</v>
      </c>
      <c r="G28" s="31">
        <f>H28/'20'!K28*100</f>
        <v>23.793151979411707</v>
      </c>
      <c r="H28" s="56">
        <v>1183.4000000000001</v>
      </c>
      <c r="I28" s="56">
        <v>9953.6</v>
      </c>
      <c r="J28" s="56">
        <v>1504.6</v>
      </c>
      <c r="K28" s="56">
        <v>7408.2</v>
      </c>
      <c r="L28" s="56">
        <v>1040.8</v>
      </c>
    </row>
    <row r="29" spans="1:12">
      <c r="A29" s="66">
        <v>1984</v>
      </c>
      <c r="B29" s="28">
        <v>76.2</v>
      </c>
      <c r="C29" s="28">
        <v>69.5</v>
      </c>
      <c r="D29" s="28">
        <v>85.4</v>
      </c>
      <c r="E29" s="28">
        <v>69.5</v>
      </c>
      <c r="F29" s="28">
        <v>55.1</v>
      </c>
      <c r="G29" s="31">
        <f>H29/'20'!K29*100</f>
        <v>35.235117884590331</v>
      </c>
      <c r="H29" s="56">
        <v>2164</v>
      </c>
      <c r="I29" s="56">
        <v>11297.8</v>
      </c>
      <c r="J29" s="56">
        <v>1684.6</v>
      </c>
      <c r="K29" s="56">
        <v>8413.7000000000007</v>
      </c>
      <c r="L29" s="56">
        <v>1199.5999999999999</v>
      </c>
    </row>
    <row r="30" spans="1:12">
      <c r="A30" s="66">
        <v>1985</v>
      </c>
      <c r="B30" s="28">
        <v>80</v>
      </c>
      <c r="C30" s="28">
        <v>71.599999999999994</v>
      </c>
      <c r="D30" s="28">
        <v>83.8</v>
      </c>
      <c r="E30" s="28">
        <v>72.3</v>
      </c>
      <c r="F30" s="28">
        <v>56.5</v>
      </c>
      <c r="G30" s="31">
        <f>H30/'20'!K30*100</f>
        <v>31.852399948526571</v>
      </c>
      <c r="H30" s="56">
        <v>1980.2</v>
      </c>
      <c r="I30" s="56">
        <v>11800.8</v>
      </c>
      <c r="J30" s="56">
        <v>1729</v>
      </c>
      <c r="K30" s="56">
        <v>8811.6</v>
      </c>
      <c r="L30" s="56">
        <v>1260.3</v>
      </c>
    </row>
    <row r="31" spans="1:12">
      <c r="A31" s="66">
        <v>1986</v>
      </c>
      <c r="B31" s="28">
        <v>81.900000000000006</v>
      </c>
      <c r="C31" s="28">
        <v>76.900000000000006</v>
      </c>
      <c r="D31" s="28">
        <v>81.7</v>
      </c>
      <c r="E31" s="28">
        <v>78.3</v>
      </c>
      <c r="F31" s="28">
        <v>64.8</v>
      </c>
      <c r="G31" s="31">
        <f>H31/'20'!K31*100</f>
        <v>38.11076703844784</v>
      </c>
      <c r="H31" s="56">
        <v>2781.4</v>
      </c>
      <c r="I31" s="56">
        <v>12577.9</v>
      </c>
      <c r="J31" s="56">
        <v>1552.4</v>
      </c>
      <c r="K31" s="56">
        <v>9557.2000000000007</v>
      </c>
      <c r="L31" s="56">
        <v>1468.3</v>
      </c>
    </row>
    <row r="32" spans="1:12">
      <c r="A32" s="66">
        <v>1987</v>
      </c>
      <c r="B32" s="28">
        <v>87.4</v>
      </c>
      <c r="C32" s="28">
        <v>81.2</v>
      </c>
      <c r="D32" s="28">
        <v>82.6</v>
      </c>
      <c r="E32" s="28">
        <v>82.7</v>
      </c>
      <c r="F32" s="28">
        <v>71.599999999999994</v>
      </c>
      <c r="G32" s="31">
        <f>H32/'20'!K32*100</f>
        <v>47.725989169795028</v>
      </c>
      <c r="H32" s="56">
        <v>4309.8</v>
      </c>
      <c r="I32" s="56">
        <v>13814.5</v>
      </c>
      <c r="J32" s="56">
        <v>1613.6</v>
      </c>
      <c r="K32" s="56">
        <v>10531.4</v>
      </c>
      <c r="L32" s="56">
        <v>1669.5</v>
      </c>
    </row>
    <row r="33" spans="1:12">
      <c r="A33" s="66">
        <v>1988</v>
      </c>
      <c r="B33" s="28">
        <v>99.2</v>
      </c>
      <c r="C33" s="28">
        <v>83.6</v>
      </c>
      <c r="D33" s="28">
        <v>90.7</v>
      </c>
      <c r="E33" s="28">
        <v>84.3</v>
      </c>
      <c r="F33" s="28">
        <v>73.2</v>
      </c>
      <c r="G33" s="31">
        <f>H33/'20'!K33*100</f>
        <v>51.19018855524736</v>
      </c>
      <c r="H33" s="56">
        <v>5296.7</v>
      </c>
      <c r="I33" s="56">
        <v>15266.4</v>
      </c>
      <c r="J33" s="56">
        <v>1725.1</v>
      </c>
      <c r="K33" s="56">
        <v>11675.5</v>
      </c>
      <c r="L33" s="56">
        <v>1865.8</v>
      </c>
    </row>
    <row r="34" spans="1:12">
      <c r="A34" s="66">
        <v>1989</v>
      </c>
      <c r="B34" s="28">
        <v>120.1</v>
      </c>
      <c r="C34" s="28">
        <v>83</v>
      </c>
      <c r="D34" s="28">
        <v>90.7</v>
      </c>
      <c r="E34" s="28">
        <v>84</v>
      </c>
      <c r="F34" s="28">
        <v>70.400000000000006</v>
      </c>
      <c r="G34" s="31">
        <f>H34/'20'!K34*100</f>
        <v>46.658820187097959</v>
      </c>
      <c r="H34" s="56">
        <v>4598.6000000000004</v>
      </c>
      <c r="I34" s="56">
        <v>16047.9</v>
      </c>
      <c r="J34" s="56">
        <v>1777</v>
      </c>
      <c r="K34" s="56">
        <v>12398.2</v>
      </c>
      <c r="L34" s="56">
        <v>1872.7</v>
      </c>
    </row>
    <row r="35" spans="1:12">
      <c r="A35" s="66">
        <v>1990</v>
      </c>
      <c r="B35" s="28">
        <v>130.30000000000001</v>
      </c>
      <c r="C35" s="28">
        <v>79</v>
      </c>
      <c r="D35" s="28">
        <v>89.7</v>
      </c>
      <c r="E35" s="28">
        <v>79.2</v>
      </c>
      <c r="F35" s="28">
        <v>69.2</v>
      </c>
      <c r="G35" s="31">
        <f>H35/'20'!K35*100</f>
        <v>37.369777871949708</v>
      </c>
      <c r="H35" s="56">
        <v>3174.6</v>
      </c>
      <c r="I35" s="56">
        <v>15563.4</v>
      </c>
      <c r="J35" s="56">
        <v>1901.9</v>
      </c>
      <c r="K35" s="56">
        <v>11716.6</v>
      </c>
      <c r="L35" s="56">
        <v>1944.8</v>
      </c>
    </row>
    <row r="36" spans="1:12">
      <c r="A36" s="66">
        <v>1991</v>
      </c>
      <c r="B36" s="28">
        <v>131.30000000000001</v>
      </c>
      <c r="C36" s="28">
        <v>76.900000000000006</v>
      </c>
      <c r="D36" s="28">
        <v>96.3</v>
      </c>
      <c r="E36" s="28">
        <v>76.900000000000006</v>
      </c>
      <c r="F36" s="28">
        <v>61.6</v>
      </c>
      <c r="G36" s="31">
        <f>H36/'20'!K36*100</f>
        <v>17.285910548007937</v>
      </c>
      <c r="H36" s="56">
        <v>1132.4000000000001</v>
      </c>
      <c r="I36" s="56">
        <v>14670.2</v>
      </c>
      <c r="J36" s="56">
        <v>2012.4</v>
      </c>
      <c r="K36" s="56">
        <v>10898.1</v>
      </c>
      <c r="L36" s="56">
        <v>1759.7</v>
      </c>
    </row>
    <row r="37" spans="1:12">
      <c r="A37" s="66">
        <v>1992</v>
      </c>
      <c r="B37" s="28">
        <v>129.6</v>
      </c>
      <c r="C37" s="28">
        <v>77.8</v>
      </c>
      <c r="D37" s="28">
        <v>92.9</v>
      </c>
      <c r="E37" s="28">
        <v>78.5</v>
      </c>
      <c r="F37" s="28">
        <v>61.9</v>
      </c>
      <c r="G37" s="31">
        <f>H37/'20'!K37*100</f>
        <v>8.6121573462597336</v>
      </c>
      <c r="H37" s="56">
        <v>509.9</v>
      </c>
      <c r="I37" s="56">
        <v>14760.5</v>
      </c>
      <c r="J37" s="56">
        <v>1992</v>
      </c>
      <c r="K37" s="56">
        <v>10964.3</v>
      </c>
      <c r="L37" s="56">
        <v>1804.3</v>
      </c>
    </row>
    <row r="38" spans="1:12">
      <c r="A38" s="66">
        <v>1993</v>
      </c>
      <c r="B38" s="28">
        <v>126.5</v>
      </c>
      <c r="C38" s="28">
        <v>81.099999999999994</v>
      </c>
      <c r="D38" s="28">
        <v>95.6</v>
      </c>
      <c r="E38" s="28">
        <v>82.7</v>
      </c>
      <c r="F38" s="28">
        <v>61.3</v>
      </c>
      <c r="G38" s="31">
        <f>H38/'20'!K38*100</f>
        <v>13.660095560548047</v>
      </c>
      <c r="H38" s="56">
        <v>863.4</v>
      </c>
      <c r="I38" s="56">
        <v>14945.5</v>
      </c>
      <c r="J38" s="56">
        <v>2065.1</v>
      </c>
      <c r="K38" s="56">
        <v>11061.1</v>
      </c>
      <c r="L38" s="56">
        <v>1819.3</v>
      </c>
    </row>
    <row r="39" spans="1:12">
      <c r="A39" s="66">
        <v>1994</v>
      </c>
      <c r="B39" s="28">
        <v>121.8</v>
      </c>
      <c r="C39" s="28">
        <v>88.5</v>
      </c>
      <c r="D39" s="28">
        <v>96.4</v>
      </c>
      <c r="E39" s="28">
        <v>90</v>
      </c>
      <c r="F39" s="28">
        <v>74.2</v>
      </c>
      <c r="G39" s="31">
        <f>H39/'20'!K39*100</f>
        <v>29.773146371950837</v>
      </c>
      <c r="H39" s="56">
        <v>2405.6999999999998</v>
      </c>
      <c r="I39" s="56">
        <v>17516.2</v>
      </c>
      <c r="J39" s="56">
        <v>2181.3000000000002</v>
      </c>
      <c r="K39" s="56">
        <v>13145.3</v>
      </c>
      <c r="L39" s="56">
        <v>2189.5</v>
      </c>
    </row>
    <row r="40" spans="1:12">
      <c r="A40" s="66">
        <v>1995</v>
      </c>
      <c r="B40" s="28">
        <v>127</v>
      </c>
      <c r="C40" s="28">
        <v>91.7</v>
      </c>
      <c r="D40" s="28">
        <v>101.1</v>
      </c>
      <c r="E40" s="28">
        <v>92.8</v>
      </c>
      <c r="F40" s="28">
        <v>78.7</v>
      </c>
      <c r="G40" s="31">
        <f>H40/'20'!K40*100</f>
        <v>58.185851410090727</v>
      </c>
      <c r="H40" s="56">
        <v>8419.9</v>
      </c>
      <c r="I40" s="56">
        <v>22285.200000000001</v>
      </c>
      <c r="J40" s="56">
        <v>2311.5</v>
      </c>
      <c r="K40" s="56">
        <v>17617.5</v>
      </c>
      <c r="L40" s="56">
        <v>2356.1</v>
      </c>
    </row>
    <row r="41" spans="1:12">
      <c r="A41" s="66">
        <v>1996</v>
      </c>
      <c r="B41" s="28">
        <v>128.4</v>
      </c>
      <c r="C41" s="28">
        <v>91.2</v>
      </c>
      <c r="D41" s="28">
        <v>92.7</v>
      </c>
      <c r="E41" s="28">
        <v>92.5</v>
      </c>
      <c r="F41" s="28">
        <v>82.9</v>
      </c>
      <c r="G41" s="31">
        <f>H41/'20'!K41*100</f>
        <v>49.832308095019961</v>
      </c>
      <c r="H41" s="56">
        <v>6091.9</v>
      </c>
      <c r="I41" s="56">
        <v>19974.400000000001</v>
      </c>
      <c r="J41" s="56">
        <v>2327.9</v>
      </c>
      <c r="K41" s="56">
        <v>15126.8</v>
      </c>
      <c r="L41" s="56">
        <v>2519.6999999999998</v>
      </c>
    </row>
    <row r="42" spans="1:12">
      <c r="A42" s="66">
        <v>1997</v>
      </c>
      <c r="B42" s="28">
        <v>126</v>
      </c>
      <c r="C42" s="28">
        <v>94</v>
      </c>
      <c r="D42" s="28">
        <v>97.1</v>
      </c>
      <c r="E42" s="28">
        <v>96.2</v>
      </c>
      <c r="F42" s="28">
        <v>79.599999999999994</v>
      </c>
      <c r="G42" s="31">
        <f>H42/'20'!K42*100</f>
        <v>43.553447512180718</v>
      </c>
      <c r="H42" s="56">
        <v>4719.8</v>
      </c>
      <c r="I42" s="56">
        <v>20055.3</v>
      </c>
      <c r="J42" s="56">
        <v>2502.5</v>
      </c>
      <c r="K42" s="56">
        <v>15081.2</v>
      </c>
      <c r="L42" s="56">
        <v>2471.5</v>
      </c>
    </row>
    <row r="43" spans="1:12">
      <c r="A43" s="66">
        <v>1998</v>
      </c>
      <c r="B43" s="28">
        <v>120</v>
      </c>
      <c r="C43" s="28">
        <v>88.2</v>
      </c>
      <c r="D43" s="28">
        <v>90.1</v>
      </c>
      <c r="E43" s="28">
        <v>89.8</v>
      </c>
      <c r="F43" s="28">
        <v>78.2</v>
      </c>
      <c r="G43" s="31">
        <f>H43/'20'!K43*100</f>
        <v>48.289345918661922</v>
      </c>
      <c r="H43" s="56">
        <v>5520.1</v>
      </c>
      <c r="I43" s="56">
        <v>19024.3</v>
      </c>
      <c r="J43" s="56">
        <v>2179.3000000000002</v>
      </c>
      <c r="K43" s="56">
        <v>14388.3</v>
      </c>
      <c r="L43" s="56">
        <v>2456.6999999999998</v>
      </c>
    </row>
    <row r="44" spans="1:12">
      <c r="A44" s="66">
        <v>1999</v>
      </c>
      <c r="B44" s="28">
        <v>114.3</v>
      </c>
      <c r="C44" s="28">
        <v>96.4</v>
      </c>
      <c r="D44" s="28">
        <v>98.8</v>
      </c>
      <c r="E44" s="28">
        <v>97</v>
      </c>
      <c r="F44" s="28">
        <v>91.1</v>
      </c>
      <c r="G44" s="31">
        <f>H44/'20'!K44*100</f>
        <v>44.962221050781942</v>
      </c>
      <c r="H44" s="56">
        <v>5117.6000000000004</v>
      </c>
      <c r="I44" s="56">
        <v>21377.9</v>
      </c>
      <c r="J44" s="56">
        <v>2637.6</v>
      </c>
      <c r="K44" s="56">
        <v>15845.7</v>
      </c>
      <c r="L44" s="56">
        <v>2894.6</v>
      </c>
    </row>
    <row r="45" spans="1:12">
      <c r="A45" s="66">
        <v>2000</v>
      </c>
      <c r="B45" s="28">
        <v>110.3</v>
      </c>
      <c r="C45" s="28">
        <v>101.1</v>
      </c>
      <c r="D45" s="28">
        <v>104.5</v>
      </c>
      <c r="E45" s="28">
        <v>99.4</v>
      </c>
      <c r="F45" s="28">
        <v>107.4</v>
      </c>
      <c r="G45" s="31">
        <f>H45/'20'!K45*100</f>
        <v>55.887330920699576</v>
      </c>
      <c r="H45" s="56">
        <v>8123</v>
      </c>
      <c r="I45" s="56">
        <v>24173.7</v>
      </c>
      <c r="J45" s="56">
        <v>3140.9</v>
      </c>
      <c r="K45" s="56">
        <v>17496.599999999999</v>
      </c>
      <c r="L45" s="56">
        <v>3536.2</v>
      </c>
    </row>
    <row r="46" spans="1:12">
      <c r="A46" s="66">
        <v>2001</v>
      </c>
      <c r="B46" s="28">
        <v>105.2</v>
      </c>
      <c r="C46" s="28">
        <v>99</v>
      </c>
      <c r="D46" s="28">
        <v>96.7</v>
      </c>
      <c r="E46" s="28">
        <v>99.8</v>
      </c>
      <c r="F46" s="28">
        <v>97.4</v>
      </c>
      <c r="G46" s="31">
        <f>H46/'20'!K46*100</f>
        <v>52.1472890521827</v>
      </c>
      <c r="H46" s="56">
        <v>7068.2</v>
      </c>
      <c r="I46" s="56">
        <v>23575.5</v>
      </c>
      <c r="J46" s="56">
        <v>3099</v>
      </c>
      <c r="K46" s="56">
        <v>17193.7</v>
      </c>
      <c r="L46" s="56">
        <v>3282.9</v>
      </c>
    </row>
    <row r="47" spans="1:12">
      <c r="A47" s="66">
        <v>2002</v>
      </c>
      <c r="B47" s="28">
        <v>100</v>
      </c>
      <c r="C47" s="28">
        <v>100</v>
      </c>
      <c r="D47" s="28">
        <v>100</v>
      </c>
      <c r="E47" s="28">
        <v>100</v>
      </c>
      <c r="F47" s="28">
        <v>100</v>
      </c>
      <c r="G47" s="31">
        <f>H47/'20'!K47*100</f>
        <v>44.241790843503473</v>
      </c>
      <c r="H47" s="56">
        <v>5249.2</v>
      </c>
      <c r="I47" s="56">
        <v>23329.599999999999</v>
      </c>
      <c r="J47" s="56">
        <v>3129.3</v>
      </c>
      <c r="K47" s="56">
        <v>16796.8</v>
      </c>
      <c r="L47" s="56">
        <v>3403.5</v>
      </c>
    </row>
    <row r="48" spans="1:12">
      <c r="A48" s="66">
        <v>2003</v>
      </c>
      <c r="B48" s="28">
        <v>99.5</v>
      </c>
      <c r="C48" s="28">
        <v>102</v>
      </c>
      <c r="D48" s="28">
        <v>97.2</v>
      </c>
      <c r="E48" s="28">
        <v>103.2</v>
      </c>
      <c r="F48" s="28">
        <v>100.8</v>
      </c>
      <c r="G48" s="31">
        <f>H48/'20'!K48*100</f>
        <v>35.758453203810944</v>
      </c>
      <c r="H48" s="56">
        <v>3828.3</v>
      </c>
      <c r="I48" s="56">
        <v>24097.5</v>
      </c>
      <c r="J48" s="56">
        <v>3355.7</v>
      </c>
      <c r="K48" s="56">
        <v>17218.3</v>
      </c>
      <c r="L48" s="56">
        <v>3523.5</v>
      </c>
    </row>
    <row r="49" spans="1:13">
      <c r="A49" s="66">
        <v>2004</v>
      </c>
      <c r="B49" s="28">
        <v>92.8</v>
      </c>
      <c r="C49" s="28">
        <v>101.7</v>
      </c>
      <c r="D49" s="28">
        <v>90.1</v>
      </c>
      <c r="E49" s="28">
        <v>103.4</v>
      </c>
      <c r="F49" s="28">
        <v>105</v>
      </c>
      <c r="G49" s="31">
        <f>H49/'20'!K49*100</f>
        <v>34.615698322503469</v>
      </c>
      <c r="H49" s="56">
        <v>3819.6</v>
      </c>
      <c r="I49" s="56">
        <v>24144.5</v>
      </c>
      <c r="J49" s="56">
        <v>3185.1</v>
      </c>
      <c r="K49" s="56">
        <v>17240.099999999999</v>
      </c>
      <c r="L49" s="56">
        <v>3719.3</v>
      </c>
    </row>
    <row r="50" spans="1:13">
      <c r="A50" s="66">
        <v>2005</v>
      </c>
      <c r="B50" s="28">
        <v>88.1</v>
      </c>
      <c r="C50" s="28">
        <v>93.5</v>
      </c>
      <c r="D50" s="28">
        <v>88</v>
      </c>
      <c r="E50" s="28">
        <v>94.5</v>
      </c>
      <c r="F50" s="28">
        <v>93.4</v>
      </c>
      <c r="G50" s="31">
        <f>H50/'20'!K50*100</f>
        <v>31.925541873694822</v>
      </c>
      <c r="H50" s="56">
        <v>3546.8</v>
      </c>
      <c r="I50" s="56">
        <v>22361.4</v>
      </c>
      <c r="J50" s="56">
        <v>3320.7</v>
      </c>
      <c r="K50" s="56">
        <v>15688.1</v>
      </c>
      <c r="L50" s="56">
        <v>3352.6</v>
      </c>
    </row>
    <row r="51" spans="1:13">
      <c r="A51" s="66">
        <v>2006</v>
      </c>
      <c r="B51" s="28">
        <v>83.2</v>
      </c>
      <c r="C51" s="28">
        <v>88.5</v>
      </c>
      <c r="D51" s="28">
        <v>81.900000000000006</v>
      </c>
      <c r="E51" s="28">
        <v>89.3</v>
      </c>
      <c r="F51" s="28">
        <v>91.1</v>
      </c>
      <c r="G51" s="31">
        <f>H51/'20'!K51*100</f>
        <v>31.804629377075084</v>
      </c>
      <c r="H51" s="56">
        <v>3381.5</v>
      </c>
      <c r="I51" s="56">
        <v>20904.8</v>
      </c>
      <c r="J51" s="56">
        <v>2907</v>
      </c>
      <c r="K51" s="56">
        <v>14607.6</v>
      </c>
      <c r="L51" s="56">
        <v>3390.3</v>
      </c>
    </row>
    <row r="52" spans="1:13">
      <c r="A52" s="66">
        <v>2007</v>
      </c>
      <c r="B52" s="28">
        <v>81.2</v>
      </c>
      <c r="C52" s="28">
        <v>87.9</v>
      </c>
      <c r="D52" s="28">
        <v>85.5</v>
      </c>
      <c r="E52" s="28">
        <v>88</v>
      </c>
      <c r="F52" s="28">
        <v>89.7</v>
      </c>
      <c r="G52" s="31">
        <f>H52/'20'!K52*100</f>
        <v>27.344995279044031</v>
      </c>
      <c r="H52" s="56">
        <v>2693.4</v>
      </c>
      <c r="I52" s="56">
        <v>21412.799999999999</v>
      </c>
      <c r="J52" s="56">
        <v>2913.6</v>
      </c>
      <c r="K52" s="56">
        <v>15032.7</v>
      </c>
      <c r="L52" s="56">
        <v>3466.5</v>
      </c>
    </row>
    <row r="53" spans="1:13">
      <c r="A53" s="66">
        <v>2008</v>
      </c>
      <c r="B53" s="28">
        <v>76.8</v>
      </c>
      <c r="C53" s="28">
        <v>79.900000000000006</v>
      </c>
      <c r="D53" s="28">
        <v>78.3</v>
      </c>
      <c r="E53" s="28">
        <v>80.3</v>
      </c>
      <c r="F53" s="28">
        <v>79.599999999999994</v>
      </c>
      <c r="G53" s="31">
        <f>H53/'20'!K53*100</f>
        <v>27.699339548923685</v>
      </c>
      <c r="H53" s="56">
        <v>2587.6999999999998</v>
      </c>
      <c r="I53" s="56">
        <v>20218.5</v>
      </c>
      <c r="J53" s="56">
        <v>2882.8</v>
      </c>
      <c r="K53" s="56">
        <v>14229.2</v>
      </c>
      <c r="L53" s="56">
        <v>3106.5</v>
      </c>
    </row>
    <row r="54" spans="1:13">
      <c r="A54" s="66"/>
      <c r="B54" s="28"/>
      <c r="C54" s="28"/>
      <c r="D54" s="28"/>
      <c r="E54" s="28"/>
      <c r="F54" s="28"/>
      <c r="G54" s="28"/>
      <c r="H54" s="56"/>
      <c r="I54" s="56"/>
      <c r="J54" s="56"/>
      <c r="K54" s="56"/>
      <c r="L54" s="56"/>
    </row>
    <row r="55" spans="1:13">
      <c r="A55" s="66" t="s">
        <v>23</v>
      </c>
    </row>
    <row r="56" spans="1:13">
      <c r="A56" s="64" t="s">
        <v>2118</v>
      </c>
      <c r="B56" s="67">
        <f>((B53/B6)^(1/47)-1)*100</f>
        <v>1.5140138864335739</v>
      </c>
      <c r="C56" s="67">
        <f t="shared" ref="C56:L56" si="0">((C53/C6)^(1/47)-1)*100</f>
        <v>1.9190339343647222</v>
      </c>
      <c r="D56" s="67">
        <f t="shared" si="0"/>
        <v>0.67030828887162386</v>
      </c>
      <c r="E56" s="67">
        <f t="shared" si="0"/>
        <v>1.9632859264814284</v>
      </c>
      <c r="F56" s="67">
        <f t="shared" si="0"/>
        <v>3.2755082220701004</v>
      </c>
      <c r="G56" s="67">
        <f t="shared" si="0"/>
        <v>-1.0521143185277748</v>
      </c>
      <c r="H56" s="67">
        <f t="shared" si="0"/>
        <v>3.9053299223993143</v>
      </c>
      <c r="I56" s="67">
        <f t="shared" si="0"/>
        <v>6.1626512330964056</v>
      </c>
      <c r="J56" s="67">
        <f t="shared" si="0"/>
        <v>7.0322932372624658</v>
      </c>
      <c r="K56" s="67">
        <f t="shared" si="0"/>
        <v>5.8348316159054336</v>
      </c>
      <c r="L56" s="67">
        <f t="shared" si="0"/>
        <v>7.4044349963695133</v>
      </c>
      <c r="M56" s="67"/>
    </row>
    <row r="57" spans="1:13">
      <c r="A57" s="68" t="s">
        <v>1031</v>
      </c>
      <c r="B57" s="67">
        <f>((B18/B6)^(1/12)-1)*100</f>
        <v>4.96613519946143</v>
      </c>
      <c r="C57" s="67">
        <f t="shared" ref="C57:L57" si="1">((C18/C6)^(1/12)-1)*100</f>
        <v>5.390561464585053</v>
      </c>
      <c r="D57" s="67">
        <f t="shared" si="1"/>
        <v>4.8434398513126364</v>
      </c>
      <c r="E57" s="67">
        <f t="shared" si="1"/>
        <v>5.5116424553085963</v>
      </c>
      <c r="F57" s="67">
        <f t="shared" si="1"/>
        <v>5.1580830855145754</v>
      </c>
      <c r="G57" s="67">
        <f t="shared" si="1"/>
        <v>-2.1169951497674311</v>
      </c>
      <c r="H57" s="67">
        <f t="shared" si="1"/>
        <v>4.5372912770573537</v>
      </c>
      <c r="I57" s="67">
        <f t="shared" si="1"/>
        <v>8.0871640799524247</v>
      </c>
      <c r="J57" s="67">
        <f t="shared" si="1"/>
        <v>7.4959786861259703</v>
      </c>
      <c r="K57" s="67">
        <f t="shared" si="1"/>
        <v>8.070904695012814</v>
      </c>
      <c r="L57" s="67">
        <f t="shared" si="1"/>
        <v>8.8365803712508786</v>
      </c>
      <c r="M57" s="67"/>
    </row>
    <row r="58" spans="1:13">
      <c r="A58" s="68" t="s">
        <v>1032</v>
      </c>
      <c r="B58" s="67">
        <f>((B26/B18)^(1/8)-1)*100</f>
        <v>1.9294485599729017</v>
      </c>
      <c r="C58" s="67">
        <f t="shared" ref="C58:L58" si="2">((C26/C18)^(1/8)-1)*100</f>
        <v>1.3586847266742197</v>
      </c>
      <c r="D58" s="67">
        <f t="shared" si="2"/>
        <v>-1.5841098467701986</v>
      </c>
      <c r="E58" s="67">
        <f t="shared" si="2"/>
        <v>1.3607997770924696</v>
      </c>
      <c r="F58" s="67">
        <f t="shared" si="2"/>
        <v>5.8687230903623488</v>
      </c>
      <c r="G58" s="67">
        <f t="shared" si="2"/>
        <v>1.5711650200064931</v>
      </c>
      <c r="H58" s="67">
        <f t="shared" si="2"/>
        <v>15.342511006647342</v>
      </c>
      <c r="I58" s="67">
        <f t="shared" si="2"/>
        <v>15.247376929763989</v>
      </c>
      <c r="J58" s="67">
        <f t="shared" si="2"/>
        <v>20.730917730152587</v>
      </c>
      <c r="K58" s="67">
        <f t="shared" si="2"/>
        <v>14.528921652262138</v>
      </c>
      <c r="L58" s="67">
        <f t="shared" si="2"/>
        <v>15.041736241207705</v>
      </c>
      <c r="M58" s="67"/>
    </row>
    <row r="59" spans="1:13">
      <c r="A59" s="68" t="s">
        <v>25</v>
      </c>
      <c r="B59" s="67">
        <f t="shared" ref="B59:L59" si="3">((B34/B26)^(1/8)-1)*100</f>
        <v>5.3754614637875342</v>
      </c>
      <c r="C59" s="67">
        <f t="shared" si="3"/>
        <v>2.44782646426418</v>
      </c>
      <c r="D59" s="67">
        <f t="shared" si="3"/>
        <v>0.26498430346186819</v>
      </c>
      <c r="E59" s="67">
        <f t="shared" si="3"/>
        <v>2.620073835895842</v>
      </c>
      <c r="F59" s="67">
        <f t="shared" si="3"/>
        <v>4.2401817980372236</v>
      </c>
      <c r="G59" s="67">
        <f t="shared" si="3"/>
        <v>1.9741199517883334</v>
      </c>
      <c r="H59" s="67">
        <f t="shared" si="3"/>
        <v>9.1603510674347355</v>
      </c>
      <c r="I59" s="67">
        <f t="shared" si="3"/>
        <v>6.5983523155298984</v>
      </c>
      <c r="J59" s="67">
        <f t="shared" si="3"/>
        <v>4.2862173089858402</v>
      </c>
      <c r="K59" s="67">
        <f t="shared" si="3"/>
        <v>6.59505993664804</v>
      </c>
      <c r="L59" s="67">
        <f t="shared" si="3"/>
        <v>9.3357930423829458</v>
      </c>
      <c r="M59" s="67"/>
    </row>
    <row r="60" spans="1:13">
      <c r="A60" s="69" t="s">
        <v>2134</v>
      </c>
      <c r="B60" s="65">
        <f>((B53/B31)^(1/22)-1)*100</f>
        <v>-0.29182042267545949</v>
      </c>
      <c r="C60" s="65">
        <f t="shared" ref="C60:L60" si="4">((C53/C31)^(1/22)-1)*100</f>
        <v>0.17410582604964198</v>
      </c>
      <c r="D60" s="65">
        <f t="shared" si="4"/>
        <v>-0.19302437183668086</v>
      </c>
      <c r="E60" s="65">
        <f t="shared" si="4"/>
        <v>0.11471127927971114</v>
      </c>
      <c r="F60" s="65">
        <f t="shared" si="4"/>
        <v>0.93942373134723312</v>
      </c>
      <c r="G60" s="65">
        <f t="shared" si="4"/>
        <v>-1.4399335851871586</v>
      </c>
      <c r="H60" s="65">
        <f t="shared" si="4"/>
        <v>-0.32757569520408536</v>
      </c>
      <c r="I60" s="65">
        <f t="shared" si="4"/>
        <v>2.1809735340803549</v>
      </c>
      <c r="J60" s="65">
        <f t="shared" si="4"/>
        <v>2.853405612101434</v>
      </c>
      <c r="K60" s="65">
        <f t="shared" si="4"/>
        <v>1.8255605394275731</v>
      </c>
      <c r="L60" s="65">
        <f t="shared" si="4"/>
        <v>3.4650042583816987</v>
      </c>
      <c r="M60" s="65"/>
    </row>
    <row r="61" spans="1:13">
      <c r="A61" s="69" t="s">
        <v>26</v>
      </c>
      <c r="B61" s="65">
        <f t="shared" ref="B61:L61" si="5">((B45/B34)^(1/11)-1)*100</f>
        <v>-0.77083915880817866</v>
      </c>
      <c r="C61" s="65">
        <f t="shared" si="5"/>
        <v>1.8095365044465073</v>
      </c>
      <c r="D61" s="65">
        <f t="shared" si="5"/>
        <v>1.2958673790659292</v>
      </c>
      <c r="E61" s="65">
        <f t="shared" si="5"/>
        <v>1.5420904160495796</v>
      </c>
      <c r="F61" s="65">
        <f t="shared" si="5"/>
        <v>3.9143683385173489</v>
      </c>
      <c r="G61" s="65">
        <f t="shared" si="5"/>
        <v>1.6542217073400867</v>
      </c>
      <c r="H61" s="65">
        <f t="shared" si="5"/>
        <v>5.3083484197016695</v>
      </c>
      <c r="I61" s="65">
        <f t="shared" si="5"/>
        <v>3.7946556950575694</v>
      </c>
      <c r="J61" s="65">
        <f t="shared" si="5"/>
        <v>5.3144296656827628</v>
      </c>
      <c r="K61" s="65">
        <f t="shared" si="5"/>
        <v>3.1809560838447659</v>
      </c>
      <c r="L61" s="65">
        <f t="shared" si="5"/>
        <v>5.9490693632622271</v>
      </c>
      <c r="M61" s="65"/>
    </row>
    <row r="62" spans="1:13">
      <c r="A62" s="69" t="s">
        <v>1779</v>
      </c>
      <c r="B62" s="65">
        <f>((B53/B45)^(1/8)-1)*100</f>
        <v>-4.4241402376118959</v>
      </c>
      <c r="C62" s="65">
        <f t="shared" ref="C62:L62" si="6">((C53/C45)^(1/8)-1)*100</f>
        <v>-2.8988322165227731</v>
      </c>
      <c r="D62" s="65">
        <f t="shared" si="6"/>
        <v>-3.5436810559344778</v>
      </c>
      <c r="E62" s="65">
        <f t="shared" si="6"/>
        <v>-2.6320233851512387</v>
      </c>
      <c r="F62" s="65">
        <f t="shared" si="6"/>
        <v>-3.6750930188097719</v>
      </c>
      <c r="G62" s="65">
        <f t="shared" si="6"/>
        <v>-8.4002041742332061</v>
      </c>
      <c r="H62" s="65">
        <f t="shared" si="6"/>
        <v>-13.323835713366982</v>
      </c>
      <c r="I62" s="65">
        <f t="shared" si="6"/>
        <v>-2.208586058315809</v>
      </c>
      <c r="J62" s="65">
        <f t="shared" si="6"/>
        <v>-1.0661179819069111</v>
      </c>
      <c r="K62" s="65">
        <f t="shared" si="6"/>
        <v>-2.5507833096577448</v>
      </c>
      <c r="L62" s="65">
        <f t="shared" si="6"/>
        <v>-1.6064075784720688</v>
      </c>
      <c r="M62" s="65"/>
    </row>
    <row r="64" spans="1:13">
      <c r="A64" s="64" t="s">
        <v>1012</v>
      </c>
    </row>
  </sheetData>
  <mergeCells count="9">
    <mergeCell ref="H2:H3"/>
    <mergeCell ref="C2:F2"/>
    <mergeCell ref="B2:B3"/>
    <mergeCell ref="G2:G3"/>
    <mergeCell ref="A1:L1"/>
    <mergeCell ref="A2:A4"/>
    <mergeCell ref="B4:F4"/>
    <mergeCell ref="H4:L4"/>
    <mergeCell ref="I2:L2"/>
  </mergeCells>
  <pageMargins left="0.70866141732283472" right="0.70866141732283472" top="0.74803149606299213" bottom="0.74803149606299213" header="0.31496062992125984" footer="0.31496062992125984"/>
  <pageSetup scale="75" orientation="portrait" horizontalDpi="0" verticalDpi="0" r:id="rId1"/>
</worksheet>
</file>

<file path=xl/worksheets/sheet127.xml><?xml version="1.0" encoding="utf-8"?>
<worksheet xmlns="http://schemas.openxmlformats.org/spreadsheetml/2006/main" xmlns:r="http://schemas.openxmlformats.org/officeDocument/2006/relationships">
  <sheetPr codeName="Sheet120"/>
  <dimension ref="A1:F18"/>
  <sheetViews>
    <sheetView view="pageBreakPreview" zoomScaleNormal="100" zoomScaleSheetLayoutView="100" workbookViewId="0">
      <selection activeCell="AC38" sqref="AC38"/>
    </sheetView>
  </sheetViews>
  <sheetFormatPr defaultRowHeight="15"/>
  <cols>
    <col min="1" max="1" width="30.5703125" style="64" customWidth="1"/>
    <col min="2" max="6" width="12.140625" style="135" customWidth="1"/>
    <col min="7" max="16384" width="9.140625" style="64"/>
  </cols>
  <sheetData>
    <row r="1" spans="1:6">
      <c r="A1" s="66" t="s">
        <v>2156</v>
      </c>
    </row>
    <row r="2" spans="1:6">
      <c r="A2" s="66"/>
      <c r="B2" s="72" t="s">
        <v>1031</v>
      </c>
      <c r="C2" s="165" t="s">
        <v>1032</v>
      </c>
      <c r="D2" s="165" t="s">
        <v>25</v>
      </c>
      <c r="E2" s="165" t="s">
        <v>26</v>
      </c>
      <c r="F2" s="165" t="s">
        <v>1779</v>
      </c>
    </row>
    <row r="3" spans="1:6">
      <c r="A3" s="66" t="s">
        <v>1087</v>
      </c>
      <c r="B3" s="110"/>
      <c r="C3" s="203"/>
      <c r="D3" s="203"/>
      <c r="E3" s="203"/>
      <c r="F3" s="203"/>
    </row>
    <row r="4" spans="1:6">
      <c r="A4" s="69" t="s">
        <v>1080</v>
      </c>
      <c r="B4" s="31">
        <f>AVERAGE('20a'!G5:G17)</f>
        <v>63.459409323005275</v>
      </c>
      <c r="C4" s="31">
        <f>AVERAGE('20a'!G17:G25)</f>
        <v>60.381605964174405</v>
      </c>
      <c r="D4" s="31">
        <f>AVERAGE('20a'!G25:G33)</f>
        <v>62.316378876411605</v>
      </c>
      <c r="E4" s="31">
        <f>AVERAGE('20a'!G33:G44)</f>
        <v>62.160790028796022</v>
      </c>
      <c r="F4" s="31">
        <f>AVERAGE('20a'!G44:G52)</f>
        <v>62.063974934196821</v>
      </c>
    </row>
    <row r="5" spans="1:6">
      <c r="A5" s="69" t="s">
        <v>1081</v>
      </c>
      <c r="B5" s="31">
        <f>AVERAGE('20b'!G6:G18)</f>
        <v>36.540235371366293</v>
      </c>
      <c r="C5" s="31">
        <f>AVERAGE('20b'!G18:G26)</f>
        <v>39.618408547952725</v>
      </c>
      <c r="D5" s="31">
        <f>AVERAGE('20b'!G26:G34)</f>
        <v>37.683953763133246</v>
      </c>
      <c r="E5" s="31">
        <f>AVERAGE('20b'!G34:G45)</f>
        <v>37.839201066104089</v>
      </c>
      <c r="F5" s="31">
        <f>AVERAGE('20b'!G45:G53)</f>
        <v>37.93611871349308</v>
      </c>
    </row>
    <row r="6" spans="1:6">
      <c r="A6" s="69"/>
      <c r="B6" s="31"/>
      <c r="C6" s="31"/>
      <c r="D6" s="31"/>
      <c r="E6" s="31"/>
      <c r="F6" s="31"/>
    </row>
    <row r="7" spans="1:6">
      <c r="A7" s="204" t="s">
        <v>793</v>
      </c>
      <c r="B7" s="31"/>
      <c r="C7" s="31"/>
      <c r="D7" s="31"/>
      <c r="E7" s="31"/>
      <c r="F7" s="31"/>
    </row>
    <row r="8" spans="1:6">
      <c r="A8" s="68" t="s">
        <v>116</v>
      </c>
      <c r="B8" s="205">
        <f>'20'!E57</f>
        <v>2.1729861384746529</v>
      </c>
      <c r="C8" s="67">
        <f>'20'!E58</f>
        <v>1.6166448117176158</v>
      </c>
      <c r="D8" s="67">
        <f>'20'!E60</f>
        <v>2.7760019544520009</v>
      </c>
      <c r="E8" s="67">
        <f>'20'!E62</f>
        <v>4.0294879217863899</v>
      </c>
      <c r="F8" s="67">
        <f>'20'!E63</f>
        <v>0.49556509566726081</v>
      </c>
    </row>
    <row r="9" spans="1:6">
      <c r="A9" s="69" t="s">
        <v>113</v>
      </c>
      <c r="B9" s="67">
        <f>'20'!C57</f>
        <v>0.37957167286559734</v>
      </c>
      <c r="C9" s="67">
        <f>'20'!C58</f>
        <v>0.16570246944727085</v>
      </c>
      <c r="D9" s="67">
        <f>'20'!C60</f>
        <v>-0.52110163859562242</v>
      </c>
      <c r="E9" s="67">
        <f>'20'!C62</f>
        <v>3.2439790237627442</v>
      </c>
      <c r="F9" s="67">
        <f>'20'!C63</f>
        <v>0.75750627719037844</v>
      </c>
    </row>
    <row r="10" spans="1:6">
      <c r="A10" s="69" t="s">
        <v>833</v>
      </c>
      <c r="B10" s="67">
        <f>'20a'!C56</f>
        <v>0.9967417241071086</v>
      </c>
      <c r="C10" s="67">
        <f>'20a'!C57</f>
        <v>0.86717677042873476</v>
      </c>
      <c r="D10" s="67">
        <f>'20a'!C59</f>
        <v>0.68803447284855324</v>
      </c>
      <c r="E10" s="67">
        <f>'20a'!C61</f>
        <v>0.61455265299645845</v>
      </c>
      <c r="F10" s="67">
        <f>'20a'!C62</f>
        <v>0.85243852229170969</v>
      </c>
    </row>
    <row r="11" spans="1:6">
      <c r="A11" s="69" t="s">
        <v>1086</v>
      </c>
      <c r="B11" s="67">
        <f>'20'!O57</f>
        <v>2.9493707269418801</v>
      </c>
      <c r="C11" s="67">
        <f>'20'!O58</f>
        <v>1.8968258992644316</v>
      </c>
      <c r="D11" s="67">
        <f>'20'!O60</f>
        <v>6.5912416964755138</v>
      </c>
      <c r="E11" s="67">
        <f>'20'!O62</f>
        <v>0.94431488870094782</v>
      </c>
      <c r="F11" s="67">
        <f>'20'!O63</f>
        <v>-1.9964098525087515</v>
      </c>
    </row>
    <row r="12" spans="1:6">
      <c r="B12" s="67"/>
      <c r="C12" s="67"/>
      <c r="D12" s="67"/>
      <c r="E12" s="67"/>
      <c r="F12" s="67"/>
    </row>
    <row r="13" spans="1:6">
      <c r="A13" s="66" t="s">
        <v>1085</v>
      </c>
      <c r="B13" s="67"/>
      <c r="C13" s="67"/>
      <c r="D13" s="67"/>
      <c r="E13" s="67"/>
      <c r="F13" s="67"/>
    </row>
    <row r="14" spans="1:6">
      <c r="A14" s="69" t="s">
        <v>113</v>
      </c>
      <c r="B14" s="67">
        <f>B9</f>
        <v>0.37957167286559734</v>
      </c>
      <c r="C14" s="67">
        <f>C9</f>
        <v>0.16570246944727085</v>
      </c>
      <c r="D14" s="67">
        <f>D9</f>
        <v>-0.52110163859562242</v>
      </c>
      <c r="E14" s="67">
        <f>E9</f>
        <v>3.2439790237627442</v>
      </c>
      <c r="F14" s="67">
        <f>F9</f>
        <v>0.75750627719037844</v>
      </c>
    </row>
    <row r="15" spans="1:6">
      <c r="A15" s="69" t="s">
        <v>833</v>
      </c>
      <c r="B15" s="67">
        <f t="shared" ref="B15:F16" si="0">B4/100*B10</f>
        <v>0.63252641059431003</v>
      </c>
      <c r="C15" s="67">
        <f t="shared" si="0"/>
        <v>0.5236152605331319</v>
      </c>
      <c r="D15" s="67">
        <f t="shared" si="0"/>
        <v>0.42875816890062579</v>
      </c>
      <c r="E15" s="67">
        <f t="shared" si="0"/>
        <v>0.38201078424552393</v>
      </c>
      <c r="F15" s="67">
        <f t="shared" si="0"/>
        <v>0.52905723080456446</v>
      </c>
    </row>
    <row r="16" spans="1:6">
      <c r="A16" s="69" t="s">
        <v>1086</v>
      </c>
      <c r="B16" s="67">
        <f t="shared" si="0"/>
        <v>1.0777070055987399</v>
      </c>
      <c r="C16" s="67">
        <f t="shared" si="0"/>
        <v>0.75149223421396072</v>
      </c>
      <c r="D16" s="67">
        <f t="shared" si="0"/>
        <v>2.4838404733161923</v>
      </c>
      <c r="E16" s="67">
        <f t="shared" si="0"/>
        <v>0.35732120943270868</v>
      </c>
      <c r="F16" s="67">
        <f t="shared" si="0"/>
        <v>-0.75736041165559198</v>
      </c>
    </row>
    <row r="18" spans="1:1">
      <c r="A18" s="195" t="s">
        <v>1090</v>
      </c>
    </row>
  </sheetData>
  <pageMargins left="0.7" right="0.7" top="0.75" bottom="0.75" header="0.3" footer="0.3"/>
  <pageSetup orientation="landscape" horizontalDpi="0" verticalDpi="0" r:id="rId1"/>
</worksheet>
</file>

<file path=xl/worksheets/sheet128.xml><?xml version="1.0" encoding="utf-8"?>
<worksheet xmlns="http://schemas.openxmlformats.org/spreadsheetml/2006/main" xmlns:r="http://schemas.openxmlformats.org/officeDocument/2006/relationships">
  <sheetPr codeName="Sheet121"/>
  <dimension ref="A1:F53"/>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0.5703125" style="64" customWidth="1"/>
    <col min="2" max="6" width="16.5703125" style="64" customWidth="1"/>
    <col min="7" max="16384" width="9.140625" style="64"/>
  </cols>
  <sheetData>
    <row r="1" spans="1:6">
      <c r="A1" s="140" t="s">
        <v>2005</v>
      </c>
      <c r="B1" s="140"/>
      <c r="C1" s="140"/>
      <c r="D1" s="140"/>
      <c r="E1" s="140"/>
      <c r="F1" s="140"/>
    </row>
    <row r="2" spans="1:6" ht="30">
      <c r="B2" s="72" t="s">
        <v>523</v>
      </c>
      <c r="C2" s="72" t="s">
        <v>938</v>
      </c>
      <c r="D2" s="72" t="s">
        <v>63</v>
      </c>
      <c r="E2" s="72" t="s">
        <v>670</v>
      </c>
      <c r="F2" s="72" t="s">
        <v>671</v>
      </c>
    </row>
    <row r="3" spans="1:6" hidden="1" outlineLevel="1"/>
    <row r="4" spans="1:6" collapsed="1">
      <c r="A4" s="66">
        <v>1987</v>
      </c>
      <c r="B4" s="31">
        <v>85.7</v>
      </c>
      <c r="C4" s="31">
        <v>82.8</v>
      </c>
      <c r="D4" s="31">
        <v>84.7</v>
      </c>
      <c r="E4" s="31">
        <v>85.8</v>
      </c>
      <c r="F4" s="31">
        <v>95.5</v>
      </c>
    </row>
    <row r="5" spans="1:6">
      <c r="A5" s="66">
        <v>1988</v>
      </c>
      <c r="B5" s="31">
        <v>86.6</v>
      </c>
      <c r="C5" s="31">
        <v>82.6</v>
      </c>
      <c r="D5" s="31">
        <v>83.1</v>
      </c>
      <c r="E5" s="31">
        <v>82.4</v>
      </c>
      <c r="F5" s="31">
        <v>93.6</v>
      </c>
    </row>
    <row r="6" spans="1:6">
      <c r="A6" s="66">
        <v>1989</v>
      </c>
      <c r="B6" s="31">
        <v>85</v>
      </c>
      <c r="C6" s="31">
        <v>81.2</v>
      </c>
      <c r="D6" s="31">
        <v>86.2</v>
      </c>
      <c r="E6" s="31">
        <v>77.900000000000006</v>
      </c>
      <c r="F6" s="31">
        <v>87.9</v>
      </c>
    </row>
    <row r="7" spans="1:6">
      <c r="A7" s="66">
        <v>1990</v>
      </c>
      <c r="B7" s="31">
        <v>82.2</v>
      </c>
      <c r="C7" s="31">
        <v>78.2</v>
      </c>
      <c r="D7" s="31">
        <v>82.2</v>
      </c>
      <c r="E7" s="31">
        <v>74</v>
      </c>
      <c r="F7" s="31">
        <v>83.7</v>
      </c>
    </row>
    <row r="8" spans="1:6">
      <c r="A8" s="66">
        <v>1991</v>
      </c>
      <c r="B8" s="31">
        <v>78.900000000000006</v>
      </c>
      <c r="C8" s="31">
        <v>74.2</v>
      </c>
      <c r="D8" s="31">
        <v>78.099999999999994</v>
      </c>
      <c r="E8" s="31">
        <v>70.599999999999994</v>
      </c>
      <c r="F8" s="31">
        <v>84.5</v>
      </c>
    </row>
    <row r="9" spans="1:6">
      <c r="A9" s="66">
        <v>1992</v>
      </c>
      <c r="B9" s="31">
        <v>78.8</v>
      </c>
      <c r="C9" s="31">
        <v>76.400000000000006</v>
      </c>
      <c r="D9" s="31">
        <v>82.7</v>
      </c>
      <c r="E9" s="31">
        <v>81.599999999999994</v>
      </c>
      <c r="F9" s="31">
        <v>88.1</v>
      </c>
    </row>
    <row r="10" spans="1:6">
      <c r="A10" s="66">
        <v>1993</v>
      </c>
      <c r="B10" s="31">
        <v>80.599999999999994</v>
      </c>
      <c r="C10" s="31">
        <v>79.900000000000006</v>
      </c>
      <c r="D10" s="31">
        <v>84.8</v>
      </c>
      <c r="E10" s="31">
        <v>90.2</v>
      </c>
      <c r="F10" s="31">
        <v>88</v>
      </c>
    </row>
    <row r="11" spans="1:6">
      <c r="A11" s="66">
        <v>1994</v>
      </c>
      <c r="B11" s="31">
        <v>83</v>
      </c>
      <c r="C11" s="31">
        <v>83.5</v>
      </c>
      <c r="D11" s="31">
        <v>81.3</v>
      </c>
      <c r="E11" s="31">
        <v>91.1</v>
      </c>
      <c r="F11" s="31">
        <v>94.3</v>
      </c>
    </row>
    <row r="12" spans="1:6">
      <c r="A12" s="66">
        <v>1995</v>
      </c>
      <c r="B12" s="31">
        <v>82.1</v>
      </c>
      <c r="C12" s="31">
        <v>83.9</v>
      </c>
      <c r="D12" s="31">
        <v>81.3</v>
      </c>
      <c r="E12" s="31">
        <v>86.7</v>
      </c>
      <c r="F12" s="31">
        <v>92</v>
      </c>
    </row>
    <row r="13" spans="1:6">
      <c r="A13" s="66">
        <v>1996</v>
      </c>
      <c r="B13" s="31">
        <v>82</v>
      </c>
      <c r="C13" s="31">
        <v>82.8</v>
      </c>
      <c r="D13" s="31">
        <v>76.2</v>
      </c>
      <c r="E13" s="31">
        <v>86.4</v>
      </c>
      <c r="F13" s="31">
        <v>89.1</v>
      </c>
    </row>
    <row r="14" spans="1:6">
      <c r="A14" s="66">
        <v>1997</v>
      </c>
      <c r="B14" s="31">
        <v>83.6</v>
      </c>
      <c r="C14" s="31">
        <v>83.6</v>
      </c>
      <c r="D14" s="31">
        <v>81.599999999999994</v>
      </c>
      <c r="E14" s="31">
        <v>84.5</v>
      </c>
      <c r="F14" s="31">
        <v>90.4</v>
      </c>
    </row>
    <row r="15" spans="1:6">
      <c r="A15" s="66">
        <v>1998</v>
      </c>
      <c r="B15" s="31">
        <v>84.6</v>
      </c>
      <c r="C15" s="31">
        <v>84.3</v>
      </c>
      <c r="D15" s="31">
        <v>84.1</v>
      </c>
      <c r="E15" s="31">
        <v>86.5</v>
      </c>
      <c r="F15" s="31">
        <v>86.1</v>
      </c>
    </row>
    <row r="16" spans="1:6">
      <c r="A16" s="66">
        <v>1999</v>
      </c>
      <c r="B16" s="31">
        <v>86</v>
      </c>
      <c r="C16" s="31">
        <v>85.8</v>
      </c>
      <c r="D16" s="31">
        <v>84.3</v>
      </c>
      <c r="E16" s="31">
        <v>83.9</v>
      </c>
      <c r="F16" s="31">
        <v>91.1</v>
      </c>
    </row>
    <row r="17" spans="1:6">
      <c r="A17" s="66">
        <v>2000</v>
      </c>
      <c r="B17" s="31">
        <v>87</v>
      </c>
      <c r="C17" s="31">
        <v>86</v>
      </c>
      <c r="D17" s="31">
        <v>82.6</v>
      </c>
      <c r="E17" s="31">
        <v>85.1</v>
      </c>
      <c r="F17" s="31">
        <v>92.1</v>
      </c>
    </row>
    <row r="18" spans="1:6">
      <c r="A18" s="66">
        <v>2001</v>
      </c>
      <c r="B18" s="31">
        <v>84.3</v>
      </c>
      <c r="C18" s="31">
        <v>81.7</v>
      </c>
      <c r="D18" s="31">
        <v>81.599999999999994</v>
      </c>
      <c r="E18" s="31">
        <v>82</v>
      </c>
      <c r="F18" s="31">
        <v>88.6</v>
      </c>
    </row>
    <row r="19" spans="1:6">
      <c r="A19" s="66">
        <v>2002</v>
      </c>
      <c r="B19" s="31">
        <v>85.4</v>
      </c>
      <c r="C19" s="31">
        <v>82.9</v>
      </c>
      <c r="D19" s="31">
        <v>83.9</v>
      </c>
      <c r="E19" s="31">
        <v>87</v>
      </c>
      <c r="F19" s="31">
        <v>90.6</v>
      </c>
    </row>
    <row r="20" spans="1:6">
      <c r="A20" s="66">
        <v>2003</v>
      </c>
      <c r="B20" s="31">
        <v>84.2</v>
      </c>
      <c r="C20" s="31">
        <v>81.5</v>
      </c>
      <c r="D20" s="31">
        <v>85.5</v>
      </c>
      <c r="E20" s="31">
        <v>88.2</v>
      </c>
      <c r="F20" s="31">
        <v>91.1</v>
      </c>
    </row>
    <row r="21" spans="1:6">
      <c r="A21" s="66">
        <v>2004</v>
      </c>
      <c r="B21" s="31">
        <v>84.9</v>
      </c>
      <c r="C21" s="31">
        <v>83.5</v>
      </c>
      <c r="D21" s="31">
        <v>89.8</v>
      </c>
      <c r="E21" s="31">
        <v>92.1</v>
      </c>
      <c r="F21" s="31">
        <v>91.1</v>
      </c>
    </row>
    <row r="22" spans="1:6">
      <c r="A22" s="66">
        <v>2005</v>
      </c>
      <c r="B22" s="31">
        <v>84.2</v>
      </c>
      <c r="C22" s="31">
        <v>83.7</v>
      </c>
      <c r="D22" s="31">
        <v>84.3</v>
      </c>
      <c r="E22" s="31">
        <v>90.6</v>
      </c>
      <c r="F22" s="31">
        <v>89.4</v>
      </c>
    </row>
    <row r="23" spans="1:6">
      <c r="A23" s="66">
        <v>2006</v>
      </c>
      <c r="B23" s="31">
        <v>82.8</v>
      </c>
      <c r="C23" s="31">
        <v>82.7</v>
      </c>
      <c r="D23" s="31">
        <v>85</v>
      </c>
      <c r="E23" s="31">
        <v>85.6</v>
      </c>
      <c r="F23" s="31">
        <v>88.3</v>
      </c>
    </row>
    <row r="24" spans="1:6">
      <c r="A24" s="66">
        <v>2007</v>
      </c>
      <c r="B24" s="31">
        <v>82.5</v>
      </c>
      <c r="C24" s="31">
        <v>82.8</v>
      </c>
      <c r="D24" s="31">
        <v>89.6</v>
      </c>
      <c r="E24" s="31">
        <v>79</v>
      </c>
      <c r="F24" s="31">
        <v>87.4</v>
      </c>
    </row>
    <row r="25" spans="1:6">
      <c r="A25" s="66">
        <v>2008</v>
      </c>
      <c r="B25" s="31">
        <v>77.8</v>
      </c>
      <c r="C25" s="31">
        <v>75.599999999999994</v>
      </c>
      <c r="D25" s="31">
        <v>93.6</v>
      </c>
      <c r="E25" s="31">
        <v>69.3</v>
      </c>
      <c r="F25" s="31">
        <v>87.9</v>
      </c>
    </row>
    <row r="26" spans="1:6">
      <c r="A26" s="66">
        <v>2009</v>
      </c>
      <c r="B26" s="31">
        <v>72.099999999999994</v>
      </c>
      <c r="C26" s="31">
        <v>71.599999999999994</v>
      </c>
      <c r="D26" s="31">
        <v>77.3</v>
      </c>
      <c r="E26" s="31">
        <v>61.1</v>
      </c>
      <c r="F26" s="31">
        <v>82</v>
      </c>
    </row>
    <row r="27" spans="1:6">
      <c r="A27" s="66">
        <v>2010</v>
      </c>
      <c r="B27" s="31">
        <v>77.400000000000006</v>
      </c>
      <c r="C27" s="31">
        <v>77.2</v>
      </c>
      <c r="D27" s="31">
        <v>88.3</v>
      </c>
      <c r="E27" s="31">
        <v>73.400000000000006</v>
      </c>
      <c r="F27" s="31">
        <v>88.6</v>
      </c>
    </row>
    <row r="28" spans="1:6">
      <c r="A28" s="66">
        <v>2011</v>
      </c>
      <c r="B28" s="31">
        <v>79.7</v>
      </c>
      <c r="C28" s="31">
        <v>79.8</v>
      </c>
      <c r="D28" s="31">
        <v>91.2</v>
      </c>
      <c r="E28" s="31">
        <v>75.099999999999994</v>
      </c>
      <c r="F28" s="31">
        <v>87.9</v>
      </c>
    </row>
    <row r="29" spans="1:6">
      <c r="A29" s="66">
        <v>2012</v>
      </c>
      <c r="B29" s="31">
        <v>81</v>
      </c>
      <c r="C29" s="31">
        <v>81.7</v>
      </c>
      <c r="D29" s="31">
        <v>86</v>
      </c>
      <c r="E29" s="31">
        <v>81.7</v>
      </c>
      <c r="F29" s="31">
        <v>86.4</v>
      </c>
    </row>
    <row r="31" spans="1:6">
      <c r="A31" s="66" t="s">
        <v>23</v>
      </c>
    </row>
    <row r="32" spans="1:6">
      <c r="A32" s="64" t="s">
        <v>2136</v>
      </c>
      <c r="B32" s="67">
        <f>((B29/B4)^(1/25)-1)*100</f>
        <v>-0.22536036509362978</v>
      </c>
      <c r="C32" s="67">
        <f t="shared" ref="C32:F32" si="0">((C29/C4)^(1/25)-1)*100</f>
        <v>-5.3481931414867123E-2</v>
      </c>
      <c r="D32" s="67">
        <f t="shared" si="0"/>
        <v>6.0945342513596401E-2</v>
      </c>
      <c r="E32" s="67">
        <f t="shared" si="0"/>
        <v>-0.19566833793986937</v>
      </c>
      <c r="F32" s="67">
        <f t="shared" si="0"/>
        <v>-0.39975313805907797</v>
      </c>
    </row>
    <row r="33" spans="1:6">
      <c r="A33" s="64" t="s">
        <v>26</v>
      </c>
      <c r="B33" s="67">
        <f>((B17/B6)^(1/11)-1)*100</f>
        <v>0.21164968208320367</v>
      </c>
      <c r="C33" s="67">
        <f>((C17/C6)^(1/11)-1)*100</f>
        <v>0.52347490419115683</v>
      </c>
      <c r="D33" s="67">
        <f>((D17/D6)^(1/11)-1)*100</f>
        <v>-0.38707164030126195</v>
      </c>
      <c r="E33" s="67">
        <f>((E17/E6)^(1/11)-1)*100</f>
        <v>0.80688411046516695</v>
      </c>
      <c r="F33" s="67">
        <f>((F17/F6)^(1/11)-1)*100</f>
        <v>0.42522095113148861</v>
      </c>
    </row>
    <row r="34" spans="1:6">
      <c r="A34" s="64" t="s">
        <v>873</v>
      </c>
      <c r="B34" s="67">
        <f>((B17/B4)^(1/13)-1)*100</f>
        <v>0.11587703215836243</v>
      </c>
      <c r="C34" s="67">
        <f>((C17/C4)^(1/13)-1)*100</f>
        <v>0.29211224077942965</v>
      </c>
      <c r="D34" s="67">
        <f>((D17/D4)^(1/13)-1)*100</f>
        <v>-0.19293610878441392</v>
      </c>
      <c r="E34" s="67">
        <f>((E17/E4)^(1/13)-1)*100</f>
        <v>-6.2995310498747958E-2</v>
      </c>
      <c r="F34" s="67">
        <f>((F17/F4)^(1/13)-1)*100</f>
        <v>-0.27846774363549098</v>
      </c>
    </row>
    <row r="35" spans="1:6">
      <c r="A35" s="64" t="s">
        <v>662</v>
      </c>
      <c r="B35" s="67">
        <f>((B21/B17)^(1/4)-1)*100</f>
        <v>-0.60898873402074338</v>
      </c>
      <c r="C35" s="67">
        <f>((C21/C17)^(1/4)-1)*100</f>
        <v>-0.73480362982460967</v>
      </c>
      <c r="D35" s="67">
        <f>((D21/D17)^(1/4)-1)*100</f>
        <v>2.1113627809935753</v>
      </c>
      <c r="E35" s="67">
        <f>((E21/E17)^(1/4)-1)*100</f>
        <v>1.9958537459529246</v>
      </c>
      <c r="F35" s="67">
        <f>((F21/F17)^(1/4)-1)*100</f>
        <v>-0.27255636373111347</v>
      </c>
    </row>
    <row r="36" spans="1:6">
      <c r="A36" s="64" t="s">
        <v>2028</v>
      </c>
      <c r="B36" s="67">
        <f>((B29/B17)^(1/12)-1)*100</f>
        <v>-0.59372183089951847</v>
      </c>
      <c r="C36" s="67">
        <f t="shared" ref="C36:F36" si="1">((C29/C17)^(1/12)-1)*100</f>
        <v>-0.42653187775606449</v>
      </c>
      <c r="D36" s="67">
        <f t="shared" si="1"/>
        <v>0.33671240464849816</v>
      </c>
      <c r="E36" s="67">
        <f t="shared" si="1"/>
        <v>-0.33919869795074886</v>
      </c>
      <c r="F36" s="67">
        <f t="shared" si="1"/>
        <v>-0.53097919084139633</v>
      </c>
    </row>
    <row r="37" spans="1:6" hidden="1" outlineLevel="1">
      <c r="B37" s="67"/>
      <c r="C37" s="67"/>
      <c r="D37" s="67"/>
      <c r="E37" s="67"/>
      <c r="F37" s="67"/>
    </row>
    <row r="38" spans="1:6" hidden="1" outlineLevel="1">
      <c r="A38" s="66" t="s">
        <v>986</v>
      </c>
      <c r="B38" s="67"/>
      <c r="C38" s="67"/>
      <c r="D38" s="67"/>
      <c r="E38" s="67"/>
      <c r="F38" s="67"/>
    </row>
    <row r="39" spans="1:6" hidden="1" outlineLevel="1">
      <c r="A39" s="64" t="s">
        <v>667</v>
      </c>
      <c r="B39" s="67">
        <f>((B24-B4)/B4)*100</f>
        <v>-3.7339556592765493</v>
      </c>
      <c r="C39" s="67">
        <f>((C24-C4)/C4)*100</f>
        <v>0</v>
      </c>
      <c r="D39" s="67">
        <f>((D24-D4)/D4)*100</f>
        <v>5.7851239669421384</v>
      </c>
      <c r="E39" s="67">
        <f>((E24-E4)/E4)*100</f>
        <v>-7.9254079254079217</v>
      </c>
      <c r="F39" s="67">
        <f>((F24-F4)/F4)*100</f>
        <v>-8.4816753926701516</v>
      </c>
    </row>
    <row r="40" spans="1:6" hidden="1" outlineLevel="1">
      <c r="A40" s="64" t="s">
        <v>873</v>
      </c>
      <c r="B40" s="67">
        <f>((B17-B4)/B4)*100</f>
        <v>1.5169194865810935</v>
      </c>
      <c r="C40" s="67">
        <f>((C17-C4)/C4)*100</f>
        <v>3.8647342995169116</v>
      </c>
      <c r="D40" s="67">
        <f>((D17-D4)/D4)*100</f>
        <v>-2.4793388429752166</v>
      </c>
      <c r="E40" s="67">
        <f>((E17-E4)/E4)*100</f>
        <v>-0.81585081585081931</v>
      </c>
      <c r="F40" s="67">
        <f>((F17-F4)/F4)*100</f>
        <v>-3.5602094240837752</v>
      </c>
    </row>
    <row r="41" spans="1:6" hidden="1" outlineLevel="1">
      <c r="A41" s="64" t="s">
        <v>588</v>
      </c>
      <c r="B41" s="67">
        <f>((B24-B17)/B17)*100</f>
        <v>-5.1724137931034484</v>
      </c>
      <c r="C41" s="67">
        <f>((C24-C17)/C17)*100</f>
        <v>-3.720930232558143</v>
      </c>
      <c r="D41" s="67">
        <f>((D24-D17)/D17)*100</f>
        <v>8.4745762711864412</v>
      </c>
      <c r="E41" s="67">
        <f>((E24-E17)/E17)*100</f>
        <v>-7.1680376028202053</v>
      </c>
      <c r="F41" s="67">
        <f>((F24-F17)/F17)*100</f>
        <v>-5.1031487513572085</v>
      </c>
    </row>
    <row r="42" spans="1:6" hidden="1" outlineLevel="1">
      <c r="B42" s="67"/>
      <c r="C42" s="67"/>
      <c r="D42" s="67"/>
      <c r="E42" s="67"/>
      <c r="F42" s="67"/>
    </row>
    <row r="43" spans="1:6" hidden="1" outlineLevel="1">
      <c r="A43" s="66" t="s">
        <v>1058</v>
      </c>
      <c r="B43" s="67"/>
      <c r="C43" s="67"/>
      <c r="D43" s="67"/>
      <c r="E43" s="67"/>
      <c r="F43" s="67"/>
    </row>
    <row r="44" spans="1:6" hidden="1" outlineLevel="1">
      <c r="A44" s="64" t="s">
        <v>667</v>
      </c>
      <c r="B44" s="67">
        <f>B24-B4</f>
        <v>-3.2000000000000028</v>
      </c>
      <c r="C44" s="67">
        <f>C24-C4</f>
        <v>0</v>
      </c>
      <c r="D44" s="67">
        <f>D24-D4</f>
        <v>4.8999999999999915</v>
      </c>
      <c r="E44" s="67">
        <f>E24-E4</f>
        <v>-6.7999999999999972</v>
      </c>
      <c r="F44" s="67">
        <f>F24-F4</f>
        <v>-8.0999999999999943</v>
      </c>
    </row>
    <row r="45" spans="1:6" hidden="1" outlineLevel="1">
      <c r="A45" s="64" t="s">
        <v>873</v>
      </c>
      <c r="B45" s="67">
        <f>B17-B4</f>
        <v>1.2999999999999972</v>
      </c>
      <c r="C45" s="67">
        <f>C17-C4</f>
        <v>3.2000000000000028</v>
      </c>
      <c r="D45" s="67">
        <f>D17-D4</f>
        <v>-2.1000000000000085</v>
      </c>
      <c r="E45" s="67">
        <f>E17-E4</f>
        <v>-0.70000000000000284</v>
      </c>
      <c r="F45" s="67">
        <f>F17-F4</f>
        <v>-3.4000000000000057</v>
      </c>
    </row>
    <row r="46" spans="1:6" hidden="1" outlineLevel="1">
      <c r="A46" s="64" t="s">
        <v>588</v>
      </c>
      <c r="B46" s="67">
        <f>B24-B17</f>
        <v>-4.5</v>
      </c>
      <c r="C46" s="67">
        <f>C24-C17</f>
        <v>-3.2000000000000028</v>
      </c>
      <c r="D46" s="67">
        <f>D24-D17</f>
        <v>7</v>
      </c>
      <c r="E46" s="67">
        <f>E24-E17</f>
        <v>-6.0999999999999943</v>
      </c>
      <c r="F46" s="67">
        <f>F24-F17</f>
        <v>-4.6999999999999886</v>
      </c>
    </row>
    <row r="47" spans="1:6" hidden="1" outlineLevel="1">
      <c r="B47" s="67"/>
      <c r="C47" s="67"/>
      <c r="D47" s="67"/>
      <c r="E47" s="67"/>
      <c r="F47" s="67"/>
    </row>
    <row r="48" spans="1:6" hidden="1" outlineLevel="1">
      <c r="A48" s="66" t="s">
        <v>1620</v>
      </c>
      <c r="B48" s="67"/>
      <c r="C48" s="67"/>
      <c r="D48" s="67"/>
      <c r="E48" s="67"/>
      <c r="F48" s="67"/>
    </row>
    <row r="49" spans="1:6" hidden="1" outlineLevel="1">
      <c r="A49" s="109" t="s">
        <v>1363</v>
      </c>
      <c r="B49" s="31">
        <f>AVERAGE(B6:B24)</f>
        <v>83.268421052631595</v>
      </c>
      <c r="C49" s="31">
        <f>AVERAGE(C6:C24)</f>
        <v>82.031578947368416</v>
      </c>
      <c r="D49" s="31">
        <f>AVERAGE(D6:D24)</f>
        <v>83.426315789473676</v>
      </c>
      <c r="E49" s="31">
        <f>AVERAGE(E6:E24)</f>
        <v>84.368421052631561</v>
      </c>
      <c r="F49" s="31">
        <f>AVERAGE(F6:F24)</f>
        <v>89.147368421052619</v>
      </c>
    </row>
    <row r="50" spans="1:6" hidden="1" outlineLevel="1">
      <c r="A50" s="109" t="s">
        <v>26</v>
      </c>
      <c r="B50" s="31">
        <f>AVERAGE(B6:B17)</f>
        <v>82.816666666666677</v>
      </c>
      <c r="C50" s="31">
        <f>AVERAGE(C6:C17)</f>
        <v>81.649999999999991</v>
      </c>
      <c r="D50" s="31">
        <f>AVERAGE(D6:D17)</f>
        <v>82.116666666666674</v>
      </c>
      <c r="E50" s="31">
        <f>AVERAGE(E6:E17)</f>
        <v>83.208333333333329</v>
      </c>
      <c r="F50" s="31">
        <f>AVERAGE(F6:F17)</f>
        <v>88.941666666666663</v>
      </c>
    </row>
    <row r="51" spans="1:6" hidden="1" outlineLevel="1">
      <c r="A51" s="64" t="s">
        <v>588</v>
      </c>
      <c r="B51" s="31">
        <f>AVERAGE(B17:B24)</f>
        <v>84.412500000000009</v>
      </c>
      <c r="C51" s="31">
        <f>AVERAGE(C17:C24)</f>
        <v>83.1</v>
      </c>
      <c r="D51" s="31">
        <f>AVERAGE(D17:D24)</f>
        <v>85.287500000000009</v>
      </c>
      <c r="E51" s="31">
        <f>AVERAGE(E17:E24)</f>
        <v>86.2</v>
      </c>
      <c r="F51" s="31">
        <f>AVERAGE(F17:F24)</f>
        <v>89.824999999999989</v>
      </c>
    </row>
    <row r="52" spans="1:6" collapsed="1"/>
    <row r="53" spans="1:6" ht="45" customHeight="1">
      <c r="A53" s="131" t="s">
        <v>1057</v>
      </c>
      <c r="B53" s="131"/>
      <c r="C53" s="131"/>
      <c r="D53" s="131"/>
      <c r="E53" s="131"/>
      <c r="F53" s="131"/>
    </row>
  </sheetData>
  <mergeCells count="2">
    <mergeCell ref="A53:F53"/>
    <mergeCell ref="A1:F1"/>
  </mergeCells>
  <pageMargins left="0.7" right="0.7" top="0.75" bottom="0.75" header="0.3" footer="0.3"/>
  <pageSetup scale="92" orientation="portrait" horizontalDpi="0" verticalDpi="0" r:id="rId1"/>
</worksheet>
</file>

<file path=xl/worksheets/sheet129.xml><?xml version="1.0" encoding="utf-8"?>
<worksheet xmlns="http://schemas.openxmlformats.org/spreadsheetml/2006/main" xmlns:r="http://schemas.openxmlformats.org/officeDocument/2006/relationships">
  <sheetPr codeName="Sheet122"/>
  <dimension ref="A1:L774"/>
  <sheetViews>
    <sheetView view="pageBreakPreview" zoomScale="85" zoomScaleNormal="100"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3.28515625" style="64" customWidth="1"/>
    <col min="2" max="5" width="14.7109375" style="64" customWidth="1"/>
    <col min="6" max="6" width="9.140625" style="64"/>
    <col min="7" max="7" width="10.7109375" style="64" hidden="1" customWidth="1" outlineLevel="1"/>
    <col min="8" max="11" width="24.28515625" style="64" hidden="1" customWidth="1" outlineLevel="1"/>
    <col min="12" max="12" width="9.140625" style="64" collapsed="1"/>
    <col min="13" max="16384" width="9.140625" style="64"/>
  </cols>
  <sheetData>
    <row r="1" spans="1:11">
      <c r="A1" s="66" t="s">
        <v>2006</v>
      </c>
    </row>
    <row r="2" spans="1:11">
      <c r="B2" s="94" t="s">
        <v>1069</v>
      </c>
      <c r="C2" s="94"/>
      <c r="D2" s="94"/>
      <c r="E2" s="94" t="s">
        <v>1068</v>
      </c>
    </row>
    <row r="3" spans="1:11" ht="30">
      <c r="B3" s="72" t="s">
        <v>934</v>
      </c>
      <c r="C3" s="72" t="s">
        <v>1070</v>
      </c>
      <c r="D3" s="72" t="s">
        <v>1071</v>
      </c>
      <c r="E3" s="94"/>
      <c r="G3" s="64" t="s">
        <v>1060</v>
      </c>
      <c r="H3" s="117" t="s">
        <v>1065</v>
      </c>
      <c r="I3" s="117" t="s">
        <v>1066</v>
      </c>
      <c r="J3" s="117" t="s">
        <v>1067</v>
      </c>
      <c r="K3" s="117" t="s">
        <v>1068</v>
      </c>
    </row>
    <row r="4" spans="1:11" hidden="1" outlineLevel="1">
      <c r="H4" s="64" t="s">
        <v>1061</v>
      </c>
      <c r="I4" s="64" t="s">
        <v>1062</v>
      </c>
      <c r="J4" s="64" t="s">
        <v>1063</v>
      </c>
      <c r="K4" s="64" t="s">
        <v>1064</v>
      </c>
    </row>
    <row r="5" spans="1:11" hidden="1" outlineLevel="1">
      <c r="A5" s="66">
        <v>1946</v>
      </c>
      <c r="B5" s="30">
        <f>H5*1000</f>
        <v>11270400</v>
      </c>
      <c r="C5" s="30" t="s">
        <v>22</v>
      </c>
      <c r="D5" s="30" t="s">
        <v>22</v>
      </c>
      <c r="E5" s="30" t="s">
        <v>22</v>
      </c>
      <c r="H5" s="64">
        <v>11270.4</v>
      </c>
    </row>
    <row r="6" spans="1:11" hidden="1" outlineLevel="1">
      <c r="A6" s="66">
        <v>1947</v>
      </c>
      <c r="B6" s="30">
        <f t="shared" ref="B6:C69" si="0">H6*1000</f>
        <v>12237100</v>
      </c>
      <c r="C6" s="30" t="s">
        <v>22</v>
      </c>
      <c r="D6" s="30" t="s">
        <v>22</v>
      </c>
      <c r="E6" s="30" t="s">
        <v>22</v>
      </c>
      <c r="H6" s="64">
        <v>12237.1</v>
      </c>
    </row>
    <row r="7" spans="1:11" hidden="1" outlineLevel="1">
      <c r="A7" s="66">
        <v>1948</v>
      </c>
      <c r="B7" s="30">
        <f t="shared" si="0"/>
        <v>12254800</v>
      </c>
      <c r="C7" s="30" t="s">
        <v>22</v>
      </c>
      <c r="D7" s="30" t="s">
        <v>22</v>
      </c>
      <c r="E7" s="30" t="s">
        <v>22</v>
      </c>
      <c r="H7" s="64">
        <v>12254.8</v>
      </c>
    </row>
    <row r="8" spans="1:11" hidden="1" outlineLevel="1">
      <c r="A8" s="66">
        <v>1949</v>
      </c>
      <c r="B8" s="30">
        <f t="shared" si="0"/>
        <v>12481200</v>
      </c>
      <c r="C8" s="30" t="s">
        <v>22</v>
      </c>
      <c r="D8" s="30" t="s">
        <v>22</v>
      </c>
      <c r="E8" s="30" t="s">
        <v>22</v>
      </c>
      <c r="H8" s="64">
        <v>12481.2</v>
      </c>
    </row>
    <row r="9" spans="1:11" hidden="1" outlineLevel="1">
      <c r="A9" s="66">
        <v>1950</v>
      </c>
      <c r="B9" s="30">
        <f t="shared" si="0"/>
        <v>14512000</v>
      </c>
      <c r="C9" s="30" t="s">
        <v>22</v>
      </c>
      <c r="D9" s="30" t="s">
        <v>22</v>
      </c>
      <c r="E9" s="30" t="s">
        <v>22</v>
      </c>
      <c r="H9" s="64">
        <v>14512</v>
      </c>
    </row>
    <row r="10" spans="1:11" hidden="1" outlineLevel="1">
      <c r="A10" s="66">
        <v>1951</v>
      </c>
      <c r="B10" s="30">
        <f t="shared" si="0"/>
        <v>15050300</v>
      </c>
      <c r="C10" s="30" t="s">
        <v>22</v>
      </c>
      <c r="D10" s="30" t="s">
        <v>22</v>
      </c>
      <c r="E10" s="30" t="s">
        <v>22</v>
      </c>
      <c r="H10" s="64">
        <v>15050.3</v>
      </c>
    </row>
    <row r="11" spans="1:11" hidden="1" outlineLevel="1">
      <c r="A11" s="66">
        <v>1952</v>
      </c>
      <c r="B11" s="30">
        <f t="shared" si="0"/>
        <v>15244300</v>
      </c>
      <c r="C11" s="30" t="s">
        <v>22</v>
      </c>
      <c r="D11" s="30" t="s">
        <v>22</v>
      </c>
      <c r="E11" s="30" t="s">
        <v>22</v>
      </c>
      <c r="H11" s="64">
        <v>15244.3</v>
      </c>
    </row>
    <row r="12" spans="1:11" hidden="1" outlineLevel="1">
      <c r="A12" s="66">
        <v>1953</v>
      </c>
      <c r="B12" s="30">
        <f t="shared" si="0"/>
        <v>16524500</v>
      </c>
      <c r="C12" s="30" t="s">
        <v>22</v>
      </c>
      <c r="D12" s="30" t="s">
        <v>22</v>
      </c>
      <c r="E12" s="30" t="s">
        <v>22</v>
      </c>
      <c r="H12" s="64">
        <v>16524.5</v>
      </c>
    </row>
    <row r="13" spans="1:11" hidden="1" outlineLevel="1">
      <c r="A13" s="66">
        <v>1954</v>
      </c>
      <c r="B13" s="30">
        <f t="shared" si="0"/>
        <v>16356800</v>
      </c>
      <c r="C13" s="30" t="s">
        <v>22</v>
      </c>
      <c r="D13" s="30" t="s">
        <v>22</v>
      </c>
      <c r="E13" s="30" t="s">
        <v>22</v>
      </c>
      <c r="H13" s="64">
        <v>16356.8</v>
      </c>
    </row>
    <row r="14" spans="1:11" hidden="1" outlineLevel="1">
      <c r="A14" s="66">
        <v>1955</v>
      </c>
      <c r="B14" s="30">
        <f t="shared" si="0"/>
        <v>18597700</v>
      </c>
      <c r="C14" s="30" t="s">
        <v>22</v>
      </c>
      <c r="D14" s="30" t="s">
        <v>22</v>
      </c>
      <c r="E14" s="30" t="s">
        <v>22</v>
      </c>
      <c r="H14" s="64">
        <v>18597.7</v>
      </c>
    </row>
    <row r="15" spans="1:11" hidden="1" outlineLevel="1">
      <c r="A15" s="66">
        <v>1956</v>
      </c>
      <c r="B15" s="30">
        <f t="shared" si="0"/>
        <v>18385500</v>
      </c>
      <c r="C15" s="30" t="s">
        <v>22</v>
      </c>
      <c r="D15" s="30" t="s">
        <v>22</v>
      </c>
      <c r="E15" s="30" t="s">
        <v>22</v>
      </c>
      <c r="H15" s="64">
        <v>18385.5</v>
      </c>
    </row>
    <row r="16" spans="1:11" hidden="1" outlineLevel="1">
      <c r="A16" s="66">
        <v>1957</v>
      </c>
      <c r="B16" s="30">
        <f t="shared" si="0"/>
        <v>16482099.999999998</v>
      </c>
      <c r="C16" s="30" t="s">
        <v>22</v>
      </c>
      <c r="D16" s="30" t="s">
        <v>22</v>
      </c>
      <c r="E16" s="30" t="s">
        <v>22</v>
      </c>
      <c r="H16" s="64">
        <v>16482.099999999999</v>
      </c>
    </row>
    <row r="17" spans="1:11" hidden="1" outlineLevel="1">
      <c r="A17" s="66">
        <v>1958</v>
      </c>
      <c r="B17" s="30">
        <f t="shared" si="0"/>
        <v>17280100</v>
      </c>
      <c r="C17" s="30" t="s">
        <v>22</v>
      </c>
      <c r="D17" s="30" t="s">
        <v>22</v>
      </c>
      <c r="E17" s="30" t="s">
        <v>22</v>
      </c>
      <c r="H17" s="64">
        <v>17280.099999999999</v>
      </c>
    </row>
    <row r="18" spans="1:11" hidden="1" outlineLevel="1">
      <c r="A18" s="66">
        <v>1959</v>
      </c>
      <c r="B18" s="30">
        <f t="shared" si="0"/>
        <v>17600000</v>
      </c>
      <c r="C18" s="30" t="s">
        <v>22</v>
      </c>
      <c r="D18" s="30" t="s">
        <v>22</v>
      </c>
      <c r="E18" s="30" t="s">
        <v>22</v>
      </c>
      <c r="H18" s="64">
        <v>17600</v>
      </c>
    </row>
    <row r="19" spans="1:11" hidden="1" outlineLevel="1">
      <c r="A19" s="66">
        <v>1960</v>
      </c>
      <c r="B19" s="30">
        <f t="shared" si="0"/>
        <v>18828500</v>
      </c>
      <c r="C19" s="30" t="s">
        <v>22</v>
      </c>
      <c r="D19" s="30" t="s">
        <v>22</v>
      </c>
      <c r="E19" s="30" t="s">
        <v>22</v>
      </c>
      <c r="H19" s="64">
        <v>18828.5</v>
      </c>
    </row>
    <row r="20" spans="1:11" collapsed="1">
      <c r="A20" s="66">
        <v>1961</v>
      </c>
      <c r="B20" s="30">
        <f>H20*1000</f>
        <v>19031600</v>
      </c>
      <c r="C20" s="30" t="s">
        <v>22</v>
      </c>
      <c r="D20" s="30" t="s">
        <v>22</v>
      </c>
      <c r="E20" s="30" t="s">
        <v>22</v>
      </c>
      <c r="G20" s="176"/>
      <c r="H20" s="64">
        <v>19031.599999999999</v>
      </c>
    </row>
    <row r="21" spans="1:11" hidden="1" outlineLevel="1">
      <c r="A21" s="66">
        <v>1962</v>
      </c>
      <c r="B21" s="30">
        <f t="shared" si="0"/>
        <v>20749700</v>
      </c>
      <c r="C21" s="30" t="s">
        <v>22</v>
      </c>
      <c r="D21" s="30" t="s">
        <v>22</v>
      </c>
      <c r="E21" s="30" t="s">
        <v>22</v>
      </c>
      <c r="G21" s="176"/>
      <c r="H21" s="64">
        <v>20749.7</v>
      </c>
    </row>
    <row r="22" spans="1:11" hidden="1" outlineLevel="1">
      <c r="A22" s="66">
        <v>1963</v>
      </c>
      <c r="B22" s="30">
        <f t="shared" si="0"/>
        <v>23140000</v>
      </c>
      <c r="C22" s="30" t="s">
        <v>22</v>
      </c>
      <c r="D22" s="30" t="s">
        <v>22</v>
      </c>
      <c r="E22" s="30" t="s">
        <v>22</v>
      </c>
      <c r="G22" s="176"/>
      <c r="H22" s="64">
        <v>23140</v>
      </c>
    </row>
    <row r="23" spans="1:11" hidden="1" outlineLevel="1">
      <c r="A23" s="66">
        <v>1964</v>
      </c>
      <c r="B23" s="30">
        <f t="shared" si="0"/>
        <v>24454700</v>
      </c>
      <c r="C23" s="30" t="s">
        <v>22</v>
      </c>
      <c r="D23" s="30" t="s">
        <v>22</v>
      </c>
      <c r="E23" s="30" t="s">
        <v>22</v>
      </c>
      <c r="G23" s="176"/>
      <c r="H23" s="64">
        <v>24454.7</v>
      </c>
    </row>
    <row r="24" spans="1:11" hidden="1" outlineLevel="1">
      <c r="A24" s="66">
        <v>1965</v>
      </c>
      <c r="B24" s="30">
        <f t="shared" si="0"/>
        <v>23744900</v>
      </c>
      <c r="C24" s="30" t="s">
        <v>22</v>
      </c>
      <c r="D24" s="30" t="s">
        <v>22</v>
      </c>
      <c r="E24" s="30" t="s">
        <v>22</v>
      </c>
      <c r="G24" s="176"/>
      <c r="H24" s="64">
        <v>23744.9</v>
      </c>
    </row>
    <row r="25" spans="1:11" hidden="1" outlineLevel="1">
      <c r="A25" s="66">
        <v>1966</v>
      </c>
      <c r="B25" s="30">
        <f t="shared" si="0"/>
        <v>24651200</v>
      </c>
      <c r="C25" s="30" t="s">
        <v>22</v>
      </c>
      <c r="D25" s="30" t="s">
        <v>22</v>
      </c>
      <c r="E25" s="30" t="s">
        <v>22</v>
      </c>
      <c r="G25" s="176"/>
      <c r="H25" s="64">
        <v>24651.200000000001</v>
      </c>
    </row>
    <row r="26" spans="1:11" hidden="1" outlineLevel="1">
      <c r="A26" s="66">
        <v>1967</v>
      </c>
      <c r="B26" s="30">
        <f t="shared" si="0"/>
        <v>24256600</v>
      </c>
      <c r="C26" s="30" t="s">
        <v>22</v>
      </c>
      <c r="D26" s="30" t="s">
        <v>22</v>
      </c>
      <c r="E26" s="30" t="s">
        <v>22</v>
      </c>
      <c r="G26" s="176"/>
      <c r="H26" s="64">
        <v>24256.6</v>
      </c>
    </row>
    <row r="27" spans="1:11" hidden="1" outlineLevel="1">
      <c r="A27" s="66">
        <v>1968</v>
      </c>
      <c r="B27" s="30">
        <f t="shared" si="0"/>
        <v>26385100</v>
      </c>
      <c r="C27" s="30" t="s">
        <v>22</v>
      </c>
      <c r="D27" s="30" t="s">
        <v>22</v>
      </c>
      <c r="E27" s="30" t="s">
        <v>22</v>
      </c>
      <c r="G27" s="176"/>
      <c r="H27" s="64">
        <v>26385.1</v>
      </c>
    </row>
    <row r="28" spans="1:11" hidden="1" outlineLevel="1">
      <c r="A28" s="66">
        <v>1969</v>
      </c>
      <c r="B28" s="30">
        <f t="shared" si="0"/>
        <v>26935100</v>
      </c>
      <c r="C28" s="30" t="s">
        <v>22</v>
      </c>
      <c r="D28" s="30" t="s">
        <v>22</v>
      </c>
      <c r="E28" s="30">
        <f t="shared" ref="E28:E66" si="1">K28*1000</f>
        <v>25076400</v>
      </c>
      <c r="G28" s="176"/>
      <c r="H28" s="64">
        <v>26935.1</v>
      </c>
      <c r="K28" s="64">
        <v>25076.400000000001</v>
      </c>
    </row>
    <row r="29" spans="1:11" hidden="1" outlineLevel="1">
      <c r="A29" s="66">
        <v>1970</v>
      </c>
      <c r="B29" s="30">
        <f t="shared" si="0"/>
        <v>26401200</v>
      </c>
      <c r="C29" s="30" t="s">
        <v>22</v>
      </c>
      <c r="D29" s="30" t="s">
        <v>22</v>
      </c>
      <c r="E29" s="30">
        <f t="shared" si="1"/>
        <v>25222700</v>
      </c>
      <c r="G29" s="176"/>
      <c r="H29" s="64">
        <v>26401.200000000001</v>
      </c>
      <c r="K29" s="64">
        <v>25222.7</v>
      </c>
    </row>
    <row r="30" spans="1:11" hidden="1" outlineLevel="1">
      <c r="A30" s="66">
        <v>1971</v>
      </c>
      <c r="B30" s="30">
        <f t="shared" si="0"/>
        <v>30022700</v>
      </c>
      <c r="C30" s="30" t="s">
        <v>22</v>
      </c>
      <c r="D30" s="30" t="s">
        <v>22</v>
      </c>
      <c r="E30" s="30">
        <f t="shared" si="1"/>
        <v>29548300</v>
      </c>
      <c r="G30" s="176"/>
      <c r="H30" s="64">
        <v>30022.7</v>
      </c>
      <c r="K30" s="64">
        <v>29548.3</v>
      </c>
    </row>
    <row r="31" spans="1:11" hidden="1" outlineLevel="1">
      <c r="A31" s="66">
        <v>1972</v>
      </c>
      <c r="B31" s="30">
        <f t="shared" si="0"/>
        <v>32770800.000000004</v>
      </c>
      <c r="C31" s="30" t="s">
        <v>22</v>
      </c>
      <c r="D31" s="30" t="s">
        <v>22</v>
      </c>
      <c r="E31" s="30">
        <f t="shared" si="1"/>
        <v>31990100</v>
      </c>
      <c r="G31" s="176"/>
      <c r="H31" s="64">
        <v>32770.800000000003</v>
      </c>
      <c r="K31" s="64">
        <v>31990.1</v>
      </c>
    </row>
    <row r="32" spans="1:11" collapsed="1">
      <c r="A32" s="66">
        <v>1973</v>
      </c>
      <c r="B32" s="30">
        <f t="shared" si="0"/>
        <v>35607700</v>
      </c>
      <c r="C32" s="30" t="s">
        <v>22</v>
      </c>
      <c r="D32" s="30" t="s">
        <v>22</v>
      </c>
      <c r="E32" s="30">
        <f t="shared" si="1"/>
        <v>32796500</v>
      </c>
      <c r="G32" s="176"/>
      <c r="H32" s="64">
        <v>35607.699999999997</v>
      </c>
      <c r="K32" s="64">
        <v>32796.5</v>
      </c>
    </row>
    <row r="33" spans="1:11" hidden="1" outlineLevel="1">
      <c r="A33" s="66">
        <v>1974</v>
      </c>
      <c r="B33" s="30">
        <f t="shared" si="0"/>
        <v>31863700</v>
      </c>
      <c r="C33" s="30" t="s">
        <v>22</v>
      </c>
      <c r="D33" s="30" t="s">
        <v>22</v>
      </c>
      <c r="E33" s="30">
        <f t="shared" si="1"/>
        <v>29810000</v>
      </c>
      <c r="G33" s="176"/>
      <c r="H33" s="64">
        <v>31863.7</v>
      </c>
      <c r="K33" s="64">
        <v>29810</v>
      </c>
    </row>
    <row r="34" spans="1:11" hidden="1" outlineLevel="1">
      <c r="A34" s="66">
        <v>1975</v>
      </c>
      <c r="B34" s="30">
        <f t="shared" si="0"/>
        <v>26645100</v>
      </c>
      <c r="C34" s="30" t="s">
        <v>22</v>
      </c>
      <c r="D34" s="30" t="s">
        <v>22</v>
      </c>
      <c r="E34" s="30">
        <f t="shared" si="1"/>
        <v>26178600</v>
      </c>
      <c r="G34" s="176"/>
      <c r="H34" s="64">
        <v>26645.1</v>
      </c>
      <c r="K34" s="64">
        <v>26178.6</v>
      </c>
    </row>
    <row r="35" spans="1:11" hidden="1" outlineLevel="1">
      <c r="A35" s="66">
        <v>1976</v>
      </c>
      <c r="B35" s="30">
        <f t="shared" si="0"/>
        <v>36414300</v>
      </c>
      <c r="C35" s="30" t="s">
        <v>22</v>
      </c>
      <c r="D35" s="30" t="s">
        <v>22</v>
      </c>
      <c r="E35" s="30">
        <f t="shared" si="1"/>
        <v>34505700</v>
      </c>
      <c r="G35" s="176"/>
      <c r="H35" s="64">
        <v>36414.300000000003</v>
      </c>
      <c r="K35" s="64">
        <v>34505.699999999997</v>
      </c>
    </row>
    <row r="36" spans="1:11" hidden="1" outlineLevel="1">
      <c r="A36" s="66">
        <v>1977</v>
      </c>
      <c r="B36" s="30">
        <f t="shared" si="0"/>
        <v>41489500</v>
      </c>
      <c r="C36" s="30" t="s">
        <v>22</v>
      </c>
      <c r="D36" s="30" t="s">
        <v>22</v>
      </c>
      <c r="E36" s="30">
        <f t="shared" si="1"/>
        <v>40043500</v>
      </c>
      <c r="G36" s="176"/>
      <c r="H36" s="64">
        <v>41489.5</v>
      </c>
      <c r="K36" s="64">
        <v>40043.5</v>
      </c>
    </row>
    <row r="37" spans="1:11" hidden="1" outlineLevel="1">
      <c r="A37" s="66">
        <v>1978</v>
      </c>
      <c r="B37" s="30">
        <f t="shared" si="0"/>
        <v>44749900</v>
      </c>
      <c r="C37" s="30" t="s">
        <v>22</v>
      </c>
      <c r="D37" s="30" t="s">
        <v>22</v>
      </c>
      <c r="E37" s="30">
        <f t="shared" si="1"/>
        <v>41850600</v>
      </c>
      <c r="G37" s="176"/>
      <c r="H37" s="64">
        <v>44749.9</v>
      </c>
      <c r="K37" s="64">
        <v>41850.6</v>
      </c>
    </row>
    <row r="38" spans="1:11" hidden="1" outlineLevel="1">
      <c r="A38" s="66">
        <v>1979</v>
      </c>
      <c r="B38" s="30">
        <f t="shared" si="0"/>
        <v>44795700</v>
      </c>
      <c r="C38" s="30" t="s">
        <v>22</v>
      </c>
      <c r="D38" s="30" t="s">
        <v>22</v>
      </c>
      <c r="E38" s="30">
        <f t="shared" si="1"/>
        <v>44221600</v>
      </c>
      <c r="G38" s="176"/>
      <c r="H38" s="64">
        <v>44795.7</v>
      </c>
      <c r="K38" s="64">
        <v>44221.599999999999</v>
      </c>
    </row>
    <row r="39" spans="1:11" hidden="1" outlineLevel="1">
      <c r="A39" s="66">
        <v>1980</v>
      </c>
      <c r="B39" s="30">
        <f t="shared" si="0"/>
        <v>44597400</v>
      </c>
      <c r="C39" s="30" t="s">
        <v>22</v>
      </c>
      <c r="D39" s="30" t="s">
        <v>22</v>
      </c>
      <c r="E39" s="30">
        <f t="shared" si="1"/>
        <v>42838400</v>
      </c>
      <c r="G39" s="176"/>
      <c r="H39" s="64">
        <v>44597.4</v>
      </c>
      <c r="K39" s="64">
        <v>42838.400000000001</v>
      </c>
    </row>
    <row r="40" spans="1:11" collapsed="1">
      <c r="A40" s="66">
        <v>1981</v>
      </c>
      <c r="B40" s="30">
        <f t="shared" si="0"/>
        <v>39889600</v>
      </c>
      <c r="C40" s="30" t="s">
        <v>22</v>
      </c>
      <c r="D40" s="30" t="s">
        <v>22</v>
      </c>
      <c r="E40" s="30">
        <f t="shared" si="1"/>
        <v>40036400</v>
      </c>
      <c r="G40" s="176"/>
      <c r="H40" s="64">
        <v>39889.599999999999</v>
      </c>
      <c r="K40" s="64">
        <v>40036.400000000001</v>
      </c>
    </row>
    <row r="41" spans="1:11">
      <c r="A41" s="66">
        <v>1982</v>
      </c>
      <c r="B41" s="30">
        <f t="shared" si="0"/>
        <v>37815800</v>
      </c>
      <c r="C41" s="30" t="s">
        <v>22</v>
      </c>
      <c r="D41" s="30" t="s">
        <v>22</v>
      </c>
      <c r="E41" s="30">
        <f t="shared" si="1"/>
        <v>38672200</v>
      </c>
      <c r="G41" s="176"/>
      <c r="H41" s="64">
        <v>37815.800000000003</v>
      </c>
      <c r="K41" s="64">
        <v>38672.199999999997</v>
      </c>
    </row>
    <row r="42" spans="1:11">
      <c r="A42" s="66">
        <v>1983</v>
      </c>
      <c r="B42" s="30">
        <f t="shared" si="0"/>
        <v>48380500</v>
      </c>
      <c r="C42" s="30" t="s">
        <v>22</v>
      </c>
      <c r="D42" s="30" t="s">
        <v>22</v>
      </c>
      <c r="E42" s="30">
        <f t="shared" si="1"/>
        <v>47172300</v>
      </c>
      <c r="G42" s="176"/>
      <c r="H42" s="64">
        <v>48380.5</v>
      </c>
      <c r="K42" s="64">
        <v>47172.3</v>
      </c>
    </row>
    <row r="43" spans="1:11">
      <c r="A43" s="66">
        <v>1984</v>
      </c>
      <c r="B43" s="30">
        <f t="shared" si="0"/>
        <v>49647600</v>
      </c>
      <c r="C43" s="30" t="s">
        <v>22</v>
      </c>
      <c r="D43" s="30" t="s">
        <v>22</v>
      </c>
      <c r="E43" s="30">
        <f t="shared" si="1"/>
        <v>47411400</v>
      </c>
      <c r="G43" s="176"/>
      <c r="H43" s="64">
        <v>49647.6</v>
      </c>
      <c r="K43" s="64">
        <v>47411.4</v>
      </c>
    </row>
    <row r="44" spans="1:11">
      <c r="A44" s="66">
        <v>1985</v>
      </c>
      <c r="B44" s="30">
        <f t="shared" si="0"/>
        <v>54586700</v>
      </c>
      <c r="C44" s="30">
        <f t="shared" si="0"/>
        <v>53443100</v>
      </c>
      <c r="D44" s="30">
        <f t="shared" ref="D44:D66" si="2">J44*1000</f>
        <v>1143700</v>
      </c>
      <c r="E44" s="30">
        <f t="shared" si="1"/>
        <v>54086200</v>
      </c>
      <c r="G44" s="176"/>
      <c r="H44" s="64">
        <v>54586.7</v>
      </c>
      <c r="I44" s="64">
        <v>53443.1</v>
      </c>
      <c r="J44" s="64">
        <v>1143.7</v>
      </c>
      <c r="K44" s="64">
        <v>54086.2</v>
      </c>
    </row>
    <row r="45" spans="1:11">
      <c r="A45" s="66">
        <v>1986</v>
      </c>
      <c r="B45" s="30">
        <f t="shared" si="0"/>
        <v>54852900</v>
      </c>
      <c r="C45" s="30">
        <f t="shared" si="0"/>
        <v>53399900</v>
      </c>
      <c r="D45" s="30">
        <f t="shared" si="2"/>
        <v>1452800</v>
      </c>
      <c r="E45" s="30">
        <f t="shared" si="1"/>
        <v>54819500</v>
      </c>
      <c r="G45" s="176"/>
      <c r="H45" s="64">
        <v>54852.9</v>
      </c>
      <c r="I45" s="64">
        <v>53399.9</v>
      </c>
      <c r="J45" s="64">
        <v>1452.8</v>
      </c>
      <c r="K45" s="64">
        <v>54819.5</v>
      </c>
    </row>
    <row r="46" spans="1:11">
      <c r="A46" s="66">
        <v>1987</v>
      </c>
      <c r="B46" s="30">
        <f t="shared" si="0"/>
        <v>61775100</v>
      </c>
      <c r="C46" s="30">
        <f t="shared" si="0"/>
        <v>60288500</v>
      </c>
      <c r="D46" s="30">
        <f t="shared" si="2"/>
        <v>1486700</v>
      </c>
      <c r="E46" s="30">
        <f t="shared" si="1"/>
        <v>61873500</v>
      </c>
      <c r="G46" s="176"/>
      <c r="H46" s="64">
        <v>61775.1</v>
      </c>
      <c r="I46" s="64">
        <v>60288.5</v>
      </c>
      <c r="J46" s="64">
        <v>1486.7</v>
      </c>
      <c r="K46" s="64">
        <v>61873.5</v>
      </c>
    </row>
    <row r="47" spans="1:11">
      <c r="A47" s="66">
        <v>1988</v>
      </c>
      <c r="B47" s="30">
        <f t="shared" si="0"/>
        <v>60729300</v>
      </c>
      <c r="C47" s="30">
        <f t="shared" si="0"/>
        <v>59374700</v>
      </c>
      <c r="D47" s="30">
        <f t="shared" si="2"/>
        <v>1354800</v>
      </c>
      <c r="E47" s="30">
        <f t="shared" si="1"/>
        <v>60330100</v>
      </c>
      <c r="G47" s="176"/>
      <c r="H47" s="64">
        <v>60729.3</v>
      </c>
      <c r="I47" s="64">
        <v>59374.7</v>
      </c>
      <c r="J47" s="64">
        <v>1354.8</v>
      </c>
      <c r="K47" s="64">
        <v>60330.1</v>
      </c>
    </row>
    <row r="48" spans="1:11">
      <c r="A48" s="66">
        <v>1989</v>
      </c>
      <c r="B48" s="30">
        <f t="shared" si="0"/>
        <v>59075900</v>
      </c>
      <c r="C48" s="30">
        <f t="shared" si="0"/>
        <v>57841600</v>
      </c>
      <c r="D48" s="30">
        <f t="shared" si="2"/>
        <v>1234400</v>
      </c>
      <c r="E48" s="30">
        <f t="shared" si="1"/>
        <v>59224900</v>
      </c>
      <c r="G48" s="176"/>
      <c r="H48" s="64">
        <v>59075.9</v>
      </c>
      <c r="I48" s="64">
        <v>57841.599999999999</v>
      </c>
      <c r="J48" s="64">
        <v>1234.4000000000001</v>
      </c>
      <c r="K48" s="64">
        <v>59224.9</v>
      </c>
    </row>
    <row r="49" spans="1:11">
      <c r="A49" s="66">
        <v>1990</v>
      </c>
      <c r="B49" s="30">
        <f t="shared" si="0"/>
        <v>54544300</v>
      </c>
      <c r="C49" s="30">
        <f t="shared" si="0"/>
        <v>53501500</v>
      </c>
      <c r="D49" s="30">
        <f t="shared" si="2"/>
        <v>1042900.0000000001</v>
      </c>
      <c r="E49" s="30">
        <f t="shared" si="1"/>
        <v>54062300</v>
      </c>
      <c r="G49" s="176"/>
      <c r="H49" s="64">
        <v>54544.3</v>
      </c>
      <c r="I49" s="64">
        <v>53501.5</v>
      </c>
      <c r="J49" s="64">
        <v>1042.9000000000001</v>
      </c>
      <c r="K49" s="64">
        <v>54062.3</v>
      </c>
    </row>
    <row r="50" spans="1:11">
      <c r="A50" s="66">
        <v>1991</v>
      </c>
      <c r="B50" s="30">
        <f t="shared" si="0"/>
        <v>51617200</v>
      </c>
      <c r="C50" s="30">
        <f t="shared" si="0"/>
        <v>50643700</v>
      </c>
      <c r="D50" s="30">
        <f t="shared" si="2"/>
        <v>973500</v>
      </c>
      <c r="E50" s="30">
        <f t="shared" si="1"/>
        <v>52141600</v>
      </c>
      <c r="G50" s="176"/>
      <c r="H50" s="64">
        <v>51617.2</v>
      </c>
      <c r="I50" s="64">
        <v>50643.7</v>
      </c>
      <c r="J50" s="64">
        <v>973.5</v>
      </c>
      <c r="K50" s="64">
        <v>52141.599999999999</v>
      </c>
    </row>
    <row r="51" spans="1:11">
      <c r="A51" s="66">
        <v>1992</v>
      </c>
      <c r="B51" s="30">
        <f t="shared" si="0"/>
        <v>55709000</v>
      </c>
      <c r="C51" s="30">
        <f t="shared" si="0"/>
        <v>54605000</v>
      </c>
      <c r="D51" s="30">
        <f t="shared" si="2"/>
        <v>1104000</v>
      </c>
      <c r="E51" s="30">
        <f t="shared" si="1"/>
        <v>56262100</v>
      </c>
      <c r="G51" s="176"/>
      <c r="H51" s="64">
        <v>55709</v>
      </c>
      <c r="I51" s="64">
        <v>54605</v>
      </c>
      <c r="J51" s="64">
        <v>1104</v>
      </c>
      <c r="K51" s="64">
        <v>56262.1</v>
      </c>
    </row>
    <row r="52" spans="1:11">
      <c r="A52" s="66">
        <v>1993</v>
      </c>
      <c r="B52" s="30">
        <f t="shared" si="0"/>
        <v>59555100</v>
      </c>
      <c r="C52" s="30">
        <f t="shared" si="0"/>
        <v>58442000</v>
      </c>
      <c r="D52" s="30">
        <f t="shared" si="2"/>
        <v>1106400</v>
      </c>
      <c r="E52" s="30">
        <f t="shared" si="1"/>
        <v>59636100</v>
      </c>
      <c r="G52" s="176"/>
      <c r="H52" s="64">
        <v>59555.1</v>
      </c>
      <c r="I52" s="64">
        <v>58442</v>
      </c>
      <c r="J52" s="64">
        <v>1106.4000000000001</v>
      </c>
      <c r="K52" s="64">
        <v>59636.1</v>
      </c>
    </row>
    <row r="53" spans="1:11">
      <c r="A53" s="66">
        <v>1994</v>
      </c>
      <c r="B53" s="30">
        <f t="shared" si="0"/>
        <v>62409600</v>
      </c>
      <c r="C53" s="30">
        <f t="shared" si="0"/>
        <v>61228400</v>
      </c>
      <c r="D53" s="30">
        <f t="shared" si="2"/>
        <v>1181100</v>
      </c>
      <c r="E53" s="30">
        <f t="shared" si="1"/>
        <v>61671800</v>
      </c>
      <c r="G53" s="176"/>
      <c r="H53" s="64">
        <v>62409.599999999999</v>
      </c>
      <c r="I53" s="64">
        <v>61228.4</v>
      </c>
      <c r="J53" s="64">
        <v>1181.0999999999999</v>
      </c>
      <c r="K53" s="64">
        <v>61671.8</v>
      </c>
    </row>
    <row r="54" spans="1:11">
      <c r="A54" s="66">
        <v>1995</v>
      </c>
      <c r="B54" s="30">
        <f t="shared" si="0"/>
        <v>62576500</v>
      </c>
      <c r="C54" s="30">
        <f t="shared" si="0"/>
        <v>61573100</v>
      </c>
      <c r="D54" s="30">
        <f t="shared" si="2"/>
        <v>1003200</v>
      </c>
      <c r="E54" s="30">
        <f t="shared" si="1"/>
        <v>62140800</v>
      </c>
      <c r="G54" s="176"/>
      <c r="H54" s="64">
        <v>62576.5</v>
      </c>
      <c r="I54" s="64">
        <v>61573.1</v>
      </c>
      <c r="J54" s="64">
        <v>1003.2</v>
      </c>
      <c r="K54" s="64">
        <v>62140.800000000003</v>
      </c>
    </row>
    <row r="55" spans="1:11">
      <c r="A55" s="66">
        <v>1996</v>
      </c>
      <c r="B55" s="30">
        <f t="shared" si="0"/>
        <v>64781000</v>
      </c>
      <c r="C55" s="30">
        <f t="shared" si="0"/>
        <v>63897500</v>
      </c>
      <c r="D55" s="30">
        <f t="shared" si="2"/>
        <v>883300</v>
      </c>
      <c r="E55" s="30">
        <f t="shared" si="1"/>
        <v>64934500</v>
      </c>
      <c r="G55" s="176"/>
      <c r="H55" s="64">
        <v>64781</v>
      </c>
      <c r="I55" s="64">
        <v>63897.5</v>
      </c>
      <c r="J55" s="64">
        <v>883.3</v>
      </c>
      <c r="K55" s="64">
        <v>64934.5</v>
      </c>
    </row>
    <row r="56" spans="1:11">
      <c r="A56" s="66">
        <v>1997</v>
      </c>
      <c r="B56" s="30">
        <f t="shared" si="0"/>
        <v>66076300</v>
      </c>
      <c r="C56" s="30">
        <f t="shared" si="0"/>
        <v>65014700</v>
      </c>
      <c r="D56" s="30">
        <f t="shared" si="2"/>
        <v>1061700</v>
      </c>
      <c r="E56" s="30">
        <f t="shared" si="1"/>
        <v>65847899.999999993</v>
      </c>
      <c r="G56" s="176"/>
      <c r="H56" s="64">
        <v>66076.3</v>
      </c>
      <c r="I56" s="64">
        <v>65014.7</v>
      </c>
      <c r="J56" s="64">
        <v>1061.7</v>
      </c>
      <c r="K56" s="64">
        <v>65847.899999999994</v>
      </c>
    </row>
    <row r="57" spans="1:11">
      <c r="A57" s="66">
        <v>1998</v>
      </c>
      <c r="B57" s="30">
        <f t="shared" si="0"/>
        <v>64810100</v>
      </c>
      <c r="C57" s="30">
        <f t="shared" si="0"/>
        <v>63807900</v>
      </c>
      <c r="D57" s="30">
        <f t="shared" si="2"/>
        <v>1002200</v>
      </c>
      <c r="E57" s="30">
        <f t="shared" si="1"/>
        <v>64361600</v>
      </c>
      <c r="G57" s="176"/>
      <c r="H57" s="64">
        <v>64810.1</v>
      </c>
      <c r="I57" s="64">
        <v>63807.9</v>
      </c>
      <c r="J57" s="64">
        <v>1002.2</v>
      </c>
      <c r="K57" s="64">
        <v>64361.599999999999</v>
      </c>
    </row>
    <row r="58" spans="1:11">
      <c r="A58" s="66">
        <v>1999</v>
      </c>
      <c r="B58" s="30">
        <f t="shared" si="0"/>
        <v>74059000</v>
      </c>
      <c r="C58" s="30">
        <f t="shared" si="0"/>
        <v>72895100</v>
      </c>
      <c r="D58" s="30">
        <f t="shared" si="2"/>
        <v>1163800</v>
      </c>
      <c r="E58" s="30">
        <f t="shared" si="1"/>
        <v>73853800</v>
      </c>
      <c r="G58" s="176"/>
      <c r="H58" s="64">
        <v>74059</v>
      </c>
      <c r="I58" s="64">
        <v>72895.100000000006</v>
      </c>
      <c r="J58" s="64">
        <v>1163.8</v>
      </c>
      <c r="K58" s="64">
        <v>73853.8</v>
      </c>
    </row>
    <row r="59" spans="1:11">
      <c r="A59" s="66">
        <v>2000</v>
      </c>
      <c r="B59" s="30">
        <f t="shared" si="0"/>
        <v>76785700</v>
      </c>
      <c r="C59" s="30">
        <f t="shared" si="0"/>
        <v>75213100</v>
      </c>
      <c r="D59" s="30">
        <f t="shared" si="2"/>
        <v>1572400</v>
      </c>
      <c r="E59" s="30">
        <f t="shared" si="1"/>
        <v>76012200</v>
      </c>
      <c r="G59" s="176"/>
      <c r="H59" s="64">
        <v>76785.7</v>
      </c>
      <c r="I59" s="64">
        <v>75213.100000000006</v>
      </c>
      <c r="J59" s="64">
        <v>1572.4</v>
      </c>
      <c r="K59" s="64">
        <v>76012.2</v>
      </c>
    </row>
    <row r="60" spans="1:11">
      <c r="A60" s="66">
        <v>2001</v>
      </c>
      <c r="B60" s="30">
        <f t="shared" si="0"/>
        <v>73633900</v>
      </c>
      <c r="C60" s="30">
        <f t="shared" si="0"/>
        <v>72036000</v>
      </c>
      <c r="D60" s="30">
        <f t="shared" si="2"/>
        <v>1598200</v>
      </c>
      <c r="E60" s="30">
        <f t="shared" si="1"/>
        <v>74242700</v>
      </c>
      <c r="G60" s="176"/>
      <c r="H60" s="64">
        <v>73633.899999999994</v>
      </c>
      <c r="I60" s="64">
        <v>72036</v>
      </c>
      <c r="J60" s="64">
        <v>1598.2</v>
      </c>
      <c r="K60" s="64">
        <v>74242.7</v>
      </c>
    </row>
    <row r="61" spans="1:11">
      <c r="A61" s="66">
        <v>2002</v>
      </c>
      <c r="B61" s="30">
        <f t="shared" si="0"/>
        <v>79803700</v>
      </c>
      <c r="C61" s="30">
        <f t="shared" si="0"/>
        <v>77952500</v>
      </c>
      <c r="D61" s="30">
        <f t="shared" si="2"/>
        <v>1851100</v>
      </c>
      <c r="E61" s="30">
        <f t="shared" si="1"/>
        <v>79562900</v>
      </c>
      <c r="G61" s="176"/>
      <c r="H61" s="64">
        <v>79803.7</v>
      </c>
      <c r="I61" s="64">
        <v>77952.5</v>
      </c>
      <c r="J61" s="64">
        <v>1851.1</v>
      </c>
      <c r="K61" s="64">
        <v>79562.899999999994</v>
      </c>
    </row>
    <row r="62" spans="1:11">
      <c r="A62" s="66">
        <v>2003</v>
      </c>
      <c r="B62" s="30">
        <f t="shared" si="0"/>
        <v>79319300</v>
      </c>
      <c r="C62" s="30">
        <f t="shared" si="0"/>
        <v>77534600</v>
      </c>
      <c r="D62" s="30">
        <f t="shared" si="2"/>
        <v>1784700</v>
      </c>
      <c r="E62" s="30">
        <f t="shared" si="1"/>
        <v>80228700</v>
      </c>
      <c r="G62" s="176"/>
      <c r="H62" s="64">
        <v>79319.3</v>
      </c>
      <c r="I62" s="64">
        <v>77534.600000000006</v>
      </c>
      <c r="J62" s="64">
        <v>1784.7</v>
      </c>
      <c r="K62" s="64">
        <v>80228.7</v>
      </c>
    </row>
    <row r="63" spans="1:11">
      <c r="A63" s="66">
        <v>2004</v>
      </c>
      <c r="B63" s="30">
        <f t="shared" si="0"/>
        <v>84589600</v>
      </c>
      <c r="C63" s="30">
        <f t="shared" si="0"/>
        <v>82773800</v>
      </c>
      <c r="D63" s="30">
        <f t="shared" si="2"/>
        <v>1815800</v>
      </c>
      <c r="E63" s="30">
        <f t="shared" si="1"/>
        <v>84944400</v>
      </c>
      <c r="G63" s="176"/>
      <c r="H63" s="64">
        <v>84589.6</v>
      </c>
      <c r="I63" s="64">
        <v>82773.8</v>
      </c>
      <c r="J63" s="64">
        <v>1815.8</v>
      </c>
      <c r="K63" s="64">
        <v>84944.4</v>
      </c>
    </row>
    <row r="64" spans="1:11">
      <c r="A64" s="66">
        <v>2005</v>
      </c>
      <c r="B64" s="30">
        <f t="shared" si="0"/>
        <v>82888900</v>
      </c>
      <c r="C64" s="30">
        <f t="shared" si="0"/>
        <v>81172000</v>
      </c>
      <c r="D64" s="30">
        <f t="shared" si="2"/>
        <v>1717100</v>
      </c>
      <c r="E64" s="30">
        <f t="shared" si="1"/>
        <v>83148700</v>
      </c>
      <c r="G64" s="176"/>
      <c r="H64" s="64">
        <v>82888.899999999994</v>
      </c>
      <c r="I64" s="64">
        <v>81172</v>
      </c>
      <c r="J64" s="64">
        <v>1717.1</v>
      </c>
      <c r="K64" s="64">
        <v>83148.7</v>
      </c>
    </row>
    <row r="65" spans="1:11">
      <c r="A65" s="66">
        <v>2006</v>
      </c>
      <c r="B65" s="30">
        <f t="shared" si="0"/>
        <v>80870400</v>
      </c>
      <c r="C65" s="30">
        <f t="shared" si="0"/>
        <v>79228300</v>
      </c>
      <c r="D65" s="30">
        <f t="shared" si="2"/>
        <v>1641900</v>
      </c>
      <c r="E65" s="30">
        <f t="shared" si="1"/>
        <v>80434300</v>
      </c>
      <c r="G65" s="176"/>
      <c r="H65" s="64">
        <v>80870.399999999994</v>
      </c>
      <c r="I65" s="64">
        <v>79228.3</v>
      </c>
      <c r="J65" s="64">
        <v>1641.9</v>
      </c>
      <c r="K65" s="64">
        <v>80434.3</v>
      </c>
    </row>
    <row r="66" spans="1:11">
      <c r="A66" s="66">
        <v>2007</v>
      </c>
      <c r="B66" s="30">
        <f t="shared" si="0"/>
        <v>72042600</v>
      </c>
      <c r="C66" s="30">
        <f t="shared" si="0"/>
        <v>70641400</v>
      </c>
      <c r="D66" s="30">
        <f t="shared" si="2"/>
        <v>1401200</v>
      </c>
      <c r="E66" s="30">
        <f t="shared" si="1"/>
        <v>72161400</v>
      </c>
      <c r="G66" s="176"/>
      <c r="H66" s="64">
        <v>72042.600000000006</v>
      </c>
      <c r="I66" s="64">
        <v>70641.399999999994</v>
      </c>
      <c r="J66" s="64">
        <v>1401.2</v>
      </c>
      <c r="K66" s="64">
        <v>72161.399999999994</v>
      </c>
    </row>
    <row r="67" spans="1:11">
      <c r="A67" s="66">
        <v>2008</v>
      </c>
      <c r="B67" s="30">
        <f>H67*1000</f>
        <v>57250100</v>
      </c>
      <c r="C67" s="30">
        <f>I67*1000</f>
        <v>56139400</v>
      </c>
      <c r="D67" s="30">
        <f>J67*1000</f>
        <v>1110900</v>
      </c>
      <c r="E67" s="30">
        <f>K67*1000</f>
        <v>57690300</v>
      </c>
      <c r="G67" s="176"/>
      <c r="H67" s="64">
        <v>57250.1</v>
      </c>
      <c r="I67" s="64">
        <v>56139.4</v>
      </c>
      <c r="J67" s="64">
        <v>1110.9000000000001</v>
      </c>
      <c r="K67" s="64">
        <v>57690.3</v>
      </c>
    </row>
    <row r="68" spans="1:11">
      <c r="A68" s="66">
        <v>2009</v>
      </c>
      <c r="B68" s="30">
        <f t="shared" si="0"/>
        <v>45248500</v>
      </c>
      <c r="C68" s="30">
        <f t="shared" si="0"/>
        <v>44435500</v>
      </c>
      <c r="D68" s="30">
        <f t="shared" ref="D68:D70" si="3">J68*1000</f>
        <v>813100</v>
      </c>
      <c r="E68" s="30">
        <f t="shared" ref="E68:E70" si="4">K68*1000</f>
        <v>46734200</v>
      </c>
      <c r="G68" s="176"/>
      <c r="H68" s="64">
        <v>45248.5</v>
      </c>
      <c r="I68" s="64">
        <v>44435.5</v>
      </c>
      <c r="J68" s="64">
        <v>813.1</v>
      </c>
      <c r="K68" s="64">
        <v>46734.2</v>
      </c>
    </row>
    <row r="69" spans="1:11">
      <c r="A69" s="66">
        <v>2010</v>
      </c>
      <c r="B69" s="30">
        <f t="shared" si="0"/>
        <v>53311100</v>
      </c>
      <c r="C69" s="30">
        <f t="shared" si="0"/>
        <v>52356300</v>
      </c>
      <c r="D69" s="30">
        <f t="shared" si="3"/>
        <v>954900</v>
      </c>
      <c r="E69" s="30">
        <f t="shared" si="4"/>
        <v>52757500</v>
      </c>
      <c r="G69" s="176"/>
      <c r="H69" s="64">
        <v>53311.1</v>
      </c>
      <c r="I69" s="64">
        <v>52356.3</v>
      </c>
      <c r="J69" s="64">
        <v>954.9</v>
      </c>
      <c r="K69" s="64">
        <v>52757.5</v>
      </c>
    </row>
    <row r="70" spans="1:11">
      <c r="A70" s="66">
        <v>2011</v>
      </c>
      <c r="B70" s="30">
        <f t="shared" ref="B70:C70" si="5">H70*1000</f>
        <v>53609500</v>
      </c>
      <c r="C70" s="30">
        <f t="shared" si="5"/>
        <v>52743900</v>
      </c>
      <c r="D70" s="30">
        <f t="shared" si="3"/>
        <v>865700</v>
      </c>
      <c r="E70" s="30">
        <f t="shared" si="4"/>
        <v>53949400</v>
      </c>
      <c r="G70" s="176"/>
      <c r="H70" s="64">
        <v>53609.5</v>
      </c>
      <c r="I70" s="64">
        <v>52743.9</v>
      </c>
      <c r="J70" s="64">
        <v>865.7</v>
      </c>
      <c r="K70" s="64">
        <v>53949.4</v>
      </c>
    </row>
    <row r="71" spans="1:11">
      <c r="G71" s="176"/>
    </row>
    <row r="72" spans="1:11">
      <c r="A72" s="66" t="s">
        <v>23</v>
      </c>
      <c r="G72" s="176"/>
    </row>
    <row r="73" spans="1:11">
      <c r="A73" s="64" t="s">
        <v>2122</v>
      </c>
      <c r="B73" s="67">
        <f>((B70/B20)^(1/50)-1)*100</f>
        <v>2.0928503435673207</v>
      </c>
      <c r="C73" s="67" t="s">
        <v>22</v>
      </c>
      <c r="D73" s="67" t="s">
        <v>22</v>
      </c>
      <c r="E73" s="67" t="s">
        <v>22</v>
      </c>
      <c r="G73" s="176"/>
    </row>
    <row r="74" spans="1:11">
      <c r="A74" s="69" t="s">
        <v>1031</v>
      </c>
      <c r="B74" s="67">
        <f>((B32/B20)^(1/12)-1)*100</f>
        <v>5.3591807738373687</v>
      </c>
      <c r="C74" s="67" t="s">
        <v>22</v>
      </c>
      <c r="D74" s="67" t="s">
        <v>22</v>
      </c>
      <c r="E74" s="67" t="s">
        <v>22</v>
      </c>
      <c r="G74" s="176"/>
    </row>
    <row r="75" spans="1:11">
      <c r="A75" s="69" t="s">
        <v>1032</v>
      </c>
      <c r="B75" s="67">
        <f>((B40/B32)^(1/8)-1)*100</f>
        <v>1.4295432679211961</v>
      </c>
      <c r="C75" s="67" t="s">
        <v>22</v>
      </c>
      <c r="D75" s="67" t="s">
        <v>22</v>
      </c>
      <c r="E75" s="67">
        <f>((E40/E32)^(1/8)-1)*100</f>
        <v>2.5246841672939002</v>
      </c>
      <c r="G75" s="176"/>
    </row>
    <row r="76" spans="1:11">
      <c r="A76" s="69" t="s">
        <v>25</v>
      </c>
      <c r="B76" s="67">
        <f>((B48/B40)^(1/8)-1)*100</f>
        <v>5.0313223145439068</v>
      </c>
      <c r="C76" s="67" t="s">
        <v>22</v>
      </c>
      <c r="D76" s="67" t="s">
        <v>22</v>
      </c>
      <c r="E76" s="67">
        <f>((E48/E40)^(1/8)-1)*100</f>
        <v>5.0161674107098486</v>
      </c>
      <c r="G76" s="176"/>
    </row>
    <row r="77" spans="1:11">
      <c r="A77" s="69" t="s">
        <v>26</v>
      </c>
      <c r="B77" s="65">
        <f>((B59/B48)^(1/11)-1)*100</f>
        <v>2.4122289125521501</v>
      </c>
      <c r="C77" s="65">
        <f>((C59/C48)^(1/11)-1)*100</f>
        <v>2.4161561323772451</v>
      </c>
      <c r="D77" s="65">
        <f>((D59/D48)^(1/11)-1)*100</f>
        <v>2.2245465830402544</v>
      </c>
      <c r="E77" s="65">
        <f>((E59/E48)^(1/11)-1)*100</f>
        <v>2.2945822934969273</v>
      </c>
      <c r="G77" s="176"/>
    </row>
    <row r="78" spans="1:11">
      <c r="A78" s="69" t="s">
        <v>1782</v>
      </c>
      <c r="B78" s="65">
        <f>((B70/B59)^(1/11)-1)*100</f>
        <v>-3.213524874722784</v>
      </c>
      <c r="C78" s="65">
        <f t="shared" ref="C78:E78" si="6">((C70/C59)^(1/11)-1)*100</f>
        <v>-3.1746718999483226</v>
      </c>
      <c r="D78" s="65">
        <f t="shared" si="6"/>
        <v>-5.2810746521462555</v>
      </c>
      <c r="E78" s="65">
        <f t="shared" si="6"/>
        <v>-3.0687222000997827</v>
      </c>
      <c r="G78" s="176"/>
    </row>
    <row r="79" spans="1:11">
      <c r="B79" s="65"/>
      <c r="G79" s="176"/>
    </row>
    <row r="80" spans="1:11">
      <c r="A80" s="64" t="s">
        <v>1072</v>
      </c>
      <c r="G80" s="176"/>
    </row>
    <row r="81" spans="7:7">
      <c r="G81" s="176"/>
    </row>
    <row r="82" spans="7:7">
      <c r="G82" s="176"/>
    </row>
    <row r="83" spans="7:7">
      <c r="G83" s="176"/>
    </row>
    <row r="84" spans="7:7">
      <c r="G84" s="176"/>
    </row>
    <row r="85" spans="7:7">
      <c r="G85" s="176"/>
    </row>
    <row r="86" spans="7:7">
      <c r="G86" s="176"/>
    </row>
    <row r="87" spans="7:7">
      <c r="G87" s="176"/>
    </row>
    <row r="88" spans="7:7">
      <c r="G88" s="176"/>
    </row>
    <row r="89" spans="7:7">
      <c r="G89" s="176"/>
    </row>
    <row r="90" spans="7:7">
      <c r="G90" s="176"/>
    </row>
    <row r="91" spans="7:7">
      <c r="G91" s="176"/>
    </row>
    <row r="92" spans="7:7">
      <c r="G92" s="176"/>
    </row>
    <row r="93" spans="7:7">
      <c r="G93" s="176"/>
    </row>
    <row r="94" spans="7:7">
      <c r="G94" s="176"/>
    </row>
    <row r="95" spans="7:7">
      <c r="G95" s="176"/>
    </row>
    <row r="96" spans="7:7">
      <c r="G96" s="176"/>
    </row>
    <row r="97" spans="7:7">
      <c r="G97" s="176"/>
    </row>
    <row r="98" spans="7:7">
      <c r="G98" s="176"/>
    </row>
    <row r="99" spans="7:7">
      <c r="G99" s="176"/>
    </row>
    <row r="100" spans="7:7">
      <c r="G100" s="176"/>
    </row>
    <row r="101" spans="7:7">
      <c r="G101" s="176"/>
    </row>
    <row r="102" spans="7:7">
      <c r="G102" s="176"/>
    </row>
    <row r="103" spans="7:7">
      <c r="G103" s="176"/>
    </row>
    <row r="104" spans="7:7">
      <c r="G104" s="176"/>
    </row>
    <row r="105" spans="7:7">
      <c r="G105" s="176"/>
    </row>
    <row r="106" spans="7:7">
      <c r="G106" s="176"/>
    </row>
    <row r="107" spans="7:7">
      <c r="G107" s="176"/>
    </row>
    <row r="108" spans="7:7">
      <c r="G108" s="176"/>
    </row>
    <row r="109" spans="7:7">
      <c r="G109" s="176"/>
    </row>
    <row r="110" spans="7:7">
      <c r="G110" s="176"/>
    </row>
    <row r="111" spans="7:7">
      <c r="G111" s="176"/>
    </row>
    <row r="112" spans="7:7">
      <c r="G112" s="176"/>
    </row>
    <row r="113" spans="7:7">
      <c r="G113" s="176"/>
    </row>
    <row r="114" spans="7:7">
      <c r="G114" s="176"/>
    </row>
    <row r="115" spans="7:7">
      <c r="G115" s="176"/>
    </row>
    <row r="116" spans="7:7">
      <c r="G116" s="176"/>
    </row>
    <row r="117" spans="7:7">
      <c r="G117" s="176"/>
    </row>
    <row r="118" spans="7:7">
      <c r="G118" s="176"/>
    </row>
    <row r="119" spans="7:7">
      <c r="G119" s="176"/>
    </row>
    <row r="120" spans="7:7">
      <c r="G120" s="176"/>
    </row>
    <row r="121" spans="7:7">
      <c r="G121" s="176"/>
    </row>
    <row r="122" spans="7:7">
      <c r="G122" s="176"/>
    </row>
    <row r="123" spans="7:7">
      <c r="G123" s="176"/>
    </row>
    <row r="124" spans="7:7">
      <c r="G124" s="176"/>
    </row>
    <row r="125" spans="7:7">
      <c r="G125" s="176"/>
    </row>
    <row r="126" spans="7:7">
      <c r="G126" s="176"/>
    </row>
    <row r="127" spans="7:7">
      <c r="G127" s="176"/>
    </row>
    <row r="128" spans="7:7">
      <c r="G128" s="176"/>
    </row>
    <row r="129" spans="7:7">
      <c r="G129" s="176"/>
    </row>
    <row r="130" spans="7:7">
      <c r="G130" s="176"/>
    </row>
    <row r="131" spans="7:7">
      <c r="G131" s="176"/>
    </row>
    <row r="132" spans="7:7">
      <c r="G132" s="176"/>
    </row>
    <row r="133" spans="7:7">
      <c r="G133" s="176"/>
    </row>
    <row r="134" spans="7:7">
      <c r="G134" s="176"/>
    </row>
    <row r="135" spans="7:7">
      <c r="G135" s="176"/>
    </row>
    <row r="136" spans="7:7">
      <c r="G136" s="176"/>
    </row>
    <row r="137" spans="7:7">
      <c r="G137" s="176"/>
    </row>
    <row r="138" spans="7:7">
      <c r="G138" s="176"/>
    </row>
    <row r="139" spans="7:7">
      <c r="G139" s="176"/>
    </row>
    <row r="140" spans="7:7">
      <c r="G140" s="176"/>
    </row>
    <row r="141" spans="7:7">
      <c r="G141" s="176"/>
    </row>
    <row r="142" spans="7:7">
      <c r="G142" s="176"/>
    </row>
    <row r="143" spans="7:7">
      <c r="G143" s="176"/>
    </row>
    <row r="144" spans="7:7">
      <c r="G144" s="176"/>
    </row>
    <row r="145" spans="7:7">
      <c r="G145" s="176"/>
    </row>
    <row r="146" spans="7:7">
      <c r="G146" s="176"/>
    </row>
    <row r="147" spans="7:7">
      <c r="G147" s="176"/>
    </row>
    <row r="148" spans="7:7">
      <c r="G148" s="176"/>
    </row>
    <row r="149" spans="7:7">
      <c r="G149" s="176"/>
    </row>
    <row r="150" spans="7:7">
      <c r="G150" s="176"/>
    </row>
    <row r="151" spans="7:7">
      <c r="G151" s="176"/>
    </row>
    <row r="152" spans="7:7">
      <c r="G152" s="176"/>
    </row>
    <row r="153" spans="7:7">
      <c r="G153" s="176"/>
    </row>
    <row r="154" spans="7:7">
      <c r="G154" s="176"/>
    </row>
    <row r="155" spans="7:7">
      <c r="G155" s="176"/>
    </row>
    <row r="156" spans="7:7">
      <c r="G156" s="176"/>
    </row>
    <row r="157" spans="7:7">
      <c r="G157" s="176"/>
    </row>
    <row r="158" spans="7:7">
      <c r="G158" s="176"/>
    </row>
    <row r="159" spans="7:7">
      <c r="G159" s="176"/>
    </row>
    <row r="160" spans="7:7">
      <c r="G160" s="176"/>
    </row>
    <row r="161" spans="7:7">
      <c r="G161" s="176"/>
    </row>
    <row r="162" spans="7:7">
      <c r="G162" s="176"/>
    </row>
    <row r="163" spans="7:7">
      <c r="G163" s="176"/>
    </row>
    <row r="164" spans="7:7">
      <c r="G164" s="176"/>
    </row>
    <row r="165" spans="7:7">
      <c r="G165" s="176"/>
    </row>
    <row r="166" spans="7:7">
      <c r="G166" s="176"/>
    </row>
    <row r="167" spans="7:7">
      <c r="G167" s="176"/>
    </row>
    <row r="168" spans="7:7">
      <c r="G168" s="176"/>
    </row>
    <row r="169" spans="7:7">
      <c r="G169" s="176"/>
    </row>
    <row r="170" spans="7:7">
      <c r="G170" s="176"/>
    </row>
    <row r="171" spans="7:7">
      <c r="G171" s="176"/>
    </row>
    <row r="172" spans="7:7">
      <c r="G172" s="176"/>
    </row>
    <row r="173" spans="7:7">
      <c r="G173" s="176"/>
    </row>
    <row r="174" spans="7:7">
      <c r="G174" s="176"/>
    </row>
    <row r="175" spans="7:7">
      <c r="G175" s="176"/>
    </row>
    <row r="176" spans="7:7">
      <c r="G176" s="176"/>
    </row>
    <row r="177" spans="7:7">
      <c r="G177" s="176"/>
    </row>
    <row r="178" spans="7:7">
      <c r="G178" s="176"/>
    </row>
    <row r="179" spans="7:7">
      <c r="G179" s="176"/>
    </row>
    <row r="180" spans="7:7">
      <c r="G180" s="176"/>
    </row>
    <row r="181" spans="7:7">
      <c r="G181" s="176"/>
    </row>
    <row r="182" spans="7:7">
      <c r="G182" s="176"/>
    </row>
    <row r="183" spans="7:7">
      <c r="G183" s="176"/>
    </row>
    <row r="184" spans="7:7">
      <c r="G184" s="176"/>
    </row>
    <row r="185" spans="7:7">
      <c r="G185" s="176"/>
    </row>
    <row r="186" spans="7:7">
      <c r="G186" s="176"/>
    </row>
    <row r="187" spans="7:7">
      <c r="G187" s="176"/>
    </row>
    <row r="188" spans="7:7">
      <c r="G188" s="176"/>
    </row>
    <row r="189" spans="7:7">
      <c r="G189" s="176"/>
    </row>
    <row r="190" spans="7:7">
      <c r="G190" s="176"/>
    </row>
    <row r="191" spans="7:7">
      <c r="G191" s="176"/>
    </row>
    <row r="192" spans="7:7">
      <c r="G192" s="176"/>
    </row>
    <row r="193" spans="7:7">
      <c r="G193" s="176"/>
    </row>
    <row r="194" spans="7:7">
      <c r="G194" s="176"/>
    </row>
    <row r="195" spans="7:7">
      <c r="G195" s="176"/>
    </row>
    <row r="196" spans="7:7">
      <c r="G196" s="176"/>
    </row>
    <row r="197" spans="7:7">
      <c r="G197" s="176"/>
    </row>
    <row r="198" spans="7:7">
      <c r="G198" s="176"/>
    </row>
    <row r="199" spans="7:7">
      <c r="G199" s="176"/>
    </row>
    <row r="200" spans="7:7">
      <c r="G200" s="176"/>
    </row>
    <row r="201" spans="7:7">
      <c r="G201" s="176"/>
    </row>
    <row r="202" spans="7:7">
      <c r="G202" s="176"/>
    </row>
    <row r="203" spans="7:7">
      <c r="G203" s="176"/>
    </row>
    <row r="204" spans="7:7">
      <c r="G204" s="176"/>
    </row>
    <row r="205" spans="7:7">
      <c r="G205" s="176"/>
    </row>
    <row r="206" spans="7:7">
      <c r="G206" s="176"/>
    </row>
    <row r="207" spans="7:7">
      <c r="G207" s="176"/>
    </row>
    <row r="208" spans="7:7">
      <c r="G208" s="176"/>
    </row>
    <row r="209" spans="7:7">
      <c r="G209" s="176"/>
    </row>
    <row r="210" spans="7:7">
      <c r="G210" s="176"/>
    </row>
    <row r="211" spans="7:7">
      <c r="G211" s="176"/>
    </row>
    <row r="212" spans="7:7">
      <c r="G212" s="176"/>
    </row>
    <row r="213" spans="7:7">
      <c r="G213" s="176"/>
    </row>
    <row r="214" spans="7:7">
      <c r="G214" s="176"/>
    </row>
    <row r="215" spans="7:7">
      <c r="G215" s="176"/>
    </row>
    <row r="216" spans="7:7">
      <c r="G216" s="176"/>
    </row>
    <row r="217" spans="7:7">
      <c r="G217" s="176"/>
    </row>
    <row r="218" spans="7:7">
      <c r="G218" s="176"/>
    </row>
    <row r="219" spans="7:7">
      <c r="G219" s="176"/>
    </row>
    <row r="220" spans="7:7">
      <c r="G220" s="176"/>
    </row>
    <row r="221" spans="7:7">
      <c r="G221" s="176"/>
    </row>
    <row r="222" spans="7:7">
      <c r="G222" s="176"/>
    </row>
    <row r="223" spans="7:7">
      <c r="G223" s="176"/>
    </row>
    <row r="224" spans="7:7">
      <c r="G224" s="176"/>
    </row>
    <row r="225" spans="7:7">
      <c r="G225" s="176"/>
    </row>
    <row r="226" spans="7:7">
      <c r="G226" s="176"/>
    </row>
    <row r="227" spans="7:7">
      <c r="G227" s="176"/>
    </row>
    <row r="228" spans="7:7">
      <c r="G228" s="176"/>
    </row>
    <row r="229" spans="7:7">
      <c r="G229" s="176"/>
    </row>
    <row r="230" spans="7:7">
      <c r="G230" s="176"/>
    </row>
    <row r="231" spans="7:7">
      <c r="G231" s="176"/>
    </row>
    <row r="232" spans="7:7">
      <c r="G232" s="176"/>
    </row>
    <row r="233" spans="7:7">
      <c r="G233" s="176"/>
    </row>
    <row r="234" spans="7:7">
      <c r="G234" s="176"/>
    </row>
    <row r="235" spans="7:7">
      <c r="G235" s="176"/>
    </row>
    <row r="236" spans="7:7">
      <c r="G236" s="176"/>
    </row>
    <row r="237" spans="7:7">
      <c r="G237" s="176"/>
    </row>
    <row r="238" spans="7:7">
      <c r="G238" s="176"/>
    </row>
    <row r="239" spans="7:7">
      <c r="G239" s="176"/>
    </row>
    <row r="240" spans="7:7">
      <c r="G240" s="176"/>
    </row>
    <row r="241" spans="7:7">
      <c r="G241" s="176"/>
    </row>
    <row r="242" spans="7:7">
      <c r="G242" s="176"/>
    </row>
    <row r="243" spans="7:7">
      <c r="G243" s="176"/>
    </row>
    <row r="244" spans="7:7">
      <c r="G244" s="176"/>
    </row>
    <row r="245" spans="7:7">
      <c r="G245" s="176"/>
    </row>
    <row r="246" spans="7:7">
      <c r="G246" s="176"/>
    </row>
    <row r="247" spans="7:7">
      <c r="G247" s="176"/>
    </row>
    <row r="248" spans="7:7">
      <c r="G248" s="176"/>
    </row>
    <row r="249" spans="7:7">
      <c r="G249" s="176"/>
    </row>
    <row r="250" spans="7:7">
      <c r="G250" s="176"/>
    </row>
    <row r="251" spans="7:7">
      <c r="G251" s="176"/>
    </row>
    <row r="252" spans="7:7">
      <c r="G252" s="176"/>
    </row>
    <row r="253" spans="7:7">
      <c r="G253" s="176"/>
    </row>
    <row r="254" spans="7:7">
      <c r="G254" s="176"/>
    </row>
    <row r="255" spans="7:7">
      <c r="G255" s="176"/>
    </row>
    <row r="256" spans="7:7">
      <c r="G256" s="176"/>
    </row>
    <row r="257" spans="7:7">
      <c r="G257" s="176"/>
    </row>
    <row r="258" spans="7:7">
      <c r="G258" s="176"/>
    </row>
    <row r="259" spans="7:7">
      <c r="G259" s="176"/>
    </row>
    <row r="260" spans="7:7">
      <c r="G260" s="176"/>
    </row>
    <row r="261" spans="7:7">
      <c r="G261" s="176"/>
    </row>
    <row r="262" spans="7:7">
      <c r="G262" s="176"/>
    </row>
    <row r="263" spans="7:7">
      <c r="G263" s="176"/>
    </row>
    <row r="264" spans="7:7">
      <c r="G264" s="176"/>
    </row>
    <row r="265" spans="7:7">
      <c r="G265" s="176"/>
    </row>
    <row r="266" spans="7:7">
      <c r="G266" s="176"/>
    </row>
    <row r="267" spans="7:7">
      <c r="G267" s="176"/>
    </row>
    <row r="268" spans="7:7">
      <c r="G268" s="176"/>
    </row>
    <row r="269" spans="7:7">
      <c r="G269" s="176"/>
    </row>
    <row r="270" spans="7:7">
      <c r="G270" s="176"/>
    </row>
    <row r="271" spans="7:7">
      <c r="G271" s="176"/>
    </row>
    <row r="272" spans="7:7">
      <c r="G272" s="176"/>
    </row>
    <row r="273" spans="7:7">
      <c r="G273" s="176"/>
    </row>
    <row r="274" spans="7:7">
      <c r="G274" s="176"/>
    </row>
    <row r="275" spans="7:7">
      <c r="G275" s="176"/>
    </row>
    <row r="276" spans="7:7">
      <c r="G276" s="176"/>
    </row>
    <row r="277" spans="7:7">
      <c r="G277" s="176"/>
    </row>
    <row r="278" spans="7:7">
      <c r="G278" s="176"/>
    </row>
    <row r="279" spans="7:7">
      <c r="G279" s="176"/>
    </row>
    <row r="280" spans="7:7">
      <c r="G280" s="176"/>
    </row>
    <row r="281" spans="7:7">
      <c r="G281" s="176"/>
    </row>
    <row r="282" spans="7:7">
      <c r="G282" s="176"/>
    </row>
    <row r="283" spans="7:7">
      <c r="G283" s="176"/>
    </row>
    <row r="284" spans="7:7">
      <c r="G284" s="176"/>
    </row>
    <row r="285" spans="7:7">
      <c r="G285" s="176"/>
    </row>
    <row r="286" spans="7:7">
      <c r="G286" s="176"/>
    </row>
    <row r="287" spans="7:7">
      <c r="G287" s="176"/>
    </row>
    <row r="288" spans="7:7">
      <c r="G288" s="176"/>
    </row>
    <row r="289" spans="7:7">
      <c r="G289" s="176"/>
    </row>
    <row r="290" spans="7:7">
      <c r="G290" s="176"/>
    </row>
    <row r="291" spans="7:7">
      <c r="G291" s="176"/>
    </row>
    <row r="292" spans="7:7">
      <c r="G292" s="176"/>
    </row>
    <row r="293" spans="7:7">
      <c r="G293" s="176"/>
    </row>
    <row r="294" spans="7:7">
      <c r="G294" s="176"/>
    </row>
    <row r="295" spans="7:7">
      <c r="G295" s="176"/>
    </row>
    <row r="296" spans="7:7">
      <c r="G296" s="176"/>
    </row>
    <row r="297" spans="7:7">
      <c r="G297" s="176"/>
    </row>
    <row r="298" spans="7:7">
      <c r="G298" s="176"/>
    </row>
    <row r="299" spans="7:7">
      <c r="G299" s="176"/>
    </row>
    <row r="300" spans="7:7">
      <c r="G300" s="176"/>
    </row>
    <row r="301" spans="7:7">
      <c r="G301" s="176"/>
    </row>
    <row r="302" spans="7:7">
      <c r="G302" s="176"/>
    </row>
    <row r="303" spans="7:7">
      <c r="G303" s="176"/>
    </row>
    <row r="304" spans="7:7">
      <c r="G304" s="176"/>
    </row>
    <row r="305" spans="7:7">
      <c r="G305" s="176"/>
    </row>
    <row r="306" spans="7:7">
      <c r="G306" s="176"/>
    </row>
    <row r="307" spans="7:7">
      <c r="G307" s="176"/>
    </row>
    <row r="308" spans="7:7">
      <c r="G308" s="176"/>
    </row>
    <row r="309" spans="7:7">
      <c r="G309" s="176"/>
    </row>
    <row r="310" spans="7:7">
      <c r="G310" s="176"/>
    </row>
    <row r="311" spans="7:7">
      <c r="G311" s="176"/>
    </row>
    <row r="312" spans="7:7">
      <c r="G312" s="176"/>
    </row>
    <row r="313" spans="7:7">
      <c r="G313" s="176"/>
    </row>
    <row r="314" spans="7:7">
      <c r="G314" s="176"/>
    </row>
    <row r="315" spans="7:7">
      <c r="G315" s="176"/>
    </row>
    <row r="316" spans="7:7">
      <c r="G316" s="176"/>
    </row>
    <row r="317" spans="7:7">
      <c r="G317" s="176"/>
    </row>
    <row r="318" spans="7:7">
      <c r="G318" s="176"/>
    </row>
    <row r="319" spans="7:7">
      <c r="G319" s="176"/>
    </row>
    <row r="320" spans="7:7">
      <c r="G320" s="176"/>
    </row>
    <row r="321" spans="7:7">
      <c r="G321" s="176"/>
    </row>
    <row r="322" spans="7:7">
      <c r="G322" s="176"/>
    </row>
    <row r="323" spans="7:7">
      <c r="G323" s="176"/>
    </row>
    <row r="324" spans="7:7">
      <c r="G324" s="176"/>
    </row>
    <row r="325" spans="7:7">
      <c r="G325" s="176"/>
    </row>
    <row r="326" spans="7:7">
      <c r="G326" s="176"/>
    </row>
    <row r="327" spans="7:7">
      <c r="G327" s="176"/>
    </row>
    <row r="328" spans="7:7">
      <c r="G328" s="176"/>
    </row>
    <row r="329" spans="7:7">
      <c r="G329" s="176"/>
    </row>
    <row r="330" spans="7:7">
      <c r="G330" s="176"/>
    </row>
    <row r="331" spans="7:7">
      <c r="G331" s="176"/>
    </row>
    <row r="332" spans="7:7">
      <c r="G332" s="176"/>
    </row>
    <row r="333" spans="7:7">
      <c r="G333" s="176"/>
    </row>
    <row r="334" spans="7:7">
      <c r="G334" s="176"/>
    </row>
    <row r="335" spans="7:7">
      <c r="G335" s="176"/>
    </row>
    <row r="336" spans="7:7">
      <c r="G336" s="176"/>
    </row>
    <row r="337" spans="7:7">
      <c r="G337" s="176"/>
    </row>
    <row r="338" spans="7:7">
      <c r="G338" s="176"/>
    </row>
    <row r="339" spans="7:7">
      <c r="G339" s="176"/>
    </row>
    <row r="340" spans="7:7">
      <c r="G340" s="176"/>
    </row>
    <row r="341" spans="7:7">
      <c r="G341" s="176"/>
    </row>
    <row r="342" spans="7:7">
      <c r="G342" s="176"/>
    </row>
    <row r="343" spans="7:7">
      <c r="G343" s="176"/>
    </row>
    <row r="344" spans="7:7">
      <c r="G344" s="176"/>
    </row>
    <row r="345" spans="7:7">
      <c r="G345" s="176"/>
    </row>
    <row r="346" spans="7:7">
      <c r="G346" s="176"/>
    </row>
    <row r="347" spans="7:7">
      <c r="G347" s="176"/>
    </row>
    <row r="348" spans="7:7">
      <c r="G348" s="176"/>
    </row>
    <row r="349" spans="7:7">
      <c r="G349" s="176"/>
    </row>
    <row r="350" spans="7:7">
      <c r="G350" s="176"/>
    </row>
    <row r="351" spans="7:7">
      <c r="G351" s="176"/>
    </row>
    <row r="352" spans="7:7">
      <c r="G352" s="176"/>
    </row>
    <row r="353" spans="7:7">
      <c r="G353" s="176"/>
    </row>
    <row r="354" spans="7:7">
      <c r="G354" s="176"/>
    </row>
    <row r="355" spans="7:7">
      <c r="G355" s="176"/>
    </row>
    <row r="356" spans="7:7">
      <c r="G356" s="176"/>
    </row>
    <row r="357" spans="7:7">
      <c r="G357" s="176"/>
    </row>
    <row r="358" spans="7:7">
      <c r="G358" s="176"/>
    </row>
    <row r="359" spans="7:7">
      <c r="G359" s="176"/>
    </row>
    <row r="360" spans="7:7">
      <c r="G360" s="176"/>
    </row>
    <row r="361" spans="7:7">
      <c r="G361" s="176"/>
    </row>
    <row r="362" spans="7:7">
      <c r="G362" s="176"/>
    </row>
    <row r="363" spans="7:7">
      <c r="G363" s="176"/>
    </row>
    <row r="364" spans="7:7">
      <c r="G364" s="176"/>
    </row>
    <row r="365" spans="7:7">
      <c r="G365" s="176"/>
    </row>
    <row r="366" spans="7:7">
      <c r="G366" s="176"/>
    </row>
    <row r="367" spans="7:7">
      <c r="G367" s="176"/>
    </row>
    <row r="368" spans="7:7">
      <c r="G368" s="176"/>
    </row>
    <row r="369" spans="7:7">
      <c r="G369" s="176"/>
    </row>
    <row r="370" spans="7:7">
      <c r="G370" s="176"/>
    </row>
    <row r="371" spans="7:7">
      <c r="G371" s="176"/>
    </row>
    <row r="372" spans="7:7">
      <c r="G372" s="176"/>
    </row>
    <row r="373" spans="7:7">
      <c r="G373" s="176"/>
    </row>
    <row r="374" spans="7:7">
      <c r="G374" s="176"/>
    </row>
    <row r="375" spans="7:7">
      <c r="G375" s="176"/>
    </row>
    <row r="376" spans="7:7">
      <c r="G376" s="176"/>
    </row>
    <row r="377" spans="7:7">
      <c r="G377" s="176"/>
    </row>
    <row r="378" spans="7:7">
      <c r="G378" s="176"/>
    </row>
    <row r="379" spans="7:7">
      <c r="G379" s="176"/>
    </row>
    <row r="380" spans="7:7">
      <c r="G380" s="176"/>
    </row>
    <row r="381" spans="7:7">
      <c r="G381" s="176"/>
    </row>
    <row r="382" spans="7:7">
      <c r="G382" s="176"/>
    </row>
    <row r="383" spans="7:7">
      <c r="G383" s="176"/>
    </row>
    <row r="384" spans="7:7">
      <c r="G384" s="176"/>
    </row>
    <row r="385" spans="7:7">
      <c r="G385" s="176"/>
    </row>
    <row r="386" spans="7:7">
      <c r="G386" s="176"/>
    </row>
    <row r="387" spans="7:7">
      <c r="G387" s="176"/>
    </row>
    <row r="388" spans="7:7">
      <c r="G388" s="176"/>
    </row>
    <row r="389" spans="7:7">
      <c r="G389" s="176"/>
    </row>
    <row r="390" spans="7:7">
      <c r="G390" s="176"/>
    </row>
    <row r="391" spans="7:7">
      <c r="G391" s="176"/>
    </row>
    <row r="392" spans="7:7">
      <c r="G392" s="176"/>
    </row>
    <row r="393" spans="7:7">
      <c r="G393" s="176"/>
    </row>
    <row r="394" spans="7:7">
      <c r="G394" s="176"/>
    </row>
    <row r="395" spans="7:7">
      <c r="G395" s="176"/>
    </row>
    <row r="396" spans="7:7">
      <c r="G396" s="176"/>
    </row>
    <row r="397" spans="7:7">
      <c r="G397" s="176"/>
    </row>
    <row r="398" spans="7:7">
      <c r="G398" s="176"/>
    </row>
    <row r="399" spans="7:7">
      <c r="G399" s="176"/>
    </row>
    <row r="400" spans="7:7">
      <c r="G400" s="176"/>
    </row>
    <row r="401" spans="7:7">
      <c r="G401" s="176"/>
    </row>
    <row r="402" spans="7:7">
      <c r="G402" s="176"/>
    </row>
    <row r="403" spans="7:7">
      <c r="G403" s="176"/>
    </row>
    <row r="404" spans="7:7">
      <c r="G404" s="176"/>
    </row>
    <row r="405" spans="7:7">
      <c r="G405" s="176"/>
    </row>
    <row r="406" spans="7:7">
      <c r="G406" s="176"/>
    </row>
    <row r="407" spans="7:7">
      <c r="G407" s="176"/>
    </row>
    <row r="408" spans="7:7">
      <c r="G408" s="176"/>
    </row>
    <row r="409" spans="7:7">
      <c r="G409" s="176"/>
    </row>
    <row r="410" spans="7:7">
      <c r="G410" s="176"/>
    </row>
    <row r="411" spans="7:7">
      <c r="G411" s="176"/>
    </row>
    <row r="412" spans="7:7">
      <c r="G412" s="176"/>
    </row>
    <row r="413" spans="7:7">
      <c r="G413" s="176"/>
    </row>
    <row r="414" spans="7:7">
      <c r="G414" s="176"/>
    </row>
    <row r="415" spans="7:7">
      <c r="G415" s="176"/>
    </row>
    <row r="416" spans="7:7">
      <c r="G416" s="176"/>
    </row>
    <row r="417" spans="7:7">
      <c r="G417" s="176"/>
    </row>
    <row r="418" spans="7:7">
      <c r="G418" s="176"/>
    </row>
    <row r="419" spans="7:7">
      <c r="G419" s="176"/>
    </row>
    <row r="420" spans="7:7">
      <c r="G420" s="176"/>
    </row>
    <row r="421" spans="7:7">
      <c r="G421" s="176"/>
    </row>
    <row r="422" spans="7:7">
      <c r="G422" s="176"/>
    </row>
    <row r="423" spans="7:7">
      <c r="G423" s="176"/>
    </row>
    <row r="424" spans="7:7">
      <c r="G424" s="176"/>
    </row>
    <row r="425" spans="7:7">
      <c r="G425" s="176"/>
    </row>
    <row r="426" spans="7:7">
      <c r="G426" s="176"/>
    </row>
    <row r="427" spans="7:7">
      <c r="G427" s="176"/>
    </row>
    <row r="428" spans="7:7">
      <c r="G428" s="176"/>
    </row>
    <row r="429" spans="7:7">
      <c r="G429" s="176"/>
    </row>
    <row r="430" spans="7:7">
      <c r="G430" s="176"/>
    </row>
    <row r="431" spans="7:7">
      <c r="G431" s="176"/>
    </row>
    <row r="432" spans="7:7">
      <c r="G432" s="176"/>
    </row>
    <row r="433" spans="7:7">
      <c r="G433" s="176"/>
    </row>
    <row r="434" spans="7:7">
      <c r="G434" s="176"/>
    </row>
    <row r="435" spans="7:7">
      <c r="G435" s="176"/>
    </row>
    <row r="436" spans="7:7">
      <c r="G436" s="176"/>
    </row>
    <row r="437" spans="7:7">
      <c r="G437" s="176"/>
    </row>
    <row r="438" spans="7:7">
      <c r="G438" s="176"/>
    </row>
    <row r="439" spans="7:7">
      <c r="G439" s="176"/>
    </row>
    <row r="440" spans="7:7">
      <c r="G440" s="176"/>
    </row>
    <row r="441" spans="7:7">
      <c r="G441" s="176"/>
    </row>
    <row r="442" spans="7:7">
      <c r="G442" s="176"/>
    </row>
    <row r="443" spans="7:7">
      <c r="G443" s="176"/>
    </row>
    <row r="444" spans="7:7">
      <c r="G444" s="176"/>
    </row>
    <row r="445" spans="7:7">
      <c r="G445" s="176"/>
    </row>
    <row r="446" spans="7:7">
      <c r="G446" s="176"/>
    </row>
    <row r="447" spans="7:7">
      <c r="G447" s="176"/>
    </row>
    <row r="448" spans="7:7">
      <c r="G448" s="176"/>
    </row>
    <row r="449" spans="7:7">
      <c r="G449" s="176"/>
    </row>
    <row r="450" spans="7:7">
      <c r="G450" s="176"/>
    </row>
    <row r="451" spans="7:7">
      <c r="G451" s="176"/>
    </row>
    <row r="452" spans="7:7">
      <c r="G452" s="176"/>
    </row>
    <row r="453" spans="7:7">
      <c r="G453" s="176"/>
    </row>
    <row r="454" spans="7:7">
      <c r="G454" s="176"/>
    </row>
    <row r="455" spans="7:7">
      <c r="G455" s="176"/>
    </row>
    <row r="456" spans="7:7">
      <c r="G456" s="176"/>
    </row>
    <row r="457" spans="7:7">
      <c r="G457" s="176"/>
    </row>
    <row r="458" spans="7:7">
      <c r="G458" s="176"/>
    </row>
    <row r="459" spans="7:7">
      <c r="G459" s="176"/>
    </row>
    <row r="460" spans="7:7">
      <c r="G460" s="176"/>
    </row>
    <row r="461" spans="7:7">
      <c r="G461" s="176"/>
    </row>
    <row r="462" spans="7:7">
      <c r="G462" s="176"/>
    </row>
    <row r="463" spans="7:7">
      <c r="G463" s="176"/>
    </row>
    <row r="464" spans="7:7">
      <c r="G464" s="176"/>
    </row>
    <row r="465" spans="7:7">
      <c r="G465" s="176"/>
    </row>
    <row r="466" spans="7:7">
      <c r="G466" s="176"/>
    </row>
    <row r="467" spans="7:7">
      <c r="G467" s="176"/>
    </row>
    <row r="468" spans="7:7">
      <c r="G468" s="176"/>
    </row>
    <row r="469" spans="7:7">
      <c r="G469" s="176"/>
    </row>
    <row r="470" spans="7:7">
      <c r="G470" s="176"/>
    </row>
    <row r="471" spans="7:7">
      <c r="G471" s="176"/>
    </row>
    <row r="472" spans="7:7">
      <c r="G472" s="176"/>
    </row>
    <row r="473" spans="7:7">
      <c r="G473" s="176"/>
    </row>
    <row r="474" spans="7:7">
      <c r="G474" s="176"/>
    </row>
    <row r="475" spans="7:7">
      <c r="G475" s="176"/>
    </row>
    <row r="476" spans="7:7">
      <c r="G476" s="176"/>
    </row>
    <row r="477" spans="7:7">
      <c r="G477" s="176"/>
    </row>
    <row r="478" spans="7:7">
      <c r="G478" s="176"/>
    </row>
    <row r="479" spans="7:7">
      <c r="G479" s="176"/>
    </row>
    <row r="480" spans="7:7">
      <c r="G480" s="176"/>
    </row>
    <row r="481" spans="7:7">
      <c r="G481" s="176"/>
    </row>
    <row r="482" spans="7:7">
      <c r="G482" s="176"/>
    </row>
    <row r="483" spans="7:7">
      <c r="G483" s="176"/>
    </row>
    <row r="484" spans="7:7">
      <c r="G484" s="176"/>
    </row>
    <row r="485" spans="7:7">
      <c r="G485" s="176"/>
    </row>
    <row r="486" spans="7:7">
      <c r="G486" s="176"/>
    </row>
    <row r="487" spans="7:7">
      <c r="G487" s="176"/>
    </row>
    <row r="488" spans="7:7">
      <c r="G488" s="176"/>
    </row>
    <row r="489" spans="7:7">
      <c r="G489" s="176"/>
    </row>
    <row r="490" spans="7:7">
      <c r="G490" s="176"/>
    </row>
    <row r="491" spans="7:7">
      <c r="G491" s="176"/>
    </row>
    <row r="492" spans="7:7">
      <c r="G492" s="176"/>
    </row>
    <row r="493" spans="7:7">
      <c r="G493" s="176"/>
    </row>
    <row r="494" spans="7:7">
      <c r="G494" s="176"/>
    </row>
    <row r="495" spans="7:7">
      <c r="G495" s="176"/>
    </row>
    <row r="496" spans="7:7">
      <c r="G496" s="176"/>
    </row>
    <row r="497" spans="7:7">
      <c r="G497" s="176"/>
    </row>
    <row r="498" spans="7:7">
      <c r="G498" s="176"/>
    </row>
    <row r="499" spans="7:7">
      <c r="G499" s="176"/>
    </row>
    <row r="500" spans="7:7">
      <c r="G500" s="176"/>
    </row>
    <row r="501" spans="7:7">
      <c r="G501" s="176"/>
    </row>
    <row r="502" spans="7:7">
      <c r="G502" s="176"/>
    </row>
    <row r="503" spans="7:7">
      <c r="G503" s="176"/>
    </row>
    <row r="504" spans="7:7">
      <c r="G504" s="176"/>
    </row>
    <row r="505" spans="7:7">
      <c r="G505" s="176"/>
    </row>
    <row r="506" spans="7:7">
      <c r="G506" s="176"/>
    </row>
    <row r="507" spans="7:7">
      <c r="G507" s="176"/>
    </row>
    <row r="508" spans="7:7">
      <c r="G508" s="176"/>
    </row>
    <row r="509" spans="7:7">
      <c r="G509" s="176"/>
    </row>
    <row r="510" spans="7:7">
      <c r="G510" s="176"/>
    </row>
    <row r="511" spans="7:7">
      <c r="G511" s="176"/>
    </row>
    <row r="512" spans="7:7">
      <c r="G512" s="176"/>
    </row>
    <row r="513" spans="7:7">
      <c r="G513" s="176"/>
    </row>
    <row r="514" spans="7:7">
      <c r="G514" s="176"/>
    </row>
    <row r="515" spans="7:7">
      <c r="G515" s="176"/>
    </row>
    <row r="516" spans="7:7">
      <c r="G516" s="176"/>
    </row>
    <row r="517" spans="7:7">
      <c r="G517" s="176"/>
    </row>
    <row r="518" spans="7:7">
      <c r="G518" s="176"/>
    </row>
    <row r="519" spans="7:7">
      <c r="G519" s="176"/>
    </row>
    <row r="520" spans="7:7">
      <c r="G520" s="176"/>
    </row>
    <row r="521" spans="7:7">
      <c r="G521" s="176"/>
    </row>
    <row r="522" spans="7:7">
      <c r="G522" s="176"/>
    </row>
    <row r="523" spans="7:7">
      <c r="G523" s="176"/>
    </row>
    <row r="524" spans="7:7">
      <c r="G524" s="176"/>
    </row>
    <row r="525" spans="7:7">
      <c r="G525" s="176"/>
    </row>
    <row r="526" spans="7:7">
      <c r="G526" s="176"/>
    </row>
    <row r="527" spans="7:7">
      <c r="G527" s="176"/>
    </row>
    <row r="528" spans="7:7">
      <c r="G528" s="176"/>
    </row>
    <row r="529" spans="7:7">
      <c r="G529" s="176"/>
    </row>
    <row r="530" spans="7:7">
      <c r="G530" s="176"/>
    </row>
    <row r="531" spans="7:7">
      <c r="G531" s="176"/>
    </row>
    <row r="532" spans="7:7">
      <c r="G532" s="176"/>
    </row>
    <row r="533" spans="7:7">
      <c r="G533" s="176"/>
    </row>
    <row r="534" spans="7:7">
      <c r="G534" s="176"/>
    </row>
    <row r="535" spans="7:7">
      <c r="G535" s="176"/>
    </row>
    <row r="536" spans="7:7">
      <c r="G536" s="176"/>
    </row>
    <row r="537" spans="7:7">
      <c r="G537" s="176"/>
    </row>
    <row r="538" spans="7:7">
      <c r="G538" s="176"/>
    </row>
    <row r="539" spans="7:7">
      <c r="G539" s="176"/>
    </row>
    <row r="540" spans="7:7">
      <c r="G540" s="176"/>
    </row>
    <row r="541" spans="7:7">
      <c r="G541" s="176"/>
    </row>
    <row r="542" spans="7:7">
      <c r="G542" s="176"/>
    </row>
    <row r="543" spans="7:7">
      <c r="G543" s="176"/>
    </row>
    <row r="544" spans="7:7">
      <c r="G544" s="176"/>
    </row>
    <row r="545" spans="7:7">
      <c r="G545" s="176"/>
    </row>
    <row r="546" spans="7:7">
      <c r="G546" s="176"/>
    </row>
    <row r="547" spans="7:7">
      <c r="G547" s="176"/>
    </row>
    <row r="548" spans="7:7">
      <c r="G548" s="176"/>
    </row>
    <row r="549" spans="7:7">
      <c r="G549" s="176"/>
    </row>
    <row r="550" spans="7:7">
      <c r="G550" s="176"/>
    </row>
    <row r="551" spans="7:7">
      <c r="G551" s="176"/>
    </row>
    <row r="552" spans="7:7">
      <c r="G552" s="176"/>
    </row>
    <row r="553" spans="7:7">
      <c r="G553" s="176"/>
    </row>
    <row r="554" spans="7:7">
      <c r="G554" s="176"/>
    </row>
    <row r="555" spans="7:7">
      <c r="G555" s="176"/>
    </row>
    <row r="556" spans="7:7">
      <c r="G556" s="176"/>
    </row>
    <row r="557" spans="7:7">
      <c r="G557" s="176"/>
    </row>
    <row r="558" spans="7:7">
      <c r="G558" s="176"/>
    </row>
    <row r="559" spans="7:7">
      <c r="G559" s="176"/>
    </row>
    <row r="560" spans="7:7">
      <c r="G560" s="176"/>
    </row>
    <row r="561" spans="7:7">
      <c r="G561" s="176"/>
    </row>
    <row r="562" spans="7:7">
      <c r="G562" s="176"/>
    </row>
    <row r="563" spans="7:7">
      <c r="G563" s="176"/>
    </row>
    <row r="564" spans="7:7">
      <c r="G564" s="176"/>
    </row>
    <row r="565" spans="7:7">
      <c r="G565" s="176"/>
    </row>
    <row r="566" spans="7:7">
      <c r="G566" s="176"/>
    </row>
    <row r="567" spans="7:7">
      <c r="G567" s="176"/>
    </row>
    <row r="568" spans="7:7">
      <c r="G568" s="176"/>
    </row>
    <row r="569" spans="7:7">
      <c r="G569" s="176"/>
    </row>
    <row r="570" spans="7:7">
      <c r="G570" s="176"/>
    </row>
    <row r="571" spans="7:7">
      <c r="G571" s="176"/>
    </row>
    <row r="572" spans="7:7">
      <c r="G572" s="176"/>
    </row>
    <row r="573" spans="7:7">
      <c r="G573" s="176"/>
    </row>
    <row r="574" spans="7:7">
      <c r="G574" s="176"/>
    </row>
    <row r="575" spans="7:7">
      <c r="G575" s="176"/>
    </row>
    <row r="576" spans="7:7">
      <c r="G576" s="176"/>
    </row>
    <row r="577" spans="7:7">
      <c r="G577" s="176"/>
    </row>
    <row r="578" spans="7:7">
      <c r="G578" s="176"/>
    </row>
    <row r="579" spans="7:7">
      <c r="G579" s="176"/>
    </row>
    <row r="580" spans="7:7">
      <c r="G580" s="176"/>
    </row>
    <row r="581" spans="7:7">
      <c r="G581" s="176"/>
    </row>
    <row r="582" spans="7:7">
      <c r="G582" s="176"/>
    </row>
    <row r="583" spans="7:7">
      <c r="G583" s="176"/>
    </row>
    <row r="584" spans="7:7">
      <c r="G584" s="176"/>
    </row>
    <row r="585" spans="7:7">
      <c r="G585" s="176"/>
    </row>
    <row r="586" spans="7:7">
      <c r="G586" s="176"/>
    </row>
    <row r="587" spans="7:7">
      <c r="G587" s="176"/>
    </row>
    <row r="588" spans="7:7">
      <c r="G588" s="176"/>
    </row>
    <row r="589" spans="7:7">
      <c r="G589" s="176"/>
    </row>
    <row r="590" spans="7:7">
      <c r="G590" s="176"/>
    </row>
    <row r="591" spans="7:7">
      <c r="G591" s="176"/>
    </row>
    <row r="592" spans="7:7">
      <c r="G592" s="176"/>
    </row>
    <row r="593" spans="7:7">
      <c r="G593" s="176"/>
    </row>
    <row r="594" spans="7:7">
      <c r="G594" s="176"/>
    </row>
    <row r="595" spans="7:7">
      <c r="G595" s="176"/>
    </row>
    <row r="596" spans="7:7">
      <c r="G596" s="176"/>
    </row>
    <row r="597" spans="7:7">
      <c r="G597" s="176"/>
    </row>
    <row r="598" spans="7:7">
      <c r="G598" s="176"/>
    </row>
    <row r="599" spans="7:7">
      <c r="G599" s="176"/>
    </row>
    <row r="600" spans="7:7">
      <c r="G600" s="176"/>
    </row>
    <row r="601" spans="7:7">
      <c r="G601" s="176"/>
    </row>
    <row r="602" spans="7:7">
      <c r="G602" s="176"/>
    </row>
    <row r="603" spans="7:7">
      <c r="G603" s="176"/>
    </row>
    <row r="604" spans="7:7">
      <c r="G604" s="176"/>
    </row>
    <row r="605" spans="7:7">
      <c r="G605" s="176"/>
    </row>
    <row r="606" spans="7:7">
      <c r="G606" s="176"/>
    </row>
    <row r="607" spans="7:7">
      <c r="G607" s="176"/>
    </row>
    <row r="608" spans="7:7">
      <c r="G608" s="176"/>
    </row>
    <row r="609" spans="7:7">
      <c r="G609" s="176"/>
    </row>
    <row r="610" spans="7:7">
      <c r="G610" s="176"/>
    </row>
    <row r="611" spans="7:7">
      <c r="G611" s="176"/>
    </row>
    <row r="612" spans="7:7">
      <c r="G612" s="176"/>
    </row>
    <row r="613" spans="7:7">
      <c r="G613" s="176"/>
    </row>
    <row r="614" spans="7:7">
      <c r="G614" s="176"/>
    </row>
    <row r="615" spans="7:7">
      <c r="G615" s="176"/>
    </row>
    <row r="616" spans="7:7">
      <c r="G616" s="176"/>
    </row>
    <row r="617" spans="7:7">
      <c r="G617" s="176"/>
    </row>
    <row r="618" spans="7:7">
      <c r="G618" s="176"/>
    </row>
    <row r="619" spans="7:7">
      <c r="G619" s="176"/>
    </row>
    <row r="620" spans="7:7">
      <c r="G620" s="176"/>
    </row>
    <row r="621" spans="7:7">
      <c r="G621" s="176"/>
    </row>
    <row r="622" spans="7:7">
      <c r="G622" s="176"/>
    </row>
    <row r="623" spans="7:7">
      <c r="G623" s="176"/>
    </row>
    <row r="624" spans="7:7">
      <c r="G624" s="176"/>
    </row>
    <row r="625" spans="7:7">
      <c r="G625" s="176"/>
    </row>
    <row r="626" spans="7:7">
      <c r="G626" s="176"/>
    </row>
    <row r="627" spans="7:7">
      <c r="G627" s="176"/>
    </row>
    <row r="628" spans="7:7">
      <c r="G628" s="176"/>
    </row>
    <row r="629" spans="7:7">
      <c r="G629" s="176"/>
    </row>
    <row r="630" spans="7:7">
      <c r="G630" s="176"/>
    </row>
    <row r="631" spans="7:7">
      <c r="G631" s="176"/>
    </row>
    <row r="632" spans="7:7">
      <c r="G632" s="176"/>
    </row>
    <row r="633" spans="7:7">
      <c r="G633" s="176"/>
    </row>
    <row r="634" spans="7:7">
      <c r="G634" s="176"/>
    </row>
    <row r="635" spans="7:7">
      <c r="G635" s="176"/>
    </row>
    <row r="636" spans="7:7">
      <c r="G636" s="176"/>
    </row>
    <row r="637" spans="7:7">
      <c r="G637" s="176"/>
    </row>
    <row r="638" spans="7:7">
      <c r="G638" s="176"/>
    </row>
    <row r="639" spans="7:7">
      <c r="G639" s="176"/>
    </row>
    <row r="640" spans="7:7">
      <c r="G640" s="176"/>
    </row>
    <row r="641" spans="7:7">
      <c r="G641" s="176"/>
    </row>
    <row r="642" spans="7:7">
      <c r="G642" s="176"/>
    </row>
    <row r="643" spans="7:7">
      <c r="G643" s="176"/>
    </row>
    <row r="644" spans="7:7">
      <c r="G644" s="176"/>
    </row>
    <row r="645" spans="7:7">
      <c r="G645" s="176"/>
    </row>
    <row r="646" spans="7:7">
      <c r="G646" s="176"/>
    </row>
    <row r="647" spans="7:7">
      <c r="G647" s="176"/>
    </row>
    <row r="648" spans="7:7">
      <c r="G648" s="176"/>
    </row>
    <row r="649" spans="7:7">
      <c r="G649" s="176"/>
    </row>
    <row r="650" spans="7:7">
      <c r="G650" s="176"/>
    </row>
    <row r="651" spans="7:7">
      <c r="G651" s="176"/>
    </row>
    <row r="652" spans="7:7">
      <c r="G652" s="176"/>
    </row>
    <row r="653" spans="7:7">
      <c r="G653" s="176"/>
    </row>
    <row r="654" spans="7:7">
      <c r="G654" s="176"/>
    </row>
    <row r="655" spans="7:7">
      <c r="G655" s="176"/>
    </row>
    <row r="656" spans="7:7">
      <c r="G656" s="176"/>
    </row>
    <row r="657" spans="7:7">
      <c r="G657" s="176"/>
    </row>
    <row r="658" spans="7:7">
      <c r="G658" s="176"/>
    </row>
    <row r="659" spans="7:7">
      <c r="G659" s="176"/>
    </row>
    <row r="660" spans="7:7">
      <c r="G660" s="176"/>
    </row>
    <row r="661" spans="7:7">
      <c r="G661" s="176"/>
    </row>
    <row r="662" spans="7:7">
      <c r="G662" s="176"/>
    </row>
    <row r="663" spans="7:7">
      <c r="G663" s="176"/>
    </row>
    <row r="664" spans="7:7">
      <c r="G664" s="176"/>
    </row>
    <row r="665" spans="7:7">
      <c r="G665" s="176"/>
    </row>
    <row r="666" spans="7:7">
      <c r="G666" s="176"/>
    </row>
    <row r="667" spans="7:7">
      <c r="G667" s="176"/>
    </row>
    <row r="668" spans="7:7">
      <c r="G668" s="176"/>
    </row>
    <row r="669" spans="7:7">
      <c r="G669" s="176"/>
    </row>
    <row r="670" spans="7:7">
      <c r="G670" s="176"/>
    </row>
    <row r="671" spans="7:7">
      <c r="G671" s="176"/>
    </row>
    <row r="672" spans="7:7">
      <c r="G672" s="176"/>
    </row>
    <row r="673" spans="7:7">
      <c r="G673" s="176"/>
    </row>
    <row r="674" spans="7:7">
      <c r="G674" s="176"/>
    </row>
    <row r="675" spans="7:7">
      <c r="G675" s="176"/>
    </row>
    <row r="676" spans="7:7">
      <c r="G676" s="176"/>
    </row>
    <row r="677" spans="7:7">
      <c r="G677" s="176"/>
    </row>
    <row r="678" spans="7:7">
      <c r="G678" s="176"/>
    </row>
    <row r="679" spans="7:7">
      <c r="G679" s="176"/>
    </row>
    <row r="680" spans="7:7">
      <c r="G680" s="176"/>
    </row>
    <row r="681" spans="7:7">
      <c r="G681" s="176"/>
    </row>
    <row r="682" spans="7:7">
      <c r="G682" s="176"/>
    </row>
    <row r="683" spans="7:7">
      <c r="G683" s="176"/>
    </row>
    <row r="684" spans="7:7">
      <c r="G684" s="176"/>
    </row>
    <row r="685" spans="7:7">
      <c r="G685" s="176"/>
    </row>
    <row r="686" spans="7:7">
      <c r="G686" s="176"/>
    </row>
    <row r="687" spans="7:7">
      <c r="G687" s="176"/>
    </row>
    <row r="688" spans="7:7">
      <c r="G688" s="176"/>
    </row>
    <row r="689" spans="7:7">
      <c r="G689" s="176"/>
    </row>
    <row r="690" spans="7:7">
      <c r="G690" s="176"/>
    </row>
    <row r="691" spans="7:7">
      <c r="G691" s="176"/>
    </row>
    <row r="692" spans="7:7">
      <c r="G692" s="176"/>
    </row>
    <row r="693" spans="7:7">
      <c r="G693" s="176"/>
    </row>
    <row r="694" spans="7:7">
      <c r="G694" s="176"/>
    </row>
    <row r="695" spans="7:7">
      <c r="G695" s="176"/>
    </row>
    <row r="696" spans="7:7">
      <c r="G696" s="176"/>
    </row>
    <row r="697" spans="7:7">
      <c r="G697" s="176"/>
    </row>
    <row r="698" spans="7:7">
      <c r="G698" s="176"/>
    </row>
    <row r="699" spans="7:7">
      <c r="G699" s="176"/>
    </row>
    <row r="700" spans="7:7">
      <c r="G700" s="176"/>
    </row>
    <row r="701" spans="7:7">
      <c r="G701" s="176"/>
    </row>
    <row r="702" spans="7:7">
      <c r="G702" s="176"/>
    </row>
    <row r="703" spans="7:7">
      <c r="G703" s="176"/>
    </row>
    <row r="704" spans="7:7">
      <c r="G704" s="176"/>
    </row>
    <row r="705" spans="7:7">
      <c r="G705" s="176"/>
    </row>
    <row r="706" spans="7:7">
      <c r="G706" s="176"/>
    </row>
    <row r="707" spans="7:7">
      <c r="G707" s="176"/>
    </row>
    <row r="708" spans="7:7">
      <c r="G708" s="176"/>
    </row>
    <row r="709" spans="7:7">
      <c r="G709" s="176"/>
    </row>
    <row r="710" spans="7:7">
      <c r="G710" s="176"/>
    </row>
    <row r="711" spans="7:7">
      <c r="G711" s="176"/>
    </row>
    <row r="712" spans="7:7">
      <c r="G712" s="176"/>
    </row>
    <row r="713" spans="7:7">
      <c r="G713" s="176"/>
    </row>
    <row r="714" spans="7:7">
      <c r="G714" s="176"/>
    </row>
    <row r="715" spans="7:7">
      <c r="G715" s="176"/>
    </row>
    <row r="716" spans="7:7">
      <c r="G716" s="176"/>
    </row>
    <row r="717" spans="7:7">
      <c r="G717" s="176"/>
    </row>
    <row r="718" spans="7:7">
      <c r="G718" s="176"/>
    </row>
    <row r="719" spans="7:7">
      <c r="G719" s="176"/>
    </row>
    <row r="720" spans="7:7">
      <c r="G720" s="176"/>
    </row>
    <row r="721" spans="7:7">
      <c r="G721" s="176"/>
    </row>
    <row r="722" spans="7:7">
      <c r="G722" s="176"/>
    </row>
    <row r="723" spans="7:7">
      <c r="G723" s="176"/>
    </row>
    <row r="724" spans="7:7">
      <c r="G724" s="176"/>
    </row>
    <row r="725" spans="7:7">
      <c r="G725" s="176"/>
    </row>
    <row r="726" spans="7:7">
      <c r="G726" s="176"/>
    </row>
    <row r="727" spans="7:7">
      <c r="G727" s="176"/>
    </row>
    <row r="728" spans="7:7">
      <c r="G728" s="176"/>
    </row>
    <row r="729" spans="7:7">
      <c r="G729" s="176"/>
    </row>
    <row r="730" spans="7:7">
      <c r="G730" s="176"/>
    </row>
    <row r="731" spans="7:7">
      <c r="G731" s="176"/>
    </row>
    <row r="732" spans="7:7">
      <c r="G732" s="176"/>
    </row>
    <row r="733" spans="7:7">
      <c r="G733" s="176"/>
    </row>
    <row r="734" spans="7:7">
      <c r="G734" s="176"/>
    </row>
    <row r="735" spans="7:7">
      <c r="G735" s="176"/>
    </row>
    <row r="736" spans="7:7">
      <c r="G736" s="176"/>
    </row>
    <row r="737" spans="7:7">
      <c r="G737" s="176"/>
    </row>
    <row r="738" spans="7:7">
      <c r="G738" s="176"/>
    </row>
    <row r="739" spans="7:7">
      <c r="G739" s="176"/>
    </row>
    <row r="740" spans="7:7">
      <c r="G740" s="176"/>
    </row>
    <row r="741" spans="7:7">
      <c r="G741" s="176"/>
    </row>
    <row r="742" spans="7:7">
      <c r="G742" s="176"/>
    </row>
    <row r="743" spans="7:7">
      <c r="G743" s="176"/>
    </row>
    <row r="744" spans="7:7">
      <c r="G744" s="176"/>
    </row>
    <row r="745" spans="7:7">
      <c r="G745" s="176"/>
    </row>
    <row r="746" spans="7:7">
      <c r="G746" s="176"/>
    </row>
    <row r="747" spans="7:7">
      <c r="G747" s="176"/>
    </row>
    <row r="748" spans="7:7">
      <c r="G748" s="176"/>
    </row>
    <row r="749" spans="7:7">
      <c r="G749" s="176"/>
    </row>
    <row r="750" spans="7:7">
      <c r="G750" s="176"/>
    </row>
    <row r="751" spans="7:7">
      <c r="G751" s="176"/>
    </row>
    <row r="752" spans="7:7">
      <c r="G752" s="176"/>
    </row>
    <row r="753" spans="7:7">
      <c r="G753" s="176"/>
    </row>
    <row r="754" spans="7:7">
      <c r="G754" s="176"/>
    </row>
    <row r="755" spans="7:7">
      <c r="G755" s="176"/>
    </row>
    <row r="756" spans="7:7">
      <c r="G756" s="176"/>
    </row>
    <row r="757" spans="7:7">
      <c r="G757" s="176"/>
    </row>
    <row r="758" spans="7:7">
      <c r="G758" s="176"/>
    </row>
    <row r="759" spans="7:7">
      <c r="G759" s="176"/>
    </row>
    <row r="760" spans="7:7">
      <c r="G760" s="176"/>
    </row>
    <row r="761" spans="7:7">
      <c r="G761" s="176"/>
    </row>
    <row r="762" spans="7:7">
      <c r="G762" s="176"/>
    </row>
    <row r="763" spans="7:7">
      <c r="G763" s="176"/>
    </row>
    <row r="764" spans="7:7">
      <c r="G764" s="176"/>
    </row>
    <row r="765" spans="7:7">
      <c r="G765" s="176"/>
    </row>
    <row r="766" spans="7:7">
      <c r="G766" s="176"/>
    </row>
    <row r="767" spans="7:7">
      <c r="G767" s="176"/>
    </row>
    <row r="768" spans="7:7">
      <c r="G768" s="176"/>
    </row>
    <row r="769" spans="7:7">
      <c r="G769" s="176"/>
    </row>
    <row r="770" spans="7:7">
      <c r="G770" s="176"/>
    </row>
    <row r="771" spans="7:7">
      <c r="G771" s="176"/>
    </row>
    <row r="772" spans="7:7">
      <c r="G772" s="176"/>
    </row>
    <row r="773" spans="7:7">
      <c r="G773" s="176"/>
    </row>
    <row r="774" spans="7:7">
      <c r="G774" s="176"/>
    </row>
  </sheetData>
  <mergeCells count="2">
    <mergeCell ref="B2:D2"/>
    <mergeCell ref="E2:E3"/>
  </mergeCells>
  <pageMargins left="0.7" right="0.7" top="0.75" bottom="0.75" header="0.3" footer="0.3"/>
  <pageSetup orientation="portrait" horizontalDpi="0" verticalDpi="0" r:id="rId1"/>
</worksheet>
</file>

<file path=xl/worksheets/sheet13.xml><?xml version="1.0" encoding="utf-8"?>
<worksheet xmlns="http://schemas.openxmlformats.org/spreadsheetml/2006/main" xmlns:r="http://schemas.openxmlformats.org/officeDocument/2006/relationships">
  <sheetPr codeName="Sheet13"/>
  <dimension ref="A1:S52"/>
  <sheetViews>
    <sheetView view="pageBreakPreview" zoomScale="85" zoomScaleNormal="85" zoomScaleSheetLayoutView="85" workbookViewId="0">
      <pane xSplit="1" ySplit="4" topLeftCell="C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3.85546875" style="64" customWidth="1"/>
    <col min="2" max="2" width="19.7109375" style="64" customWidth="1"/>
    <col min="3" max="3" width="18.140625" style="64" customWidth="1"/>
    <col min="4" max="4" width="18" style="64" customWidth="1"/>
    <col min="5" max="5" width="13.85546875" style="64" bestFit="1" customWidth="1"/>
    <col min="6" max="6" width="15.85546875" style="64" customWidth="1"/>
    <col min="7" max="7" width="13.85546875" style="64" customWidth="1"/>
    <col min="8" max="8" width="18.5703125" style="64" customWidth="1"/>
    <col min="9" max="9" width="13.85546875" style="64" bestFit="1" customWidth="1"/>
    <col min="10" max="10" width="14.85546875" style="64" customWidth="1"/>
    <col min="11" max="11" width="13.85546875" style="64" bestFit="1" customWidth="1"/>
    <col min="12" max="13" width="15.28515625" style="64" customWidth="1"/>
    <col min="14" max="16384" width="9.140625" style="64"/>
  </cols>
  <sheetData>
    <row r="1" spans="1:19">
      <c r="A1" s="66" t="s">
        <v>1842</v>
      </c>
    </row>
    <row r="2" spans="1:19" ht="30" customHeight="1">
      <c r="A2" s="96"/>
      <c r="B2" s="94" t="s">
        <v>1171</v>
      </c>
      <c r="C2" s="94" t="s">
        <v>1172</v>
      </c>
      <c r="D2" s="94" t="s">
        <v>1173</v>
      </c>
      <c r="E2" s="94"/>
      <c r="F2" s="94"/>
      <c r="G2" s="94"/>
      <c r="H2" s="94" t="s">
        <v>1174</v>
      </c>
      <c r="I2" s="94"/>
      <c r="J2" s="94"/>
      <c r="K2" s="94"/>
      <c r="L2" s="94"/>
      <c r="M2" s="94"/>
    </row>
    <row r="3" spans="1:19" ht="105">
      <c r="A3" s="96"/>
      <c r="B3" s="94"/>
      <c r="C3" s="94"/>
      <c r="D3" s="72" t="s">
        <v>1175</v>
      </c>
      <c r="E3" s="73" t="s">
        <v>1176</v>
      </c>
      <c r="F3" s="73" t="s">
        <v>1177</v>
      </c>
      <c r="G3" s="73" t="s">
        <v>1178</v>
      </c>
      <c r="H3" s="72" t="s">
        <v>1179</v>
      </c>
      <c r="I3" s="73" t="s">
        <v>12</v>
      </c>
      <c r="J3" s="73" t="s">
        <v>1180</v>
      </c>
      <c r="K3" s="73" t="s">
        <v>1181</v>
      </c>
      <c r="L3" s="73" t="s">
        <v>865</v>
      </c>
      <c r="M3" s="73" t="s">
        <v>866</v>
      </c>
    </row>
    <row r="4" spans="1:19" hidden="1" outlineLevel="1"/>
    <row r="5" spans="1:19" collapsed="1">
      <c r="A5" s="66">
        <v>1992</v>
      </c>
      <c r="B5" s="29">
        <v>75.5</v>
      </c>
      <c r="C5" s="29">
        <v>74.900000000000006</v>
      </c>
      <c r="D5" s="29">
        <v>76.8</v>
      </c>
      <c r="E5" s="29">
        <v>66.2</v>
      </c>
      <c r="F5" s="29">
        <v>77.099999999999994</v>
      </c>
      <c r="G5" s="29">
        <v>85.7</v>
      </c>
      <c r="H5" s="29">
        <v>76.099999999999994</v>
      </c>
      <c r="I5" s="29">
        <v>77.599999999999994</v>
      </c>
      <c r="J5" s="29">
        <v>85.5</v>
      </c>
      <c r="K5" s="29">
        <v>72</v>
      </c>
      <c r="L5" s="29">
        <v>65.599999999999994</v>
      </c>
      <c r="M5" s="29">
        <v>76.900000000000006</v>
      </c>
      <c r="S5" s="139"/>
    </row>
    <row r="6" spans="1:19">
      <c r="A6" s="66">
        <v>1993</v>
      </c>
      <c r="B6" s="29">
        <v>94.5</v>
      </c>
      <c r="C6" s="29">
        <v>98.6</v>
      </c>
      <c r="D6" s="29">
        <v>90.6</v>
      </c>
      <c r="E6" s="29">
        <v>80.7</v>
      </c>
      <c r="F6" s="29">
        <v>88.1</v>
      </c>
      <c r="G6" s="29">
        <v>99.4</v>
      </c>
      <c r="H6" s="29">
        <v>84.2</v>
      </c>
      <c r="I6" s="29">
        <v>87.7</v>
      </c>
      <c r="J6" s="29">
        <v>88.7</v>
      </c>
      <c r="K6" s="29">
        <v>87</v>
      </c>
      <c r="L6" s="29">
        <v>71.5</v>
      </c>
      <c r="M6" s="29">
        <v>80.900000000000006</v>
      </c>
      <c r="S6" s="242"/>
    </row>
    <row r="7" spans="1:19">
      <c r="A7" s="66">
        <v>1994</v>
      </c>
      <c r="B7" s="29">
        <v>106.5</v>
      </c>
      <c r="C7" s="29">
        <v>111.9</v>
      </c>
      <c r="D7" s="29">
        <v>103.6</v>
      </c>
      <c r="E7" s="29">
        <v>89.6</v>
      </c>
      <c r="F7" s="29">
        <v>100.2</v>
      </c>
      <c r="G7" s="29">
        <v>115.9</v>
      </c>
      <c r="H7" s="29">
        <v>90.6</v>
      </c>
      <c r="I7" s="29">
        <v>95</v>
      </c>
      <c r="J7" s="29">
        <v>96.5</v>
      </c>
      <c r="K7" s="29">
        <v>94.1</v>
      </c>
      <c r="L7" s="29">
        <v>77.3</v>
      </c>
      <c r="M7" s="29">
        <v>84.6</v>
      </c>
      <c r="S7" s="242"/>
    </row>
    <row r="8" spans="1:19">
      <c r="A8" s="66">
        <v>1995</v>
      </c>
      <c r="B8" s="29">
        <v>102.9</v>
      </c>
      <c r="C8" s="29">
        <v>105.4</v>
      </c>
      <c r="D8" s="29">
        <v>105.5</v>
      </c>
      <c r="E8" s="29">
        <v>95.2</v>
      </c>
      <c r="F8" s="29">
        <v>98</v>
      </c>
      <c r="G8" s="29">
        <v>115.6</v>
      </c>
      <c r="H8" s="29">
        <v>91.2</v>
      </c>
      <c r="I8" s="29">
        <v>94.9</v>
      </c>
      <c r="J8" s="29">
        <v>99.9</v>
      </c>
      <c r="K8" s="29">
        <v>91.4</v>
      </c>
      <c r="L8" s="29">
        <v>79.400000000000006</v>
      </c>
      <c r="M8" s="29">
        <v>86.4</v>
      </c>
      <c r="S8" s="242"/>
    </row>
    <row r="9" spans="1:19">
      <c r="A9" s="66">
        <v>1996</v>
      </c>
      <c r="B9" s="29">
        <v>106.7</v>
      </c>
      <c r="C9" s="29">
        <v>113.8</v>
      </c>
      <c r="D9" s="29">
        <v>97.8</v>
      </c>
      <c r="E9" s="29">
        <v>94.3</v>
      </c>
      <c r="F9" s="29">
        <v>98.4</v>
      </c>
      <c r="G9" s="29">
        <v>100.7</v>
      </c>
      <c r="H9" s="29">
        <v>90.7</v>
      </c>
      <c r="I9" s="29">
        <v>94.1</v>
      </c>
      <c r="J9" s="29">
        <v>100.6</v>
      </c>
      <c r="K9" s="29">
        <v>89.5</v>
      </c>
      <c r="L9" s="29">
        <v>76.7</v>
      </c>
      <c r="M9" s="29">
        <v>88</v>
      </c>
      <c r="S9" s="242"/>
    </row>
    <row r="10" spans="1:19">
      <c r="A10" s="66">
        <v>1997</v>
      </c>
      <c r="B10" s="29">
        <v>106.6</v>
      </c>
      <c r="C10" s="29">
        <v>115.3</v>
      </c>
      <c r="D10" s="29">
        <v>90.6</v>
      </c>
      <c r="E10" s="29">
        <v>94.6</v>
      </c>
      <c r="F10" s="29">
        <v>97.2</v>
      </c>
      <c r="G10" s="29">
        <v>85.8</v>
      </c>
      <c r="H10" s="29">
        <v>92.8</v>
      </c>
      <c r="I10" s="29">
        <v>95.1</v>
      </c>
      <c r="J10" s="29">
        <v>100.8</v>
      </c>
      <c r="K10" s="29">
        <v>91.2</v>
      </c>
      <c r="L10" s="29">
        <v>85.4</v>
      </c>
      <c r="M10" s="29">
        <v>90.1</v>
      </c>
      <c r="S10" s="242"/>
    </row>
    <row r="11" spans="1:19">
      <c r="A11" s="66">
        <v>1998</v>
      </c>
      <c r="B11" s="29">
        <v>102.2</v>
      </c>
      <c r="C11" s="29">
        <v>104.5</v>
      </c>
      <c r="D11" s="29">
        <v>101.9</v>
      </c>
      <c r="E11" s="29">
        <v>92.7</v>
      </c>
      <c r="F11" s="29">
        <v>98.3</v>
      </c>
      <c r="G11" s="29">
        <v>110.4</v>
      </c>
      <c r="H11" s="29">
        <v>94.1</v>
      </c>
      <c r="I11" s="29">
        <v>96.2</v>
      </c>
      <c r="J11" s="29">
        <v>100</v>
      </c>
      <c r="K11" s="29">
        <v>93.6</v>
      </c>
      <c r="L11" s="29">
        <v>88.9</v>
      </c>
      <c r="M11" s="29">
        <v>90.9</v>
      </c>
      <c r="S11" s="242"/>
    </row>
    <row r="12" spans="1:19">
      <c r="A12" s="66">
        <v>1999</v>
      </c>
      <c r="B12" s="29">
        <v>112</v>
      </c>
      <c r="C12" s="29">
        <v>115.3</v>
      </c>
      <c r="D12" s="29">
        <v>116.4</v>
      </c>
      <c r="E12" s="29">
        <v>105.5</v>
      </c>
      <c r="F12" s="29">
        <v>100.1</v>
      </c>
      <c r="G12" s="29">
        <v>128.9</v>
      </c>
      <c r="H12" s="29">
        <v>95.9</v>
      </c>
      <c r="I12" s="29">
        <v>97.9</v>
      </c>
      <c r="J12" s="29">
        <v>98.6</v>
      </c>
      <c r="K12" s="29">
        <v>97.4</v>
      </c>
      <c r="L12" s="29">
        <v>90</v>
      </c>
      <c r="M12" s="29">
        <v>93.3</v>
      </c>
      <c r="S12" s="242"/>
    </row>
    <row r="13" spans="1:19">
      <c r="A13" s="66">
        <v>2000</v>
      </c>
      <c r="B13" s="29">
        <v>102.2</v>
      </c>
      <c r="C13" s="29">
        <v>102.1</v>
      </c>
      <c r="D13" s="29">
        <v>107.6</v>
      </c>
      <c r="E13" s="29">
        <v>99.5</v>
      </c>
      <c r="F13" s="29">
        <v>102.2</v>
      </c>
      <c r="G13" s="29">
        <v>115.5</v>
      </c>
      <c r="H13" s="29">
        <v>97.1</v>
      </c>
      <c r="I13" s="29">
        <v>98.2</v>
      </c>
      <c r="J13" s="29">
        <v>98.9</v>
      </c>
      <c r="K13" s="29">
        <v>97.7</v>
      </c>
      <c r="L13" s="29">
        <v>92.8</v>
      </c>
      <c r="M13" s="29">
        <v>96</v>
      </c>
      <c r="S13" s="242"/>
    </row>
    <row r="14" spans="1:19">
      <c r="A14" s="66">
        <v>2001</v>
      </c>
      <c r="B14" s="29">
        <v>100.6</v>
      </c>
      <c r="C14" s="29">
        <v>101.7</v>
      </c>
      <c r="D14" s="29">
        <v>98.4</v>
      </c>
      <c r="E14" s="29">
        <v>96.3</v>
      </c>
      <c r="F14" s="29">
        <v>102.5</v>
      </c>
      <c r="G14" s="29">
        <v>99.4</v>
      </c>
      <c r="H14" s="29">
        <v>99.2</v>
      </c>
      <c r="I14" s="29">
        <v>100.1</v>
      </c>
      <c r="J14" s="29">
        <v>99.6</v>
      </c>
      <c r="K14" s="29">
        <v>100.4</v>
      </c>
      <c r="L14" s="29">
        <v>95.8</v>
      </c>
      <c r="M14" s="29">
        <v>98.1</v>
      </c>
      <c r="S14" s="242"/>
    </row>
    <row r="15" spans="1:19">
      <c r="A15" s="66">
        <v>2002</v>
      </c>
      <c r="B15" s="29">
        <v>100</v>
      </c>
      <c r="C15" s="29">
        <v>100</v>
      </c>
      <c r="D15" s="29">
        <v>100</v>
      </c>
      <c r="E15" s="29">
        <v>100</v>
      </c>
      <c r="F15" s="29">
        <v>100</v>
      </c>
      <c r="G15" s="29">
        <v>100</v>
      </c>
      <c r="H15" s="29">
        <v>100</v>
      </c>
      <c r="I15" s="29">
        <v>100</v>
      </c>
      <c r="J15" s="29">
        <v>100</v>
      </c>
      <c r="K15" s="29">
        <v>100</v>
      </c>
      <c r="L15" s="29">
        <v>100</v>
      </c>
      <c r="M15" s="29">
        <v>100</v>
      </c>
      <c r="S15" s="242"/>
    </row>
    <row r="16" spans="1:19">
      <c r="A16" s="66">
        <v>2003</v>
      </c>
      <c r="B16" s="29">
        <v>96.7</v>
      </c>
      <c r="C16" s="29">
        <v>91.2</v>
      </c>
      <c r="D16" s="29">
        <v>108.1</v>
      </c>
      <c r="E16" s="29">
        <v>101.6</v>
      </c>
      <c r="F16" s="29">
        <v>100.6</v>
      </c>
      <c r="G16" s="29">
        <v>115.4</v>
      </c>
      <c r="H16" s="29">
        <v>99.6</v>
      </c>
      <c r="I16" s="29">
        <v>99.1</v>
      </c>
      <c r="J16" s="29">
        <v>100.7</v>
      </c>
      <c r="K16" s="29">
        <v>98.2</v>
      </c>
      <c r="L16" s="29">
        <v>100.2</v>
      </c>
      <c r="M16" s="29">
        <v>100.8</v>
      </c>
      <c r="S16" s="242"/>
    </row>
    <row r="17" spans="1:19">
      <c r="A17" s="66">
        <v>2004</v>
      </c>
      <c r="B17" s="29">
        <v>108</v>
      </c>
      <c r="C17" s="29">
        <v>104.7</v>
      </c>
      <c r="D17" s="29">
        <v>121.8</v>
      </c>
      <c r="E17" s="29">
        <v>110.4</v>
      </c>
      <c r="F17" s="29">
        <v>106.8</v>
      </c>
      <c r="G17" s="29">
        <v>134.9</v>
      </c>
      <c r="H17" s="29">
        <v>103.3</v>
      </c>
      <c r="I17" s="29">
        <v>103</v>
      </c>
      <c r="J17" s="29">
        <v>102.7</v>
      </c>
      <c r="K17" s="29">
        <v>103.2</v>
      </c>
      <c r="L17" s="29">
        <v>100.9</v>
      </c>
      <c r="M17" s="29">
        <v>105.3</v>
      </c>
      <c r="S17" s="242"/>
    </row>
    <row r="18" spans="1:19">
      <c r="A18" s="66">
        <v>2005</v>
      </c>
      <c r="B18" s="29">
        <v>99.7</v>
      </c>
      <c r="C18" s="29">
        <v>95.6</v>
      </c>
      <c r="D18" s="29">
        <v>105.9</v>
      </c>
      <c r="E18" s="29">
        <v>93.1</v>
      </c>
      <c r="F18" s="29">
        <v>113.4</v>
      </c>
      <c r="G18" s="29">
        <v>112.9</v>
      </c>
      <c r="H18" s="29">
        <v>103.7</v>
      </c>
      <c r="I18" s="29">
        <v>102.8</v>
      </c>
      <c r="J18" s="29">
        <v>105.1</v>
      </c>
      <c r="K18" s="29">
        <v>101.4</v>
      </c>
      <c r="L18" s="29">
        <v>100.2</v>
      </c>
      <c r="M18" s="29">
        <v>107.8</v>
      </c>
      <c r="S18" s="242"/>
    </row>
    <row r="19" spans="1:19">
      <c r="A19" s="66">
        <v>2006</v>
      </c>
      <c r="B19" s="29">
        <v>94.1</v>
      </c>
      <c r="C19" s="29">
        <v>89.8</v>
      </c>
      <c r="D19" s="29">
        <v>94.8</v>
      </c>
      <c r="E19" s="29">
        <v>89.5</v>
      </c>
      <c r="F19" s="29">
        <v>116.4</v>
      </c>
      <c r="G19" s="29">
        <v>92</v>
      </c>
      <c r="H19" s="29">
        <v>103.5</v>
      </c>
      <c r="I19" s="29">
        <v>101.1</v>
      </c>
      <c r="J19" s="29">
        <v>104.1</v>
      </c>
      <c r="K19" s="29">
        <v>99.3</v>
      </c>
      <c r="L19" s="29">
        <v>99.9</v>
      </c>
      <c r="M19" s="29">
        <v>111.9</v>
      </c>
      <c r="S19" s="242"/>
    </row>
    <row r="20" spans="1:19">
      <c r="A20" s="66">
        <v>2007</v>
      </c>
      <c r="B20" s="29">
        <v>90.9</v>
      </c>
      <c r="C20" s="29">
        <v>86.8</v>
      </c>
      <c r="D20" s="29">
        <v>88.5</v>
      </c>
      <c r="E20" s="29">
        <v>88.9</v>
      </c>
      <c r="F20" s="29">
        <v>114.6</v>
      </c>
      <c r="G20" s="29">
        <v>79.900000000000006</v>
      </c>
      <c r="H20" s="29">
        <v>102.6</v>
      </c>
      <c r="I20" s="29">
        <v>98.8</v>
      </c>
      <c r="J20" s="29">
        <v>100.6</v>
      </c>
      <c r="K20" s="29">
        <v>97.6</v>
      </c>
      <c r="L20" s="29">
        <v>98.9</v>
      </c>
      <c r="M20" s="29">
        <v>115.4</v>
      </c>
      <c r="S20" s="242"/>
    </row>
    <row r="21" spans="1:19">
      <c r="A21" s="66">
        <v>2008</v>
      </c>
      <c r="B21" s="29">
        <v>88.8</v>
      </c>
      <c r="C21" s="29">
        <v>83.4</v>
      </c>
      <c r="D21" s="29">
        <v>87.3</v>
      </c>
      <c r="E21" s="29">
        <v>84.9</v>
      </c>
      <c r="F21" s="29">
        <v>110.1</v>
      </c>
      <c r="G21" s="29">
        <v>81.900000000000006</v>
      </c>
      <c r="H21" s="29">
        <v>102.7</v>
      </c>
      <c r="I21" s="29">
        <v>97.6</v>
      </c>
      <c r="J21" s="29">
        <v>100.5</v>
      </c>
      <c r="K21" s="29">
        <v>95.9</v>
      </c>
      <c r="L21" s="29">
        <v>99.2</v>
      </c>
      <c r="M21" s="29">
        <v>119.2</v>
      </c>
      <c r="S21" s="242"/>
    </row>
    <row r="22" spans="1:19">
      <c r="A22" s="66">
        <v>2009</v>
      </c>
      <c r="B22" s="29">
        <v>87.9</v>
      </c>
      <c r="C22" s="29">
        <v>82.9</v>
      </c>
      <c r="D22" s="29">
        <v>83.8</v>
      </c>
      <c r="E22" s="29">
        <v>82.4</v>
      </c>
      <c r="F22" s="29">
        <v>108</v>
      </c>
      <c r="G22" s="29">
        <v>77.400000000000006</v>
      </c>
      <c r="H22" s="29">
        <v>103.1</v>
      </c>
      <c r="I22" s="29">
        <v>97.7</v>
      </c>
      <c r="J22" s="29">
        <v>99.5</v>
      </c>
      <c r="K22" s="29">
        <v>96.6</v>
      </c>
      <c r="L22" s="29">
        <v>99.7</v>
      </c>
      <c r="M22" s="29">
        <v>120.4</v>
      </c>
      <c r="S22" s="242"/>
    </row>
    <row r="23" spans="1:19">
      <c r="A23" s="66">
        <v>2010</v>
      </c>
      <c r="B23" s="29">
        <v>89.3</v>
      </c>
      <c r="C23" s="29">
        <v>85.3</v>
      </c>
      <c r="D23" s="29">
        <v>84.4</v>
      </c>
      <c r="E23" s="29">
        <v>81</v>
      </c>
      <c r="F23" s="29">
        <v>100.4</v>
      </c>
      <c r="G23" s="29">
        <v>82</v>
      </c>
      <c r="H23" s="29">
        <v>102.7</v>
      </c>
      <c r="I23" s="29">
        <v>97.4</v>
      </c>
      <c r="J23" s="29">
        <v>100</v>
      </c>
      <c r="K23" s="29">
        <v>95.8</v>
      </c>
      <c r="L23" s="29">
        <v>98.6</v>
      </c>
      <c r="M23" s="29">
        <v>120.2</v>
      </c>
      <c r="S23" s="242"/>
    </row>
    <row r="24" spans="1:19">
      <c r="A24" s="66">
        <v>2011</v>
      </c>
      <c r="B24" s="29">
        <v>87.6</v>
      </c>
      <c r="C24" s="29">
        <v>83.3</v>
      </c>
      <c r="D24" s="29">
        <v>81.7</v>
      </c>
      <c r="E24" s="29">
        <v>77.7</v>
      </c>
      <c r="F24" s="29">
        <v>102.9</v>
      </c>
      <c r="G24" s="29">
        <v>78</v>
      </c>
      <c r="H24" s="29">
        <v>102.6</v>
      </c>
      <c r="I24" s="29">
        <v>97.8</v>
      </c>
      <c r="J24" s="29">
        <v>99.7</v>
      </c>
      <c r="K24" s="29">
        <v>96.6</v>
      </c>
      <c r="L24" s="29">
        <v>98.8</v>
      </c>
      <c r="M24" s="29">
        <v>118.6</v>
      </c>
      <c r="S24" s="242"/>
    </row>
    <row r="25" spans="1:19">
      <c r="A25" s="66">
        <v>2012</v>
      </c>
      <c r="B25" s="29">
        <v>92.7</v>
      </c>
      <c r="C25" s="29">
        <v>88.3</v>
      </c>
      <c r="D25" s="29">
        <v>89.1</v>
      </c>
      <c r="E25" s="29">
        <v>83.5</v>
      </c>
      <c r="F25" s="29">
        <v>104.2</v>
      </c>
      <c r="G25" s="29">
        <v>88.5</v>
      </c>
      <c r="H25" s="29">
        <v>105.8</v>
      </c>
      <c r="I25" s="29">
        <v>101.1</v>
      </c>
      <c r="J25" s="29">
        <v>102.5</v>
      </c>
      <c r="K25" s="29">
        <v>100.2</v>
      </c>
      <c r="L25" s="29">
        <v>101.8</v>
      </c>
      <c r="M25" s="29">
        <v>121.5</v>
      </c>
      <c r="S25" s="242"/>
    </row>
    <row r="27" spans="1:19">
      <c r="A27" s="66" t="s">
        <v>23</v>
      </c>
    </row>
    <row r="28" spans="1:19">
      <c r="A28" s="64" t="s">
        <v>2120</v>
      </c>
      <c r="B28" s="67">
        <f>((B25/B5)^(1/20)-1)*100</f>
        <v>1.0314623556077374</v>
      </c>
      <c r="C28" s="67">
        <f t="shared" ref="C28:M28" si="0">((C25/C5)^(1/20)-1)*100</f>
        <v>0.82632647079368127</v>
      </c>
      <c r="D28" s="67">
        <f t="shared" si="0"/>
        <v>0.74553887642394567</v>
      </c>
      <c r="E28" s="67">
        <f t="shared" si="0"/>
        <v>1.1675946325260256</v>
      </c>
      <c r="F28" s="67">
        <f t="shared" si="0"/>
        <v>1.5174422377969288</v>
      </c>
      <c r="G28" s="67">
        <f t="shared" si="0"/>
        <v>0.16087790192151896</v>
      </c>
      <c r="H28" s="67">
        <f t="shared" si="0"/>
        <v>1.6611575782240706</v>
      </c>
      <c r="I28" s="67">
        <f t="shared" si="0"/>
        <v>1.3315000466904481</v>
      </c>
      <c r="J28" s="67">
        <f t="shared" si="0"/>
        <v>0.91085538171504776</v>
      </c>
      <c r="K28" s="67">
        <f t="shared" si="0"/>
        <v>1.6662398231660713</v>
      </c>
      <c r="L28" s="67">
        <f t="shared" si="0"/>
        <v>2.2214876242373283</v>
      </c>
      <c r="M28" s="67">
        <f t="shared" si="0"/>
        <v>2.3133952557041759</v>
      </c>
    </row>
    <row r="29" spans="1:19">
      <c r="A29" s="64" t="s">
        <v>1182</v>
      </c>
      <c r="B29" s="67">
        <f>((B13/B5)^(1/8)-1)*100</f>
        <v>3.8575307849856522</v>
      </c>
      <c r="C29" s="67">
        <f t="shared" ref="C29:M29" si="1">((C13/C5)^(1/8)-1)*100</f>
        <v>3.9484434659130541</v>
      </c>
      <c r="D29" s="67">
        <f t="shared" si="1"/>
        <v>4.3053011747178793</v>
      </c>
      <c r="E29" s="67">
        <f t="shared" si="1"/>
        <v>5.2254123759157611</v>
      </c>
      <c r="F29" s="67">
        <f t="shared" si="1"/>
        <v>3.5856426371472683</v>
      </c>
      <c r="G29" s="67">
        <f t="shared" si="1"/>
        <v>3.8006672597954649</v>
      </c>
      <c r="H29" s="67">
        <f t="shared" si="1"/>
        <v>3.0930341569022746</v>
      </c>
      <c r="I29" s="67">
        <f t="shared" si="1"/>
        <v>2.9867186231856246</v>
      </c>
      <c r="J29" s="67">
        <f t="shared" si="1"/>
        <v>1.8365720799787821</v>
      </c>
      <c r="K29" s="67">
        <f t="shared" si="1"/>
        <v>3.8891656533828645</v>
      </c>
      <c r="L29" s="67">
        <f t="shared" si="1"/>
        <v>4.4312597964912159</v>
      </c>
      <c r="M29" s="67">
        <f t="shared" si="1"/>
        <v>2.8118352574361571</v>
      </c>
    </row>
    <row r="30" spans="1:19">
      <c r="A30" s="64" t="s">
        <v>2028</v>
      </c>
      <c r="B30" s="67">
        <f>((B25/B13)^(1/12)-1)*100</f>
        <v>-0.80973058666243825</v>
      </c>
      <c r="C30" s="67">
        <f t="shared" ref="C30:M30" si="2">((C25/C13)^(1/12)-1)*100</f>
        <v>-1.2028128185963549</v>
      </c>
      <c r="D30" s="67">
        <f t="shared" si="2"/>
        <v>-1.5598834114348148</v>
      </c>
      <c r="E30" s="67">
        <f t="shared" si="2"/>
        <v>-1.4503053701325319</v>
      </c>
      <c r="F30" s="67">
        <f t="shared" si="2"/>
        <v>0.1616342504790147</v>
      </c>
      <c r="G30" s="67">
        <f t="shared" si="2"/>
        <v>-2.1944633085112963</v>
      </c>
      <c r="H30" s="67">
        <f t="shared" si="2"/>
        <v>0.71763897588004166</v>
      </c>
      <c r="I30" s="67">
        <f t="shared" si="2"/>
        <v>0.24282693708206349</v>
      </c>
      <c r="J30" s="67">
        <f t="shared" si="2"/>
        <v>0.29839063415162403</v>
      </c>
      <c r="K30" s="67">
        <f t="shared" si="2"/>
        <v>0.21077706990257905</v>
      </c>
      <c r="L30" s="67">
        <f t="shared" si="2"/>
        <v>0.77434486505214561</v>
      </c>
      <c r="M30" s="67">
        <f t="shared" si="2"/>
        <v>1.982445132775279</v>
      </c>
    </row>
    <row r="32" spans="1:19">
      <c r="A32" s="232" t="s">
        <v>1843</v>
      </c>
      <c r="B32" s="232"/>
      <c r="C32" s="232"/>
      <c r="D32" s="232"/>
      <c r="E32" s="232"/>
      <c r="F32" s="232"/>
      <c r="G32" s="232"/>
      <c r="H32" s="232"/>
      <c r="I32" s="232"/>
      <c r="J32" s="232"/>
      <c r="K32" s="232"/>
      <c r="L32" s="232"/>
      <c r="M32" s="232"/>
      <c r="N32" s="130"/>
    </row>
    <row r="34" spans="2:13">
      <c r="B34" s="65"/>
      <c r="C34" s="65"/>
      <c r="D34" s="65"/>
      <c r="E34" s="65"/>
      <c r="F34" s="65"/>
      <c r="G34" s="65"/>
      <c r="H34" s="65"/>
      <c r="I34" s="65"/>
      <c r="J34" s="65"/>
      <c r="K34" s="65"/>
      <c r="L34" s="65"/>
      <c r="M34" s="65"/>
    </row>
    <row r="37" spans="2:13">
      <c r="B37" s="139"/>
      <c r="C37" s="139"/>
      <c r="D37" s="139"/>
      <c r="E37" s="139"/>
      <c r="F37" s="139"/>
      <c r="G37" s="139"/>
      <c r="H37" s="139"/>
      <c r="I37" s="139"/>
      <c r="J37" s="139"/>
      <c r="K37" s="139"/>
      <c r="L37" s="139"/>
      <c r="M37" s="139"/>
    </row>
    <row r="38" spans="2:13">
      <c r="B38" s="139"/>
      <c r="C38" s="139"/>
      <c r="D38" s="139"/>
      <c r="E38" s="139"/>
      <c r="F38" s="139"/>
      <c r="G38" s="139"/>
      <c r="H38" s="139"/>
      <c r="I38" s="139"/>
      <c r="J38" s="139"/>
      <c r="K38" s="139"/>
      <c r="L38" s="139"/>
      <c r="M38" s="139"/>
    </row>
    <row r="39" spans="2:13">
      <c r="B39" s="139"/>
      <c r="C39" s="139"/>
      <c r="D39" s="139"/>
      <c r="E39" s="139"/>
      <c r="F39" s="139"/>
      <c r="G39" s="139"/>
      <c r="H39" s="139"/>
      <c r="I39" s="139"/>
      <c r="J39" s="139"/>
      <c r="K39" s="139"/>
      <c r="L39" s="139"/>
      <c r="M39" s="139"/>
    </row>
    <row r="40" spans="2:13">
      <c r="B40" s="139"/>
      <c r="C40" s="139"/>
      <c r="D40" s="139"/>
      <c r="E40" s="139"/>
      <c r="F40" s="139"/>
      <c r="G40" s="139"/>
      <c r="H40" s="139"/>
      <c r="I40" s="139"/>
      <c r="J40" s="139"/>
      <c r="K40" s="139"/>
      <c r="L40" s="139"/>
      <c r="M40" s="139"/>
    </row>
    <row r="41" spans="2:13">
      <c r="B41" s="139"/>
      <c r="C41" s="139"/>
      <c r="D41" s="139"/>
      <c r="E41" s="139"/>
      <c r="F41" s="139"/>
      <c r="G41" s="139"/>
      <c r="H41" s="139"/>
      <c r="I41" s="139"/>
      <c r="J41" s="139"/>
      <c r="K41" s="139"/>
      <c r="L41" s="139"/>
      <c r="M41" s="139"/>
    </row>
    <row r="42" spans="2:13">
      <c r="B42" s="139"/>
      <c r="C42" s="139"/>
      <c r="D42" s="139"/>
      <c r="E42" s="139"/>
      <c r="F42" s="139"/>
      <c r="G42" s="139"/>
      <c r="H42" s="139"/>
      <c r="I42" s="139"/>
      <c r="J42" s="139"/>
      <c r="K42" s="139"/>
      <c r="L42" s="139"/>
      <c r="M42" s="139"/>
    </row>
    <row r="43" spans="2:13">
      <c r="B43" s="139"/>
      <c r="C43" s="139"/>
      <c r="D43" s="139"/>
      <c r="E43" s="139"/>
      <c r="F43" s="139"/>
      <c r="G43" s="139"/>
      <c r="H43" s="139"/>
      <c r="I43" s="139"/>
      <c r="J43" s="139"/>
      <c r="K43" s="139"/>
      <c r="L43" s="139"/>
      <c r="M43" s="139"/>
    </row>
    <row r="44" spans="2:13">
      <c r="B44" s="139"/>
      <c r="C44" s="139"/>
      <c r="D44" s="139"/>
      <c r="E44" s="139"/>
      <c r="F44" s="139"/>
      <c r="G44" s="139"/>
      <c r="H44" s="139"/>
      <c r="I44" s="139"/>
      <c r="J44" s="139"/>
      <c r="K44" s="139"/>
      <c r="L44" s="139"/>
      <c r="M44" s="139"/>
    </row>
    <row r="45" spans="2:13">
      <c r="B45" s="139"/>
      <c r="C45" s="139"/>
      <c r="D45" s="139"/>
      <c r="E45" s="139"/>
      <c r="F45" s="139"/>
      <c r="G45" s="139"/>
      <c r="H45" s="139"/>
      <c r="I45" s="139"/>
      <c r="J45" s="139"/>
      <c r="K45" s="139"/>
      <c r="L45" s="139"/>
      <c r="M45" s="139"/>
    </row>
    <row r="46" spans="2:13">
      <c r="B46" s="139"/>
      <c r="C46" s="139"/>
      <c r="D46" s="139"/>
      <c r="E46" s="139"/>
      <c r="F46" s="139"/>
      <c r="G46" s="139"/>
      <c r="H46" s="139"/>
      <c r="I46" s="139"/>
      <c r="J46" s="139"/>
      <c r="K46" s="139"/>
      <c r="L46" s="139"/>
      <c r="M46" s="139"/>
    </row>
    <row r="47" spans="2:13">
      <c r="B47" s="139"/>
      <c r="C47" s="139"/>
      <c r="D47" s="139"/>
      <c r="E47" s="139"/>
      <c r="F47" s="139"/>
      <c r="G47" s="139"/>
      <c r="H47" s="139"/>
      <c r="I47" s="139"/>
      <c r="J47" s="139"/>
      <c r="K47" s="139"/>
      <c r="L47" s="139"/>
      <c r="M47" s="139"/>
    </row>
    <row r="48" spans="2:13">
      <c r="B48" s="139"/>
      <c r="C48" s="139"/>
      <c r="D48" s="139"/>
      <c r="E48" s="139"/>
      <c r="F48" s="139"/>
      <c r="G48" s="139"/>
      <c r="H48" s="139"/>
      <c r="I48" s="139"/>
      <c r="J48" s="139"/>
      <c r="K48" s="139"/>
      <c r="L48" s="139"/>
      <c r="M48" s="139"/>
    </row>
    <row r="49" spans="2:13">
      <c r="B49" s="139"/>
      <c r="C49" s="139"/>
      <c r="D49" s="139"/>
      <c r="E49" s="139"/>
      <c r="F49" s="139"/>
      <c r="G49" s="139"/>
      <c r="H49" s="139"/>
      <c r="I49" s="139"/>
      <c r="J49" s="139"/>
      <c r="K49" s="139"/>
      <c r="L49" s="139"/>
      <c r="M49" s="139"/>
    </row>
    <row r="50" spans="2:13">
      <c r="B50" s="139"/>
      <c r="C50" s="139"/>
      <c r="D50" s="139"/>
      <c r="E50" s="139"/>
      <c r="F50" s="139"/>
      <c r="G50" s="139"/>
      <c r="H50" s="139"/>
      <c r="I50" s="139"/>
      <c r="J50" s="139"/>
      <c r="K50" s="139"/>
      <c r="L50" s="139"/>
      <c r="M50" s="139"/>
    </row>
    <row r="51" spans="2:13">
      <c r="B51" s="139"/>
      <c r="C51" s="139"/>
      <c r="D51" s="139"/>
      <c r="E51" s="139"/>
      <c r="F51" s="139"/>
      <c r="G51" s="139"/>
      <c r="H51" s="139"/>
      <c r="I51" s="139"/>
      <c r="J51" s="139"/>
      <c r="K51" s="139"/>
      <c r="L51" s="139"/>
      <c r="M51" s="139"/>
    </row>
    <row r="52" spans="2:13">
      <c r="B52" s="139"/>
      <c r="C52" s="139"/>
      <c r="D52" s="139"/>
      <c r="E52" s="139"/>
      <c r="F52" s="139"/>
      <c r="G52" s="139"/>
      <c r="H52" s="139"/>
      <c r="I52" s="139"/>
      <c r="J52" s="139"/>
      <c r="K52" s="139"/>
      <c r="L52" s="139"/>
      <c r="M52" s="139"/>
    </row>
  </sheetData>
  <mergeCells count="6">
    <mergeCell ref="A32:M32"/>
    <mergeCell ref="B2:B3"/>
    <mergeCell ref="C2:C3"/>
    <mergeCell ref="D2:G2"/>
    <mergeCell ref="H2:M2"/>
    <mergeCell ref="A2:A3"/>
  </mergeCells>
  <pageMargins left="0.7" right="0.7" top="0.75" bottom="0.75" header="0.3" footer="0.3"/>
  <pageSetup scale="61" orientation="landscape" horizontalDpi="0" verticalDpi="0" r:id="rId1"/>
</worksheet>
</file>

<file path=xl/worksheets/sheet130.xml><?xml version="1.0" encoding="utf-8"?>
<worksheet xmlns="http://schemas.openxmlformats.org/spreadsheetml/2006/main" xmlns:r="http://schemas.openxmlformats.org/officeDocument/2006/relationships">
  <sheetPr codeName="Sheet123">
    <pageSetUpPr fitToPage="1"/>
  </sheetPr>
  <dimension ref="A1:J126"/>
  <sheetViews>
    <sheetView view="pageBreakPreview" zoomScaleNormal="100" zoomScaleSheetLayoutView="100" workbookViewId="0">
      <pane ySplit="4" topLeftCell="A65" activePane="bottomLeft" state="frozen"/>
      <selection activeCell="AC38" sqref="AC38"/>
      <selection pane="bottomLeft" activeCell="AC38" sqref="AC38"/>
    </sheetView>
  </sheetViews>
  <sheetFormatPr defaultRowHeight="15"/>
  <cols>
    <col min="1" max="2" width="9.140625" style="64"/>
    <col min="3" max="3" width="24.85546875" style="64" bestFit="1" customWidth="1"/>
    <col min="4" max="4" width="20" style="64" customWidth="1"/>
    <col min="5" max="10" width="10.7109375" style="64" customWidth="1"/>
    <col min="11" max="16384" width="9.140625" style="64"/>
  </cols>
  <sheetData>
    <row r="1" spans="1:10">
      <c r="A1" s="66" t="s">
        <v>2007</v>
      </c>
    </row>
    <row r="2" spans="1:10" ht="17.25">
      <c r="A2" s="165" t="s">
        <v>1213</v>
      </c>
      <c r="B2" s="194" t="s">
        <v>1213</v>
      </c>
      <c r="C2" s="112" t="s">
        <v>1298</v>
      </c>
      <c r="D2" s="112" t="s">
        <v>1924</v>
      </c>
      <c r="E2" s="112" t="s">
        <v>1268</v>
      </c>
      <c r="F2" s="112"/>
      <c r="G2" s="112" t="s">
        <v>1269</v>
      </c>
      <c r="H2" s="112"/>
      <c r="I2" s="112" t="s">
        <v>1925</v>
      </c>
      <c r="J2" s="112"/>
    </row>
    <row r="3" spans="1:10">
      <c r="A3" s="165">
        <v>2011</v>
      </c>
      <c r="B3" s="194">
        <v>2010</v>
      </c>
      <c r="C3" s="112"/>
      <c r="D3" s="112"/>
      <c r="E3" s="165">
        <v>2011</v>
      </c>
      <c r="F3" s="165">
        <v>2010</v>
      </c>
      <c r="G3" s="165">
        <v>2011</v>
      </c>
      <c r="H3" s="165">
        <v>2010</v>
      </c>
      <c r="I3" s="165">
        <v>2011</v>
      </c>
      <c r="J3" s="165">
        <v>2010</v>
      </c>
    </row>
    <row r="4" spans="1:10">
      <c r="A4" s="124"/>
      <c r="B4" s="124"/>
      <c r="C4" s="112"/>
      <c r="D4" s="112"/>
      <c r="E4" s="112" t="s">
        <v>1299</v>
      </c>
      <c r="F4" s="112"/>
      <c r="G4" s="112"/>
      <c r="H4" s="112"/>
      <c r="I4" s="112" t="s">
        <v>784</v>
      </c>
      <c r="J4" s="112"/>
    </row>
    <row r="5" spans="1:10">
      <c r="A5" s="57">
        <v>1</v>
      </c>
      <c r="B5" s="57">
        <v>1</v>
      </c>
      <c r="C5" s="130" t="s">
        <v>1267</v>
      </c>
      <c r="D5" s="57" t="s">
        <v>790</v>
      </c>
      <c r="E5" s="56">
        <v>26034</v>
      </c>
      <c r="F5" s="56">
        <v>25179</v>
      </c>
      <c r="G5" s="56">
        <v>1355</v>
      </c>
      <c r="H5" s="57">
        <v>644</v>
      </c>
      <c r="I5" s="28">
        <v>12.8</v>
      </c>
      <c r="J5" s="28">
        <v>12.5</v>
      </c>
    </row>
    <row r="6" spans="1:10">
      <c r="A6" s="57">
        <v>2</v>
      </c>
      <c r="B6" s="57">
        <v>2</v>
      </c>
      <c r="C6" s="130" t="s">
        <v>1250</v>
      </c>
      <c r="D6" s="57" t="s">
        <v>790</v>
      </c>
      <c r="E6" s="56">
        <v>20846</v>
      </c>
      <c r="F6" s="56">
        <v>19746</v>
      </c>
      <c r="G6" s="56">
        <v>1684</v>
      </c>
      <c r="H6" s="56">
        <v>1843</v>
      </c>
      <c r="I6" s="28">
        <v>16.899999999999999</v>
      </c>
      <c r="J6" s="28">
        <v>18.2</v>
      </c>
    </row>
    <row r="7" spans="1:10">
      <c r="A7" s="57">
        <v>3</v>
      </c>
      <c r="B7" s="57">
        <v>5</v>
      </c>
      <c r="C7" s="130" t="s">
        <v>1871</v>
      </c>
      <c r="D7" s="57" t="s">
        <v>785</v>
      </c>
      <c r="E7" s="56">
        <v>15268</v>
      </c>
      <c r="F7" s="56">
        <v>13671</v>
      </c>
      <c r="G7" s="57">
        <v>476</v>
      </c>
      <c r="H7" s="56">
        <v>1021</v>
      </c>
      <c r="I7" s="28">
        <v>12.1</v>
      </c>
      <c r="J7" s="28">
        <v>12.8</v>
      </c>
    </row>
    <row r="8" spans="1:10">
      <c r="A8" s="57">
        <v>4</v>
      </c>
      <c r="B8" s="57">
        <v>4</v>
      </c>
      <c r="C8" s="130" t="s">
        <v>1266</v>
      </c>
      <c r="D8" s="57" t="s">
        <v>1235</v>
      </c>
      <c r="E8" s="56">
        <v>14193</v>
      </c>
      <c r="F8" s="56">
        <v>13097</v>
      </c>
      <c r="G8" s="57">
        <v>296</v>
      </c>
      <c r="H8" s="57">
        <v>284</v>
      </c>
      <c r="I8" s="28">
        <v>12.5</v>
      </c>
      <c r="J8" s="28">
        <v>10.3</v>
      </c>
    </row>
    <row r="9" spans="1:10">
      <c r="A9" s="57">
        <v>5</v>
      </c>
      <c r="B9" s="57">
        <v>7</v>
      </c>
      <c r="C9" s="130" t="s">
        <v>1872</v>
      </c>
      <c r="D9" s="57" t="s">
        <v>785</v>
      </c>
      <c r="E9" s="56">
        <v>14019</v>
      </c>
      <c r="F9" s="56">
        <v>11848</v>
      </c>
      <c r="G9" s="57">
        <v>636</v>
      </c>
      <c r="H9" s="57">
        <v>745</v>
      </c>
      <c r="I9" s="28">
        <v>12.8</v>
      </c>
      <c r="J9" s="28">
        <v>17.5</v>
      </c>
    </row>
    <row r="10" spans="1:10">
      <c r="A10" s="57">
        <v>6</v>
      </c>
      <c r="B10" s="57">
        <v>6</v>
      </c>
      <c r="C10" s="130" t="s">
        <v>1873</v>
      </c>
      <c r="D10" s="57" t="s">
        <v>1235</v>
      </c>
      <c r="E10" s="56">
        <v>13251</v>
      </c>
      <c r="F10" s="56">
        <v>12502</v>
      </c>
      <c r="G10" s="57">
        <v>-291</v>
      </c>
      <c r="H10" s="57">
        <v>343</v>
      </c>
      <c r="I10" s="28">
        <v>10.5</v>
      </c>
      <c r="J10" s="28">
        <v>9.1999999999999993</v>
      </c>
    </row>
    <row r="11" spans="1:10">
      <c r="A11" s="57">
        <v>7</v>
      </c>
      <c r="B11" s="57">
        <v>3</v>
      </c>
      <c r="C11" s="130" t="s">
        <v>1874</v>
      </c>
      <c r="D11" s="57" t="s">
        <v>789</v>
      </c>
      <c r="E11" s="56">
        <v>12543</v>
      </c>
      <c r="F11" s="56">
        <v>11508</v>
      </c>
      <c r="G11" s="57">
        <v>94</v>
      </c>
      <c r="H11" s="57">
        <v>773</v>
      </c>
      <c r="I11" s="28">
        <v>16.600000000000001</v>
      </c>
      <c r="J11" s="28">
        <v>17.2</v>
      </c>
    </row>
    <row r="12" spans="1:10">
      <c r="A12" s="57">
        <v>8</v>
      </c>
      <c r="B12" s="57">
        <v>8</v>
      </c>
      <c r="C12" s="130" t="s">
        <v>1875</v>
      </c>
      <c r="D12" s="57" t="s">
        <v>1251</v>
      </c>
      <c r="E12" s="56">
        <v>10244</v>
      </c>
      <c r="F12" s="56">
        <v>8865</v>
      </c>
      <c r="G12" s="57">
        <v>304</v>
      </c>
      <c r="H12" s="57">
        <v>77</v>
      </c>
      <c r="I12" s="28">
        <v>13.1</v>
      </c>
      <c r="J12" s="28">
        <v>12.3</v>
      </c>
    </row>
    <row r="13" spans="1:10">
      <c r="A13" s="57">
        <v>9</v>
      </c>
      <c r="B13" s="57">
        <v>9</v>
      </c>
      <c r="C13" s="130" t="s">
        <v>1876</v>
      </c>
      <c r="D13" s="57" t="s">
        <v>1904</v>
      </c>
      <c r="E13" s="56">
        <v>7991</v>
      </c>
      <c r="F13" s="56">
        <v>8269</v>
      </c>
      <c r="G13" s="57">
        <v>557</v>
      </c>
      <c r="H13" s="57">
        <v>297</v>
      </c>
      <c r="I13" s="28">
        <v>16.7</v>
      </c>
      <c r="J13" s="28">
        <v>9.1999999999999993</v>
      </c>
    </row>
    <row r="14" spans="1:10">
      <c r="A14" s="57">
        <v>10</v>
      </c>
      <c r="B14" s="57">
        <v>10</v>
      </c>
      <c r="C14" s="195" t="s">
        <v>1877</v>
      </c>
      <c r="D14" s="57" t="s">
        <v>785</v>
      </c>
      <c r="E14" s="56">
        <v>7444</v>
      </c>
      <c r="F14" s="56">
        <v>7139</v>
      </c>
      <c r="G14" s="57">
        <v>-219</v>
      </c>
      <c r="H14" s="57">
        <v>226</v>
      </c>
      <c r="I14" s="28">
        <v>7.2</v>
      </c>
      <c r="J14" s="28">
        <v>2.9</v>
      </c>
    </row>
    <row r="15" spans="1:10" s="196" customFormat="1">
      <c r="A15" s="57">
        <v>11</v>
      </c>
      <c r="B15" s="57">
        <v>15</v>
      </c>
      <c r="C15" s="64" t="s">
        <v>1255</v>
      </c>
      <c r="D15" s="57" t="s">
        <v>1272</v>
      </c>
      <c r="E15" s="56">
        <v>7286</v>
      </c>
      <c r="F15" s="56">
        <v>6572</v>
      </c>
      <c r="G15" s="57">
        <v>-232</v>
      </c>
      <c r="H15" s="57">
        <v>66</v>
      </c>
      <c r="I15" s="28">
        <v>6.7</v>
      </c>
      <c r="J15" s="28">
        <v>11.4</v>
      </c>
    </row>
    <row r="16" spans="1:10">
      <c r="A16" s="57">
        <v>12</v>
      </c>
      <c r="B16" s="57">
        <v>11</v>
      </c>
      <c r="C16" s="64" t="s">
        <v>1252</v>
      </c>
      <c r="D16" s="57" t="s">
        <v>790</v>
      </c>
      <c r="E16" s="56">
        <v>6060</v>
      </c>
      <c r="F16" s="56">
        <v>5693</v>
      </c>
      <c r="G16" s="57">
        <v>246</v>
      </c>
      <c r="H16" s="57">
        <v>106</v>
      </c>
      <c r="I16" s="28">
        <v>22.9</v>
      </c>
      <c r="J16" s="28">
        <v>12.5</v>
      </c>
    </row>
    <row r="17" spans="1:10">
      <c r="A17" s="57">
        <v>13</v>
      </c>
      <c r="B17" s="57">
        <v>18</v>
      </c>
      <c r="C17" s="64" t="s">
        <v>1258</v>
      </c>
      <c r="D17" s="57" t="s">
        <v>1235</v>
      </c>
      <c r="E17" s="56">
        <v>5965</v>
      </c>
      <c r="F17" s="56">
        <v>5221</v>
      </c>
      <c r="G17" s="57">
        <v>129</v>
      </c>
      <c r="H17" s="57">
        <v>194</v>
      </c>
      <c r="I17" s="28">
        <v>12.4</v>
      </c>
      <c r="J17" s="28">
        <v>8.6</v>
      </c>
    </row>
    <row r="18" spans="1:10">
      <c r="A18" s="57">
        <v>14</v>
      </c>
      <c r="B18" s="57">
        <v>14</v>
      </c>
      <c r="C18" s="64" t="s">
        <v>1878</v>
      </c>
      <c r="D18" s="57" t="s">
        <v>696</v>
      </c>
      <c r="E18" s="56">
        <v>5676</v>
      </c>
      <c r="F18" s="56">
        <v>5850</v>
      </c>
      <c r="G18" s="57">
        <v>369</v>
      </c>
      <c r="H18" s="57">
        <v>605</v>
      </c>
      <c r="I18" s="28">
        <v>17.100000000000001</v>
      </c>
      <c r="J18" s="28">
        <v>17.100000000000001</v>
      </c>
    </row>
    <row r="19" spans="1:10">
      <c r="A19" s="57">
        <v>15</v>
      </c>
      <c r="B19" s="57">
        <v>12</v>
      </c>
      <c r="C19" s="64" t="s">
        <v>1270</v>
      </c>
      <c r="D19" s="57" t="s">
        <v>786</v>
      </c>
      <c r="E19" s="56">
        <v>5492</v>
      </c>
      <c r="F19" s="56">
        <v>5753</v>
      </c>
      <c r="G19" s="57">
        <v>-107</v>
      </c>
      <c r="H19" s="57">
        <v>42</v>
      </c>
      <c r="I19" s="28">
        <v>3.8</v>
      </c>
      <c r="J19" s="28">
        <v>5</v>
      </c>
    </row>
    <row r="20" spans="1:10">
      <c r="A20" s="57">
        <v>16</v>
      </c>
      <c r="B20" s="57">
        <v>34</v>
      </c>
      <c r="C20" s="64" t="s">
        <v>1265</v>
      </c>
      <c r="D20" s="57" t="s">
        <v>790</v>
      </c>
      <c r="E20" s="56">
        <v>5400</v>
      </c>
      <c r="F20" s="56">
        <v>3001</v>
      </c>
      <c r="G20" s="57">
        <v>146</v>
      </c>
      <c r="H20" s="57">
        <v>226</v>
      </c>
      <c r="I20" s="28">
        <v>11.8</v>
      </c>
      <c r="J20" s="28">
        <v>17.3</v>
      </c>
    </row>
    <row r="21" spans="1:10">
      <c r="A21" s="57">
        <v>17</v>
      </c>
      <c r="B21" s="57">
        <v>19</v>
      </c>
      <c r="C21" s="64" t="s">
        <v>1910</v>
      </c>
      <c r="D21" s="57" t="s">
        <v>790</v>
      </c>
      <c r="E21" s="56">
        <v>5378</v>
      </c>
      <c r="F21" s="56">
        <v>5629</v>
      </c>
      <c r="G21" s="57">
        <v>273</v>
      </c>
      <c r="H21" s="56">
        <v>1190</v>
      </c>
      <c r="I21" s="28">
        <v>18.899999999999999</v>
      </c>
      <c r="J21" s="28">
        <v>15.1</v>
      </c>
    </row>
    <row r="22" spans="1:10">
      <c r="A22" s="57">
        <v>18</v>
      </c>
      <c r="B22" s="57">
        <v>17</v>
      </c>
      <c r="C22" s="64" t="s">
        <v>1275</v>
      </c>
      <c r="D22" s="57" t="s">
        <v>1235</v>
      </c>
      <c r="E22" s="56">
        <v>5137</v>
      </c>
      <c r="F22" s="56">
        <v>4682</v>
      </c>
      <c r="G22" s="57">
        <v>67</v>
      </c>
      <c r="H22" s="57">
        <v>-92</v>
      </c>
      <c r="I22" s="28">
        <v>10</v>
      </c>
      <c r="J22" s="28">
        <v>13.2</v>
      </c>
    </row>
    <row r="23" spans="1:10">
      <c r="A23" s="57">
        <v>19</v>
      </c>
      <c r="B23" s="57">
        <v>16</v>
      </c>
      <c r="C23" s="64" t="s">
        <v>1253</v>
      </c>
      <c r="D23" s="57" t="s">
        <v>1254</v>
      </c>
      <c r="E23" s="56">
        <v>4812</v>
      </c>
      <c r="F23" s="56">
        <v>4665</v>
      </c>
      <c r="G23" s="57">
        <v>-112</v>
      </c>
      <c r="H23" s="57">
        <v>-207</v>
      </c>
      <c r="I23" s="28">
        <v>-1</v>
      </c>
      <c r="J23" s="28">
        <v>0.4</v>
      </c>
    </row>
    <row r="24" spans="1:10">
      <c r="A24" s="57">
        <v>20</v>
      </c>
      <c r="B24" s="57">
        <v>21</v>
      </c>
      <c r="C24" s="64" t="s">
        <v>1879</v>
      </c>
      <c r="D24" s="57" t="s">
        <v>696</v>
      </c>
      <c r="E24" s="56">
        <v>4810</v>
      </c>
      <c r="F24" s="56">
        <v>4746</v>
      </c>
      <c r="G24" s="57">
        <v>41</v>
      </c>
      <c r="H24" s="56">
        <v>2614</v>
      </c>
      <c r="I24" s="28">
        <v>8.8000000000000007</v>
      </c>
      <c r="J24" s="28">
        <v>7</v>
      </c>
    </row>
    <row r="25" spans="1:10">
      <c r="A25" s="57">
        <v>21</v>
      </c>
      <c r="B25" s="57">
        <v>29</v>
      </c>
      <c r="C25" s="64" t="s">
        <v>1259</v>
      </c>
      <c r="D25" s="57" t="s">
        <v>1243</v>
      </c>
      <c r="E25" s="56">
        <v>4797</v>
      </c>
      <c r="F25" s="56">
        <v>4219</v>
      </c>
      <c r="G25" s="57">
        <v>492</v>
      </c>
      <c r="H25" s="57">
        <v>638</v>
      </c>
      <c r="I25" s="28">
        <v>17</v>
      </c>
      <c r="J25" s="28">
        <v>26.9</v>
      </c>
    </row>
    <row r="26" spans="1:10" ht="17.25">
      <c r="A26" s="57">
        <v>22</v>
      </c>
      <c r="B26" s="57">
        <v>20</v>
      </c>
      <c r="C26" s="64" t="s">
        <v>1922</v>
      </c>
      <c r="D26" s="57" t="s">
        <v>1235</v>
      </c>
      <c r="E26" s="56">
        <v>4614</v>
      </c>
      <c r="F26" s="56">
        <v>3975</v>
      </c>
      <c r="G26" s="57">
        <v>-185</v>
      </c>
      <c r="H26" s="57">
        <v>27</v>
      </c>
      <c r="I26" s="28">
        <v>-0.2</v>
      </c>
      <c r="J26" s="28">
        <v>4.3</v>
      </c>
    </row>
    <row r="27" spans="1:10">
      <c r="A27" s="57">
        <v>23</v>
      </c>
      <c r="B27" s="57">
        <v>23</v>
      </c>
      <c r="C27" s="64" t="s">
        <v>1263</v>
      </c>
      <c r="D27" s="57" t="s">
        <v>1235</v>
      </c>
      <c r="E27" s="56">
        <v>4542</v>
      </c>
      <c r="F27" s="56">
        <v>4073</v>
      </c>
      <c r="G27" s="57">
        <v>404</v>
      </c>
      <c r="H27" s="57">
        <v>281</v>
      </c>
      <c r="I27" s="28">
        <v>16.2</v>
      </c>
      <c r="J27" s="28">
        <v>13.8</v>
      </c>
    </row>
    <row r="28" spans="1:10">
      <c r="A28" s="57">
        <v>24</v>
      </c>
      <c r="B28" s="57">
        <v>24</v>
      </c>
      <c r="C28" s="64" t="s">
        <v>1256</v>
      </c>
      <c r="D28" s="57" t="s">
        <v>790</v>
      </c>
      <c r="E28" s="56">
        <v>4499</v>
      </c>
      <c r="F28" s="56">
        <v>4124</v>
      </c>
      <c r="G28" s="57">
        <v>218</v>
      </c>
      <c r="H28" s="57">
        <v>201</v>
      </c>
      <c r="I28" s="28">
        <v>11.2</v>
      </c>
      <c r="J28" s="28">
        <v>20.3</v>
      </c>
    </row>
    <row r="29" spans="1:10">
      <c r="A29" s="57">
        <v>25</v>
      </c>
      <c r="B29" s="57">
        <v>22</v>
      </c>
      <c r="C29" s="64" t="s">
        <v>1880</v>
      </c>
      <c r="D29" s="57" t="s">
        <v>790</v>
      </c>
      <c r="E29" s="56">
        <v>4206</v>
      </c>
      <c r="F29" s="56">
        <v>4095</v>
      </c>
      <c r="G29" s="57">
        <v>277</v>
      </c>
      <c r="H29" s="57">
        <v>11</v>
      </c>
      <c r="I29" s="28">
        <v>11.1</v>
      </c>
      <c r="J29" s="28">
        <v>12.4</v>
      </c>
    </row>
    <row r="30" spans="1:10">
      <c r="A30" s="57">
        <v>26</v>
      </c>
      <c r="B30" s="57">
        <v>27</v>
      </c>
      <c r="C30" s="64" t="s">
        <v>1274</v>
      </c>
      <c r="D30" s="57" t="s">
        <v>1904</v>
      </c>
      <c r="E30" s="56">
        <v>3969</v>
      </c>
      <c r="F30" s="56">
        <v>3201</v>
      </c>
      <c r="G30" s="57">
        <v>113</v>
      </c>
      <c r="H30" s="57">
        <v>59</v>
      </c>
      <c r="I30" s="28">
        <v>8.4</v>
      </c>
      <c r="J30" s="28">
        <v>5.0999999999999996</v>
      </c>
    </row>
    <row r="31" spans="1:10">
      <c r="A31" s="57">
        <v>27</v>
      </c>
      <c r="B31" s="57">
        <v>50</v>
      </c>
      <c r="C31" s="64" t="s">
        <v>1881</v>
      </c>
      <c r="D31" s="57" t="s">
        <v>1238</v>
      </c>
      <c r="E31" s="56">
        <v>3774</v>
      </c>
      <c r="F31" s="56">
        <v>2628</v>
      </c>
      <c r="G31" s="57">
        <v>312</v>
      </c>
      <c r="H31" s="57">
        <v>317</v>
      </c>
      <c r="I31" s="28">
        <v>17</v>
      </c>
      <c r="J31" s="28">
        <v>15</v>
      </c>
    </row>
    <row r="32" spans="1:10">
      <c r="A32" s="57">
        <v>28</v>
      </c>
      <c r="B32" s="57">
        <v>26</v>
      </c>
      <c r="C32" s="64" t="s">
        <v>1257</v>
      </c>
      <c r="D32" s="57" t="s">
        <v>696</v>
      </c>
      <c r="E32" s="56">
        <v>3667</v>
      </c>
      <c r="F32" s="56">
        <v>3843</v>
      </c>
      <c r="G32" s="57">
        <v>100</v>
      </c>
      <c r="H32" s="57">
        <v>17</v>
      </c>
      <c r="I32" s="28">
        <v>5.2</v>
      </c>
      <c r="J32" s="28">
        <v>10.3</v>
      </c>
    </row>
    <row r="33" spans="1:10">
      <c r="A33" s="57">
        <v>29</v>
      </c>
      <c r="B33" s="57">
        <v>32</v>
      </c>
      <c r="C33" s="64" t="s">
        <v>1882</v>
      </c>
      <c r="D33" s="57" t="s">
        <v>1226</v>
      </c>
      <c r="E33" s="56">
        <v>3506</v>
      </c>
      <c r="F33" s="56">
        <v>3572</v>
      </c>
      <c r="G33" s="57">
        <v>-520</v>
      </c>
      <c r="H33" s="57">
        <v>341</v>
      </c>
      <c r="I33" s="28">
        <v>37.9</v>
      </c>
      <c r="J33" s="28">
        <v>42</v>
      </c>
    </row>
    <row r="34" spans="1:10">
      <c r="A34" s="57">
        <v>30</v>
      </c>
      <c r="B34" s="57">
        <v>31</v>
      </c>
      <c r="C34" s="64" t="s">
        <v>1281</v>
      </c>
      <c r="D34" s="57" t="s">
        <v>790</v>
      </c>
      <c r="E34" s="56">
        <v>3502</v>
      </c>
      <c r="F34" s="56">
        <v>3596</v>
      </c>
      <c r="G34" s="57">
        <v>-524</v>
      </c>
      <c r="H34" s="57">
        <v>-674</v>
      </c>
      <c r="I34" s="28">
        <v>3.9</v>
      </c>
      <c r="J34" s="28">
        <v>-6.2</v>
      </c>
    </row>
    <row r="35" spans="1:10">
      <c r="A35" s="57">
        <v>31</v>
      </c>
      <c r="B35" s="57">
        <v>28</v>
      </c>
      <c r="C35" s="64" t="s">
        <v>1273</v>
      </c>
      <c r="D35" s="57" t="s">
        <v>791</v>
      </c>
      <c r="E35" s="56">
        <v>3375</v>
      </c>
      <c r="F35" s="56">
        <v>3090</v>
      </c>
      <c r="G35" s="57">
        <v>-454</v>
      </c>
      <c r="H35" s="57">
        <v>-401</v>
      </c>
      <c r="I35" s="28">
        <v>-5.5</v>
      </c>
      <c r="J35" s="28">
        <v>3.5</v>
      </c>
    </row>
    <row r="36" spans="1:10" ht="17.25">
      <c r="A36" s="57">
        <v>32</v>
      </c>
      <c r="B36" s="57" t="s">
        <v>1870</v>
      </c>
      <c r="C36" s="64" t="s">
        <v>1921</v>
      </c>
      <c r="D36" s="57" t="s">
        <v>1246</v>
      </c>
      <c r="E36" s="56">
        <v>2980</v>
      </c>
      <c r="F36" s="56">
        <v>2345</v>
      </c>
      <c r="G36" s="57">
        <v>372</v>
      </c>
      <c r="H36" s="57">
        <v>226</v>
      </c>
      <c r="I36" s="28">
        <v>22.6</v>
      </c>
      <c r="J36" s="28">
        <v>18.899999999999999</v>
      </c>
    </row>
    <row r="37" spans="1:10">
      <c r="A37" s="57">
        <v>33</v>
      </c>
      <c r="B37" s="57">
        <v>38</v>
      </c>
      <c r="C37" s="64" t="s">
        <v>1228</v>
      </c>
      <c r="D37" s="57" t="s">
        <v>1226</v>
      </c>
      <c r="E37" s="56">
        <v>2904</v>
      </c>
      <c r="F37" s="56">
        <v>2567</v>
      </c>
      <c r="G37" s="57">
        <v>18</v>
      </c>
      <c r="H37" s="57">
        <v>437</v>
      </c>
      <c r="I37" s="28">
        <v>26.8</v>
      </c>
      <c r="J37" s="28">
        <v>30.1</v>
      </c>
    </row>
    <row r="38" spans="1:10">
      <c r="A38" s="57">
        <v>34</v>
      </c>
      <c r="B38" s="57">
        <v>36</v>
      </c>
      <c r="C38" s="64" t="s">
        <v>1261</v>
      </c>
      <c r="D38" s="57" t="s">
        <v>789</v>
      </c>
      <c r="E38" s="56">
        <v>2877</v>
      </c>
      <c r="F38" s="56">
        <v>2446</v>
      </c>
      <c r="G38" s="57">
        <v>610</v>
      </c>
      <c r="H38" s="57">
        <v>98</v>
      </c>
      <c r="I38" s="28">
        <v>36.6</v>
      </c>
      <c r="J38" s="28">
        <v>19</v>
      </c>
    </row>
    <row r="39" spans="1:10">
      <c r="A39" s="57">
        <v>35</v>
      </c>
      <c r="B39" s="57">
        <v>41</v>
      </c>
      <c r="C39" s="64" t="s">
        <v>1262</v>
      </c>
      <c r="D39" s="57" t="s">
        <v>789</v>
      </c>
      <c r="E39" s="56">
        <v>2805</v>
      </c>
      <c r="F39" s="56">
        <v>2744</v>
      </c>
      <c r="G39" s="57">
        <v>109</v>
      </c>
      <c r="H39" s="57">
        <v>282</v>
      </c>
      <c r="I39" s="28">
        <v>12</v>
      </c>
      <c r="J39" s="28">
        <v>9.1</v>
      </c>
    </row>
    <row r="40" spans="1:10">
      <c r="A40" s="57">
        <v>36</v>
      </c>
      <c r="B40" s="57">
        <v>37</v>
      </c>
      <c r="C40" s="64" t="s">
        <v>1276</v>
      </c>
      <c r="D40" s="57" t="s">
        <v>696</v>
      </c>
      <c r="E40" s="56">
        <v>2794</v>
      </c>
      <c r="F40" s="56">
        <v>2801</v>
      </c>
      <c r="G40" s="57">
        <v>74</v>
      </c>
      <c r="H40" s="57">
        <v>161</v>
      </c>
      <c r="I40" s="28">
        <v>7.9</v>
      </c>
      <c r="J40" s="28">
        <v>0.6</v>
      </c>
    </row>
    <row r="41" spans="1:10">
      <c r="A41" s="57">
        <v>37</v>
      </c>
      <c r="B41" s="57">
        <v>39</v>
      </c>
      <c r="C41" s="64" t="s">
        <v>1279</v>
      </c>
      <c r="D41" s="57" t="s">
        <v>1246</v>
      </c>
      <c r="E41" s="56">
        <v>2729</v>
      </c>
      <c r="F41" s="56">
        <v>2362</v>
      </c>
      <c r="G41" s="57">
        <v>165</v>
      </c>
      <c r="H41" s="57">
        <v>143</v>
      </c>
      <c r="I41" s="28">
        <v>13</v>
      </c>
      <c r="J41" s="28">
        <v>13.5</v>
      </c>
    </row>
    <row r="42" spans="1:10">
      <c r="A42" s="57">
        <v>38</v>
      </c>
      <c r="B42" s="57">
        <v>47</v>
      </c>
      <c r="C42" s="64" t="s">
        <v>1288</v>
      </c>
      <c r="D42" s="57" t="s">
        <v>1235</v>
      </c>
      <c r="E42" s="56">
        <v>2726</v>
      </c>
      <c r="F42" s="56">
        <v>2214</v>
      </c>
      <c r="G42" s="57">
        <v>68</v>
      </c>
      <c r="H42" s="57">
        <v>83</v>
      </c>
      <c r="I42" s="28">
        <v>14.4</v>
      </c>
      <c r="J42" s="28">
        <v>14.9</v>
      </c>
    </row>
    <row r="43" spans="1:10">
      <c r="A43" s="57">
        <v>39</v>
      </c>
      <c r="B43" s="57">
        <v>43</v>
      </c>
      <c r="C43" s="64" t="s">
        <v>1284</v>
      </c>
      <c r="D43" s="57" t="s">
        <v>1238</v>
      </c>
      <c r="E43" s="56">
        <v>2714</v>
      </c>
      <c r="F43" s="56">
        <v>2519</v>
      </c>
      <c r="G43" s="57">
        <v>94</v>
      </c>
      <c r="H43" s="57">
        <v>170</v>
      </c>
      <c r="I43" s="28">
        <v>11.4</v>
      </c>
      <c r="J43" s="28">
        <v>12.5</v>
      </c>
    </row>
    <row r="44" spans="1:10">
      <c r="A44" s="57">
        <v>40</v>
      </c>
      <c r="B44" s="57">
        <v>42</v>
      </c>
      <c r="C44" s="64" t="s">
        <v>1280</v>
      </c>
      <c r="D44" s="57" t="s">
        <v>790</v>
      </c>
      <c r="E44" s="56">
        <v>2620</v>
      </c>
      <c r="F44" s="56">
        <v>2454</v>
      </c>
      <c r="G44" s="57">
        <v>158</v>
      </c>
      <c r="H44" s="57">
        <v>205</v>
      </c>
      <c r="I44" s="28">
        <v>16.7</v>
      </c>
      <c r="J44" s="28">
        <v>13.9</v>
      </c>
    </row>
    <row r="45" spans="1:10">
      <c r="A45" s="57">
        <v>41</v>
      </c>
      <c r="B45" s="57">
        <v>35</v>
      </c>
      <c r="C45" s="64" t="s">
        <v>1283</v>
      </c>
      <c r="D45" s="57" t="s">
        <v>1235</v>
      </c>
      <c r="E45" s="56">
        <v>2536</v>
      </c>
      <c r="F45" s="56">
        <v>2508</v>
      </c>
      <c r="G45" s="57">
        <v>174</v>
      </c>
      <c r="H45" s="57">
        <v>-18</v>
      </c>
      <c r="I45" s="28">
        <v>7.5</v>
      </c>
      <c r="J45" s="28">
        <v>8.9</v>
      </c>
    </row>
    <row r="46" spans="1:10">
      <c r="A46" s="57">
        <v>42</v>
      </c>
      <c r="B46" s="57">
        <v>51</v>
      </c>
      <c r="C46" s="64" t="s">
        <v>1260</v>
      </c>
      <c r="D46" s="57" t="s">
        <v>696</v>
      </c>
      <c r="E46" s="56">
        <v>2449</v>
      </c>
      <c r="F46" s="56">
        <v>2359</v>
      </c>
      <c r="G46" s="57">
        <v>11</v>
      </c>
      <c r="H46" s="57">
        <v>68</v>
      </c>
      <c r="I46" s="28">
        <v>7.3</v>
      </c>
      <c r="J46" s="28">
        <v>-1.4</v>
      </c>
    </row>
    <row r="47" spans="1:10">
      <c r="A47" s="57">
        <v>43</v>
      </c>
      <c r="B47" s="57">
        <v>45</v>
      </c>
      <c r="C47" s="64" t="s">
        <v>1883</v>
      </c>
      <c r="D47" s="57" t="s">
        <v>790</v>
      </c>
      <c r="E47" s="56">
        <v>2404</v>
      </c>
      <c r="F47" s="56">
        <v>2094</v>
      </c>
      <c r="G47" s="57">
        <v>75</v>
      </c>
      <c r="H47" s="57">
        <v>63</v>
      </c>
      <c r="I47" s="28">
        <v>14.2</v>
      </c>
      <c r="J47" s="28">
        <v>15.8</v>
      </c>
    </row>
    <row r="48" spans="1:10">
      <c r="A48" s="57">
        <v>44</v>
      </c>
      <c r="B48" s="57">
        <v>59</v>
      </c>
      <c r="C48" s="64" t="s">
        <v>1233</v>
      </c>
      <c r="D48" s="57" t="s">
        <v>1226</v>
      </c>
      <c r="E48" s="56">
        <v>2329</v>
      </c>
      <c r="F48" s="56">
        <v>2083</v>
      </c>
      <c r="G48" s="57">
        <v>109</v>
      </c>
      <c r="H48" s="57">
        <v>318</v>
      </c>
      <c r="I48" s="28">
        <v>13.7</v>
      </c>
      <c r="J48" s="28">
        <v>26.8</v>
      </c>
    </row>
    <row r="49" spans="1:10">
      <c r="A49" s="57">
        <v>45</v>
      </c>
      <c r="B49" s="57">
        <v>46</v>
      </c>
      <c r="C49" s="64" t="s">
        <v>1271</v>
      </c>
      <c r="D49" s="57" t="s">
        <v>790</v>
      </c>
      <c r="E49" s="56">
        <v>2248</v>
      </c>
      <c r="F49" s="56">
        <v>2241</v>
      </c>
      <c r="G49" s="57">
        <v>-46</v>
      </c>
      <c r="H49" s="57">
        <v>-6</v>
      </c>
      <c r="I49" s="28">
        <v>0.5</v>
      </c>
      <c r="J49" s="28">
        <v>1</v>
      </c>
    </row>
    <row r="50" spans="1:10">
      <c r="A50" s="57">
        <v>46</v>
      </c>
      <c r="B50" s="57">
        <v>40</v>
      </c>
      <c r="C50" s="64" t="s">
        <v>1264</v>
      </c>
      <c r="D50" s="57" t="s">
        <v>785</v>
      </c>
      <c r="E50" s="56">
        <v>2238</v>
      </c>
      <c r="F50" s="56">
        <v>2515</v>
      </c>
      <c r="G50" s="57">
        <v>-45</v>
      </c>
      <c r="H50" s="57">
        <v>24</v>
      </c>
      <c r="I50" s="28">
        <v>9</v>
      </c>
      <c r="J50" s="28">
        <v>4.7</v>
      </c>
    </row>
    <row r="51" spans="1:10">
      <c r="A51" s="57">
        <v>47</v>
      </c>
      <c r="B51" s="57">
        <v>49</v>
      </c>
      <c r="C51" s="64" t="s">
        <v>1282</v>
      </c>
      <c r="D51" s="57" t="s">
        <v>1904</v>
      </c>
      <c r="E51" s="56">
        <v>2196</v>
      </c>
      <c r="F51" s="56">
        <v>2020</v>
      </c>
      <c r="G51" s="57">
        <v>33</v>
      </c>
      <c r="H51" s="57">
        <v>32</v>
      </c>
      <c r="I51" s="28">
        <v>10</v>
      </c>
      <c r="J51" s="28">
        <v>10.4</v>
      </c>
    </row>
    <row r="52" spans="1:10" ht="17.25">
      <c r="A52" s="57">
        <v>48</v>
      </c>
      <c r="B52" s="57" t="s">
        <v>1870</v>
      </c>
      <c r="C52" s="64" t="s">
        <v>1920</v>
      </c>
      <c r="D52" s="57" t="s">
        <v>1905</v>
      </c>
      <c r="E52" s="56">
        <v>2190</v>
      </c>
      <c r="F52" s="56">
        <v>1729</v>
      </c>
      <c r="G52" s="57">
        <v>345</v>
      </c>
      <c r="H52" s="57">
        <v>320</v>
      </c>
      <c r="I52" s="28">
        <v>21.9</v>
      </c>
      <c r="J52" s="28">
        <v>25.3</v>
      </c>
    </row>
    <row r="53" spans="1:10">
      <c r="A53" s="57">
        <v>49</v>
      </c>
      <c r="B53" s="57">
        <v>52</v>
      </c>
      <c r="C53" s="64" t="s">
        <v>1285</v>
      </c>
      <c r="D53" s="57" t="s">
        <v>1244</v>
      </c>
      <c r="E53" s="56">
        <v>2158</v>
      </c>
      <c r="F53" s="56">
        <v>2075</v>
      </c>
      <c r="G53" s="57">
        <v>294</v>
      </c>
      <c r="H53" s="57">
        <v>335</v>
      </c>
      <c r="I53" s="28">
        <v>28.5</v>
      </c>
      <c r="J53" s="28">
        <v>28.5</v>
      </c>
    </row>
    <row r="54" spans="1:10">
      <c r="A54" s="57">
        <v>50</v>
      </c>
      <c r="B54" s="57">
        <v>56</v>
      </c>
      <c r="C54" s="64" t="s">
        <v>1231</v>
      </c>
      <c r="D54" s="57" t="s">
        <v>1232</v>
      </c>
      <c r="E54" s="56">
        <v>2067</v>
      </c>
      <c r="F54" s="56">
        <v>1839</v>
      </c>
      <c r="G54" s="57">
        <v>273</v>
      </c>
      <c r="H54" s="57">
        <v>280</v>
      </c>
      <c r="I54" s="28">
        <v>26.3</v>
      </c>
      <c r="J54" s="28">
        <v>18.8</v>
      </c>
    </row>
    <row r="55" spans="1:10">
      <c r="A55" s="57">
        <v>51</v>
      </c>
      <c r="B55" s="57">
        <v>61</v>
      </c>
      <c r="C55" s="64" t="s">
        <v>1884</v>
      </c>
      <c r="D55" s="57" t="s">
        <v>790</v>
      </c>
      <c r="E55" s="56">
        <v>1928</v>
      </c>
      <c r="F55" s="56">
        <v>1373</v>
      </c>
      <c r="G55" s="57">
        <v>40</v>
      </c>
      <c r="H55" s="57">
        <v>74</v>
      </c>
      <c r="I55" s="28">
        <v>10</v>
      </c>
      <c r="J55" s="28">
        <v>14</v>
      </c>
    </row>
    <row r="56" spans="1:10">
      <c r="A56" s="57">
        <v>52</v>
      </c>
      <c r="B56" s="57">
        <v>44</v>
      </c>
      <c r="C56" s="64" t="s">
        <v>1277</v>
      </c>
      <c r="D56" s="57" t="s">
        <v>1232</v>
      </c>
      <c r="E56" s="56">
        <v>1895</v>
      </c>
      <c r="F56" s="56">
        <v>1804</v>
      </c>
      <c r="G56" s="57">
        <v>-81</v>
      </c>
      <c r="H56" s="57">
        <v>-98</v>
      </c>
      <c r="I56" s="28">
        <v>5.4</v>
      </c>
      <c r="J56" s="28">
        <v>0.1</v>
      </c>
    </row>
    <row r="57" spans="1:10">
      <c r="A57" s="57">
        <v>53</v>
      </c>
      <c r="B57" s="57">
        <v>54</v>
      </c>
      <c r="C57" s="64" t="s">
        <v>1278</v>
      </c>
      <c r="D57" s="57" t="s">
        <v>790</v>
      </c>
      <c r="E57" s="56">
        <v>1822</v>
      </c>
      <c r="F57" s="56">
        <v>1891</v>
      </c>
      <c r="G57" s="57">
        <v>5</v>
      </c>
      <c r="H57" s="57">
        <v>17</v>
      </c>
      <c r="I57" s="28">
        <v>3.1</v>
      </c>
      <c r="J57" s="28">
        <v>3.2</v>
      </c>
    </row>
    <row r="58" spans="1:10">
      <c r="A58" s="57">
        <v>54</v>
      </c>
      <c r="B58" s="57">
        <v>62</v>
      </c>
      <c r="C58" s="64" t="s">
        <v>1885</v>
      </c>
      <c r="D58" s="57" t="s">
        <v>1238</v>
      </c>
      <c r="E58" s="56">
        <v>1803</v>
      </c>
      <c r="F58" s="56">
        <v>1428</v>
      </c>
      <c r="G58" s="57">
        <v>237</v>
      </c>
      <c r="H58" s="57">
        <v>236</v>
      </c>
      <c r="I58" s="28">
        <v>18</v>
      </c>
      <c r="J58" s="28">
        <v>7.4</v>
      </c>
    </row>
    <row r="59" spans="1:10">
      <c r="A59" s="57">
        <v>55</v>
      </c>
      <c r="B59" s="57">
        <v>63</v>
      </c>
      <c r="C59" s="64" t="s">
        <v>1286</v>
      </c>
      <c r="D59" s="57" t="s">
        <v>1236</v>
      </c>
      <c r="E59" s="56">
        <v>1799</v>
      </c>
      <c r="F59" s="56">
        <v>1633</v>
      </c>
      <c r="G59" s="57">
        <v>109</v>
      </c>
      <c r="H59" s="57">
        <v>110</v>
      </c>
      <c r="I59" s="28">
        <v>16.100000000000001</v>
      </c>
      <c r="J59" s="28">
        <v>5.3</v>
      </c>
    </row>
    <row r="60" spans="1:10">
      <c r="A60" s="57">
        <v>56</v>
      </c>
      <c r="B60" s="57">
        <v>89</v>
      </c>
      <c r="C60" s="64" t="s">
        <v>1886</v>
      </c>
      <c r="D60" s="57" t="s">
        <v>1226</v>
      </c>
      <c r="E60" s="56">
        <v>1779</v>
      </c>
      <c r="F60" s="56">
        <v>1559</v>
      </c>
      <c r="G60" s="57">
        <v>225</v>
      </c>
      <c r="H60" s="57">
        <v>266</v>
      </c>
      <c r="I60" s="28">
        <v>33.9</v>
      </c>
      <c r="J60" s="28">
        <v>21.9</v>
      </c>
    </row>
    <row r="61" spans="1:10">
      <c r="A61" s="57">
        <v>57</v>
      </c>
      <c r="B61" s="57">
        <v>57</v>
      </c>
      <c r="C61" s="64" t="s">
        <v>1887</v>
      </c>
      <c r="D61" s="57" t="s">
        <v>696</v>
      </c>
      <c r="E61" s="56">
        <v>1763</v>
      </c>
      <c r="F61" s="56">
        <v>1822</v>
      </c>
      <c r="G61" s="57">
        <v>-3</v>
      </c>
      <c r="H61" s="57">
        <v>50</v>
      </c>
      <c r="I61" s="28">
        <v>5.4</v>
      </c>
      <c r="J61" s="28">
        <v>-5.6</v>
      </c>
    </row>
    <row r="62" spans="1:10">
      <c r="A62" s="57">
        <v>58</v>
      </c>
      <c r="B62" s="57">
        <v>60</v>
      </c>
      <c r="C62" s="64" t="s">
        <v>1888</v>
      </c>
      <c r="D62" s="57" t="s">
        <v>790</v>
      </c>
      <c r="E62" s="56">
        <v>1723</v>
      </c>
      <c r="F62" s="56">
        <v>1605</v>
      </c>
      <c r="G62" s="57">
        <v>-137</v>
      </c>
      <c r="H62" s="57">
        <v>-131</v>
      </c>
      <c r="I62" s="28">
        <v>8.1999999999999993</v>
      </c>
      <c r="J62" s="28">
        <v>-0.2</v>
      </c>
    </row>
    <row r="63" spans="1:10">
      <c r="A63" s="57">
        <v>59</v>
      </c>
      <c r="B63" s="57">
        <v>58</v>
      </c>
      <c r="C63" s="64" t="s">
        <v>1239</v>
      </c>
      <c r="D63" s="57" t="s">
        <v>1235</v>
      </c>
      <c r="E63" s="56">
        <v>1713</v>
      </c>
      <c r="F63" s="56">
        <v>1556</v>
      </c>
      <c r="G63" s="57">
        <v>40</v>
      </c>
      <c r="H63" s="57">
        <v>36</v>
      </c>
      <c r="I63" s="28">
        <v>8.6999999999999993</v>
      </c>
      <c r="J63" s="28">
        <v>7.8</v>
      </c>
    </row>
    <row r="64" spans="1:10">
      <c r="A64" s="57">
        <v>60</v>
      </c>
      <c r="B64" s="57">
        <v>55</v>
      </c>
      <c r="C64" s="64" t="s">
        <v>1234</v>
      </c>
      <c r="D64" s="57" t="s">
        <v>1235</v>
      </c>
      <c r="E64" s="56">
        <v>1702</v>
      </c>
      <c r="F64" s="56">
        <v>1609</v>
      </c>
      <c r="G64" s="57">
        <v>17</v>
      </c>
      <c r="H64" s="57">
        <v>6</v>
      </c>
      <c r="I64" s="28">
        <v>6.3</v>
      </c>
      <c r="J64" s="28">
        <v>4.3</v>
      </c>
    </row>
    <row r="65" spans="1:10">
      <c r="A65" s="57">
        <v>61</v>
      </c>
      <c r="B65" s="57">
        <v>65</v>
      </c>
      <c r="C65" s="64" t="s">
        <v>1290</v>
      </c>
      <c r="D65" s="57" t="s">
        <v>790</v>
      </c>
      <c r="E65" s="56">
        <v>1603</v>
      </c>
      <c r="F65" s="56">
        <v>1455</v>
      </c>
      <c r="G65" s="57">
        <v>43</v>
      </c>
      <c r="H65" s="57">
        <v>54</v>
      </c>
      <c r="I65" s="28">
        <v>17.2</v>
      </c>
      <c r="J65" s="28">
        <v>17.3</v>
      </c>
    </row>
    <row r="66" spans="1:10">
      <c r="A66" s="57">
        <v>62</v>
      </c>
      <c r="B66" s="57">
        <v>66</v>
      </c>
      <c r="C66" s="64" t="s">
        <v>1287</v>
      </c>
      <c r="D66" s="57" t="s">
        <v>1237</v>
      </c>
      <c r="E66" s="56">
        <v>1592</v>
      </c>
      <c r="F66" s="56">
        <v>1544</v>
      </c>
      <c r="G66" s="57">
        <v>67</v>
      </c>
      <c r="H66" s="57">
        <v>46</v>
      </c>
      <c r="I66" s="28">
        <v>6.7</v>
      </c>
      <c r="J66" s="28">
        <v>5.6</v>
      </c>
    </row>
    <row r="67" spans="1:10">
      <c r="A67" s="57">
        <v>63</v>
      </c>
      <c r="B67" s="57">
        <v>70</v>
      </c>
      <c r="C67" s="64" t="s">
        <v>1889</v>
      </c>
      <c r="D67" s="57" t="s">
        <v>1227</v>
      </c>
      <c r="E67" s="56">
        <v>1563</v>
      </c>
      <c r="F67" s="56">
        <v>1350</v>
      </c>
      <c r="G67" s="57">
        <v>-5</v>
      </c>
      <c r="H67" s="57">
        <v>25</v>
      </c>
      <c r="I67" s="28">
        <v>11.2</v>
      </c>
      <c r="J67" s="28">
        <v>14</v>
      </c>
    </row>
    <row r="68" spans="1:10">
      <c r="A68" s="57">
        <v>64</v>
      </c>
      <c r="B68" s="57">
        <v>78</v>
      </c>
      <c r="C68" s="64" t="s">
        <v>1292</v>
      </c>
      <c r="D68" s="57" t="s">
        <v>1237</v>
      </c>
      <c r="E68" s="56">
        <v>1493</v>
      </c>
      <c r="F68" s="56">
        <v>1229</v>
      </c>
      <c r="G68" s="57">
        <v>31</v>
      </c>
      <c r="H68" s="57">
        <v>50</v>
      </c>
      <c r="I68" s="28">
        <v>7.3</v>
      </c>
      <c r="J68" s="28">
        <v>9</v>
      </c>
    </row>
    <row r="69" spans="1:10">
      <c r="A69" s="57">
        <v>65</v>
      </c>
      <c r="B69" s="57">
        <v>68</v>
      </c>
      <c r="C69" s="64" t="s">
        <v>1240</v>
      </c>
      <c r="D69" s="57" t="s">
        <v>790</v>
      </c>
      <c r="E69" s="56">
        <v>1489</v>
      </c>
      <c r="F69" s="56">
        <v>1315</v>
      </c>
      <c r="G69" s="57">
        <v>276</v>
      </c>
      <c r="H69" s="57">
        <v>218</v>
      </c>
      <c r="I69" s="28">
        <v>33</v>
      </c>
      <c r="J69" s="28">
        <v>32.299999999999997</v>
      </c>
    </row>
    <row r="70" spans="1:10">
      <c r="A70" s="57">
        <v>66</v>
      </c>
      <c r="B70" s="57">
        <v>82</v>
      </c>
      <c r="C70" s="64" t="s">
        <v>1890</v>
      </c>
      <c r="D70" s="57" t="s">
        <v>1238</v>
      </c>
      <c r="E70" s="56">
        <v>1450</v>
      </c>
      <c r="F70" s="56">
        <v>1042</v>
      </c>
      <c r="G70" s="57">
        <v>13</v>
      </c>
      <c r="H70" s="57">
        <v>14</v>
      </c>
      <c r="I70" s="28">
        <v>14.4</v>
      </c>
      <c r="J70" s="28">
        <v>16.2</v>
      </c>
    </row>
    <row r="71" spans="1:10">
      <c r="A71" s="57">
        <v>67</v>
      </c>
      <c r="B71" s="57">
        <v>75</v>
      </c>
      <c r="C71" s="64" t="s">
        <v>1241</v>
      </c>
      <c r="D71" s="57" t="s">
        <v>789</v>
      </c>
      <c r="E71" s="56">
        <v>1441</v>
      </c>
      <c r="F71" s="56">
        <v>1228</v>
      </c>
      <c r="G71" s="57">
        <v>105</v>
      </c>
      <c r="H71" s="57">
        <v>98</v>
      </c>
      <c r="I71" s="28">
        <v>17</v>
      </c>
      <c r="J71" s="28">
        <v>10.1</v>
      </c>
    </row>
    <row r="72" spans="1:10">
      <c r="A72" s="57">
        <v>68</v>
      </c>
      <c r="B72" s="57">
        <v>76</v>
      </c>
      <c r="C72" s="64" t="s">
        <v>1891</v>
      </c>
      <c r="D72" s="57" t="s">
        <v>791</v>
      </c>
      <c r="E72" s="56">
        <v>1439</v>
      </c>
      <c r="F72" s="56">
        <v>1169</v>
      </c>
      <c r="G72" s="57">
        <v>-15</v>
      </c>
      <c r="H72" s="57">
        <v>27</v>
      </c>
      <c r="I72" s="28">
        <v>3</v>
      </c>
      <c r="J72" s="28">
        <v>4.2</v>
      </c>
    </row>
    <row r="73" spans="1:10">
      <c r="A73" s="57">
        <v>69</v>
      </c>
      <c r="B73" s="57">
        <v>90</v>
      </c>
      <c r="C73" s="64" t="s">
        <v>1892</v>
      </c>
      <c r="D73" s="57" t="s">
        <v>1246</v>
      </c>
      <c r="E73" s="56">
        <v>1415</v>
      </c>
      <c r="F73" s="57">
        <v>710</v>
      </c>
      <c r="G73" s="57">
        <v>71</v>
      </c>
      <c r="H73" s="57">
        <v>9</v>
      </c>
      <c r="I73" s="28">
        <v>7.8</v>
      </c>
      <c r="J73" s="28">
        <v>24.6</v>
      </c>
    </row>
    <row r="74" spans="1:10">
      <c r="A74" s="57">
        <v>70</v>
      </c>
      <c r="B74" s="57">
        <v>72</v>
      </c>
      <c r="C74" s="64" t="s">
        <v>1229</v>
      </c>
      <c r="D74" s="57" t="s">
        <v>790</v>
      </c>
      <c r="E74" s="56">
        <v>1357</v>
      </c>
      <c r="F74" s="56">
        <v>1384</v>
      </c>
      <c r="G74" s="57">
        <v>-181</v>
      </c>
      <c r="H74" s="57">
        <v>-39</v>
      </c>
      <c r="I74" s="28">
        <v>-4.5</v>
      </c>
      <c r="J74" s="28">
        <v>3.6</v>
      </c>
    </row>
    <row r="75" spans="1:10">
      <c r="A75" s="57">
        <v>71</v>
      </c>
      <c r="B75" s="57">
        <v>69</v>
      </c>
      <c r="C75" s="64" t="s">
        <v>1291</v>
      </c>
      <c r="D75" s="57" t="s">
        <v>789</v>
      </c>
      <c r="E75" s="56">
        <v>1355</v>
      </c>
      <c r="F75" s="56">
        <v>1195</v>
      </c>
      <c r="G75" s="56">
        <v>1011</v>
      </c>
      <c r="H75" s="56">
        <v>1895</v>
      </c>
      <c r="I75" s="28">
        <v>16.8</v>
      </c>
      <c r="J75" s="28">
        <v>16.5</v>
      </c>
    </row>
    <row r="76" spans="1:10">
      <c r="A76" s="57">
        <v>72</v>
      </c>
      <c r="B76" s="57">
        <v>83</v>
      </c>
      <c r="C76" s="64" t="s">
        <v>1893</v>
      </c>
      <c r="D76" s="57" t="s">
        <v>791</v>
      </c>
      <c r="E76" s="56">
        <v>1340</v>
      </c>
      <c r="F76" s="56">
        <v>1177</v>
      </c>
      <c r="G76" s="57">
        <v>77</v>
      </c>
      <c r="H76" s="57">
        <v>93</v>
      </c>
      <c r="I76" s="28">
        <v>16.7</v>
      </c>
      <c r="J76" s="28">
        <v>15.6</v>
      </c>
    </row>
    <row r="77" spans="1:10" ht="17.25">
      <c r="A77" s="57">
        <v>73</v>
      </c>
      <c r="B77" s="57" t="s">
        <v>1870</v>
      </c>
      <c r="C77" s="64" t="s">
        <v>1919</v>
      </c>
      <c r="D77" s="57" t="s">
        <v>1245</v>
      </c>
      <c r="E77" s="56">
        <v>1321</v>
      </c>
      <c r="F77" s="56">
        <v>1071</v>
      </c>
      <c r="G77" s="57">
        <v>57</v>
      </c>
      <c r="H77" s="57">
        <v>35</v>
      </c>
      <c r="I77" s="28">
        <v>12.6</v>
      </c>
      <c r="J77" s="28">
        <v>8.8000000000000007</v>
      </c>
    </row>
    <row r="78" spans="1:10">
      <c r="A78" s="57">
        <v>74</v>
      </c>
      <c r="B78" s="57">
        <v>67</v>
      </c>
      <c r="C78" s="64" t="s">
        <v>1294</v>
      </c>
      <c r="D78" s="57" t="s">
        <v>1235</v>
      </c>
      <c r="E78" s="56">
        <v>1304</v>
      </c>
      <c r="F78" s="56">
        <v>1146</v>
      </c>
      <c r="G78" s="57">
        <v>4</v>
      </c>
      <c r="H78" s="57">
        <v>0</v>
      </c>
      <c r="I78" s="28">
        <v>12.5</v>
      </c>
      <c r="J78" s="28">
        <v>13.4</v>
      </c>
    </row>
    <row r="79" spans="1:10">
      <c r="A79" s="57">
        <v>75</v>
      </c>
      <c r="B79" s="57">
        <v>71</v>
      </c>
      <c r="C79" s="64" t="s">
        <v>1230</v>
      </c>
      <c r="D79" s="57" t="s">
        <v>696</v>
      </c>
      <c r="E79" s="56">
        <v>1276</v>
      </c>
      <c r="F79" s="56">
        <v>1193</v>
      </c>
      <c r="G79" s="57">
        <v>-985</v>
      </c>
      <c r="H79" s="57">
        <v>-385</v>
      </c>
      <c r="I79" s="28">
        <v>-62</v>
      </c>
      <c r="J79" s="28">
        <v>-17.399999999999999</v>
      </c>
    </row>
    <row r="80" spans="1:10">
      <c r="A80" s="57">
        <v>76</v>
      </c>
      <c r="B80" s="57">
        <v>80</v>
      </c>
      <c r="C80" s="64" t="s">
        <v>1293</v>
      </c>
      <c r="D80" s="57" t="s">
        <v>696</v>
      </c>
      <c r="E80" s="56">
        <v>1238</v>
      </c>
      <c r="F80" s="56">
        <v>1195</v>
      </c>
      <c r="G80" s="57">
        <v>70</v>
      </c>
      <c r="H80" s="57">
        <v>114</v>
      </c>
      <c r="I80" s="28">
        <v>18.7</v>
      </c>
      <c r="J80" s="28">
        <v>4.7</v>
      </c>
    </row>
    <row r="81" spans="1:10" ht="17.25">
      <c r="A81" s="57">
        <v>77</v>
      </c>
      <c r="B81" s="57" t="s">
        <v>1870</v>
      </c>
      <c r="C81" s="64" t="s">
        <v>1917</v>
      </c>
      <c r="D81" s="57" t="s">
        <v>1245</v>
      </c>
      <c r="E81" s="56">
        <v>1149</v>
      </c>
      <c r="F81" s="56">
        <v>1103</v>
      </c>
      <c r="G81" s="57">
        <v>57</v>
      </c>
      <c r="H81" s="57">
        <v>86</v>
      </c>
      <c r="I81" s="28">
        <v>14.6</v>
      </c>
      <c r="J81" s="28">
        <v>-3.2</v>
      </c>
    </row>
    <row r="82" spans="1:10" ht="17.25">
      <c r="A82" s="57">
        <v>78</v>
      </c>
      <c r="B82" s="57">
        <v>73</v>
      </c>
      <c r="C82" s="64" t="s">
        <v>1918</v>
      </c>
      <c r="D82" s="57" t="s">
        <v>1272</v>
      </c>
      <c r="E82" s="56">
        <v>1042</v>
      </c>
      <c r="F82" s="56">
        <v>1273</v>
      </c>
      <c r="G82" s="57">
        <v>83</v>
      </c>
      <c r="H82" s="57">
        <v>62</v>
      </c>
      <c r="I82" s="28">
        <v>13</v>
      </c>
      <c r="J82" s="28">
        <v>3.8</v>
      </c>
    </row>
    <row r="83" spans="1:10">
      <c r="A83" s="57">
        <v>79</v>
      </c>
      <c r="B83" s="57">
        <v>79</v>
      </c>
      <c r="C83" s="64" t="s">
        <v>1297</v>
      </c>
      <c r="D83" s="57" t="s">
        <v>1235</v>
      </c>
      <c r="E83" s="56">
        <v>1037</v>
      </c>
      <c r="F83" s="57">
        <v>931</v>
      </c>
      <c r="G83" s="57">
        <v>34</v>
      </c>
      <c r="H83" s="57">
        <v>35</v>
      </c>
      <c r="I83" s="28">
        <v>8</v>
      </c>
      <c r="J83" s="28">
        <v>8.5</v>
      </c>
    </row>
    <row r="84" spans="1:10">
      <c r="A84" s="57">
        <v>80</v>
      </c>
      <c r="B84" s="57">
        <v>85</v>
      </c>
      <c r="C84" s="64" t="s">
        <v>1242</v>
      </c>
      <c r="D84" s="57" t="s">
        <v>789</v>
      </c>
      <c r="E84" s="56">
        <v>1037</v>
      </c>
      <c r="F84" s="57">
        <v>967</v>
      </c>
      <c r="G84" s="57">
        <v>139</v>
      </c>
      <c r="H84" s="57">
        <v>286</v>
      </c>
      <c r="I84" s="28">
        <v>23.1</v>
      </c>
      <c r="J84" s="28">
        <v>13.8</v>
      </c>
    </row>
    <row r="85" spans="1:10">
      <c r="A85" s="57">
        <v>81</v>
      </c>
      <c r="B85" s="57">
        <v>74</v>
      </c>
      <c r="C85" s="64" t="s">
        <v>1289</v>
      </c>
      <c r="D85" s="57" t="s">
        <v>790</v>
      </c>
      <c r="E85" s="56">
        <v>1035</v>
      </c>
      <c r="F85" s="56">
        <v>1056</v>
      </c>
      <c r="G85" s="57">
        <v>-22</v>
      </c>
      <c r="H85" s="57">
        <v>37</v>
      </c>
      <c r="I85" s="28">
        <v>2.9</v>
      </c>
      <c r="J85" s="28">
        <v>9.5</v>
      </c>
    </row>
    <row r="86" spans="1:10">
      <c r="A86" s="57">
        <v>82</v>
      </c>
      <c r="B86" s="57">
        <v>77</v>
      </c>
      <c r="C86" s="64" t="s">
        <v>1894</v>
      </c>
      <c r="D86" s="57" t="s">
        <v>1243</v>
      </c>
      <c r="E86" s="56">
        <v>1017</v>
      </c>
      <c r="F86" s="56">
        <v>1017</v>
      </c>
      <c r="G86" s="57">
        <v>69</v>
      </c>
      <c r="H86" s="57">
        <v>72</v>
      </c>
      <c r="I86" s="28">
        <v>9.9</v>
      </c>
      <c r="J86" s="28">
        <v>17.5</v>
      </c>
    </row>
    <row r="87" spans="1:10">
      <c r="A87" s="57">
        <v>83</v>
      </c>
      <c r="B87" s="57">
        <v>93</v>
      </c>
      <c r="C87" s="64" t="s">
        <v>1895</v>
      </c>
      <c r="D87" s="57" t="s">
        <v>696</v>
      </c>
      <c r="E87" s="57">
        <v>965</v>
      </c>
      <c r="F87" s="57">
        <v>892</v>
      </c>
      <c r="G87" s="57">
        <v>-11</v>
      </c>
      <c r="H87" s="57">
        <v>17</v>
      </c>
      <c r="I87" s="28">
        <v>6.5</v>
      </c>
      <c r="J87" s="28">
        <v>16.8</v>
      </c>
    </row>
    <row r="88" spans="1:10">
      <c r="A88" s="57">
        <v>84</v>
      </c>
      <c r="B88" s="57">
        <v>95</v>
      </c>
      <c r="C88" s="64" t="s">
        <v>1896</v>
      </c>
      <c r="D88" s="57" t="s">
        <v>790</v>
      </c>
      <c r="E88" s="57">
        <v>906</v>
      </c>
      <c r="F88" s="57">
        <v>783</v>
      </c>
      <c r="G88" s="57">
        <v>124</v>
      </c>
      <c r="H88" s="57">
        <v>65</v>
      </c>
      <c r="I88" s="28">
        <v>17.399999999999999</v>
      </c>
      <c r="J88" s="28">
        <v>14.5</v>
      </c>
    </row>
    <row r="89" spans="1:10">
      <c r="A89" s="57">
        <v>85</v>
      </c>
      <c r="B89" s="57">
        <v>88</v>
      </c>
      <c r="C89" s="64" t="s">
        <v>1296</v>
      </c>
      <c r="D89" s="57" t="s">
        <v>790</v>
      </c>
      <c r="E89" s="57">
        <v>905</v>
      </c>
      <c r="F89" s="57">
        <v>756</v>
      </c>
      <c r="G89" s="57">
        <v>124</v>
      </c>
      <c r="H89" s="57">
        <v>115</v>
      </c>
      <c r="I89" s="28">
        <v>20.100000000000001</v>
      </c>
      <c r="J89" s="28">
        <v>25.8</v>
      </c>
    </row>
    <row r="90" spans="1:10" ht="17.25">
      <c r="A90" s="57">
        <v>86</v>
      </c>
      <c r="B90" s="57" t="s">
        <v>1870</v>
      </c>
      <c r="C90" s="64" t="s">
        <v>1915</v>
      </c>
      <c r="D90" s="57" t="s">
        <v>1227</v>
      </c>
      <c r="E90" s="57">
        <v>900</v>
      </c>
      <c r="F90" s="57">
        <v>578</v>
      </c>
      <c r="G90" s="57">
        <v>-9</v>
      </c>
      <c r="H90" s="57">
        <v>41</v>
      </c>
      <c r="I90" s="28">
        <v>19.399999999999999</v>
      </c>
      <c r="J90" s="28">
        <v>12.1</v>
      </c>
    </row>
    <row r="91" spans="1:10" ht="17.25">
      <c r="A91" s="57">
        <v>87</v>
      </c>
      <c r="B91" s="57" t="s">
        <v>1870</v>
      </c>
      <c r="C91" s="64" t="s">
        <v>1916</v>
      </c>
      <c r="D91" s="57" t="s">
        <v>787</v>
      </c>
      <c r="E91" s="57">
        <v>893</v>
      </c>
      <c r="F91" s="57">
        <v>803</v>
      </c>
      <c r="G91" s="57">
        <v>25</v>
      </c>
      <c r="H91" s="57">
        <v>25</v>
      </c>
      <c r="I91" s="28">
        <v>8.3000000000000007</v>
      </c>
      <c r="J91" s="28">
        <v>8.1999999999999993</v>
      </c>
    </row>
    <row r="92" spans="1:10">
      <c r="A92" s="57">
        <v>88</v>
      </c>
      <c r="B92" s="57">
        <v>84</v>
      </c>
      <c r="C92" s="64" t="s">
        <v>1897</v>
      </c>
      <c r="D92" s="57" t="s">
        <v>790</v>
      </c>
      <c r="E92" s="57">
        <v>866</v>
      </c>
      <c r="F92" s="57">
        <v>854</v>
      </c>
      <c r="G92" s="57">
        <v>-16</v>
      </c>
      <c r="H92" s="57">
        <v>213</v>
      </c>
      <c r="I92" s="28">
        <v>18.7</v>
      </c>
      <c r="J92" s="28">
        <v>12.8</v>
      </c>
    </row>
    <row r="93" spans="1:10">
      <c r="A93" s="57">
        <v>89</v>
      </c>
      <c r="B93" s="57">
        <v>103</v>
      </c>
      <c r="C93" s="64" t="s">
        <v>1295</v>
      </c>
      <c r="D93" s="57" t="s">
        <v>696</v>
      </c>
      <c r="E93" s="57">
        <v>863</v>
      </c>
      <c r="F93" s="57">
        <v>648</v>
      </c>
      <c r="G93" s="57">
        <v>24</v>
      </c>
      <c r="H93" s="57">
        <v>27</v>
      </c>
      <c r="I93" s="28">
        <v>6.9</v>
      </c>
      <c r="J93" s="28">
        <v>-4.4000000000000004</v>
      </c>
    </row>
    <row r="94" spans="1:10">
      <c r="A94" s="57">
        <v>90</v>
      </c>
      <c r="B94" s="57">
        <v>81</v>
      </c>
      <c r="C94" s="64" t="s">
        <v>1898</v>
      </c>
      <c r="D94" s="57" t="s">
        <v>790</v>
      </c>
      <c r="E94" s="57">
        <v>857</v>
      </c>
      <c r="F94" s="57">
        <v>850</v>
      </c>
      <c r="G94" s="57">
        <v>-2</v>
      </c>
      <c r="H94" s="57">
        <v>-32</v>
      </c>
      <c r="I94" s="28">
        <v>7</v>
      </c>
      <c r="J94" s="28">
        <v>10.4</v>
      </c>
    </row>
    <row r="95" spans="1:10">
      <c r="A95" s="57">
        <v>91</v>
      </c>
      <c r="B95" s="57">
        <v>92</v>
      </c>
      <c r="C95" s="64" t="s">
        <v>1247</v>
      </c>
      <c r="D95" s="57" t="s">
        <v>790</v>
      </c>
      <c r="E95" s="57">
        <v>816</v>
      </c>
      <c r="F95" s="57">
        <v>740</v>
      </c>
      <c r="G95" s="57">
        <v>93</v>
      </c>
      <c r="H95" s="57">
        <v>65</v>
      </c>
      <c r="I95" s="28">
        <v>19.899999999999999</v>
      </c>
      <c r="J95" s="28">
        <v>20.2</v>
      </c>
    </row>
    <row r="96" spans="1:10">
      <c r="A96" s="57">
        <v>92</v>
      </c>
      <c r="B96" s="57">
        <v>97</v>
      </c>
      <c r="C96" s="64" t="s">
        <v>1907</v>
      </c>
      <c r="D96" s="57" t="s">
        <v>1249</v>
      </c>
      <c r="E96" s="57">
        <v>804</v>
      </c>
      <c r="F96" s="57">
        <v>853</v>
      </c>
      <c r="G96" s="57">
        <v>38</v>
      </c>
      <c r="H96" s="57">
        <v>154</v>
      </c>
      <c r="I96" s="28">
        <v>19.3</v>
      </c>
      <c r="J96" s="28">
        <v>8.3000000000000007</v>
      </c>
    </row>
    <row r="97" spans="1:10">
      <c r="A97" s="57">
        <v>93</v>
      </c>
      <c r="B97" s="57">
        <v>106</v>
      </c>
      <c r="C97" s="64" t="s">
        <v>1248</v>
      </c>
      <c r="D97" s="57" t="s">
        <v>696</v>
      </c>
      <c r="E97" s="57">
        <v>767</v>
      </c>
      <c r="F97" s="57">
        <v>607</v>
      </c>
      <c r="G97" s="57">
        <v>-14</v>
      </c>
      <c r="H97" s="57">
        <v>-4</v>
      </c>
      <c r="I97" s="28">
        <v>2.9</v>
      </c>
      <c r="J97" s="28">
        <v>0</v>
      </c>
    </row>
    <row r="98" spans="1:10">
      <c r="A98" s="57">
        <v>94</v>
      </c>
      <c r="B98" s="57">
        <v>104</v>
      </c>
      <c r="C98" s="64" t="s">
        <v>1899</v>
      </c>
      <c r="D98" s="57" t="s">
        <v>1906</v>
      </c>
      <c r="E98" s="57">
        <v>729</v>
      </c>
      <c r="F98" s="57">
        <v>598</v>
      </c>
      <c r="G98" s="57">
        <v>46</v>
      </c>
      <c r="H98" s="57">
        <v>28</v>
      </c>
      <c r="I98" s="28">
        <v>12.8</v>
      </c>
      <c r="J98" s="28">
        <v>3</v>
      </c>
    </row>
    <row r="99" spans="1:10" ht="17.25">
      <c r="A99" s="57">
        <v>95</v>
      </c>
      <c r="B99" s="57" t="s">
        <v>1870</v>
      </c>
      <c r="C99" s="64" t="s">
        <v>1914</v>
      </c>
      <c r="D99" s="57" t="s">
        <v>788</v>
      </c>
      <c r="E99" s="57">
        <v>706</v>
      </c>
      <c r="F99" s="57">
        <v>669</v>
      </c>
      <c r="G99" s="57">
        <v>-4</v>
      </c>
      <c r="H99" s="57">
        <v>2</v>
      </c>
      <c r="I99" s="28">
        <v>5.9</v>
      </c>
      <c r="J99" s="28">
        <v>5</v>
      </c>
    </row>
    <row r="100" spans="1:10">
      <c r="A100" s="57">
        <v>96</v>
      </c>
      <c r="B100" s="57">
        <v>99</v>
      </c>
      <c r="C100" s="64" t="s">
        <v>1900</v>
      </c>
      <c r="D100" s="57" t="s">
        <v>789</v>
      </c>
      <c r="E100" s="57">
        <v>690</v>
      </c>
      <c r="F100" s="57">
        <v>646</v>
      </c>
      <c r="G100" s="57">
        <v>-9</v>
      </c>
      <c r="H100" s="57">
        <v>9</v>
      </c>
      <c r="I100" s="28">
        <v>1.9</v>
      </c>
      <c r="J100" s="28">
        <v>-3.6</v>
      </c>
    </row>
    <row r="101" spans="1:10">
      <c r="A101" s="57">
        <v>97</v>
      </c>
      <c r="B101" s="57">
        <v>98</v>
      </c>
      <c r="C101" s="64" t="s">
        <v>1901</v>
      </c>
      <c r="D101" s="57" t="s">
        <v>1232</v>
      </c>
      <c r="E101" s="57">
        <v>689</v>
      </c>
      <c r="F101" s="57">
        <v>606</v>
      </c>
      <c r="G101" s="57">
        <v>35</v>
      </c>
      <c r="H101" s="57">
        <v>27</v>
      </c>
      <c r="I101" s="28">
        <v>14.6</v>
      </c>
      <c r="J101" s="28">
        <v>8.9</v>
      </c>
    </row>
    <row r="102" spans="1:10">
      <c r="A102" s="57">
        <v>98</v>
      </c>
      <c r="B102" s="57">
        <v>91</v>
      </c>
      <c r="C102" s="64" t="s">
        <v>1902</v>
      </c>
      <c r="D102" s="57" t="s">
        <v>786</v>
      </c>
      <c r="E102" s="57">
        <v>664</v>
      </c>
      <c r="F102" s="57">
        <v>713</v>
      </c>
      <c r="G102" s="57">
        <v>4</v>
      </c>
      <c r="H102" s="57">
        <v>4</v>
      </c>
      <c r="I102" s="28">
        <v>5.4</v>
      </c>
      <c r="J102" s="28">
        <v>7</v>
      </c>
    </row>
    <row r="103" spans="1:10" ht="17.25">
      <c r="A103" s="57">
        <v>99</v>
      </c>
      <c r="B103" s="57" t="s">
        <v>1870</v>
      </c>
      <c r="C103" s="64" t="s">
        <v>1913</v>
      </c>
      <c r="D103" s="57" t="s">
        <v>1232</v>
      </c>
      <c r="E103" s="57">
        <v>658</v>
      </c>
      <c r="F103" s="57">
        <v>649</v>
      </c>
      <c r="G103" s="57">
        <v>31</v>
      </c>
      <c r="H103" s="57">
        <v>82</v>
      </c>
      <c r="I103" s="28">
        <v>24</v>
      </c>
      <c r="J103" s="28">
        <v>32.700000000000003</v>
      </c>
    </row>
    <row r="104" spans="1:10">
      <c r="A104" s="57">
        <v>100</v>
      </c>
      <c r="B104" s="57">
        <v>94</v>
      </c>
      <c r="C104" s="64" t="s">
        <v>1903</v>
      </c>
      <c r="D104" s="57" t="s">
        <v>1908</v>
      </c>
      <c r="E104" s="57">
        <v>641</v>
      </c>
      <c r="F104" s="57">
        <v>577</v>
      </c>
      <c r="G104" s="57">
        <v>-367</v>
      </c>
      <c r="H104" s="57">
        <v>26</v>
      </c>
      <c r="I104" s="28">
        <v>-66.400000000000006</v>
      </c>
      <c r="J104" s="28">
        <v>15.1</v>
      </c>
    </row>
    <row r="105" spans="1:10">
      <c r="A105" s="57"/>
      <c r="B105" s="197"/>
      <c r="E105" s="198"/>
      <c r="F105" s="198"/>
      <c r="G105" s="198"/>
      <c r="H105" s="198"/>
      <c r="I105" s="199"/>
      <c r="J105" s="199"/>
    </row>
    <row r="106" spans="1:10">
      <c r="A106" s="64" t="s">
        <v>2008</v>
      </c>
    </row>
    <row r="108" spans="1:10">
      <c r="A108" s="64" t="s">
        <v>773</v>
      </c>
    </row>
    <row r="109" spans="1:10" ht="66" customHeight="1">
      <c r="A109" s="200" t="s">
        <v>1909</v>
      </c>
      <c r="B109" s="200"/>
      <c r="C109" s="200"/>
      <c r="D109" s="200"/>
      <c r="E109" s="200"/>
      <c r="F109" s="200"/>
      <c r="G109" s="200"/>
      <c r="H109" s="200"/>
      <c r="I109" s="200"/>
      <c r="J109" s="200"/>
    </row>
    <row r="110" spans="1:10" ht="30" customHeight="1">
      <c r="A110" s="200" t="s">
        <v>1300</v>
      </c>
      <c r="B110" s="200"/>
      <c r="C110" s="200"/>
      <c r="D110" s="200"/>
      <c r="E110" s="200"/>
      <c r="F110" s="200"/>
      <c r="G110" s="200"/>
      <c r="H110" s="200"/>
      <c r="I110" s="200"/>
      <c r="J110" s="200"/>
    </row>
    <row r="111" spans="1:10" ht="15" customHeight="1">
      <c r="A111" s="200" t="s">
        <v>1911</v>
      </c>
      <c r="B111" s="200"/>
      <c r="C111" s="200"/>
      <c r="D111" s="200"/>
      <c r="E111" s="200"/>
      <c r="F111" s="200"/>
      <c r="G111" s="200"/>
      <c r="H111" s="200"/>
      <c r="I111" s="200"/>
      <c r="J111" s="200"/>
    </row>
    <row r="112" spans="1:10" ht="15" customHeight="1">
      <c r="A112" s="200" t="s">
        <v>1912</v>
      </c>
      <c r="B112" s="200"/>
      <c r="C112" s="200"/>
      <c r="D112" s="200"/>
      <c r="E112" s="200"/>
      <c r="F112" s="200"/>
      <c r="G112" s="200"/>
      <c r="H112" s="200"/>
      <c r="I112" s="200"/>
      <c r="J112" s="200"/>
    </row>
    <row r="113" spans="1:10" ht="31.5" customHeight="1">
      <c r="A113" s="200" t="s">
        <v>1923</v>
      </c>
      <c r="B113" s="200"/>
      <c r="C113" s="200"/>
      <c r="D113" s="200"/>
      <c r="E113" s="200"/>
      <c r="F113" s="200"/>
      <c r="G113" s="200"/>
      <c r="H113" s="200"/>
      <c r="I113" s="200"/>
      <c r="J113" s="200"/>
    </row>
    <row r="114" spans="1:10" ht="20.25" customHeight="1">
      <c r="A114" s="200" t="s">
        <v>1926</v>
      </c>
      <c r="B114" s="200"/>
      <c r="C114" s="200"/>
      <c r="D114" s="200"/>
      <c r="E114" s="200"/>
      <c r="F114" s="200"/>
      <c r="G114" s="200"/>
      <c r="H114" s="200"/>
      <c r="I114" s="200"/>
      <c r="J114" s="200"/>
    </row>
    <row r="115" spans="1:10">
      <c r="A115" s="201" t="s">
        <v>1301</v>
      </c>
    </row>
    <row r="116" spans="1:10">
      <c r="A116" s="201" t="s">
        <v>1302</v>
      </c>
    </row>
    <row r="117" spans="1:10" ht="31.5" customHeight="1">
      <c r="A117" s="202" t="s">
        <v>1303</v>
      </c>
      <c r="B117" s="202"/>
      <c r="C117" s="202"/>
      <c r="D117" s="202"/>
      <c r="E117" s="202"/>
      <c r="F117" s="202"/>
      <c r="G117" s="202"/>
      <c r="H117" s="202"/>
      <c r="I117" s="202"/>
      <c r="J117" s="202"/>
    </row>
    <row r="118" spans="1:10">
      <c r="A118" s="201"/>
    </row>
    <row r="120" spans="1:10">
      <c r="A120" s="201"/>
    </row>
    <row r="121" spans="1:10">
      <c r="A121" s="201"/>
    </row>
    <row r="123" spans="1:10">
      <c r="A123" s="201"/>
    </row>
    <row r="126" spans="1:10">
      <c r="A126" s="201"/>
    </row>
  </sheetData>
  <autoFilter ref="A2:J104">
    <filterColumn colId="4" showButton="0"/>
    <filterColumn colId="6" showButton="0"/>
    <filterColumn colId="8" showButton="0"/>
  </autoFilter>
  <mergeCells count="14">
    <mergeCell ref="D2:D4"/>
    <mergeCell ref="C2:C4"/>
    <mergeCell ref="E2:F2"/>
    <mergeCell ref="G2:H2"/>
    <mergeCell ref="I2:J2"/>
    <mergeCell ref="E4:H4"/>
    <mergeCell ref="I4:J4"/>
    <mergeCell ref="A114:J114"/>
    <mergeCell ref="A117:J117"/>
    <mergeCell ref="A112:J112"/>
    <mergeCell ref="A113:J113"/>
    <mergeCell ref="A109:J109"/>
    <mergeCell ref="A110:J110"/>
    <mergeCell ref="A111:J111"/>
  </mergeCells>
  <printOptions horizontalCentered="1"/>
  <pageMargins left="0.70866141732283472" right="0.70866141732283472" top="0.74803149606299213" bottom="0.74803149606299213" header="0.31496062992125984" footer="0.31496062992125984"/>
  <pageSetup scale="37" orientation="portrait" horizontalDpi="0" verticalDpi="0" r:id="rId1"/>
  <rowBreaks count="1" manualBreakCount="1">
    <brk id="53" max="9" man="1"/>
  </rowBreaks>
</worksheet>
</file>

<file path=xl/worksheets/sheet131.xml><?xml version="1.0" encoding="utf-8"?>
<worksheet xmlns="http://schemas.openxmlformats.org/spreadsheetml/2006/main" xmlns:r="http://schemas.openxmlformats.org/officeDocument/2006/relationships">
  <sheetPr codeName="Sheet124"/>
  <dimension ref="A1:H46"/>
  <sheetViews>
    <sheetView view="pageBreakPreview" zoomScale="85" zoomScaleNormal="100" zoomScaleSheetLayoutView="85"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9.7109375" style="64" customWidth="1"/>
    <col min="2" max="2" width="12" style="64" hidden="1" customWidth="1" outlineLevel="1"/>
    <col min="3" max="3" width="12.5703125" style="64" hidden="1" customWidth="1" outlineLevel="1"/>
    <col min="4" max="4" width="12.42578125" style="64" customWidth="1" collapsed="1"/>
    <col min="5" max="5" width="12" style="64" customWidth="1"/>
    <col min="6" max="6" width="14.140625" style="64" customWidth="1"/>
    <col min="7" max="7" width="13.7109375" style="64" customWidth="1"/>
    <col min="8" max="8" width="16.28515625" style="64" customWidth="1"/>
    <col min="9" max="16384" width="9.140625" style="64"/>
  </cols>
  <sheetData>
    <row r="1" spans="1:8" ht="30" customHeight="1">
      <c r="A1" s="93" t="s">
        <v>1927</v>
      </c>
      <c r="B1" s="93"/>
      <c r="C1" s="93"/>
      <c r="D1" s="93"/>
      <c r="E1" s="93"/>
      <c r="F1" s="93"/>
      <c r="G1" s="93"/>
      <c r="H1" s="93"/>
    </row>
    <row r="2" spans="1:8" ht="15" customHeight="1">
      <c r="B2" s="193" t="s">
        <v>1310</v>
      </c>
      <c r="C2" s="193"/>
      <c r="D2" s="94" t="s">
        <v>1311</v>
      </c>
      <c r="E2" s="94"/>
      <c r="F2" s="94"/>
      <c r="G2" s="94"/>
      <c r="H2" s="94"/>
    </row>
    <row r="3" spans="1:8">
      <c r="B3" s="110"/>
      <c r="C3" s="110"/>
      <c r="D3" s="94" t="s">
        <v>1314</v>
      </c>
      <c r="E3" s="94"/>
      <c r="F3" s="94" t="s">
        <v>1315</v>
      </c>
      <c r="G3" s="94"/>
      <c r="H3" s="94"/>
    </row>
    <row r="4" spans="1:8" ht="60">
      <c r="B4" s="117" t="s">
        <v>1308</v>
      </c>
      <c r="C4" s="117" t="s">
        <v>1309</v>
      </c>
      <c r="D4" s="73" t="s">
        <v>1308</v>
      </c>
      <c r="E4" s="73" t="s">
        <v>1309</v>
      </c>
      <c r="F4" s="73" t="s">
        <v>745</v>
      </c>
      <c r="G4" s="73" t="s">
        <v>678</v>
      </c>
      <c r="H4" s="73" t="s">
        <v>1313</v>
      </c>
    </row>
    <row r="5" spans="1:8" hidden="1" outlineLevel="1"/>
    <row r="6" spans="1:8" collapsed="1">
      <c r="A6" s="66">
        <v>1983</v>
      </c>
      <c r="B6" s="30">
        <v>44587</v>
      </c>
      <c r="C6" s="30">
        <v>1560</v>
      </c>
      <c r="D6" s="30">
        <v>79669</v>
      </c>
      <c r="E6" s="30">
        <v>3262</v>
      </c>
      <c r="F6" s="67"/>
      <c r="G6" s="67"/>
      <c r="H6" s="30">
        <f t="shared" ref="H6:H20" si="0">H7*(E6/E7)</f>
        <v>3078.7582926034543</v>
      </c>
    </row>
    <row r="7" spans="1:8">
      <c r="A7" s="66">
        <v>1984</v>
      </c>
      <c r="B7" s="30">
        <v>52778</v>
      </c>
      <c r="C7" s="30">
        <v>1875</v>
      </c>
      <c r="D7" s="30">
        <v>85984</v>
      </c>
      <c r="E7" s="30">
        <v>3390</v>
      </c>
      <c r="F7" s="67"/>
      <c r="G7" s="67"/>
      <c r="H7" s="30">
        <f t="shared" si="0"/>
        <v>3199.5679374389056</v>
      </c>
    </row>
    <row r="8" spans="1:8">
      <c r="A8" s="66">
        <v>1985</v>
      </c>
      <c r="B8" s="30">
        <v>60292</v>
      </c>
      <c r="C8" s="30">
        <v>2105</v>
      </c>
      <c r="D8" s="30">
        <v>90358</v>
      </c>
      <c r="E8" s="30">
        <v>3558</v>
      </c>
      <c r="F8" s="67"/>
      <c r="G8" s="67"/>
      <c r="H8" s="30">
        <f t="shared" si="0"/>
        <v>3358.1305962854353</v>
      </c>
    </row>
    <row r="9" spans="1:8">
      <c r="A9" s="66">
        <v>1986</v>
      </c>
      <c r="B9" s="30">
        <v>64794</v>
      </c>
      <c r="C9" s="30">
        <v>2339</v>
      </c>
      <c r="D9" s="30">
        <v>96054</v>
      </c>
      <c r="E9" s="30">
        <v>3526</v>
      </c>
      <c r="F9" s="67"/>
      <c r="G9" s="67"/>
      <c r="H9" s="30">
        <f t="shared" si="0"/>
        <v>3327.9281850765724</v>
      </c>
    </row>
    <row r="10" spans="1:8">
      <c r="A10" s="66">
        <v>1987</v>
      </c>
      <c r="B10" s="30">
        <v>74137</v>
      </c>
      <c r="C10" s="30">
        <v>2795</v>
      </c>
      <c r="D10" s="30">
        <v>105937</v>
      </c>
      <c r="E10" s="30">
        <v>5310</v>
      </c>
      <c r="F10" s="67"/>
      <c r="G10" s="67"/>
      <c r="H10" s="30">
        <f t="shared" si="0"/>
        <v>5011.7126099706747</v>
      </c>
    </row>
    <row r="11" spans="1:8">
      <c r="A11" s="66">
        <v>1988</v>
      </c>
      <c r="B11" s="30">
        <v>79763</v>
      </c>
      <c r="C11" s="30">
        <v>3017</v>
      </c>
      <c r="D11" s="30">
        <v>114175</v>
      </c>
      <c r="E11" s="30">
        <v>5452</v>
      </c>
      <c r="F11" s="67"/>
      <c r="G11" s="67"/>
      <c r="H11" s="30">
        <f t="shared" si="0"/>
        <v>5145.7358097100032</v>
      </c>
    </row>
    <row r="12" spans="1:8">
      <c r="A12" s="66">
        <v>1989</v>
      </c>
      <c r="B12" s="30">
        <v>89851</v>
      </c>
      <c r="C12" s="30">
        <v>3293</v>
      </c>
      <c r="D12" s="30">
        <v>122664</v>
      </c>
      <c r="E12" s="30">
        <v>7308</v>
      </c>
      <c r="F12" s="67"/>
      <c r="G12" s="67"/>
      <c r="H12" s="30">
        <f>H13*(E12/E13)</f>
        <v>6897.4756598240465</v>
      </c>
    </row>
    <row r="13" spans="1:8">
      <c r="A13" s="66">
        <v>1990</v>
      </c>
      <c r="B13" s="30">
        <v>98402</v>
      </c>
      <c r="C13" s="30">
        <v>3498</v>
      </c>
      <c r="D13" s="30">
        <v>130932</v>
      </c>
      <c r="E13" s="30">
        <v>7599</v>
      </c>
      <c r="F13" s="67"/>
      <c r="G13" s="67"/>
      <c r="H13" s="30">
        <f t="shared" si="0"/>
        <v>7172.1288367546431</v>
      </c>
    </row>
    <row r="14" spans="1:8">
      <c r="A14" s="66">
        <v>1991</v>
      </c>
      <c r="B14" s="30">
        <v>109068</v>
      </c>
      <c r="C14" s="30">
        <v>3473</v>
      </c>
      <c r="D14" s="30">
        <v>135234</v>
      </c>
      <c r="E14" s="30">
        <v>7902</v>
      </c>
      <c r="F14" s="67"/>
      <c r="G14" s="67"/>
      <c r="H14" s="30">
        <f t="shared" si="0"/>
        <v>7458.107917888563</v>
      </c>
    </row>
    <row r="15" spans="1:8">
      <c r="A15" s="66">
        <v>1992</v>
      </c>
      <c r="B15" s="30">
        <v>111691</v>
      </c>
      <c r="C15" s="30">
        <v>3576</v>
      </c>
      <c r="D15" s="30">
        <v>137918</v>
      </c>
      <c r="E15" s="30">
        <v>8895</v>
      </c>
      <c r="F15" s="67"/>
      <c r="G15" s="67"/>
      <c r="H15" s="30">
        <f t="shared" si="0"/>
        <v>8395.3264907135872</v>
      </c>
    </row>
    <row r="16" spans="1:8">
      <c r="A16" s="66">
        <v>1993</v>
      </c>
      <c r="B16" s="30">
        <v>122427</v>
      </c>
      <c r="C16" s="30">
        <v>3727</v>
      </c>
      <c r="D16" s="30">
        <v>141493</v>
      </c>
      <c r="E16" s="30">
        <v>9109</v>
      </c>
      <c r="F16" s="67"/>
      <c r="G16" s="67"/>
      <c r="H16" s="30">
        <f t="shared" si="0"/>
        <v>8597.3051156728579</v>
      </c>
    </row>
    <row r="17" spans="1:8">
      <c r="A17" s="66">
        <v>1994</v>
      </c>
      <c r="B17" s="30">
        <v>146315</v>
      </c>
      <c r="C17" s="30">
        <v>4358</v>
      </c>
      <c r="D17" s="30">
        <v>154594</v>
      </c>
      <c r="E17" s="30">
        <v>9598</v>
      </c>
      <c r="F17" s="67"/>
      <c r="G17" s="67"/>
      <c r="H17" s="30">
        <f t="shared" si="0"/>
        <v>9058.8357119582924</v>
      </c>
    </row>
    <row r="18" spans="1:8">
      <c r="A18" s="66">
        <v>1995</v>
      </c>
      <c r="B18" s="30">
        <v>161237</v>
      </c>
      <c r="C18" s="30">
        <v>5340</v>
      </c>
      <c r="D18" s="30">
        <v>168167</v>
      </c>
      <c r="E18" s="30">
        <v>10010</v>
      </c>
      <c r="F18" s="67"/>
      <c r="G18" s="67"/>
      <c r="H18" s="30">
        <f t="shared" si="0"/>
        <v>9447.6917562724011</v>
      </c>
    </row>
    <row r="19" spans="1:8">
      <c r="A19" s="66">
        <v>1996</v>
      </c>
      <c r="B19" s="30">
        <v>181238</v>
      </c>
      <c r="C19" s="30">
        <v>4710</v>
      </c>
      <c r="D19" s="30">
        <v>182126</v>
      </c>
      <c r="E19" s="30">
        <v>10206</v>
      </c>
      <c r="F19" s="67"/>
      <c r="G19" s="67"/>
      <c r="H19" s="30">
        <f>H20*(E19/E20)</f>
        <v>9632.6815249266856</v>
      </c>
    </row>
    <row r="20" spans="1:8">
      <c r="A20" s="66">
        <v>1997</v>
      </c>
      <c r="B20" s="30">
        <v>218607</v>
      </c>
      <c r="C20" s="30">
        <v>6154</v>
      </c>
      <c r="D20" s="30">
        <v>194277</v>
      </c>
      <c r="E20" s="30">
        <v>12595</v>
      </c>
      <c r="F20" s="67"/>
      <c r="G20" s="67"/>
      <c r="H20" s="30">
        <f t="shared" si="0"/>
        <v>11887.480286738351</v>
      </c>
    </row>
    <row r="21" spans="1:8">
      <c r="A21" s="66">
        <v>1998</v>
      </c>
      <c r="B21" s="30">
        <v>262909</v>
      </c>
      <c r="C21" s="30">
        <v>7053</v>
      </c>
      <c r="D21" s="30">
        <v>219389</v>
      </c>
      <c r="E21" s="30">
        <v>13487</v>
      </c>
      <c r="F21" s="67"/>
      <c r="G21" s="67"/>
      <c r="H21" s="30">
        <f>H22*(E21/E22)</f>
        <v>12729.372499185403</v>
      </c>
    </row>
    <row r="22" spans="1:8">
      <c r="A22" s="66">
        <v>1999</v>
      </c>
      <c r="B22" s="30">
        <v>290730</v>
      </c>
      <c r="C22" s="30">
        <v>7636</v>
      </c>
      <c r="D22" s="30">
        <v>252563</v>
      </c>
      <c r="E22" s="30">
        <v>15345</v>
      </c>
      <c r="F22" s="30">
        <v>4636</v>
      </c>
      <c r="G22" s="30">
        <v>9847</v>
      </c>
      <c r="H22" s="30">
        <f>SUM(F22:G22)</f>
        <v>14483</v>
      </c>
    </row>
    <row r="23" spans="1:8">
      <c r="A23" s="66">
        <v>2000</v>
      </c>
      <c r="B23" s="30">
        <v>356506</v>
      </c>
      <c r="C23" s="30">
        <v>7050</v>
      </c>
      <c r="D23" s="30">
        <v>319116</v>
      </c>
      <c r="E23" s="30">
        <v>16384</v>
      </c>
      <c r="F23" s="30">
        <v>4516</v>
      </c>
      <c r="G23" s="30">
        <v>9176</v>
      </c>
      <c r="H23" s="30">
        <f t="shared" ref="H23:H34" si="1">SUM(F23:G23)</f>
        <v>13692</v>
      </c>
    </row>
    <row r="24" spans="1:8">
      <c r="A24" s="66">
        <v>2001</v>
      </c>
      <c r="B24" s="30">
        <v>399253</v>
      </c>
      <c r="C24" s="30">
        <v>8814</v>
      </c>
      <c r="D24" s="30">
        <v>340429</v>
      </c>
      <c r="E24" s="30">
        <v>14898</v>
      </c>
      <c r="F24" s="30">
        <v>4746</v>
      </c>
      <c r="G24" s="30">
        <v>9227</v>
      </c>
      <c r="H24" s="30">
        <f t="shared" si="1"/>
        <v>13973</v>
      </c>
    </row>
    <row r="25" spans="1:8">
      <c r="A25" s="66">
        <v>2002</v>
      </c>
      <c r="B25" s="30">
        <v>435494</v>
      </c>
      <c r="C25" s="30">
        <v>9597</v>
      </c>
      <c r="D25" s="30">
        <v>356819</v>
      </c>
      <c r="E25" s="30">
        <v>15066</v>
      </c>
      <c r="F25" s="30">
        <v>4900</v>
      </c>
      <c r="G25" s="30">
        <v>7902</v>
      </c>
      <c r="H25" s="30">
        <f t="shared" si="1"/>
        <v>12802</v>
      </c>
    </row>
    <row r="26" spans="1:8">
      <c r="A26" s="66">
        <v>2003</v>
      </c>
      <c r="B26" s="30">
        <v>412217</v>
      </c>
      <c r="C26" s="30">
        <v>8490</v>
      </c>
      <c r="D26" s="30">
        <v>373685</v>
      </c>
      <c r="E26" s="30">
        <v>15113</v>
      </c>
      <c r="F26" s="30">
        <v>4780</v>
      </c>
      <c r="G26" s="30">
        <v>7843</v>
      </c>
      <c r="H26" s="30">
        <f t="shared" si="1"/>
        <v>12623</v>
      </c>
    </row>
    <row r="27" spans="1:8">
      <c r="A27" s="66">
        <v>2004</v>
      </c>
      <c r="B27" s="30">
        <v>448546</v>
      </c>
      <c r="C27" s="30">
        <v>10787</v>
      </c>
      <c r="D27" s="30">
        <v>379450</v>
      </c>
      <c r="E27" s="30">
        <v>13095</v>
      </c>
      <c r="F27" s="30">
        <v>3993</v>
      </c>
      <c r="G27" s="30">
        <v>6530</v>
      </c>
      <c r="H27" s="30">
        <f t="shared" si="1"/>
        <v>10523</v>
      </c>
    </row>
    <row r="28" spans="1:8">
      <c r="A28" s="66">
        <v>2005</v>
      </c>
      <c r="B28" s="30">
        <v>452195</v>
      </c>
      <c r="C28" s="30">
        <v>9562</v>
      </c>
      <c r="D28" s="30">
        <v>397828</v>
      </c>
      <c r="E28" s="30">
        <v>14122</v>
      </c>
      <c r="F28" s="30">
        <v>4476</v>
      </c>
      <c r="G28" s="30">
        <v>6415</v>
      </c>
      <c r="H28" s="30">
        <f t="shared" si="1"/>
        <v>10891</v>
      </c>
    </row>
    <row r="29" spans="1:8">
      <c r="A29" s="66">
        <v>2006</v>
      </c>
      <c r="B29" s="30">
        <v>518839</v>
      </c>
      <c r="C29" s="30">
        <v>10736</v>
      </c>
      <c r="D29" s="30">
        <v>437171</v>
      </c>
      <c r="E29" s="30">
        <v>15371</v>
      </c>
      <c r="F29" s="30">
        <v>4311</v>
      </c>
      <c r="G29" s="30">
        <v>6684</v>
      </c>
      <c r="H29" s="30">
        <f>SUM(F29:G29)</f>
        <v>10995</v>
      </c>
    </row>
    <row r="30" spans="1:8">
      <c r="A30" s="66">
        <v>2007</v>
      </c>
      <c r="B30" s="30">
        <v>515294</v>
      </c>
      <c r="C30" s="30">
        <v>8694</v>
      </c>
      <c r="D30" s="30">
        <v>512266</v>
      </c>
      <c r="E30" s="30">
        <v>15387</v>
      </c>
      <c r="F30" s="30">
        <v>2643</v>
      </c>
      <c r="G30" s="30">
        <v>6865</v>
      </c>
      <c r="H30" s="30">
        <f t="shared" si="1"/>
        <v>9508</v>
      </c>
    </row>
    <row r="31" spans="1:8">
      <c r="A31" s="66">
        <v>2008</v>
      </c>
      <c r="B31" s="30">
        <v>641920</v>
      </c>
      <c r="C31" s="30">
        <v>8924</v>
      </c>
      <c r="D31" s="30">
        <v>550539</v>
      </c>
      <c r="E31" s="30">
        <v>9775</v>
      </c>
      <c r="F31" s="30">
        <v>3064</v>
      </c>
      <c r="G31" s="30">
        <v>3835</v>
      </c>
      <c r="H31" s="30">
        <f t="shared" si="1"/>
        <v>6899</v>
      </c>
    </row>
    <row r="32" spans="1:8">
      <c r="A32" s="66">
        <v>2009</v>
      </c>
      <c r="B32" s="30">
        <v>629717</v>
      </c>
      <c r="C32" s="30">
        <v>9012</v>
      </c>
      <c r="D32" s="30">
        <v>572842</v>
      </c>
      <c r="E32" s="30">
        <v>13395</v>
      </c>
      <c r="F32" s="30">
        <v>3154</v>
      </c>
      <c r="G32" s="30">
        <v>5458</v>
      </c>
      <c r="H32" s="30">
        <f t="shared" si="1"/>
        <v>8612</v>
      </c>
    </row>
    <row r="33" spans="1:8">
      <c r="A33" s="66">
        <v>2010</v>
      </c>
      <c r="B33" s="30">
        <v>639911</v>
      </c>
      <c r="C33" s="30">
        <v>8975</v>
      </c>
      <c r="D33" s="30">
        <v>585107</v>
      </c>
      <c r="E33" s="30">
        <v>9361</v>
      </c>
      <c r="F33" s="30">
        <v>3008</v>
      </c>
      <c r="G33" s="30">
        <v>5855</v>
      </c>
      <c r="H33" s="30">
        <f t="shared" si="1"/>
        <v>8863</v>
      </c>
    </row>
    <row r="34" spans="1:8">
      <c r="A34" s="66">
        <v>2011</v>
      </c>
      <c r="B34" s="30">
        <v>684496</v>
      </c>
      <c r="C34" s="30">
        <v>9044</v>
      </c>
      <c r="D34" s="30">
        <v>607497</v>
      </c>
      <c r="E34" s="30">
        <v>9727</v>
      </c>
      <c r="F34" s="30">
        <v>2932</v>
      </c>
      <c r="G34" s="30">
        <v>6346</v>
      </c>
      <c r="H34" s="30">
        <f t="shared" si="1"/>
        <v>9278</v>
      </c>
    </row>
    <row r="36" spans="1:8">
      <c r="A36" s="66" t="s">
        <v>23</v>
      </c>
    </row>
    <row r="37" spans="1:8">
      <c r="A37" s="64" t="s">
        <v>2137</v>
      </c>
      <c r="B37" s="67">
        <f>((B30/B6)^(1/24)-1)*100</f>
        <v>10.73509554975498</v>
      </c>
      <c r="C37" s="67">
        <f>((C30/C6)^(1/24)-1)*100</f>
        <v>7.4205306004482052</v>
      </c>
      <c r="D37" s="67">
        <f>((D34/D6)^(1/28)-1)*100</f>
        <v>7.5249127907537128</v>
      </c>
      <c r="E37" s="67">
        <f>((E34/E6)^(1/28)-1)*100</f>
        <v>3.9791465675956816</v>
      </c>
      <c r="F37" s="67" t="s">
        <v>22</v>
      </c>
      <c r="G37" s="67" t="s">
        <v>22</v>
      </c>
      <c r="H37" s="67">
        <f>((H34/H6)^(1/28)-1)*100</f>
        <v>4.0183489794002547</v>
      </c>
    </row>
    <row r="38" spans="1:8">
      <c r="A38" s="64" t="s">
        <v>1312</v>
      </c>
      <c r="B38" s="67">
        <f>((B12/B6)^(1/6)-1)*100</f>
        <v>12.387784606241258</v>
      </c>
      <c r="C38" s="67">
        <f>((C12/C6)^(1/6)-1)*100</f>
        <v>13.260338533652583</v>
      </c>
      <c r="D38" s="67">
        <f>((D12/D6)^(1/6)-1)*100</f>
        <v>7.4578035887828742</v>
      </c>
      <c r="E38" s="67">
        <f>((E12/E6)^(1/6)-1)*100</f>
        <v>14.389395164855223</v>
      </c>
      <c r="F38" s="67" t="s">
        <v>22</v>
      </c>
      <c r="G38" s="67" t="s">
        <v>22</v>
      </c>
      <c r="H38" s="67">
        <f>((H12/H6)^(1/6)-1)*100</f>
        <v>14.389395164855223</v>
      </c>
    </row>
    <row r="39" spans="1:8">
      <c r="A39" s="64" t="s">
        <v>2127</v>
      </c>
      <c r="B39" s="67"/>
      <c r="C39" s="67"/>
      <c r="D39" s="67">
        <f>((D34/D12)^(1/22)-1)*100</f>
        <v>7.543222573060393</v>
      </c>
      <c r="E39" s="67">
        <f>((E34/E12)^(1/22)-1)*100</f>
        <v>1.3081914929572003</v>
      </c>
      <c r="F39" s="67" t="s">
        <v>22</v>
      </c>
      <c r="G39" s="67" t="s">
        <v>22</v>
      </c>
      <c r="H39" s="67">
        <f>((H34/H12)^(1/22)-1)*100</f>
        <v>1.3568063235129602</v>
      </c>
    </row>
    <row r="40" spans="1:8">
      <c r="A40" s="64" t="s">
        <v>26</v>
      </c>
      <c r="B40" s="67">
        <f>((B23/B12)^(1/11)-1)*100</f>
        <v>13.347797183266685</v>
      </c>
      <c r="C40" s="67">
        <f>((C23/C12)^(1/11)-1)*100</f>
        <v>7.1653305423683644</v>
      </c>
      <c r="D40" s="67">
        <f>((D23/D12)^(1/11)-1)*100</f>
        <v>9.0807999662261061</v>
      </c>
      <c r="E40" s="67">
        <f>((E23/E12)^(1/11)-1)*100</f>
        <v>7.6154615796552694</v>
      </c>
      <c r="F40" s="67" t="s">
        <v>22</v>
      </c>
      <c r="G40" s="67" t="s">
        <v>22</v>
      </c>
      <c r="H40" s="67">
        <f>((H23/H12)^(1/11)-1)*100</f>
        <v>6.431604741303909</v>
      </c>
    </row>
    <row r="41" spans="1:8">
      <c r="A41" s="64" t="s">
        <v>1782</v>
      </c>
      <c r="B41" s="67">
        <f t="shared" ref="B41:C41" si="2">((B30/B23)^(1/7)-1)*100</f>
        <v>5.4036046019394712</v>
      </c>
      <c r="C41" s="67">
        <f t="shared" si="2"/>
        <v>3.0396464433812609</v>
      </c>
      <c r="D41" s="67">
        <f>((D34/D23)^(1/11)-1)*100</f>
        <v>6.027318510496471</v>
      </c>
      <c r="E41" s="67">
        <f t="shared" ref="E41:H41" si="3">((E34/E23)^(1/11)-1)*100</f>
        <v>-4.629413720658393</v>
      </c>
      <c r="F41" s="67">
        <f t="shared" si="3"/>
        <v>-3.8506469018127043</v>
      </c>
      <c r="G41" s="67">
        <f t="shared" si="3"/>
        <v>-3.2968533998042671</v>
      </c>
      <c r="H41" s="67">
        <f t="shared" si="3"/>
        <v>-3.4760190539972147</v>
      </c>
    </row>
    <row r="42" spans="1:8">
      <c r="A42" s="64" t="s">
        <v>662</v>
      </c>
      <c r="B42" s="67">
        <f t="shared" ref="B42:H42" si="4">((B27/B23)^(1/4)-1)*100</f>
        <v>5.9095288833126425</v>
      </c>
      <c r="C42" s="67">
        <f t="shared" si="4"/>
        <v>11.218719461549131</v>
      </c>
      <c r="D42" s="67">
        <f t="shared" si="4"/>
        <v>4.4242811726375342</v>
      </c>
      <c r="E42" s="67">
        <f t="shared" si="4"/>
        <v>-5.4478538646845154</v>
      </c>
      <c r="F42" s="67">
        <f t="shared" si="4"/>
        <v>-3.0302347524442386</v>
      </c>
      <c r="G42" s="67">
        <f t="shared" si="4"/>
        <v>-8.1530066428784025</v>
      </c>
      <c r="H42" s="67">
        <f t="shared" si="4"/>
        <v>-6.3693216191692548</v>
      </c>
    </row>
    <row r="44" spans="1:8">
      <c r="A44" s="64" t="s">
        <v>494</v>
      </c>
    </row>
    <row r="45" spans="1:8">
      <c r="A45" s="131" t="s">
        <v>1316</v>
      </c>
      <c r="B45" s="131"/>
      <c r="C45" s="131"/>
      <c r="D45" s="131"/>
      <c r="E45" s="131"/>
      <c r="F45" s="131"/>
      <c r="G45" s="131"/>
      <c r="H45" s="131"/>
    </row>
    <row r="46" spans="1:8" ht="60" customHeight="1">
      <c r="A46" s="131" t="s">
        <v>1317</v>
      </c>
      <c r="B46" s="131"/>
      <c r="C46" s="131"/>
      <c r="D46" s="131"/>
      <c r="E46" s="131"/>
      <c r="F46" s="131"/>
      <c r="G46" s="131"/>
      <c r="H46" s="131"/>
    </row>
  </sheetData>
  <mergeCells count="7">
    <mergeCell ref="A45:H45"/>
    <mergeCell ref="A46:H46"/>
    <mergeCell ref="D2:H2"/>
    <mergeCell ref="A1:H1"/>
    <mergeCell ref="D3:E3"/>
    <mergeCell ref="F3:H3"/>
    <mergeCell ref="B2:C2"/>
  </mergeCells>
  <pageMargins left="0.7" right="0.7" top="0.75" bottom="0.75" header="0.3" footer="0.3"/>
  <pageSetup scale="88" orientation="portrait" horizontalDpi="0" verticalDpi="0" r:id="rId1"/>
  <ignoredErrors>
    <ignoredError sqref="H22:H29 H30:H34" formulaRange="1"/>
  </ignoredErrors>
</worksheet>
</file>

<file path=xl/worksheets/sheet132.xml><?xml version="1.0" encoding="utf-8"?>
<worksheet xmlns="http://schemas.openxmlformats.org/spreadsheetml/2006/main" xmlns:r="http://schemas.openxmlformats.org/officeDocument/2006/relationships">
  <sheetPr codeName="Sheet125"/>
  <dimension ref="A1:AC66"/>
  <sheetViews>
    <sheetView view="pageBreakPreview" zoomScale="85" zoomScaleNormal="85" zoomScaleSheetLayoutView="85" workbookViewId="0">
      <selection activeCell="AC38" sqref="AC38"/>
    </sheetView>
  </sheetViews>
  <sheetFormatPr defaultRowHeight="15" outlineLevelRow="1" outlineLevelCol="1"/>
  <cols>
    <col min="1" max="1" width="9.140625" style="64"/>
    <col min="2" max="4" width="20.28515625" style="64" customWidth="1"/>
    <col min="5" max="8" width="9.140625" style="64"/>
    <col min="9" max="10" width="0" style="64" hidden="1" customWidth="1" outlineLevel="1"/>
    <col min="11" max="11" width="9.140625" style="64" hidden="1" customWidth="1" outlineLevel="1"/>
    <col min="12" max="19" width="18.5703125" style="64" hidden="1" customWidth="1" outlineLevel="1"/>
    <col min="20" max="20" width="9.140625" style="64" hidden="1" customWidth="1" outlineLevel="1"/>
    <col min="21" max="28" width="16.5703125" style="64" hidden="1" customWidth="1" outlineLevel="1"/>
    <col min="29" max="29" width="9.140625" style="64" collapsed="1"/>
    <col min="30" max="16384" width="9.140625" style="64"/>
  </cols>
  <sheetData>
    <row r="1" spans="1:28">
      <c r="A1" s="108" t="s">
        <v>2016</v>
      </c>
      <c r="B1" s="108"/>
      <c r="C1" s="108"/>
      <c r="D1" s="108"/>
    </row>
    <row r="2" spans="1:28" ht="60">
      <c r="B2" s="72" t="s">
        <v>1488</v>
      </c>
      <c r="C2" s="72" t="s">
        <v>1489</v>
      </c>
      <c r="D2" s="72" t="s">
        <v>1490</v>
      </c>
      <c r="L2" s="117" t="s">
        <v>1463</v>
      </c>
      <c r="M2" s="117" t="s">
        <v>1464</v>
      </c>
      <c r="N2" s="117" t="s">
        <v>1519</v>
      </c>
      <c r="O2" s="117" t="s">
        <v>1465</v>
      </c>
      <c r="P2" s="117" t="s">
        <v>1466</v>
      </c>
      <c r="Q2" s="117" t="s">
        <v>1520</v>
      </c>
      <c r="R2" s="117" t="s">
        <v>1467</v>
      </c>
      <c r="S2" s="117" t="s">
        <v>1475</v>
      </c>
      <c r="T2" s="117"/>
      <c r="U2" s="117" t="s">
        <v>1548</v>
      </c>
      <c r="V2" s="117" t="s">
        <v>1478</v>
      </c>
      <c r="W2" s="117" t="s">
        <v>1519</v>
      </c>
      <c r="X2" s="117" t="s">
        <v>1520</v>
      </c>
      <c r="Y2" s="117" t="s">
        <v>1492</v>
      </c>
      <c r="Z2" s="117" t="s">
        <v>1547</v>
      </c>
      <c r="AA2" s="117" t="s">
        <v>1546</v>
      </c>
      <c r="AB2" s="117" t="s">
        <v>1481</v>
      </c>
    </row>
    <row r="3" spans="1:28" hidden="1" outlineLevel="1">
      <c r="L3" s="57" t="s">
        <v>1511</v>
      </c>
      <c r="M3" s="57" t="s">
        <v>1512</v>
      </c>
      <c r="N3" s="57" t="s">
        <v>1513</v>
      </c>
      <c r="O3" s="57" t="s">
        <v>1514</v>
      </c>
      <c r="P3" s="57" t="s">
        <v>1515</v>
      </c>
      <c r="Q3" s="57" t="s">
        <v>1516</v>
      </c>
      <c r="R3" s="57" t="s">
        <v>1517</v>
      </c>
      <c r="S3" s="64" t="s">
        <v>1518</v>
      </c>
      <c r="U3" s="64" t="s">
        <v>1538</v>
      </c>
      <c r="V3" s="64" t="s">
        <v>1539</v>
      </c>
      <c r="W3" s="64" t="s">
        <v>1540</v>
      </c>
      <c r="X3" s="64" t="s">
        <v>1541</v>
      </c>
      <c r="Y3" s="64" t="s">
        <v>1542</v>
      </c>
      <c r="Z3" s="64" t="s">
        <v>1543</v>
      </c>
      <c r="AA3" s="64" t="s">
        <v>1544</v>
      </c>
      <c r="AB3" s="64" t="s">
        <v>1545</v>
      </c>
    </row>
    <row r="4" spans="1:28" collapsed="1">
      <c r="A4" s="66">
        <v>1990</v>
      </c>
      <c r="B4" s="30">
        <f>U4</f>
        <v>8458</v>
      </c>
      <c r="C4" s="30">
        <f>X4/B4</f>
        <v>377619.76826672972</v>
      </c>
      <c r="D4" s="31">
        <f>Y4/B4</f>
        <v>5.212106881059352</v>
      </c>
      <c r="L4" s="57"/>
      <c r="M4" s="57"/>
      <c r="N4" s="57"/>
      <c r="O4" s="57"/>
      <c r="P4" s="57"/>
      <c r="Q4" s="57"/>
      <c r="R4" s="57"/>
      <c r="T4" s="192">
        <v>1990</v>
      </c>
      <c r="U4" s="30">
        <v>8458</v>
      </c>
      <c r="V4" s="30">
        <v>284191000</v>
      </c>
      <c r="W4" s="30">
        <v>4614430000</v>
      </c>
      <c r="X4" s="30">
        <v>3193908000</v>
      </c>
      <c r="Y4" s="30">
        <v>44084</v>
      </c>
      <c r="Z4" s="30">
        <v>1640687000</v>
      </c>
      <c r="AA4" s="30">
        <v>5638450000</v>
      </c>
      <c r="AB4" s="30">
        <v>3214354000</v>
      </c>
    </row>
    <row r="5" spans="1:28">
      <c r="A5" s="66">
        <v>1991</v>
      </c>
      <c r="B5" s="30">
        <f t="shared" ref="B5:B17" si="0">U5</f>
        <v>8031</v>
      </c>
      <c r="C5" s="30">
        <f t="shared" ref="C5:C13" si="1">X5/B5</f>
        <v>361850.32997136097</v>
      </c>
      <c r="D5" s="31">
        <f t="shared" ref="D5:D13" si="2">Y5/B5</f>
        <v>5.0138214419125884</v>
      </c>
      <c r="L5" s="57"/>
      <c r="M5" s="57"/>
      <c r="N5" s="57"/>
      <c r="O5" s="57"/>
      <c r="P5" s="57"/>
      <c r="Q5" s="57"/>
      <c r="R5" s="57"/>
      <c r="T5" s="192">
        <v>1991</v>
      </c>
      <c r="U5" s="30">
        <v>8031</v>
      </c>
      <c r="V5" s="30">
        <v>267478000</v>
      </c>
      <c r="W5" s="30">
        <v>4404904000</v>
      </c>
      <c r="X5" s="30">
        <v>2906020000</v>
      </c>
      <c r="Y5" s="30">
        <v>40266</v>
      </c>
      <c r="Z5" s="30">
        <v>1540440000</v>
      </c>
      <c r="AA5" s="30">
        <v>5416271000</v>
      </c>
      <c r="AB5" s="30">
        <v>2923219000</v>
      </c>
    </row>
    <row r="6" spans="1:28">
      <c r="A6" s="66">
        <v>1992</v>
      </c>
      <c r="B6" s="30">
        <f t="shared" si="0"/>
        <v>8716</v>
      </c>
      <c r="C6" s="30">
        <f t="shared" si="1"/>
        <v>371903.39605323545</v>
      </c>
      <c r="D6" s="31">
        <f t="shared" si="2"/>
        <v>4.785796236805874</v>
      </c>
      <c r="L6" s="57"/>
      <c r="M6" s="57"/>
      <c r="N6" s="57"/>
      <c r="O6" s="57"/>
      <c r="P6" s="57"/>
      <c r="Q6" s="57"/>
      <c r="R6" s="57"/>
      <c r="T6" s="192">
        <v>1992</v>
      </c>
      <c r="U6" s="30">
        <v>8716</v>
      </c>
      <c r="V6" s="30">
        <v>285415000</v>
      </c>
      <c r="W6" s="30">
        <v>4766125000</v>
      </c>
      <c r="X6" s="30">
        <v>3241510000</v>
      </c>
      <c r="Y6" s="30">
        <v>41713</v>
      </c>
      <c r="Z6" s="30">
        <v>1639058000</v>
      </c>
      <c r="AA6" s="30">
        <v>5833681000</v>
      </c>
      <c r="AB6" s="30">
        <v>3277031000</v>
      </c>
    </row>
    <row r="7" spans="1:28">
      <c r="A7" s="66">
        <v>1993</v>
      </c>
      <c r="B7" s="30">
        <f t="shared" si="0"/>
        <v>8589</v>
      </c>
      <c r="C7" s="30">
        <f t="shared" si="1"/>
        <v>419826.8715799278</v>
      </c>
      <c r="D7" s="31">
        <f t="shared" si="2"/>
        <v>4.8761206193969029</v>
      </c>
      <c r="L7" s="57"/>
      <c r="M7" s="57"/>
      <c r="N7" s="57"/>
      <c r="O7" s="57"/>
      <c r="P7" s="57"/>
      <c r="Q7" s="57"/>
      <c r="R7" s="57"/>
      <c r="T7" s="192">
        <v>1993</v>
      </c>
      <c r="U7" s="30">
        <v>8589</v>
      </c>
      <c r="V7" s="30">
        <v>303404000</v>
      </c>
      <c r="W7" s="30">
        <v>5106076000</v>
      </c>
      <c r="X7" s="30">
        <v>3605893000</v>
      </c>
      <c r="Y7" s="30">
        <v>41881</v>
      </c>
      <c r="Z7" s="30">
        <v>1702040000</v>
      </c>
      <c r="AA7" s="30">
        <v>5966857000</v>
      </c>
      <c r="AB7" s="30">
        <v>3908840000</v>
      </c>
    </row>
    <row r="8" spans="1:28">
      <c r="A8" s="66">
        <v>1994</v>
      </c>
      <c r="B8" s="30">
        <f t="shared" si="0"/>
        <v>7452</v>
      </c>
      <c r="C8" s="30">
        <f t="shared" si="1"/>
        <v>505658.07836822327</v>
      </c>
      <c r="D8" s="31">
        <f t="shared" si="2"/>
        <v>5.0395866881374127</v>
      </c>
      <c r="L8" s="57"/>
      <c r="M8" s="57"/>
      <c r="N8" s="57"/>
      <c r="O8" s="57"/>
      <c r="P8" s="57"/>
      <c r="Q8" s="57"/>
      <c r="R8" s="57"/>
      <c r="T8" s="192">
        <v>1994</v>
      </c>
      <c r="U8" s="30">
        <v>7452</v>
      </c>
      <c r="V8" s="30">
        <v>288470000</v>
      </c>
      <c r="W8" s="30">
        <v>6205237000</v>
      </c>
      <c r="X8" s="30">
        <v>3768164000</v>
      </c>
      <c r="Y8" s="30">
        <v>37555</v>
      </c>
      <c r="Z8" s="30">
        <v>1563090000</v>
      </c>
      <c r="AA8" s="30">
        <v>6863837000</v>
      </c>
      <c r="AB8" s="30">
        <v>3783954000</v>
      </c>
    </row>
    <row r="9" spans="1:28">
      <c r="A9" s="66">
        <v>1995</v>
      </c>
      <c r="B9" s="30">
        <f t="shared" si="0"/>
        <v>9638</v>
      </c>
      <c r="C9" s="30">
        <f t="shared" si="1"/>
        <v>426562.14982361486</v>
      </c>
      <c r="D9" s="31">
        <f t="shared" si="2"/>
        <v>4.6396555301929858</v>
      </c>
      <c r="L9" s="57"/>
      <c r="M9" s="57"/>
      <c r="N9" s="57"/>
      <c r="O9" s="57"/>
      <c r="P9" s="57"/>
      <c r="Q9" s="57"/>
      <c r="R9" s="57"/>
      <c r="T9" s="192">
        <v>1995</v>
      </c>
      <c r="U9" s="30">
        <v>9638</v>
      </c>
      <c r="V9" s="30">
        <v>326006000</v>
      </c>
      <c r="W9" s="30">
        <v>7341836000</v>
      </c>
      <c r="X9" s="30">
        <v>4111206000</v>
      </c>
      <c r="Y9" s="30">
        <v>44717</v>
      </c>
      <c r="Z9" s="30">
        <v>1764048000</v>
      </c>
      <c r="AA9" s="30">
        <v>8101745000</v>
      </c>
      <c r="AB9" s="30">
        <v>4113855000</v>
      </c>
    </row>
    <row r="10" spans="1:28">
      <c r="A10" s="66">
        <v>1996</v>
      </c>
      <c r="B10" s="30">
        <f t="shared" si="0"/>
        <v>9614</v>
      </c>
      <c r="C10" s="30">
        <f t="shared" si="1"/>
        <v>456818.59787809447</v>
      </c>
      <c r="D10" s="31">
        <f t="shared" si="2"/>
        <v>4.7822966507177034</v>
      </c>
      <c r="I10" s="64" t="s">
        <v>1784</v>
      </c>
      <c r="J10" s="64" t="s">
        <v>1785</v>
      </c>
      <c r="L10" s="57"/>
      <c r="M10" s="57"/>
      <c r="N10" s="57"/>
      <c r="O10" s="57"/>
      <c r="P10" s="57"/>
      <c r="Q10" s="57"/>
      <c r="R10" s="57"/>
      <c r="T10" s="192">
        <v>1996</v>
      </c>
      <c r="U10" s="30">
        <v>9614</v>
      </c>
      <c r="V10" s="30">
        <v>333760000</v>
      </c>
      <c r="W10" s="30">
        <v>7672012000</v>
      </c>
      <c r="X10" s="30">
        <v>4391854000</v>
      </c>
      <c r="Y10" s="30">
        <v>45977</v>
      </c>
      <c r="Z10" s="30">
        <v>1831750000</v>
      </c>
      <c r="AA10" s="30">
        <v>8374302000</v>
      </c>
      <c r="AB10" s="30">
        <v>4383781000</v>
      </c>
    </row>
    <row r="11" spans="1:28">
      <c r="A11" s="66">
        <v>1997</v>
      </c>
      <c r="B11" s="30">
        <f t="shared" si="0"/>
        <v>8958</v>
      </c>
      <c r="C11" s="30">
        <f t="shared" si="1"/>
        <v>467734.31569546775</v>
      </c>
      <c r="D11" s="31">
        <f t="shared" si="2"/>
        <v>5.2258316588524227</v>
      </c>
      <c r="J11" s="64" t="s">
        <v>1786</v>
      </c>
      <c r="L11" s="57"/>
      <c r="M11" s="57"/>
      <c r="N11" s="57"/>
      <c r="O11" s="57"/>
      <c r="P11" s="57"/>
      <c r="Q11" s="57"/>
      <c r="R11" s="57"/>
      <c r="T11" s="192">
        <v>1997</v>
      </c>
      <c r="U11" s="30">
        <v>8958</v>
      </c>
      <c r="V11" s="30">
        <v>360106000</v>
      </c>
      <c r="W11" s="30">
        <v>7917927000</v>
      </c>
      <c r="X11" s="30">
        <v>4189964000</v>
      </c>
      <c r="Y11" s="30">
        <v>46813</v>
      </c>
      <c r="Z11" s="30">
        <v>1870701000</v>
      </c>
      <c r="AA11" s="30">
        <v>8630010000</v>
      </c>
      <c r="AB11" s="30">
        <v>4193083000</v>
      </c>
    </row>
    <row r="12" spans="1:28">
      <c r="A12" s="66">
        <v>1998</v>
      </c>
      <c r="B12" s="30">
        <f t="shared" si="0"/>
        <v>8364</v>
      </c>
      <c r="C12" s="30">
        <f t="shared" si="1"/>
        <v>524015.18412242946</v>
      </c>
      <c r="D12" s="31">
        <f t="shared" si="2"/>
        <v>5.8625059780009563</v>
      </c>
      <c r="I12" s="64">
        <v>2004</v>
      </c>
      <c r="J12" s="64">
        <v>14597043</v>
      </c>
      <c r="L12" s="57"/>
      <c r="M12" s="57"/>
      <c r="N12" s="57"/>
      <c r="O12" s="57"/>
      <c r="P12" s="57"/>
      <c r="Q12" s="57"/>
      <c r="R12" s="57"/>
      <c r="T12" s="192">
        <v>1998</v>
      </c>
      <c r="U12" s="30">
        <v>8364</v>
      </c>
      <c r="V12" s="30">
        <v>329385000</v>
      </c>
      <c r="W12" s="30">
        <v>7148310000</v>
      </c>
      <c r="X12" s="30">
        <v>4382863000</v>
      </c>
      <c r="Y12" s="30">
        <v>49034</v>
      </c>
      <c r="Z12" s="30">
        <v>1835609000</v>
      </c>
      <c r="AA12" s="30">
        <v>7934854000</v>
      </c>
      <c r="AB12" s="30">
        <v>4341988000</v>
      </c>
    </row>
    <row r="13" spans="1:28" ht="15.75" thickBot="1">
      <c r="A13" s="171">
        <v>1999</v>
      </c>
      <c r="B13" s="184">
        <f t="shared" si="0"/>
        <v>9541</v>
      </c>
      <c r="C13" s="184">
        <f t="shared" si="1"/>
        <v>480605.70170841628</v>
      </c>
      <c r="D13" s="190">
        <f t="shared" si="2"/>
        <v>4.8585053977570487</v>
      </c>
      <c r="I13" s="64">
        <v>2005</v>
      </c>
      <c r="J13" s="64">
        <v>14895755</v>
      </c>
      <c r="L13" s="57"/>
      <c r="M13" s="57"/>
      <c r="N13" s="57"/>
      <c r="O13" s="57"/>
      <c r="P13" s="57"/>
      <c r="Q13" s="57"/>
      <c r="R13" s="57"/>
      <c r="T13" s="192">
        <v>1999</v>
      </c>
      <c r="U13" s="30">
        <v>9541</v>
      </c>
      <c r="V13" s="30">
        <v>291709000</v>
      </c>
      <c r="W13" s="30">
        <v>6961809000</v>
      </c>
      <c r="X13" s="30">
        <v>4585459000</v>
      </c>
      <c r="Y13" s="30">
        <v>46355</v>
      </c>
      <c r="Z13" s="30">
        <v>1721811000</v>
      </c>
      <c r="AA13" s="30">
        <v>8265393000</v>
      </c>
      <c r="AB13" s="30">
        <v>4652769000</v>
      </c>
    </row>
    <row r="14" spans="1:28">
      <c r="A14" s="66">
        <v>2000</v>
      </c>
      <c r="B14" s="30" t="str">
        <f t="shared" si="0"/>
        <v>x</v>
      </c>
      <c r="C14" s="30" t="s">
        <v>22</v>
      </c>
      <c r="D14" s="30" t="s">
        <v>22</v>
      </c>
      <c r="I14" s="64">
        <v>2006</v>
      </c>
      <c r="J14" s="64">
        <v>13967449</v>
      </c>
      <c r="L14" s="57"/>
      <c r="M14" s="57"/>
      <c r="N14" s="57"/>
      <c r="O14" s="57"/>
      <c r="P14" s="57"/>
      <c r="Q14" s="57"/>
      <c r="R14" s="57"/>
      <c r="T14" s="192">
        <v>2000</v>
      </c>
      <c r="U14" s="30" t="s">
        <v>188</v>
      </c>
      <c r="V14" s="30">
        <v>319832000</v>
      </c>
      <c r="W14" s="30">
        <v>7496117000</v>
      </c>
      <c r="X14" s="30">
        <v>4807942000</v>
      </c>
      <c r="Y14" s="30">
        <v>53893</v>
      </c>
      <c r="Z14" s="30">
        <v>1919210000</v>
      </c>
      <c r="AA14" s="30">
        <v>8282883000</v>
      </c>
      <c r="AB14" s="30">
        <v>4745218000</v>
      </c>
    </row>
    <row r="15" spans="1:28">
      <c r="A15" s="66">
        <v>2001</v>
      </c>
      <c r="B15" s="30" t="str">
        <f t="shared" si="0"/>
        <v>x</v>
      </c>
      <c r="C15" s="30" t="s">
        <v>22</v>
      </c>
      <c r="D15" s="30" t="s">
        <v>22</v>
      </c>
      <c r="I15" s="64">
        <v>2007</v>
      </c>
      <c r="J15" s="64">
        <v>12756544</v>
      </c>
      <c r="L15" s="57"/>
      <c r="M15" s="57"/>
      <c r="N15" s="57"/>
      <c r="O15" s="57"/>
      <c r="P15" s="57"/>
      <c r="Q15" s="57"/>
      <c r="R15" s="57"/>
      <c r="T15" s="192">
        <v>2001</v>
      </c>
      <c r="U15" s="30" t="s">
        <v>188</v>
      </c>
      <c r="V15" s="30">
        <v>351578000</v>
      </c>
      <c r="W15" s="30">
        <v>6873572000</v>
      </c>
      <c r="X15" s="30">
        <v>5444146000</v>
      </c>
      <c r="Y15" s="30">
        <v>53214</v>
      </c>
      <c r="Z15" s="30">
        <v>2073903000</v>
      </c>
      <c r="AA15" s="30">
        <v>7602638000</v>
      </c>
      <c r="AB15" s="30">
        <v>5670204000</v>
      </c>
    </row>
    <row r="16" spans="1:28">
      <c r="A16" s="66">
        <v>2002</v>
      </c>
      <c r="B16" s="30" t="str">
        <f t="shared" si="0"/>
        <v>x</v>
      </c>
      <c r="C16" s="30" t="s">
        <v>22</v>
      </c>
      <c r="D16" s="30" t="s">
        <v>22</v>
      </c>
      <c r="I16" s="64">
        <v>2008</v>
      </c>
      <c r="J16" s="64">
        <v>10800420</v>
      </c>
      <c r="L16" s="57"/>
      <c r="M16" s="57"/>
      <c r="N16" s="57"/>
      <c r="O16" s="57"/>
      <c r="P16" s="57"/>
      <c r="Q16" s="57"/>
      <c r="R16" s="57"/>
      <c r="T16" s="192">
        <v>2002</v>
      </c>
      <c r="U16" s="30" t="s">
        <v>188</v>
      </c>
      <c r="V16" s="30">
        <v>352123000</v>
      </c>
      <c r="W16" s="30">
        <v>7760002000</v>
      </c>
      <c r="X16" s="30">
        <v>4254748000</v>
      </c>
      <c r="Y16" s="30">
        <v>50626</v>
      </c>
      <c r="Z16" s="30">
        <v>2076934000</v>
      </c>
      <c r="AA16" s="30">
        <v>8687115000</v>
      </c>
      <c r="AB16" s="30">
        <v>4361049000</v>
      </c>
    </row>
    <row r="17" spans="1:28" ht="15.75" thickBot="1">
      <c r="A17" s="171">
        <v>2003</v>
      </c>
      <c r="B17" s="184" t="str">
        <f t="shared" si="0"/>
        <v>x</v>
      </c>
      <c r="C17" s="184" t="s">
        <v>22</v>
      </c>
      <c r="D17" s="184" t="s">
        <v>22</v>
      </c>
      <c r="I17" s="64">
        <v>2009</v>
      </c>
      <c r="J17" s="64">
        <v>7859127</v>
      </c>
      <c r="L17" s="57"/>
      <c r="M17" s="57"/>
      <c r="N17" s="57"/>
      <c r="O17" s="57"/>
      <c r="P17" s="57"/>
      <c r="Q17" s="57"/>
      <c r="R17" s="57"/>
      <c r="T17" s="192">
        <v>2003</v>
      </c>
      <c r="U17" s="30" t="s">
        <v>188</v>
      </c>
      <c r="V17" s="30">
        <v>452526000</v>
      </c>
      <c r="W17" s="30">
        <v>7893367000</v>
      </c>
      <c r="X17" s="30">
        <v>3788545000</v>
      </c>
      <c r="Y17" s="30">
        <v>45574</v>
      </c>
      <c r="Z17" s="30">
        <v>1891702000</v>
      </c>
      <c r="AA17" s="30">
        <v>8880816000</v>
      </c>
      <c r="AB17" s="30">
        <v>3941501000</v>
      </c>
    </row>
    <row r="18" spans="1:28">
      <c r="A18" s="66">
        <v>2004</v>
      </c>
      <c r="B18" s="30">
        <v>10293</v>
      </c>
      <c r="C18" s="30">
        <f>(Q18/B18)*1000</f>
        <v>539464.19897017395</v>
      </c>
      <c r="D18" s="31">
        <f>O18/B18</f>
        <v>4.7793646167298167</v>
      </c>
      <c r="I18" s="64">
        <v>2010</v>
      </c>
      <c r="J18" s="64">
        <v>7937225</v>
      </c>
      <c r="K18" s="66">
        <v>2004</v>
      </c>
      <c r="L18" s="56">
        <v>14939973</v>
      </c>
      <c r="M18" s="56">
        <v>2604824</v>
      </c>
      <c r="N18" s="56">
        <v>7877731</v>
      </c>
      <c r="O18" s="56">
        <v>49194</v>
      </c>
      <c r="P18" s="56">
        <v>14597043</v>
      </c>
      <c r="Q18" s="56">
        <v>5552705</v>
      </c>
      <c r="R18" s="56">
        <v>761685</v>
      </c>
      <c r="S18" s="30">
        <v>10293</v>
      </c>
    </row>
    <row r="19" spans="1:28">
      <c r="A19" s="66">
        <v>2005</v>
      </c>
      <c r="B19" s="30">
        <v>14567</v>
      </c>
      <c r="C19" s="30">
        <f t="shared" ref="C19:C24" si="3">(Q19/B19)*1000</f>
        <v>394314.82117114024</v>
      </c>
      <c r="D19" s="31">
        <f>O19/B19</f>
        <v>3.5850895860506626</v>
      </c>
      <c r="I19" s="64">
        <v>2011</v>
      </c>
      <c r="J19" s="64">
        <v>8901302</v>
      </c>
      <c r="K19" s="66">
        <v>2005</v>
      </c>
      <c r="L19" s="56">
        <v>15427027</v>
      </c>
      <c r="M19" s="56">
        <v>2666773</v>
      </c>
      <c r="N19" s="56">
        <v>7953413</v>
      </c>
      <c r="O19" s="56">
        <v>52224</v>
      </c>
      <c r="P19" s="56">
        <v>14895755</v>
      </c>
      <c r="Q19" s="56">
        <v>5743984</v>
      </c>
      <c r="R19" s="56">
        <v>859144</v>
      </c>
      <c r="S19" s="30">
        <v>14567</v>
      </c>
    </row>
    <row r="20" spans="1:28">
      <c r="A20" s="66">
        <v>2006</v>
      </c>
      <c r="B20" s="30">
        <v>13780</v>
      </c>
      <c r="C20" s="30">
        <f t="shared" si="3"/>
        <v>390991.94484760525</v>
      </c>
      <c r="D20" s="31">
        <f>O20/B20</f>
        <v>3.4947024673439766</v>
      </c>
      <c r="K20" s="66">
        <v>2006</v>
      </c>
      <c r="L20" s="56">
        <v>14452150</v>
      </c>
      <c r="M20" s="56">
        <v>2404325</v>
      </c>
      <c r="N20" s="56">
        <v>7521240</v>
      </c>
      <c r="O20" s="56">
        <v>48157</v>
      </c>
      <c r="P20" s="56">
        <v>13967449</v>
      </c>
      <c r="Q20" s="56">
        <v>5387869</v>
      </c>
      <c r="R20" s="56">
        <v>808572</v>
      </c>
      <c r="S20" s="30">
        <v>13780</v>
      </c>
    </row>
    <row r="21" spans="1:28">
      <c r="A21" s="66">
        <v>2007</v>
      </c>
      <c r="B21" s="30">
        <v>13638</v>
      </c>
      <c r="C21" s="30">
        <f t="shared" si="3"/>
        <v>349450.8725619592</v>
      </c>
      <c r="D21" s="31">
        <f t="shared" ref="D21:D24" si="4">O21/B21</f>
        <v>3.4793958058366328</v>
      </c>
      <c r="K21" s="66"/>
      <c r="L21" s="56">
        <v>12789871</v>
      </c>
      <c r="M21" s="56">
        <v>2261183</v>
      </c>
      <c r="N21" s="56">
        <v>6443776</v>
      </c>
      <c r="O21" s="56">
        <v>47452</v>
      </c>
      <c r="P21" s="56">
        <v>12756544</v>
      </c>
      <c r="Q21" s="56">
        <v>4765811</v>
      </c>
      <c r="R21" s="56">
        <v>764836</v>
      </c>
      <c r="S21" s="30">
        <v>13638</v>
      </c>
    </row>
    <row r="22" spans="1:28">
      <c r="A22" s="66">
        <v>2008</v>
      </c>
      <c r="B22" s="30">
        <v>13299</v>
      </c>
      <c r="C22" s="30">
        <f t="shared" si="3"/>
        <v>302120.68576584704</v>
      </c>
      <c r="D22" s="31">
        <f t="shared" si="4"/>
        <v>3.2551319648093844</v>
      </c>
      <c r="K22" s="66"/>
      <c r="L22" s="56">
        <v>10457271</v>
      </c>
      <c r="M22" s="56">
        <v>1971323</v>
      </c>
      <c r="N22" s="56">
        <v>5328823</v>
      </c>
      <c r="O22" s="56">
        <v>43290</v>
      </c>
      <c r="P22" s="56">
        <v>10800420</v>
      </c>
      <c r="Q22" s="56">
        <v>4017903</v>
      </c>
      <c r="R22" s="56">
        <v>738117</v>
      </c>
      <c r="S22" s="30">
        <v>13299</v>
      </c>
    </row>
    <row r="23" spans="1:28">
      <c r="A23" s="66">
        <v>2009</v>
      </c>
      <c r="B23" s="30">
        <v>12465</v>
      </c>
      <c r="C23" s="30">
        <f t="shared" si="3"/>
        <v>258049.57882069793</v>
      </c>
      <c r="D23" s="31">
        <f t="shared" si="4"/>
        <v>2.5574809466506219</v>
      </c>
      <c r="K23" s="66"/>
      <c r="L23" s="56">
        <v>7848534</v>
      </c>
      <c r="M23" s="56">
        <v>1349681</v>
      </c>
      <c r="N23" s="56">
        <v>3803488</v>
      </c>
      <c r="O23" s="56">
        <v>31879</v>
      </c>
      <c r="P23" s="56">
        <v>7859127</v>
      </c>
      <c r="Q23" s="56">
        <v>3216588</v>
      </c>
      <c r="R23" s="56">
        <v>562121</v>
      </c>
      <c r="S23" s="30">
        <v>12465</v>
      </c>
    </row>
    <row r="24" spans="1:28">
      <c r="A24" s="66">
        <v>2010</v>
      </c>
      <c r="B24" s="30">
        <v>12154</v>
      </c>
      <c r="C24" s="30">
        <f t="shared" si="3"/>
        <v>262764.27513575775</v>
      </c>
      <c r="D24" s="31">
        <f t="shared" si="4"/>
        <v>2.5833470462399211</v>
      </c>
      <c r="K24" s="66"/>
      <c r="L24" s="56">
        <v>8074264</v>
      </c>
      <c r="M24" s="56">
        <v>1308833</v>
      </c>
      <c r="N24" s="56">
        <v>4008965</v>
      </c>
      <c r="O24" s="56">
        <v>31398</v>
      </c>
      <c r="P24" s="56">
        <v>7937225</v>
      </c>
      <c r="Q24" s="56">
        <v>3193637</v>
      </c>
      <c r="R24" s="56">
        <v>564823</v>
      </c>
      <c r="S24" s="30">
        <v>12154</v>
      </c>
    </row>
    <row r="26" spans="1:28">
      <c r="A26" s="104" t="s">
        <v>500</v>
      </c>
      <c r="B26" s="104"/>
      <c r="C26" s="104"/>
      <c r="D26" s="104"/>
    </row>
    <row r="27" spans="1:28">
      <c r="A27" s="104" t="s">
        <v>1549</v>
      </c>
      <c r="B27" s="104"/>
      <c r="C27" s="104"/>
      <c r="D27" s="104"/>
      <c r="K27" s="66"/>
    </row>
    <row r="28" spans="1:28" ht="30" customHeight="1">
      <c r="A28" s="104" t="s">
        <v>2017</v>
      </c>
      <c r="B28" s="104"/>
      <c r="C28" s="104"/>
      <c r="D28" s="104"/>
    </row>
    <row r="29" spans="1:28">
      <c r="A29" s="104"/>
      <c r="B29" s="104"/>
      <c r="C29" s="104"/>
      <c r="D29" s="104"/>
    </row>
    <row r="30" spans="1:28">
      <c r="A30" s="104" t="s">
        <v>773</v>
      </c>
      <c r="B30" s="104"/>
      <c r="C30" s="104"/>
      <c r="D30" s="104"/>
    </row>
    <row r="31" spans="1:28" ht="30" customHeight="1">
      <c r="A31" s="104" t="s">
        <v>1771</v>
      </c>
      <c r="B31" s="104"/>
      <c r="C31" s="104"/>
      <c r="D31" s="104"/>
    </row>
    <row r="34" spans="1:1">
      <c r="A34" s="64" t="s">
        <v>1521</v>
      </c>
    </row>
    <row r="35" spans="1:1">
      <c r="A35" s="64" t="s">
        <v>1522</v>
      </c>
    </row>
    <row r="37" spans="1:1">
      <c r="A37" s="64" t="s">
        <v>1523</v>
      </c>
    </row>
    <row r="38" spans="1:1">
      <c r="A38" s="64" t="s">
        <v>1524</v>
      </c>
    </row>
    <row r="40" spans="1:1">
      <c r="A40" s="64" t="s">
        <v>1525</v>
      </c>
    </row>
    <row r="41" spans="1:1">
      <c r="A41" s="64" t="s">
        <v>1526</v>
      </c>
    </row>
    <row r="43" spans="1:1">
      <c r="A43" s="64" t="s">
        <v>1527</v>
      </c>
    </row>
    <row r="44" spans="1:1">
      <c r="A44" s="64" t="s">
        <v>1528</v>
      </c>
    </row>
    <row r="46" spans="1:1">
      <c r="A46" s="64" t="s">
        <v>1529</v>
      </c>
    </row>
    <row r="47" spans="1:1">
      <c r="A47" s="64" t="s">
        <v>1530</v>
      </c>
    </row>
    <row r="49" spans="1:1">
      <c r="A49" s="64" t="s">
        <v>1531</v>
      </c>
    </row>
    <row r="50" spans="1:1">
      <c r="A50" s="64" t="s">
        <v>1532</v>
      </c>
    </row>
    <row r="53" spans="1:1">
      <c r="A53" s="64" t="s">
        <v>1533</v>
      </c>
    </row>
    <row r="54" spans="1:1">
      <c r="A54" s="64" t="s">
        <v>1534</v>
      </c>
    </row>
    <row r="55" spans="1:1">
      <c r="A55" s="64" t="s">
        <v>1535</v>
      </c>
    </row>
    <row r="56" spans="1:1">
      <c r="A56" s="64" t="s">
        <v>1536</v>
      </c>
    </row>
    <row r="57" spans="1:1">
      <c r="A57" s="64" t="s">
        <v>1537</v>
      </c>
    </row>
    <row r="60" spans="1:1">
      <c r="A60" s="64" t="s">
        <v>1555</v>
      </c>
    </row>
    <row r="61" spans="1:1">
      <c r="A61" s="64" t="s">
        <v>1550</v>
      </c>
    </row>
    <row r="63" spans="1:1">
      <c r="A63" s="64" t="s">
        <v>1551</v>
      </c>
    </row>
    <row r="64" spans="1:1">
      <c r="A64" s="64" t="s">
        <v>1552</v>
      </c>
    </row>
    <row r="65" spans="1:1">
      <c r="A65" s="64" t="s">
        <v>1553</v>
      </c>
    </row>
    <row r="66" spans="1:1">
      <c r="A66" s="64" t="s">
        <v>1554</v>
      </c>
    </row>
  </sheetData>
  <mergeCells count="7">
    <mergeCell ref="A30:D30"/>
    <mergeCell ref="A31:D31"/>
    <mergeCell ref="A1:D1"/>
    <mergeCell ref="A26:D26"/>
    <mergeCell ref="A27:D27"/>
    <mergeCell ref="A28:D28"/>
    <mergeCell ref="A29:D29"/>
  </mergeCells>
  <pageMargins left="0.7" right="0.7" top="0.75" bottom="0.75" header="0.3" footer="0.3"/>
  <pageSetup orientation="portrait" horizontalDpi="0" verticalDpi="0" r:id="rId1"/>
</worksheet>
</file>

<file path=xl/worksheets/sheet133.xml><?xml version="1.0" encoding="utf-8"?>
<worksheet xmlns="http://schemas.openxmlformats.org/spreadsheetml/2006/main" xmlns:r="http://schemas.openxmlformats.org/officeDocument/2006/relationships">
  <sheetPr codeName="Sheet126"/>
  <dimension ref="A1:Z39"/>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9.140625" style="64"/>
    <col min="2" max="2" width="14.28515625" style="64" customWidth="1"/>
    <col min="3" max="3" width="16.7109375" style="64" customWidth="1"/>
    <col min="4" max="4" width="16" style="64" customWidth="1"/>
    <col min="5" max="11" width="9.140625" style="64"/>
    <col min="12" max="12" width="12.28515625" style="64" hidden="1" customWidth="1" outlineLevel="1"/>
    <col min="13" max="18" width="15.140625" style="64" hidden="1" customWidth="1" outlineLevel="1"/>
    <col min="19" max="19" width="9.140625" style="64" hidden="1" customWidth="1" outlineLevel="1"/>
    <col min="20" max="21" width="12.5703125" style="64" hidden="1" customWidth="1" outlineLevel="1"/>
    <col min="22" max="22" width="14" style="64" hidden="1" customWidth="1" outlineLevel="1"/>
    <col min="23" max="24" width="12.5703125" style="64" hidden="1" customWidth="1" outlineLevel="1"/>
    <col min="25" max="25" width="15.7109375" style="64" hidden="1" customWidth="1" outlineLevel="1"/>
    <col min="26" max="26" width="9.140625" style="64" collapsed="1"/>
    <col min="27" max="16384" width="9.140625" style="64"/>
  </cols>
  <sheetData>
    <row r="1" spans="1:25" ht="30.75" customHeight="1">
      <c r="A1" s="93" t="s">
        <v>2015</v>
      </c>
      <c r="B1" s="93"/>
      <c r="C1" s="93"/>
      <c r="D1" s="93"/>
    </row>
    <row r="2" spans="1:25" ht="75">
      <c r="B2" s="72" t="s">
        <v>1488</v>
      </c>
      <c r="C2" s="72" t="s">
        <v>1489</v>
      </c>
      <c r="D2" s="72" t="s">
        <v>1490</v>
      </c>
      <c r="L2" s="117" t="s">
        <v>1475</v>
      </c>
      <c r="M2" s="117" t="s">
        <v>1463</v>
      </c>
      <c r="N2" s="117" t="s">
        <v>1464</v>
      </c>
      <c r="O2" s="117" t="s">
        <v>1465</v>
      </c>
      <c r="P2" s="117" t="s">
        <v>1466</v>
      </c>
      <c r="Q2" s="117" t="s">
        <v>1467</v>
      </c>
      <c r="R2" s="117" t="s">
        <v>1474</v>
      </c>
      <c r="T2" s="117" t="s">
        <v>1477</v>
      </c>
      <c r="U2" s="117" t="s">
        <v>1478</v>
      </c>
      <c r="V2" s="117" t="s">
        <v>1474</v>
      </c>
      <c r="W2" s="117" t="s">
        <v>1479</v>
      </c>
      <c r="X2" s="117" t="s">
        <v>1480</v>
      </c>
      <c r="Y2" s="117" t="s">
        <v>1481</v>
      </c>
    </row>
    <row r="3" spans="1:25" hidden="1" outlineLevel="1">
      <c r="L3" s="135" t="s">
        <v>1476</v>
      </c>
      <c r="M3" s="135" t="s">
        <v>1468</v>
      </c>
      <c r="N3" s="135" t="s">
        <v>1469</v>
      </c>
      <c r="O3" s="135" t="s">
        <v>1470</v>
      </c>
      <c r="P3" s="188" t="s">
        <v>1471</v>
      </c>
      <c r="Q3" s="135" t="s">
        <v>1472</v>
      </c>
      <c r="R3" s="135" t="s">
        <v>1473</v>
      </c>
      <c r="T3" s="64" t="s">
        <v>1482</v>
      </c>
      <c r="U3" s="64" t="s">
        <v>1483</v>
      </c>
      <c r="V3" s="64" t="s">
        <v>1484</v>
      </c>
      <c r="W3" s="64" t="s">
        <v>1485</v>
      </c>
      <c r="X3" s="64" t="s">
        <v>1486</v>
      </c>
      <c r="Y3" s="64" t="s">
        <v>1487</v>
      </c>
    </row>
    <row r="4" spans="1:25" collapsed="1">
      <c r="A4" s="66">
        <v>1990</v>
      </c>
      <c r="B4" s="30">
        <f>T4</f>
        <v>2653</v>
      </c>
      <c r="C4" s="67">
        <f>V4/T4/1000000</f>
        <v>1.9613520542781755</v>
      </c>
      <c r="D4" s="31">
        <f>W4/T4</f>
        <v>39.325292122125894</v>
      </c>
      <c r="T4" s="30">
        <v>2653</v>
      </c>
      <c r="U4" s="30">
        <v>394435000</v>
      </c>
      <c r="V4" s="30">
        <v>5203467000</v>
      </c>
      <c r="W4" s="30">
        <v>104330</v>
      </c>
      <c r="X4" s="30">
        <v>3292025000</v>
      </c>
      <c r="Y4" s="30">
        <v>5285392000</v>
      </c>
    </row>
    <row r="5" spans="1:25">
      <c r="A5" s="66">
        <v>1991</v>
      </c>
      <c r="B5" s="30">
        <f t="shared" ref="B5:B17" si="0">T5</f>
        <v>2409</v>
      </c>
      <c r="C5" s="67">
        <f t="shared" ref="C5:C17" si="1">V5/T5/1000000</f>
        <v>1.8978783727687838</v>
      </c>
      <c r="D5" s="31">
        <f t="shared" ref="D5:D17" si="2">W5/T5</f>
        <v>37.925280199252803</v>
      </c>
      <c r="T5" s="30">
        <v>2409</v>
      </c>
      <c r="U5" s="30">
        <v>382875000</v>
      </c>
      <c r="V5" s="30">
        <v>4571989000</v>
      </c>
      <c r="W5" s="30">
        <v>91362</v>
      </c>
      <c r="X5" s="30">
        <v>2980704000</v>
      </c>
      <c r="Y5" s="30">
        <v>4648893000</v>
      </c>
    </row>
    <row r="6" spans="1:25">
      <c r="A6" s="66">
        <v>1992</v>
      </c>
      <c r="B6" s="30">
        <f t="shared" si="0"/>
        <v>2285</v>
      </c>
      <c r="C6" s="67">
        <f t="shared" si="1"/>
        <v>2.4863098468271336</v>
      </c>
      <c r="D6" s="31">
        <f t="shared" si="2"/>
        <v>41.810065645514221</v>
      </c>
      <c r="T6" s="30">
        <v>2285</v>
      </c>
      <c r="U6" s="30">
        <v>426897000</v>
      </c>
      <c r="V6" s="30">
        <v>5681218000</v>
      </c>
      <c r="W6" s="30">
        <v>95536</v>
      </c>
      <c r="X6" s="30">
        <v>3200852000</v>
      </c>
      <c r="Y6" s="30">
        <v>5757387000</v>
      </c>
    </row>
    <row r="7" spans="1:25">
      <c r="A7" s="66">
        <v>1993</v>
      </c>
      <c r="B7" s="30">
        <f t="shared" si="0"/>
        <v>2202</v>
      </c>
      <c r="C7" s="67">
        <f t="shared" si="1"/>
        <v>3.6101598546775659</v>
      </c>
      <c r="D7" s="31">
        <f t="shared" si="2"/>
        <v>46.228882833787466</v>
      </c>
      <c r="T7" s="30">
        <v>2202</v>
      </c>
      <c r="U7" s="30">
        <v>454920000</v>
      </c>
      <c r="V7" s="30">
        <v>7949572000</v>
      </c>
      <c r="W7" s="30">
        <v>101796</v>
      </c>
      <c r="X7" s="30">
        <v>3498939000</v>
      </c>
      <c r="Y7" s="30">
        <v>8026868000</v>
      </c>
    </row>
    <row r="8" spans="1:25">
      <c r="A8" s="66">
        <v>1994</v>
      </c>
      <c r="B8" s="30">
        <f t="shared" si="0"/>
        <v>2206</v>
      </c>
      <c r="C8" s="67">
        <f t="shared" si="1"/>
        <v>4.394306890299184</v>
      </c>
      <c r="D8" s="31">
        <f t="shared" si="2"/>
        <v>49.52311876699909</v>
      </c>
      <c r="T8" s="30">
        <v>2206</v>
      </c>
      <c r="U8" s="30">
        <v>509253000</v>
      </c>
      <c r="V8" s="30">
        <v>9693841000</v>
      </c>
      <c r="W8" s="30">
        <v>109248</v>
      </c>
      <c r="X8" s="30">
        <v>3885541000</v>
      </c>
      <c r="Y8" s="30">
        <v>9794154000</v>
      </c>
    </row>
    <row r="9" spans="1:25">
      <c r="A9" s="66">
        <v>1995</v>
      </c>
      <c r="B9" s="30">
        <f t="shared" si="0"/>
        <v>2237</v>
      </c>
      <c r="C9" s="67">
        <f t="shared" si="1"/>
        <v>3.7780160929816717</v>
      </c>
      <c r="D9" s="31">
        <f t="shared" si="2"/>
        <v>49.141707644166296</v>
      </c>
      <c r="T9" s="30">
        <v>2237</v>
      </c>
      <c r="U9" s="30">
        <v>527813000</v>
      </c>
      <c r="V9" s="30">
        <v>8451422000</v>
      </c>
      <c r="W9" s="30">
        <v>109930</v>
      </c>
      <c r="X9" s="30">
        <v>4080550000</v>
      </c>
      <c r="Y9" s="30">
        <v>8503961000</v>
      </c>
    </row>
    <row r="10" spans="1:25">
      <c r="A10" s="66">
        <v>1996</v>
      </c>
      <c r="B10" s="30">
        <f t="shared" si="0"/>
        <v>2448</v>
      </c>
      <c r="C10" s="67">
        <f t="shared" si="1"/>
        <v>3.7710727124183006</v>
      </c>
      <c r="D10" s="31">
        <f t="shared" si="2"/>
        <v>46.966094771241828</v>
      </c>
      <c r="T10" s="30">
        <v>2448</v>
      </c>
      <c r="U10" s="30">
        <v>563491000</v>
      </c>
      <c r="V10" s="30">
        <v>9231586000</v>
      </c>
      <c r="W10" s="30">
        <v>114973</v>
      </c>
      <c r="X10" s="30">
        <v>4223193000</v>
      </c>
      <c r="Y10" s="30">
        <v>9297551000</v>
      </c>
    </row>
    <row r="11" spans="1:25">
      <c r="A11" s="66">
        <v>1997</v>
      </c>
      <c r="B11" s="30">
        <f t="shared" si="0"/>
        <v>2350</v>
      </c>
      <c r="C11" s="67">
        <f t="shared" si="1"/>
        <v>4.114903404255319</v>
      </c>
      <c r="D11" s="31">
        <f t="shared" si="2"/>
        <v>51.089361702127661</v>
      </c>
      <c r="T11" s="30">
        <v>2350</v>
      </c>
      <c r="U11" s="30">
        <v>614391000</v>
      </c>
      <c r="V11" s="30">
        <v>9670023000</v>
      </c>
      <c r="W11" s="30">
        <v>120060</v>
      </c>
      <c r="X11" s="30">
        <v>4470309000</v>
      </c>
      <c r="Y11" s="30">
        <v>9772182000</v>
      </c>
    </row>
    <row r="12" spans="1:25">
      <c r="A12" s="66">
        <v>1998</v>
      </c>
      <c r="B12" s="30">
        <f t="shared" si="0"/>
        <v>2326</v>
      </c>
      <c r="C12" s="67">
        <f t="shared" si="1"/>
        <v>4.1774948409286328</v>
      </c>
      <c r="D12" s="31">
        <f t="shared" si="2"/>
        <v>52.99742046431642</v>
      </c>
      <c r="T12" s="30">
        <v>2326</v>
      </c>
      <c r="U12" s="30">
        <v>637843000</v>
      </c>
      <c r="V12" s="30">
        <v>9716853000</v>
      </c>
      <c r="W12" s="30">
        <v>123272</v>
      </c>
      <c r="X12" s="30">
        <v>4500077000</v>
      </c>
      <c r="Y12" s="30">
        <v>9458367000</v>
      </c>
    </row>
    <row r="13" spans="1:25" ht="15.75" thickBot="1">
      <c r="A13" s="171">
        <v>1999</v>
      </c>
      <c r="B13" s="184">
        <f t="shared" si="0"/>
        <v>2144</v>
      </c>
      <c r="C13" s="189">
        <f t="shared" si="1"/>
        <v>5.7863055037313433</v>
      </c>
      <c r="D13" s="190">
        <f t="shared" si="2"/>
        <v>59.391324626865675</v>
      </c>
      <c r="T13" s="30">
        <v>2144</v>
      </c>
      <c r="U13" s="30">
        <v>687153000</v>
      </c>
      <c r="V13" s="30">
        <v>12405839000</v>
      </c>
      <c r="W13" s="30">
        <v>127335</v>
      </c>
      <c r="X13" s="30">
        <v>4880388000</v>
      </c>
      <c r="Y13" s="30">
        <v>12960670000</v>
      </c>
    </row>
    <row r="14" spans="1:25">
      <c r="A14" s="66">
        <v>2000</v>
      </c>
      <c r="B14" s="30">
        <f t="shared" si="0"/>
        <v>3751</v>
      </c>
      <c r="C14" s="67">
        <f t="shared" si="1"/>
        <v>3.3310738469741401</v>
      </c>
      <c r="D14" s="31">
        <f t="shared" si="2"/>
        <v>35.667288723007196</v>
      </c>
      <c r="T14" s="30">
        <v>3751</v>
      </c>
      <c r="U14" s="30">
        <v>872367000</v>
      </c>
      <c r="V14" s="30">
        <v>12494858000</v>
      </c>
      <c r="W14" s="30">
        <v>133788</v>
      </c>
      <c r="X14" s="30">
        <v>5111119000</v>
      </c>
      <c r="Y14" s="30">
        <v>12754764000</v>
      </c>
    </row>
    <row r="15" spans="1:25">
      <c r="A15" s="66">
        <v>2001</v>
      </c>
      <c r="B15" s="30">
        <f t="shared" si="0"/>
        <v>3740</v>
      </c>
      <c r="C15" s="67">
        <f t="shared" si="1"/>
        <v>3.1207457219251338</v>
      </c>
      <c r="D15" s="31">
        <f t="shared" si="2"/>
        <v>34.722727272727276</v>
      </c>
      <c r="T15" s="30">
        <v>3740</v>
      </c>
      <c r="U15" s="30">
        <v>859989000</v>
      </c>
      <c r="V15" s="30">
        <v>11671589000</v>
      </c>
      <c r="W15" s="30">
        <v>129863</v>
      </c>
      <c r="X15" s="30">
        <v>5018552000</v>
      </c>
      <c r="Y15" s="30">
        <v>11926492000</v>
      </c>
    </row>
    <row r="16" spans="1:25">
      <c r="A16" s="66">
        <v>2002</v>
      </c>
      <c r="B16" s="30">
        <f t="shared" si="0"/>
        <v>3774</v>
      </c>
      <c r="C16" s="67">
        <f t="shared" si="1"/>
        <v>3.3519093799682036</v>
      </c>
      <c r="D16" s="31">
        <f t="shared" si="2"/>
        <v>35.08267090620032</v>
      </c>
      <c r="T16" s="30">
        <v>3774</v>
      </c>
      <c r="U16" s="30">
        <v>896463000</v>
      </c>
      <c r="V16" s="30">
        <v>12650106000</v>
      </c>
      <c r="W16" s="30">
        <v>132402</v>
      </c>
      <c r="X16" s="30">
        <v>5133564000</v>
      </c>
      <c r="Y16" s="30">
        <v>12805164000</v>
      </c>
    </row>
    <row r="17" spans="1:25" ht="15.75" thickBot="1">
      <c r="A17" s="171">
        <v>2003</v>
      </c>
      <c r="B17" s="184">
        <f t="shared" si="0"/>
        <v>3747</v>
      </c>
      <c r="C17" s="189">
        <f t="shared" si="1"/>
        <v>3.191390712570056</v>
      </c>
      <c r="D17" s="190">
        <f t="shared" si="2"/>
        <v>34.613023752335202</v>
      </c>
      <c r="T17" s="30">
        <v>3747</v>
      </c>
      <c r="U17" s="30">
        <v>954856000</v>
      </c>
      <c r="V17" s="30">
        <v>11958141000</v>
      </c>
      <c r="W17" s="30">
        <v>129695</v>
      </c>
      <c r="X17" s="30">
        <v>5175921000</v>
      </c>
      <c r="Y17" s="30">
        <v>12152781000</v>
      </c>
    </row>
    <row r="18" spans="1:25">
      <c r="A18" s="66">
        <v>2004</v>
      </c>
      <c r="B18" s="30">
        <f>L18</f>
        <v>6558</v>
      </c>
      <c r="C18" s="67">
        <f>R18/L18/1000</f>
        <v>2.2918400426959438</v>
      </c>
      <c r="D18" s="31">
        <f>O18/L18</f>
        <v>19.474077462641048</v>
      </c>
      <c r="L18" s="30">
        <v>6558</v>
      </c>
      <c r="M18" s="30">
        <v>37434105</v>
      </c>
      <c r="N18" s="30">
        <v>5382860000</v>
      </c>
      <c r="O18" s="30">
        <v>127711</v>
      </c>
      <c r="P18" s="30">
        <v>32867525000</v>
      </c>
      <c r="Q18" s="30">
        <v>1050652000</v>
      </c>
      <c r="R18" s="30">
        <v>15029887</v>
      </c>
    </row>
    <row r="19" spans="1:25">
      <c r="A19" s="66">
        <v>2005</v>
      </c>
      <c r="B19" s="30">
        <f t="shared" ref="B19:B24" si="3">L19</f>
        <v>5981</v>
      </c>
      <c r="C19" s="67">
        <f t="shared" ref="C19:C24" si="4">R19/L19/1000</f>
        <v>2.1148406620966393</v>
      </c>
      <c r="D19" s="31">
        <f>O19/L19</f>
        <v>20.81307473666611</v>
      </c>
      <c r="L19" s="30">
        <v>5981</v>
      </c>
      <c r="M19" s="30">
        <v>35794825</v>
      </c>
      <c r="N19" s="30">
        <v>5385426000</v>
      </c>
      <c r="O19" s="30">
        <v>124483</v>
      </c>
      <c r="P19" s="30">
        <v>33398175000</v>
      </c>
      <c r="Q19" s="30">
        <v>1102662000</v>
      </c>
      <c r="R19" s="30">
        <v>12648862</v>
      </c>
    </row>
    <row r="20" spans="1:25">
      <c r="A20" s="66">
        <v>2006</v>
      </c>
      <c r="B20" s="30">
        <f t="shared" si="3"/>
        <v>5941</v>
      </c>
      <c r="C20" s="67">
        <f t="shared" si="4"/>
        <v>1.9161018347079617</v>
      </c>
      <c r="D20" s="31">
        <f>O20/L20</f>
        <v>20.632385120350108</v>
      </c>
      <c r="L20" s="30">
        <v>5941</v>
      </c>
      <c r="M20" s="30">
        <v>33148384</v>
      </c>
      <c r="N20" s="30">
        <v>5330677000</v>
      </c>
      <c r="O20" s="30">
        <v>122577</v>
      </c>
      <c r="P20" s="30">
        <v>31944437000</v>
      </c>
      <c r="Q20" s="30">
        <v>1068148000</v>
      </c>
      <c r="R20" s="30">
        <v>11383561</v>
      </c>
    </row>
    <row r="21" spans="1:25">
      <c r="A21" s="187">
        <v>2007</v>
      </c>
      <c r="B21" s="30">
        <f t="shared" si="3"/>
        <v>6121</v>
      </c>
      <c r="C21" s="67">
        <f t="shared" si="4"/>
        <v>1.5411511190981866</v>
      </c>
      <c r="D21" s="31">
        <f t="shared" ref="D21:D24" si="5">O21/L21</f>
        <v>18.072047051135435</v>
      </c>
      <c r="L21" s="30">
        <v>6121</v>
      </c>
      <c r="M21" s="30">
        <v>28383227</v>
      </c>
      <c r="N21" s="30"/>
      <c r="O21" s="30">
        <v>110619</v>
      </c>
      <c r="P21" s="30"/>
      <c r="Q21" s="30"/>
      <c r="R21" s="30">
        <v>9433386</v>
      </c>
    </row>
    <row r="22" spans="1:25">
      <c r="A22" s="187">
        <v>2008</v>
      </c>
      <c r="B22" s="30">
        <f t="shared" si="3"/>
        <v>6060</v>
      </c>
      <c r="C22" s="67">
        <f t="shared" si="4"/>
        <v>1.3490184818481847</v>
      </c>
      <c r="D22" s="31">
        <f t="shared" si="5"/>
        <v>16.591089108910889</v>
      </c>
      <c r="L22" s="30">
        <v>6060</v>
      </c>
      <c r="M22" s="30">
        <v>23787355</v>
      </c>
      <c r="N22" s="30"/>
      <c r="O22" s="30">
        <v>100542</v>
      </c>
      <c r="P22" s="30"/>
      <c r="Q22" s="30"/>
      <c r="R22" s="30">
        <v>8175052</v>
      </c>
    </row>
    <row r="23" spans="1:25">
      <c r="A23" s="187">
        <v>2009</v>
      </c>
      <c r="B23" s="30">
        <f t="shared" si="3"/>
        <v>5835</v>
      </c>
      <c r="C23" s="67">
        <f t="shared" si="4"/>
        <v>1.1736784918594687</v>
      </c>
      <c r="D23" s="31">
        <f t="shared" si="5"/>
        <v>14.785261353898886</v>
      </c>
      <c r="L23" s="30">
        <v>5835</v>
      </c>
      <c r="M23" s="30">
        <v>19581864</v>
      </c>
      <c r="N23" s="30"/>
      <c r="O23" s="30">
        <v>86272</v>
      </c>
      <c r="P23" s="30"/>
      <c r="Q23" s="30"/>
      <c r="R23" s="30">
        <v>6848414</v>
      </c>
    </row>
    <row r="24" spans="1:25">
      <c r="A24" s="187">
        <v>2010</v>
      </c>
      <c r="B24" s="30">
        <f t="shared" si="3"/>
        <v>5776</v>
      </c>
      <c r="C24" s="67">
        <f t="shared" si="4"/>
        <v>1.3510401662049862</v>
      </c>
      <c r="D24" s="31">
        <f t="shared" si="5"/>
        <v>15.236322714681441</v>
      </c>
      <c r="L24" s="30">
        <v>5776</v>
      </c>
      <c r="M24" s="30">
        <v>21179997</v>
      </c>
      <c r="N24" s="30"/>
      <c r="O24" s="30">
        <v>88005</v>
      </c>
      <c r="P24" s="30"/>
      <c r="Q24" s="30"/>
      <c r="R24" s="30">
        <v>7803608</v>
      </c>
    </row>
    <row r="26" spans="1:25">
      <c r="A26" s="104" t="s">
        <v>500</v>
      </c>
      <c r="B26" s="104"/>
      <c r="C26" s="104"/>
      <c r="D26" s="104"/>
    </row>
    <row r="27" spans="1:25" ht="30" customHeight="1">
      <c r="A27" s="104" t="s">
        <v>1549</v>
      </c>
      <c r="B27" s="104"/>
      <c r="C27" s="104"/>
      <c r="D27" s="104"/>
    </row>
    <row r="28" spans="1:25" ht="36.75" customHeight="1">
      <c r="A28" s="104" t="s">
        <v>2014</v>
      </c>
      <c r="B28" s="104"/>
      <c r="C28" s="104"/>
      <c r="D28" s="104"/>
    </row>
    <row r="29" spans="1:25">
      <c r="A29" s="104"/>
      <c r="B29" s="104"/>
      <c r="C29" s="104"/>
      <c r="D29" s="104"/>
    </row>
    <row r="30" spans="1:25">
      <c r="A30" s="104" t="s">
        <v>773</v>
      </c>
      <c r="B30" s="104"/>
      <c r="C30" s="104"/>
      <c r="D30" s="104"/>
    </row>
    <row r="31" spans="1:25" ht="30" customHeight="1">
      <c r="A31" s="104" t="s">
        <v>1771</v>
      </c>
      <c r="B31" s="104"/>
      <c r="C31" s="104"/>
      <c r="D31" s="104"/>
    </row>
    <row r="34" spans="1:20">
      <c r="A34" s="64" t="s">
        <v>1462</v>
      </c>
    </row>
    <row r="35" spans="1:20" ht="81.75" customHeight="1">
      <c r="A35" s="191" t="s">
        <v>1457</v>
      </c>
      <c r="B35" s="191"/>
      <c r="C35" s="191"/>
      <c r="D35" s="191"/>
      <c r="E35" s="191"/>
      <c r="F35" s="191"/>
      <c r="G35" s="191"/>
      <c r="H35" s="191"/>
      <c r="I35" s="191"/>
      <c r="J35" s="191"/>
      <c r="K35" s="191"/>
      <c r="L35" s="191"/>
      <c r="M35" s="191"/>
      <c r="N35" s="191"/>
      <c r="O35" s="191"/>
      <c r="P35" s="191"/>
      <c r="Q35" s="191"/>
      <c r="R35" s="191"/>
      <c r="S35" s="191"/>
      <c r="T35" s="191"/>
    </row>
    <row r="36" spans="1:20" ht="106.5" customHeight="1">
      <c r="A36" s="191" t="s">
        <v>1458</v>
      </c>
      <c r="B36" s="191"/>
      <c r="C36" s="191"/>
      <c r="D36" s="191"/>
      <c r="E36" s="191"/>
      <c r="F36" s="191"/>
      <c r="G36" s="191"/>
      <c r="H36" s="191"/>
      <c r="I36" s="191"/>
      <c r="J36" s="191"/>
      <c r="K36" s="191"/>
      <c r="L36" s="191"/>
      <c r="M36" s="191"/>
      <c r="N36" s="191"/>
      <c r="O36" s="191"/>
      <c r="P36" s="191"/>
      <c r="Q36" s="191"/>
      <c r="R36" s="191"/>
      <c r="S36" s="191"/>
      <c r="T36" s="191"/>
    </row>
    <row r="37" spans="1:20" ht="81.75" customHeight="1">
      <c r="A37" s="191" t="s">
        <v>1459</v>
      </c>
      <c r="B37" s="191"/>
      <c r="C37" s="191"/>
      <c r="D37" s="191"/>
      <c r="E37" s="191"/>
      <c r="F37" s="191"/>
      <c r="G37" s="191"/>
      <c r="H37" s="191"/>
      <c r="I37" s="191"/>
      <c r="J37" s="191"/>
      <c r="K37" s="191"/>
      <c r="L37" s="191"/>
      <c r="M37" s="191"/>
      <c r="N37" s="191"/>
      <c r="O37" s="191"/>
      <c r="P37" s="191"/>
      <c r="Q37" s="191"/>
      <c r="R37" s="191"/>
      <c r="S37" s="191"/>
      <c r="T37" s="191"/>
    </row>
    <row r="38" spans="1:20" ht="34.5" customHeight="1">
      <c r="A38" s="191" t="s">
        <v>1460</v>
      </c>
      <c r="B38" s="191"/>
      <c r="C38" s="191"/>
      <c r="D38" s="191"/>
      <c r="E38" s="191"/>
      <c r="F38" s="191"/>
      <c r="G38" s="191"/>
      <c r="H38" s="191"/>
      <c r="I38" s="191"/>
      <c r="J38" s="191"/>
      <c r="K38" s="191"/>
      <c r="L38" s="191"/>
      <c r="M38" s="191"/>
      <c r="N38" s="191"/>
      <c r="O38" s="191"/>
      <c r="P38" s="191"/>
      <c r="Q38" s="191"/>
      <c r="R38" s="191"/>
      <c r="S38" s="191"/>
      <c r="T38" s="191"/>
    </row>
    <row r="39" spans="1:20">
      <c r="A39" s="131" t="s">
        <v>1461</v>
      </c>
      <c r="B39" s="131"/>
      <c r="C39" s="131"/>
      <c r="D39" s="131"/>
      <c r="E39" s="131"/>
      <c r="F39" s="131"/>
      <c r="G39" s="131"/>
      <c r="H39" s="131"/>
      <c r="I39" s="131"/>
      <c r="J39" s="131"/>
      <c r="K39" s="131"/>
      <c r="L39" s="131"/>
      <c r="M39" s="131"/>
      <c r="N39" s="131"/>
      <c r="O39" s="131"/>
      <c r="P39" s="131"/>
      <c r="Q39" s="131"/>
      <c r="R39" s="131"/>
      <c r="S39" s="131"/>
      <c r="T39" s="131"/>
    </row>
  </sheetData>
  <mergeCells count="12">
    <mergeCell ref="A35:T35"/>
    <mergeCell ref="A36:T36"/>
    <mergeCell ref="A37:T37"/>
    <mergeCell ref="A38:T38"/>
    <mergeCell ref="A39:T39"/>
    <mergeCell ref="A31:D31"/>
    <mergeCell ref="A1:D1"/>
    <mergeCell ref="A26:D26"/>
    <mergeCell ref="A27:D27"/>
    <mergeCell ref="A28:D28"/>
    <mergeCell ref="A29:D29"/>
    <mergeCell ref="A30:D30"/>
  </mergeCells>
  <pageMargins left="0.7" right="0.7" top="0.75" bottom="0.75" header="0.3" footer="0.3"/>
  <pageSetup orientation="portrait" horizontalDpi="0" verticalDpi="0" r:id="rId1"/>
</worksheet>
</file>

<file path=xl/worksheets/sheet134.xml><?xml version="1.0" encoding="utf-8"?>
<worksheet xmlns="http://schemas.openxmlformats.org/spreadsheetml/2006/main" xmlns:r="http://schemas.openxmlformats.org/officeDocument/2006/relationships">
  <sheetPr codeName="Sheet127"/>
  <dimension ref="A1:AI74"/>
  <sheetViews>
    <sheetView view="pageBreakPreview" zoomScale="85" zoomScaleNormal="70" zoomScaleSheetLayoutView="85" workbookViewId="0">
      <selection activeCell="AC38" sqref="AC38"/>
    </sheetView>
  </sheetViews>
  <sheetFormatPr defaultRowHeight="15" outlineLevelRow="1" outlineLevelCol="1"/>
  <cols>
    <col min="1" max="1" width="9.140625" style="64"/>
    <col min="2" max="4" width="18.140625" style="64" customWidth="1"/>
    <col min="5" max="10" width="22.140625" style="64" customWidth="1"/>
    <col min="11" max="14" width="13.140625" style="64" customWidth="1"/>
    <col min="15" max="15" width="10.28515625" style="64" hidden="1" customWidth="1" outlineLevel="1"/>
    <col min="16" max="24" width="19.140625" style="64" hidden="1" customWidth="1" outlineLevel="1"/>
    <col min="25" max="25" width="9.140625" style="64" hidden="1" customWidth="1" outlineLevel="1"/>
    <col min="26" max="34" width="15.42578125" style="64" hidden="1" customWidth="1" outlineLevel="1"/>
    <col min="35" max="35" width="9.140625" style="64" collapsed="1"/>
    <col min="36" max="16384" width="9.140625" style="64"/>
  </cols>
  <sheetData>
    <row r="1" spans="1:34">
      <c r="A1" s="66" t="s">
        <v>2013</v>
      </c>
    </row>
    <row r="2" spans="1:34" ht="15" customHeight="1">
      <c r="B2" s="94" t="s">
        <v>678</v>
      </c>
      <c r="C2" s="94"/>
      <c r="D2" s="94"/>
      <c r="E2" s="159" t="s">
        <v>13</v>
      </c>
      <c r="F2" s="160"/>
      <c r="G2" s="161"/>
      <c r="H2" s="159" t="s">
        <v>19</v>
      </c>
      <c r="I2" s="160"/>
      <c r="J2" s="161"/>
      <c r="P2" s="94" t="s">
        <v>2</v>
      </c>
      <c r="Q2" s="94"/>
      <c r="R2" s="94"/>
      <c r="S2" s="159" t="s">
        <v>13</v>
      </c>
      <c r="T2" s="160"/>
      <c r="U2" s="161"/>
      <c r="V2" s="159" t="s">
        <v>19</v>
      </c>
      <c r="W2" s="160"/>
      <c r="X2" s="161"/>
      <c r="Z2" s="94" t="s">
        <v>2</v>
      </c>
      <c r="AA2" s="94"/>
      <c r="AB2" s="94"/>
      <c r="AC2" s="94" t="s">
        <v>13</v>
      </c>
      <c r="AD2" s="94"/>
      <c r="AE2" s="94"/>
      <c r="AF2" s="94" t="s">
        <v>19</v>
      </c>
      <c r="AG2" s="94"/>
      <c r="AH2" s="94"/>
    </row>
    <row r="3" spans="1:34" ht="60">
      <c r="B3" s="72" t="s">
        <v>1488</v>
      </c>
      <c r="C3" s="72" t="s">
        <v>1489</v>
      </c>
      <c r="D3" s="177" t="s">
        <v>1490</v>
      </c>
      <c r="E3" s="72" t="s">
        <v>1488</v>
      </c>
      <c r="F3" s="72" t="s">
        <v>1489</v>
      </c>
      <c r="G3" s="72" t="s">
        <v>1490</v>
      </c>
      <c r="H3" s="72" t="s">
        <v>1488</v>
      </c>
      <c r="I3" s="72" t="s">
        <v>1489</v>
      </c>
      <c r="J3" s="72" t="s">
        <v>1490</v>
      </c>
      <c r="P3" s="73" t="s">
        <v>1475</v>
      </c>
      <c r="Q3" s="73" t="s">
        <v>1474</v>
      </c>
      <c r="R3" s="73" t="s">
        <v>1465</v>
      </c>
      <c r="S3" s="73" t="s">
        <v>1475</v>
      </c>
      <c r="T3" s="73" t="s">
        <v>1474</v>
      </c>
      <c r="U3" s="73" t="s">
        <v>1465</v>
      </c>
      <c r="V3" s="73" t="s">
        <v>1475</v>
      </c>
      <c r="W3" s="73" t="s">
        <v>1474</v>
      </c>
      <c r="X3" s="73" t="s">
        <v>1465</v>
      </c>
      <c r="Z3" s="72" t="s">
        <v>1477</v>
      </c>
      <c r="AA3" s="72" t="s">
        <v>1474</v>
      </c>
      <c r="AB3" s="72" t="s">
        <v>1492</v>
      </c>
      <c r="AC3" s="72" t="s">
        <v>1477</v>
      </c>
      <c r="AD3" s="72" t="s">
        <v>1474</v>
      </c>
      <c r="AE3" s="72" t="s">
        <v>1492</v>
      </c>
      <c r="AF3" s="72" t="s">
        <v>1477</v>
      </c>
      <c r="AG3" s="72" t="s">
        <v>1474</v>
      </c>
      <c r="AH3" s="72" t="s">
        <v>1492</v>
      </c>
    </row>
    <row r="4" spans="1:34" outlineLevel="1">
      <c r="E4" s="178"/>
      <c r="H4" s="179"/>
      <c r="P4" s="64" t="s">
        <v>1505</v>
      </c>
      <c r="Q4" s="64" t="s">
        <v>1508</v>
      </c>
      <c r="R4" s="64" t="s">
        <v>1504</v>
      </c>
      <c r="S4" s="64" t="s">
        <v>1506</v>
      </c>
      <c r="T4" s="64" t="s">
        <v>1509</v>
      </c>
      <c r="U4" s="64" t="s">
        <v>1502</v>
      </c>
      <c r="V4" s="64" t="s">
        <v>1507</v>
      </c>
      <c r="W4" s="64" t="s">
        <v>1510</v>
      </c>
      <c r="X4" s="64" t="s">
        <v>1503</v>
      </c>
      <c r="Z4" s="135" t="s">
        <v>1493</v>
      </c>
      <c r="AA4" s="135" t="s">
        <v>1494</v>
      </c>
      <c r="AB4" s="135" t="s">
        <v>1495</v>
      </c>
      <c r="AC4" s="135" t="s">
        <v>1496</v>
      </c>
      <c r="AD4" s="135" t="s">
        <v>1497</v>
      </c>
      <c r="AE4" s="135" t="s">
        <v>1498</v>
      </c>
      <c r="AF4" s="135" t="s">
        <v>1499</v>
      </c>
      <c r="AG4" s="135" t="s">
        <v>1500</v>
      </c>
      <c r="AH4" s="135" t="s">
        <v>1501</v>
      </c>
    </row>
    <row r="5" spans="1:34">
      <c r="A5" s="66">
        <v>1990</v>
      </c>
      <c r="B5" s="30">
        <f>Z5</f>
        <v>712</v>
      </c>
      <c r="C5" s="30">
        <f>AA5/B5</f>
        <v>14478276.685393259</v>
      </c>
      <c r="D5" s="180">
        <f>AB5/B5</f>
        <v>160.36657303370785</v>
      </c>
      <c r="E5" s="181">
        <f>AC5</f>
        <v>157</v>
      </c>
      <c r="F5" s="182">
        <f>AD5/E5</f>
        <v>52317662.420382164</v>
      </c>
      <c r="G5" s="183">
        <f>AE5/E5</f>
        <v>502.18471337579615</v>
      </c>
      <c r="H5" s="181">
        <f>AF5</f>
        <v>555</v>
      </c>
      <c r="I5" s="182">
        <f>AG5/H5</f>
        <v>3774162.1621621624</v>
      </c>
      <c r="J5" s="183">
        <f>AH5/H5</f>
        <v>63.672072072072069</v>
      </c>
      <c r="O5" s="30">
        <f>AA5/Z5</f>
        <v>14478276.685393259</v>
      </c>
      <c r="Y5" s="66">
        <v>1990</v>
      </c>
      <c r="Z5" s="30">
        <v>712</v>
      </c>
      <c r="AA5" s="30">
        <v>10308533000</v>
      </c>
      <c r="AB5" s="30">
        <v>114181</v>
      </c>
      <c r="AC5" s="30">
        <v>157</v>
      </c>
      <c r="AD5" s="30">
        <v>8213873000</v>
      </c>
      <c r="AE5" s="30">
        <v>78843</v>
      </c>
      <c r="AF5" s="30">
        <v>555</v>
      </c>
      <c r="AG5" s="30">
        <v>2094660000</v>
      </c>
      <c r="AH5" s="30">
        <v>35338</v>
      </c>
    </row>
    <row r="6" spans="1:34">
      <c r="A6" s="66">
        <v>1991</v>
      </c>
      <c r="B6" s="30">
        <f t="shared" ref="B6:B18" si="0">Z6</f>
        <v>673</v>
      </c>
      <c r="C6" s="30">
        <f t="shared" ref="C6:C18" si="1">AA6/B6</f>
        <v>11845674.591381872</v>
      </c>
      <c r="D6" s="180">
        <f t="shared" ref="D6:D18" si="2">AB6/B6</f>
        <v>162.79049034175335</v>
      </c>
      <c r="E6" s="181">
        <f t="shared" ref="E6:E18" si="3">AC6</f>
        <v>161</v>
      </c>
      <c r="F6" s="182">
        <f t="shared" ref="F6:F18" si="4">AD6/E6</f>
        <v>36941236.024844721</v>
      </c>
      <c r="G6" s="183">
        <f t="shared" ref="G6:G18" si="5">AE6/E6</f>
        <v>474.58385093167703</v>
      </c>
      <c r="H6" s="181">
        <f t="shared" ref="H6:H18" si="6">AF6</f>
        <v>512</v>
      </c>
      <c r="I6" s="182">
        <f t="shared" ref="I6:I18" si="7">AG6/H6</f>
        <v>3954296.875</v>
      </c>
      <c r="J6" s="183">
        <f t="shared" ref="J6:J18" si="8">AH6/H6</f>
        <v>64.74609375</v>
      </c>
      <c r="O6" s="30">
        <f t="shared" ref="O6:O21" si="9">AA6/Z6</f>
        <v>11845674.591381872</v>
      </c>
      <c r="Y6" s="66">
        <v>1991</v>
      </c>
      <c r="Z6" s="30">
        <v>673</v>
      </c>
      <c r="AA6" s="30">
        <v>7972139000</v>
      </c>
      <c r="AB6" s="30">
        <v>109558</v>
      </c>
      <c r="AC6" s="30">
        <v>161</v>
      </c>
      <c r="AD6" s="30">
        <v>5947539000</v>
      </c>
      <c r="AE6" s="30">
        <v>76408</v>
      </c>
      <c r="AF6" s="30">
        <v>512</v>
      </c>
      <c r="AG6" s="30">
        <v>2024600000</v>
      </c>
      <c r="AH6" s="30">
        <v>33150</v>
      </c>
    </row>
    <row r="7" spans="1:34">
      <c r="A7" s="66">
        <v>1992</v>
      </c>
      <c r="B7" s="30">
        <f t="shared" si="0"/>
        <v>665</v>
      </c>
      <c r="C7" s="30">
        <f t="shared" si="1"/>
        <v>11555738.345864661</v>
      </c>
      <c r="D7" s="180">
        <f t="shared" si="2"/>
        <v>156.07368421052632</v>
      </c>
      <c r="E7" s="181">
        <f t="shared" si="3"/>
        <v>162</v>
      </c>
      <c r="F7" s="182">
        <f t="shared" si="4"/>
        <v>35512327.160493828</v>
      </c>
      <c r="G7" s="183">
        <f t="shared" si="5"/>
        <v>436.48765432098764</v>
      </c>
      <c r="H7" s="181">
        <f t="shared" si="6"/>
        <v>503</v>
      </c>
      <c r="I7" s="182">
        <f t="shared" si="7"/>
        <v>3840097.415506958</v>
      </c>
      <c r="J7" s="183">
        <f t="shared" si="8"/>
        <v>65.761431411530822</v>
      </c>
      <c r="O7" s="30">
        <f t="shared" si="9"/>
        <v>11555738.345864661</v>
      </c>
      <c r="Y7" s="66">
        <v>1992</v>
      </c>
      <c r="Z7" s="30">
        <v>665</v>
      </c>
      <c r="AA7" s="30">
        <v>7684566000</v>
      </c>
      <c r="AB7" s="30">
        <v>103789</v>
      </c>
      <c r="AC7" s="30">
        <v>162</v>
      </c>
      <c r="AD7" s="30">
        <v>5752997000</v>
      </c>
      <c r="AE7" s="30">
        <v>70711</v>
      </c>
      <c r="AF7" s="30">
        <v>503</v>
      </c>
      <c r="AG7" s="30">
        <v>1931569000</v>
      </c>
      <c r="AH7" s="30">
        <v>33078</v>
      </c>
    </row>
    <row r="8" spans="1:34">
      <c r="A8" s="66">
        <v>1993</v>
      </c>
      <c r="B8" s="30">
        <f t="shared" si="0"/>
        <v>648</v>
      </c>
      <c r="C8" s="30">
        <f t="shared" si="1"/>
        <v>11991864.197530864</v>
      </c>
      <c r="D8" s="180">
        <f t="shared" si="2"/>
        <v>155.11882716049382</v>
      </c>
      <c r="E8" s="181">
        <f t="shared" si="3"/>
        <v>163</v>
      </c>
      <c r="F8" s="182">
        <f t="shared" si="4"/>
        <v>35283441.717791408</v>
      </c>
      <c r="G8" s="183">
        <f t="shared" si="5"/>
        <v>424.6319018404908</v>
      </c>
      <c r="H8" s="181">
        <f t="shared" si="6"/>
        <v>485</v>
      </c>
      <c r="I8" s="182">
        <f t="shared" si="7"/>
        <v>4163973.1958762887</v>
      </c>
      <c r="J8" s="183">
        <f t="shared" si="8"/>
        <v>64.540206185567015</v>
      </c>
      <c r="O8" s="30">
        <f t="shared" si="9"/>
        <v>11991864.197530864</v>
      </c>
      <c r="Y8" s="66">
        <v>1993</v>
      </c>
      <c r="Z8" s="30">
        <v>648</v>
      </c>
      <c r="AA8" s="30">
        <v>7770728000</v>
      </c>
      <c r="AB8" s="30">
        <v>100517</v>
      </c>
      <c r="AC8" s="30">
        <v>163</v>
      </c>
      <c r="AD8" s="30">
        <v>5751201000</v>
      </c>
      <c r="AE8" s="30">
        <v>69215</v>
      </c>
      <c r="AF8" s="30">
        <v>485</v>
      </c>
      <c r="AG8" s="30">
        <v>2019527000</v>
      </c>
      <c r="AH8" s="30">
        <v>31302</v>
      </c>
    </row>
    <row r="9" spans="1:34">
      <c r="A9" s="66">
        <v>1994</v>
      </c>
      <c r="B9" s="30">
        <f t="shared" si="0"/>
        <v>654</v>
      </c>
      <c r="C9" s="30">
        <f t="shared" si="1"/>
        <v>16122819.571865443</v>
      </c>
      <c r="D9" s="180">
        <f t="shared" si="2"/>
        <v>153.56269113149847</v>
      </c>
      <c r="E9" s="181">
        <f t="shared" si="3"/>
        <v>165</v>
      </c>
      <c r="F9" s="182">
        <f t="shared" si="4"/>
        <v>50452806.060606062</v>
      </c>
      <c r="G9" s="183">
        <f t="shared" si="5"/>
        <v>414.77575757575755</v>
      </c>
      <c r="H9" s="181">
        <f t="shared" si="6"/>
        <v>489</v>
      </c>
      <c r="I9" s="182">
        <f t="shared" si="7"/>
        <v>4539081.7995910021</v>
      </c>
      <c r="J9" s="183">
        <f t="shared" si="8"/>
        <v>65.423312883435585</v>
      </c>
      <c r="O9" s="30">
        <f t="shared" si="9"/>
        <v>16122819.571865443</v>
      </c>
      <c r="Y9" s="66">
        <v>1994</v>
      </c>
      <c r="Z9" s="30">
        <v>654</v>
      </c>
      <c r="AA9" s="30">
        <v>10544324000</v>
      </c>
      <c r="AB9" s="30">
        <v>100430</v>
      </c>
      <c r="AC9" s="30">
        <v>165</v>
      </c>
      <c r="AD9" s="30">
        <v>8324713000</v>
      </c>
      <c r="AE9" s="30">
        <v>68438</v>
      </c>
      <c r="AF9" s="30">
        <v>489</v>
      </c>
      <c r="AG9" s="30">
        <v>2219611000</v>
      </c>
      <c r="AH9" s="30">
        <v>31992</v>
      </c>
    </row>
    <row r="10" spans="1:34">
      <c r="A10" s="66">
        <v>1995</v>
      </c>
      <c r="B10" s="30">
        <f t="shared" si="0"/>
        <v>676</v>
      </c>
      <c r="C10" s="30">
        <f t="shared" si="1"/>
        <v>26333093.195266273</v>
      </c>
      <c r="D10" s="180">
        <f t="shared" si="2"/>
        <v>153.41124260355031</v>
      </c>
      <c r="E10" s="181">
        <f t="shared" si="3"/>
        <v>169</v>
      </c>
      <c r="F10" s="182">
        <f t="shared" si="4"/>
        <v>90554035.502958581</v>
      </c>
      <c r="G10" s="183">
        <f>AE10/E10</f>
        <v>410.08875739644969</v>
      </c>
      <c r="H10" s="181">
        <f t="shared" si="6"/>
        <v>507</v>
      </c>
      <c r="I10" s="182">
        <f t="shared" si="7"/>
        <v>4926112.4260355029</v>
      </c>
      <c r="J10" s="183">
        <f t="shared" si="8"/>
        <v>67.852071005917153</v>
      </c>
      <c r="O10" s="30">
        <f t="shared" si="9"/>
        <v>26333093.195266273</v>
      </c>
      <c r="Y10" s="66">
        <v>1995</v>
      </c>
      <c r="Z10" s="30">
        <v>676</v>
      </c>
      <c r="AA10" s="30">
        <v>17801171000</v>
      </c>
      <c r="AB10" s="30">
        <v>103706</v>
      </c>
      <c r="AC10" s="30">
        <v>169</v>
      </c>
      <c r="AD10" s="30">
        <v>15303632000</v>
      </c>
      <c r="AE10" s="30">
        <v>69305</v>
      </c>
      <c r="AF10" s="30">
        <v>507</v>
      </c>
      <c r="AG10" s="30">
        <v>2497539000</v>
      </c>
      <c r="AH10" s="30">
        <v>34401</v>
      </c>
    </row>
    <row r="11" spans="1:34">
      <c r="A11" s="66">
        <v>1996</v>
      </c>
      <c r="B11" s="30">
        <f t="shared" si="0"/>
        <v>696</v>
      </c>
      <c r="C11" s="30">
        <f t="shared" si="1"/>
        <v>18928204.022988506</v>
      </c>
      <c r="D11" s="180">
        <f t="shared" si="2"/>
        <v>147.17241379310346</v>
      </c>
      <c r="E11" s="181">
        <f t="shared" si="3"/>
        <v>173</v>
      </c>
      <c r="F11" s="182">
        <f t="shared" si="4"/>
        <v>60764468.208092488</v>
      </c>
      <c r="G11" s="183">
        <f t="shared" si="5"/>
        <v>393.28901734104045</v>
      </c>
      <c r="H11" s="181">
        <f t="shared" si="6"/>
        <v>523</v>
      </c>
      <c r="I11" s="182">
        <f t="shared" si="7"/>
        <v>5089439.7705544932</v>
      </c>
      <c r="J11" s="183">
        <f t="shared" si="8"/>
        <v>65.760994263862329</v>
      </c>
      <c r="O11" s="30">
        <f t="shared" si="9"/>
        <v>18928204.022988506</v>
      </c>
      <c r="Y11" s="66">
        <v>1996</v>
      </c>
      <c r="Z11" s="30">
        <v>696</v>
      </c>
      <c r="AA11" s="30">
        <v>13174030000</v>
      </c>
      <c r="AB11" s="30">
        <v>102432</v>
      </c>
      <c r="AC11" s="30">
        <v>173</v>
      </c>
      <c r="AD11" s="30">
        <v>10512253000</v>
      </c>
      <c r="AE11" s="30">
        <v>68039</v>
      </c>
      <c r="AF11" s="30">
        <v>523</v>
      </c>
      <c r="AG11" s="30">
        <v>2661777000</v>
      </c>
      <c r="AH11" s="30">
        <v>34393</v>
      </c>
    </row>
    <row r="12" spans="1:34">
      <c r="A12" s="66">
        <v>1997</v>
      </c>
      <c r="B12" s="30">
        <f t="shared" si="0"/>
        <v>659</v>
      </c>
      <c r="C12" s="30">
        <f t="shared" si="1"/>
        <v>19434661.608497724</v>
      </c>
      <c r="D12" s="180">
        <f t="shared" si="2"/>
        <v>154.10470409711684</v>
      </c>
      <c r="E12" s="181">
        <f t="shared" si="3"/>
        <v>179</v>
      </c>
      <c r="F12" s="182">
        <f t="shared" si="4"/>
        <v>56266977.653631285</v>
      </c>
      <c r="G12" s="183">
        <f t="shared" si="5"/>
        <v>376.79888268156424</v>
      </c>
      <c r="H12" s="181">
        <f t="shared" si="6"/>
        <v>480</v>
      </c>
      <c r="I12" s="182">
        <f t="shared" si="7"/>
        <v>5699277.083333333</v>
      </c>
      <c r="J12" s="183">
        <f t="shared" si="8"/>
        <v>71.058333333333337</v>
      </c>
      <c r="O12" s="30">
        <f t="shared" si="9"/>
        <v>19434661.608497724</v>
      </c>
      <c r="Y12" s="66">
        <v>1997</v>
      </c>
      <c r="Z12" s="30">
        <v>659</v>
      </c>
      <c r="AA12" s="30">
        <v>12807442000</v>
      </c>
      <c r="AB12" s="30">
        <v>101555</v>
      </c>
      <c r="AC12" s="30">
        <v>179</v>
      </c>
      <c r="AD12" s="30">
        <v>10071789000</v>
      </c>
      <c r="AE12" s="30">
        <v>67447</v>
      </c>
      <c r="AF12" s="30">
        <v>480</v>
      </c>
      <c r="AG12" s="30">
        <v>2735653000</v>
      </c>
      <c r="AH12" s="30">
        <v>34108</v>
      </c>
    </row>
    <row r="13" spans="1:34">
      <c r="A13" s="66">
        <v>1998</v>
      </c>
      <c r="B13" s="30">
        <f t="shared" si="0"/>
        <v>669</v>
      </c>
      <c r="C13" s="30">
        <f t="shared" si="1"/>
        <v>20038298.953662183</v>
      </c>
      <c r="D13" s="180">
        <f t="shared" si="2"/>
        <v>147.3303437967115</v>
      </c>
      <c r="E13" s="181">
        <f t="shared" si="3"/>
        <v>167</v>
      </c>
      <c r="F13" s="182">
        <f t="shared" si="4"/>
        <v>61745221.556886226</v>
      </c>
      <c r="G13" s="183">
        <f t="shared" si="5"/>
        <v>364.93413173652692</v>
      </c>
      <c r="H13" s="181">
        <f t="shared" si="6"/>
        <v>502</v>
      </c>
      <c r="I13" s="182">
        <f t="shared" si="7"/>
        <v>6163685.2589641437</v>
      </c>
      <c r="J13" s="183">
        <f t="shared" si="8"/>
        <v>74.940239043824704</v>
      </c>
      <c r="O13" s="30">
        <f t="shared" si="9"/>
        <v>20038298.953662183</v>
      </c>
      <c r="Y13" s="66">
        <v>1998</v>
      </c>
      <c r="Z13" s="30">
        <v>669</v>
      </c>
      <c r="AA13" s="30">
        <v>13405622000</v>
      </c>
      <c r="AB13" s="30">
        <v>98564</v>
      </c>
      <c r="AC13" s="30">
        <v>167</v>
      </c>
      <c r="AD13" s="30">
        <v>10311452000</v>
      </c>
      <c r="AE13" s="30">
        <v>60944</v>
      </c>
      <c r="AF13" s="30">
        <v>502</v>
      </c>
      <c r="AG13" s="30">
        <v>3094170000</v>
      </c>
      <c r="AH13" s="30">
        <v>37620</v>
      </c>
    </row>
    <row r="14" spans="1:34" ht="15.75" thickBot="1">
      <c r="A14" s="171">
        <v>1999</v>
      </c>
      <c r="B14" s="184">
        <f t="shared" si="0"/>
        <v>663</v>
      </c>
      <c r="C14" s="184">
        <f t="shared" si="1"/>
        <v>20788057.315233786</v>
      </c>
      <c r="D14" s="185">
        <f t="shared" si="2"/>
        <v>155.60331825037707</v>
      </c>
      <c r="E14" s="186">
        <f t="shared" si="3"/>
        <v>182</v>
      </c>
      <c r="F14" s="184">
        <f t="shared" si="4"/>
        <v>57293747.252747253</v>
      </c>
      <c r="G14" s="185">
        <f t="shared" si="5"/>
        <v>339.65384615384613</v>
      </c>
      <c r="H14" s="186">
        <f t="shared" si="6"/>
        <v>481</v>
      </c>
      <c r="I14" s="184">
        <f t="shared" si="7"/>
        <v>6975093.5550935548</v>
      </c>
      <c r="J14" s="185">
        <f t="shared" si="8"/>
        <v>85.962577962577967</v>
      </c>
      <c r="O14" s="30">
        <f t="shared" si="9"/>
        <v>20788057.315233786</v>
      </c>
      <c r="Y14" s="66">
        <v>1999</v>
      </c>
      <c r="Z14" s="30">
        <v>663</v>
      </c>
      <c r="AA14" s="30">
        <v>13782482000</v>
      </c>
      <c r="AB14" s="30">
        <v>103165</v>
      </c>
      <c r="AC14" s="30">
        <v>182</v>
      </c>
      <c r="AD14" s="30">
        <v>10427462000</v>
      </c>
      <c r="AE14" s="30">
        <v>61817</v>
      </c>
      <c r="AF14" s="30">
        <v>481</v>
      </c>
      <c r="AG14" s="30">
        <v>3355020000</v>
      </c>
      <c r="AH14" s="30">
        <v>41348</v>
      </c>
    </row>
    <row r="15" spans="1:34">
      <c r="A15" s="66">
        <v>2000</v>
      </c>
      <c r="B15" s="30">
        <f t="shared" si="0"/>
        <v>872</v>
      </c>
      <c r="C15" s="30">
        <f t="shared" si="1"/>
        <v>20933364.678899083</v>
      </c>
      <c r="D15" s="180">
        <f t="shared" si="2"/>
        <v>111.1341743119266</v>
      </c>
      <c r="E15" s="181">
        <f t="shared" si="3"/>
        <v>207</v>
      </c>
      <c r="F15" s="182">
        <f t="shared" si="4"/>
        <v>68974797.101449281</v>
      </c>
      <c r="G15" s="183">
        <f t="shared" si="5"/>
        <v>281.05797101449275</v>
      </c>
      <c r="H15" s="181">
        <f t="shared" si="6"/>
        <v>665</v>
      </c>
      <c r="I15" s="182">
        <f t="shared" si="7"/>
        <v>5979114.2857142854</v>
      </c>
      <c r="J15" s="183">
        <f t="shared" si="8"/>
        <v>58.2406015037594</v>
      </c>
      <c r="O15" s="30">
        <f t="shared" si="9"/>
        <v>20933364.678899083</v>
      </c>
      <c r="Y15" s="66">
        <v>2000</v>
      </c>
      <c r="Z15" s="30">
        <v>872</v>
      </c>
      <c r="AA15" s="30">
        <v>18253894000</v>
      </c>
      <c r="AB15" s="30">
        <v>96909</v>
      </c>
      <c r="AC15" s="30">
        <v>207</v>
      </c>
      <c r="AD15" s="30">
        <v>14277783000</v>
      </c>
      <c r="AE15" s="30">
        <v>58179</v>
      </c>
      <c r="AF15" s="30">
        <v>665</v>
      </c>
      <c r="AG15" s="30">
        <v>3976111000</v>
      </c>
      <c r="AH15" s="30">
        <v>38730</v>
      </c>
    </row>
    <row r="16" spans="1:34">
      <c r="A16" s="66">
        <v>2001</v>
      </c>
      <c r="B16" s="30">
        <f t="shared" si="0"/>
        <v>850</v>
      </c>
      <c r="C16" s="30">
        <f t="shared" si="1"/>
        <v>18749061.176470589</v>
      </c>
      <c r="D16" s="180">
        <f t="shared" si="2"/>
        <v>112.09058823529412</v>
      </c>
      <c r="E16" s="181">
        <f t="shared" si="3"/>
        <v>208</v>
      </c>
      <c r="F16" s="182">
        <f t="shared" si="4"/>
        <v>56756538.461538464</v>
      </c>
      <c r="G16" s="183">
        <f t="shared" si="5"/>
        <v>269.42307692307691</v>
      </c>
      <c r="H16" s="181">
        <f t="shared" si="6"/>
        <v>642</v>
      </c>
      <c r="I16" s="182">
        <f t="shared" si="7"/>
        <v>6435112.1495327102</v>
      </c>
      <c r="J16" s="183">
        <f t="shared" si="8"/>
        <v>61.116822429906541</v>
      </c>
      <c r="O16" s="30">
        <f t="shared" si="9"/>
        <v>18749061.176470589</v>
      </c>
      <c r="Y16" s="66">
        <v>2001</v>
      </c>
      <c r="Z16" s="30">
        <v>850</v>
      </c>
      <c r="AA16" s="30">
        <v>15936702000</v>
      </c>
      <c r="AB16" s="30">
        <v>95277</v>
      </c>
      <c r="AC16" s="30">
        <v>208</v>
      </c>
      <c r="AD16" s="30">
        <v>11805360000</v>
      </c>
      <c r="AE16" s="30">
        <v>56040</v>
      </c>
      <c r="AF16" s="30">
        <v>642</v>
      </c>
      <c r="AG16" s="30">
        <v>4131342000</v>
      </c>
      <c r="AH16" s="30">
        <v>39237</v>
      </c>
    </row>
    <row r="17" spans="1:34">
      <c r="A17" s="66">
        <v>2002</v>
      </c>
      <c r="B17" s="30">
        <f t="shared" si="0"/>
        <v>846</v>
      </c>
      <c r="C17" s="30">
        <f t="shared" si="1"/>
        <v>17060260.047281325</v>
      </c>
      <c r="D17" s="180">
        <f t="shared" si="2"/>
        <v>111.98108747044917</v>
      </c>
      <c r="E17" s="181">
        <f t="shared" si="3"/>
        <v>202</v>
      </c>
      <c r="F17" s="182">
        <f t="shared" si="4"/>
        <v>50090029.702970296</v>
      </c>
      <c r="G17" s="183">
        <f t="shared" si="5"/>
        <v>272.05445544554453</v>
      </c>
      <c r="H17" s="181">
        <f t="shared" si="6"/>
        <v>644</v>
      </c>
      <c r="I17" s="182">
        <f t="shared" si="7"/>
        <v>6699990.6832298134</v>
      </c>
      <c r="J17" s="183">
        <f t="shared" si="8"/>
        <v>61.771739130434781</v>
      </c>
      <c r="O17" s="30">
        <f t="shared" si="9"/>
        <v>17060260.047281325</v>
      </c>
      <c r="Y17" s="66">
        <v>2002</v>
      </c>
      <c r="Z17" s="30">
        <v>846</v>
      </c>
      <c r="AA17" s="30">
        <v>14432980000</v>
      </c>
      <c r="AB17" s="30">
        <v>94736</v>
      </c>
      <c r="AC17" s="30">
        <v>202</v>
      </c>
      <c r="AD17" s="30">
        <v>10118186000</v>
      </c>
      <c r="AE17" s="30">
        <v>54955</v>
      </c>
      <c r="AF17" s="30">
        <v>644</v>
      </c>
      <c r="AG17" s="30">
        <v>4314794000</v>
      </c>
      <c r="AH17" s="30">
        <v>39781</v>
      </c>
    </row>
    <row r="18" spans="1:34" ht="15.75" thickBot="1">
      <c r="A18" s="171">
        <v>2003</v>
      </c>
      <c r="B18" s="184">
        <f t="shared" si="0"/>
        <v>870</v>
      </c>
      <c r="C18" s="184">
        <f t="shared" si="1"/>
        <v>14978467.816091955</v>
      </c>
      <c r="D18" s="185">
        <f t="shared" si="2"/>
        <v>106.00344827586207</v>
      </c>
      <c r="E18" s="186">
        <f t="shared" si="3"/>
        <v>213</v>
      </c>
      <c r="F18" s="184">
        <f t="shared" si="4"/>
        <v>41434568.075117372</v>
      </c>
      <c r="G18" s="185">
        <f t="shared" si="5"/>
        <v>252.13145539906102</v>
      </c>
      <c r="H18" s="186">
        <f t="shared" si="6"/>
        <v>657</v>
      </c>
      <c r="I18" s="184">
        <f t="shared" si="7"/>
        <v>6401375.951293759</v>
      </c>
      <c r="J18" s="185">
        <f t="shared" si="8"/>
        <v>58.628614916286146</v>
      </c>
      <c r="O18" s="30">
        <f t="shared" si="9"/>
        <v>14978467.816091955</v>
      </c>
      <c r="Y18" s="66">
        <v>2003</v>
      </c>
      <c r="Z18" s="30">
        <v>870</v>
      </c>
      <c r="AA18" s="30">
        <v>13031267000</v>
      </c>
      <c r="AB18" s="30">
        <v>92223</v>
      </c>
      <c r="AC18" s="30">
        <v>213</v>
      </c>
      <c r="AD18" s="30">
        <v>8825563000</v>
      </c>
      <c r="AE18" s="30">
        <v>53704</v>
      </c>
      <c r="AF18" s="30">
        <v>657</v>
      </c>
      <c r="AG18" s="30">
        <v>4205704000</v>
      </c>
      <c r="AH18" s="30">
        <v>38519</v>
      </c>
    </row>
    <row r="19" spans="1:34">
      <c r="A19" s="66">
        <v>2004</v>
      </c>
      <c r="B19" s="30">
        <f>P19</f>
        <v>1173</v>
      </c>
      <c r="C19" s="30">
        <f>Q19/B19*1000</f>
        <v>11259236.999147484</v>
      </c>
      <c r="D19" s="180">
        <f>R19/B19</f>
        <v>73.040920716112538</v>
      </c>
      <c r="E19" s="181">
        <f>S19</f>
        <v>274</v>
      </c>
      <c r="F19" s="30">
        <f>T19/E19*1000</f>
        <v>32896127.737226278</v>
      </c>
      <c r="G19" s="180">
        <f>U19/E19</f>
        <v>180.69343065693431</v>
      </c>
      <c r="H19" s="181">
        <f>V19</f>
        <v>899</v>
      </c>
      <c r="I19" s="30">
        <f>W19/H19*1000</f>
        <v>4664678.5317018908</v>
      </c>
      <c r="J19" s="180">
        <f>X19/H19</f>
        <v>40.230255839822021</v>
      </c>
      <c r="O19" s="30" t="e">
        <f t="shared" si="9"/>
        <v>#DIV/0!</v>
      </c>
      <c r="P19" s="30">
        <v>1173</v>
      </c>
      <c r="Q19" s="30">
        <v>13207085</v>
      </c>
      <c r="R19" s="30">
        <v>85677</v>
      </c>
      <c r="S19" s="30">
        <v>274</v>
      </c>
      <c r="T19" s="30">
        <v>9013539</v>
      </c>
      <c r="U19" s="30">
        <v>49510</v>
      </c>
      <c r="V19" s="30">
        <v>899</v>
      </c>
      <c r="W19" s="30">
        <v>4193546</v>
      </c>
      <c r="X19" s="30">
        <v>36167</v>
      </c>
      <c r="Y19" s="66">
        <v>2004</v>
      </c>
    </row>
    <row r="20" spans="1:34">
      <c r="A20" s="66">
        <v>2005</v>
      </c>
      <c r="B20" s="30">
        <f>P20</f>
        <v>1080</v>
      </c>
      <c r="C20" s="30">
        <f t="shared" ref="C20:C25" si="10">Q20/B20*1000</f>
        <v>11349568.518518519</v>
      </c>
      <c r="D20" s="180">
        <f t="shared" ref="D20:D25" si="11">R20/B20</f>
        <v>75.571296296296296</v>
      </c>
      <c r="E20" s="181">
        <f>S20</f>
        <v>283</v>
      </c>
      <c r="F20" s="30">
        <f t="shared" ref="F20:F25" si="12">T20/E20*1000</f>
        <v>28987010.600706715</v>
      </c>
      <c r="G20" s="180">
        <f>U20/E20</f>
        <v>164.92932862190813</v>
      </c>
      <c r="H20" s="181">
        <f>V20</f>
        <v>797</v>
      </c>
      <c r="I20" s="30">
        <f t="shared" ref="I20:I25" si="13">W20/H20*1000</f>
        <v>5086838.143036386</v>
      </c>
      <c r="J20" s="180">
        <f t="shared" ref="J20:J25" si="14">X20/H20</f>
        <v>43.841907151819321</v>
      </c>
      <c r="O20" s="30" t="e">
        <f>AA20/Z20</f>
        <v>#DIV/0!</v>
      </c>
      <c r="P20" s="30">
        <v>1080</v>
      </c>
      <c r="Q20" s="30">
        <v>12257534</v>
      </c>
      <c r="R20" s="30">
        <v>81617</v>
      </c>
      <c r="S20" s="30">
        <v>283</v>
      </c>
      <c r="T20" s="30">
        <v>8203324</v>
      </c>
      <c r="U20" s="30">
        <v>46675</v>
      </c>
      <c r="V20" s="30">
        <v>797</v>
      </c>
      <c r="W20" s="30">
        <v>4054210</v>
      </c>
      <c r="X20" s="30">
        <v>34942</v>
      </c>
      <c r="Y20" s="66">
        <v>2005</v>
      </c>
    </row>
    <row r="21" spans="1:34">
      <c r="A21" s="66">
        <v>2006</v>
      </c>
      <c r="B21" s="30">
        <f>P21</f>
        <v>1027</v>
      </c>
      <c r="C21" s="30">
        <f t="shared" si="10"/>
        <v>11425833.495618306</v>
      </c>
      <c r="D21" s="180">
        <f t="shared" si="11"/>
        <v>72.418695228821818</v>
      </c>
      <c r="E21" s="181">
        <f>S21</f>
        <v>251</v>
      </c>
      <c r="F21" s="30">
        <f t="shared" si="12"/>
        <v>31508498.007968128</v>
      </c>
      <c r="G21" s="180">
        <f>U21/E21</f>
        <v>164.06374501992033</v>
      </c>
      <c r="H21" s="181">
        <f>V21</f>
        <v>776</v>
      </c>
      <c r="I21" s="30">
        <f t="shared" si="13"/>
        <v>4930023.1958762892</v>
      </c>
      <c r="J21" s="180">
        <f t="shared" si="14"/>
        <v>42.77577319587629</v>
      </c>
      <c r="O21" s="30" t="e">
        <f t="shared" si="9"/>
        <v>#DIV/0!</v>
      </c>
      <c r="P21" s="30">
        <v>1027</v>
      </c>
      <c r="Q21" s="30">
        <v>11734331</v>
      </c>
      <c r="R21" s="30">
        <v>74374</v>
      </c>
      <c r="S21" s="30">
        <v>251</v>
      </c>
      <c r="T21" s="30">
        <v>7908633</v>
      </c>
      <c r="U21" s="30">
        <v>41180</v>
      </c>
      <c r="V21" s="30">
        <v>776</v>
      </c>
      <c r="W21" s="30">
        <v>3825698</v>
      </c>
      <c r="X21" s="30">
        <v>33194</v>
      </c>
      <c r="Y21" s="66">
        <v>2006</v>
      </c>
    </row>
    <row r="22" spans="1:34">
      <c r="A22" s="187">
        <v>2007</v>
      </c>
      <c r="B22" s="30">
        <f t="shared" ref="B22:B25" si="15">P22</f>
        <v>1006</v>
      </c>
      <c r="C22" s="30">
        <f t="shared" si="10"/>
        <v>10956180.914512923</v>
      </c>
      <c r="D22" s="180">
        <f t="shared" si="11"/>
        <v>69.474155069582508</v>
      </c>
      <c r="E22" s="181">
        <f t="shared" ref="E22:E25" si="16">S22</f>
        <v>251</v>
      </c>
      <c r="F22" s="30">
        <f t="shared" si="12"/>
        <v>29519645.418326695</v>
      </c>
      <c r="G22" s="180">
        <f t="shared" ref="G22:G25" si="17">U22/E22</f>
        <v>155.82868525896416</v>
      </c>
      <c r="H22" s="181">
        <f t="shared" ref="H22:H25" si="18">V22</f>
        <v>755</v>
      </c>
      <c r="I22" s="30">
        <f t="shared" si="13"/>
        <v>4784750.9933774834</v>
      </c>
      <c r="J22" s="180">
        <f t="shared" si="14"/>
        <v>40.765562913907281</v>
      </c>
      <c r="O22" s="30"/>
      <c r="P22" s="30">
        <v>1006</v>
      </c>
      <c r="Q22" s="30">
        <v>11021918</v>
      </c>
      <c r="R22" s="30">
        <v>69891</v>
      </c>
      <c r="S22" s="30">
        <v>251</v>
      </c>
      <c r="T22" s="30">
        <v>7409431</v>
      </c>
      <c r="U22" s="30">
        <v>39113</v>
      </c>
      <c r="V22" s="30">
        <v>755</v>
      </c>
      <c r="W22" s="30">
        <v>3612487</v>
      </c>
      <c r="X22" s="30">
        <v>30778</v>
      </c>
      <c r="Y22" s="66"/>
    </row>
    <row r="23" spans="1:34">
      <c r="A23" s="187">
        <v>2008</v>
      </c>
      <c r="B23" s="30">
        <f t="shared" si="15"/>
        <v>962</v>
      </c>
      <c r="C23" s="30">
        <f t="shared" si="10"/>
        <v>11014219.334719336</v>
      </c>
      <c r="D23" s="180">
        <f t="shared" si="11"/>
        <v>67.514553014553016</v>
      </c>
      <c r="E23" s="181">
        <f t="shared" si="16"/>
        <v>243</v>
      </c>
      <c r="F23" s="30">
        <f t="shared" si="12"/>
        <v>29316456.790123455</v>
      </c>
      <c r="G23" s="180">
        <f t="shared" si="17"/>
        <v>145.92181069958849</v>
      </c>
      <c r="H23" s="181">
        <f t="shared" si="18"/>
        <v>719</v>
      </c>
      <c r="I23" s="30">
        <f t="shared" si="13"/>
        <v>4828623.0876216972</v>
      </c>
      <c r="J23" s="180">
        <f t="shared" si="14"/>
        <v>41.015299026425588</v>
      </c>
      <c r="O23" s="30"/>
      <c r="P23" s="30">
        <v>962</v>
      </c>
      <c r="Q23" s="30">
        <v>10595679</v>
      </c>
      <c r="R23" s="30">
        <v>64949</v>
      </c>
      <c r="S23" s="30">
        <v>243</v>
      </c>
      <c r="T23" s="30">
        <v>7123899</v>
      </c>
      <c r="U23" s="30">
        <v>35459</v>
      </c>
      <c r="V23" s="30">
        <v>719</v>
      </c>
      <c r="W23" s="30">
        <v>3471780</v>
      </c>
      <c r="X23" s="30">
        <v>29490</v>
      </c>
      <c r="Y23" s="66"/>
    </row>
    <row r="24" spans="1:34">
      <c r="A24" s="187">
        <v>2009</v>
      </c>
      <c r="B24" s="30">
        <f t="shared" si="15"/>
        <v>939</v>
      </c>
      <c r="C24" s="30">
        <f t="shared" si="10"/>
        <v>9404441.9595314153</v>
      </c>
      <c r="D24" s="180">
        <f t="shared" si="11"/>
        <v>62.209797657081999</v>
      </c>
      <c r="E24" s="181">
        <f t="shared" si="16"/>
        <v>240</v>
      </c>
      <c r="F24" s="30">
        <f t="shared" si="12"/>
        <v>22384962.5</v>
      </c>
      <c r="G24" s="180">
        <f t="shared" si="17"/>
        <v>124.25833333333334</v>
      </c>
      <c r="H24" s="181">
        <f t="shared" si="18"/>
        <v>699</v>
      </c>
      <c r="I24" s="30">
        <f t="shared" si="13"/>
        <v>4947610.8726752503</v>
      </c>
      <c r="J24" s="180">
        <f t="shared" si="14"/>
        <v>40.905579399141629</v>
      </c>
      <c r="O24" s="30"/>
      <c r="P24" s="30">
        <v>939</v>
      </c>
      <c r="Q24" s="30">
        <v>8830771</v>
      </c>
      <c r="R24" s="30">
        <v>58415</v>
      </c>
      <c r="S24" s="30">
        <v>240</v>
      </c>
      <c r="T24" s="30">
        <v>5372391</v>
      </c>
      <c r="U24" s="30">
        <v>29822</v>
      </c>
      <c r="V24" s="30">
        <v>699</v>
      </c>
      <c r="W24" s="30">
        <v>3458380</v>
      </c>
      <c r="X24" s="30">
        <v>28593</v>
      </c>
      <c r="Y24" s="66"/>
    </row>
    <row r="25" spans="1:34">
      <c r="A25" s="187">
        <v>2010</v>
      </c>
      <c r="B25" s="30">
        <f t="shared" si="15"/>
        <v>899</v>
      </c>
      <c r="C25" s="30">
        <f t="shared" si="10"/>
        <v>10502566.184649611</v>
      </c>
      <c r="D25" s="180">
        <f t="shared" si="11"/>
        <v>62.672969966629587</v>
      </c>
      <c r="E25" s="181">
        <f t="shared" si="16"/>
        <v>238</v>
      </c>
      <c r="F25" s="30">
        <f t="shared" si="12"/>
        <v>25925008.403361347</v>
      </c>
      <c r="G25" s="180">
        <f t="shared" si="17"/>
        <v>122.11764705882354</v>
      </c>
      <c r="H25" s="181">
        <f t="shared" si="18"/>
        <v>661</v>
      </c>
      <c r="I25" s="30">
        <f t="shared" si="13"/>
        <v>4949553.7065052949</v>
      </c>
      <c r="J25" s="180">
        <f t="shared" si="14"/>
        <v>41.269288956127077</v>
      </c>
      <c r="O25" s="30"/>
      <c r="P25" s="30">
        <v>899</v>
      </c>
      <c r="Q25" s="30">
        <v>9441807</v>
      </c>
      <c r="R25" s="30">
        <v>56343</v>
      </c>
      <c r="S25" s="30">
        <v>238</v>
      </c>
      <c r="T25" s="30">
        <v>6170152</v>
      </c>
      <c r="U25" s="30">
        <v>29064</v>
      </c>
      <c r="V25" s="30">
        <v>661</v>
      </c>
      <c r="W25" s="30">
        <v>3271655</v>
      </c>
      <c r="X25" s="30">
        <v>27279</v>
      </c>
      <c r="Y25" s="66"/>
    </row>
    <row r="26" spans="1:34">
      <c r="O26" s="30"/>
    </row>
    <row r="27" spans="1:34">
      <c r="A27" s="64" t="s">
        <v>500</v>
      </c>
    </row>
    <row r="28" spans="1:34">
      <c r="A28" s="64" t="s">
        <v>2011</v>
      </c>
    </row>
    <row r="29" spans="1:34">
      <c r="A29" s="64" t="s">
        <v>1491</v>
      </c>
    </row>
    <row r="30" spans="1:34">
      <c r="A30" s="104" t="s">
        <v>773</v>
      </c>
      <c r="B30" s="104"/>
      <c r="C30" s="104"/>
      <c r="D30" s="104"/>
    </row>
    <row r="31" spans="1:34" ht="30" customHeight="1">
      <c r="A31" s="104" t="s">
        <v>1771</v>
      </c>
      <c r="B31" s="104"/>
      <c r="C31" s="104"/>
      <c r="D31" s="104"/>
    </row>
    <row r="39" spans="1:10">
      <c r="A39" s="61" t="s">
        <v>1556</v>
      </c>
      <c r="B39" s="61"/>
      <c r="C39" s="61"/>
      <c r="D39" s="61"/>
      <c r="E39" s="61"/>
      <c r="F39" s="61"/>
      <c r="G39" s="61"/>
      <c r="H39" s="61"/>
      <c r="I39" s="61"/>
      <c r="J39" s="61"/>
    </row>
    <row r="40" spans="1:10">
      <c r="A40" s="61"/>
      <c r="B40" s="61"/>
      <c r="C40" s="61"/>
      <c r="D40" s="61"/>
      <c r="E40" s="61"/>
      <c r="F40" s="61"/>
      <c r="G40" s="61"/>
      <c r="H40" s="61"/>
      <c r="I40" s="61"/>
      <c r="J40" s="61"/>
    </row>
    <row r="41" spans="1:10" ht="75" customHeight="1">
      <c r="A41" s="131" t="s">
        <v>1457</v>
      </c>
      <c r="B41" s="131"/>
      <c r="C41" s="131"/>
      <c r="D41" s="131"/>
      <c r="E41" s="131"/>
      <c r="F41" s="131"/>
      <c r="G41" s="131"/>
      <c r="H41" s="131"/>
      <c r="I41" s="131"/>
      <c r="J41" s="131"/>
    </row>
    <row r="42" spans="1:10" ht="69.75" customHeight="1">
      <c r="A42" s="131" t="s">
        <v>1458</v>
      </c>
      <c r="B42" s="131"/>
      <c r="C42" s="131"/>
      <c r="D42" s="131"/>
      <c r="E42" s="131"/>
      <c r="F42" s="131"/>
      <c r="G42" s="131"/>
      <c r="H42" s="131"/>
      <c r="I42" s="131"/>
      <c r="J42" s="131"/>
    </row>
    <row r="43" spans="1:10" ht="61.5" customHeight="1">
      <c r="A43" s="131" t="s">
        <v>1459</v>
      </c>
      <c r="B43" s="131"/>
      <c r="C43" s="131"/>
      <c r="D43" s="131"/>
      <c r="E43" s="131"/>
      <c r="F43" s="131"/>
      <c r="G43" s="131"/>
      <c r="H43" s="131"/>
      <c r="I43" s="131"/>
      <c r="J43" s="131"/>
    </row>
    <row r="44" spans="1:10">
      <c r="A44" s="131" t="s">
        <v>1460</v>
      </c>
      <c r="B44" s="131"/>
      <c r="C44" s="131"/>
      <c r="D44" s="131"/>
      <c r="E44" s="131"/>
      <c r="F44" s="131"/>
      <c r="G44" s="131"/>
      <c r="H44" s="131"/>
      <c r="I44" s="131"/>
      <c r="J44" s="131"/>
    </row>
    <row r="45" spans="1:10">
      <c r="A45" s="131" t="s">
        <v>1461</v>
      </c>
      <c r="B45" s="131"/>
      <c r="C45" s="131"/>
      <c r="D45" s="131"/>
      <c r="E45" s="131"/>
      <c r="F45" s="131"/>
      <c r="G45" s="131"/>
      <c r="H45" s="131"/>
      <c r="I45" s="131"/>
      <c r="J45" s="131"/>
    </row>
    <row r="46" spans="1:10">
      <c r="A46" s="131"/>
      <c r="B46" s="131"/>
      <c r="C46" s="131"/>
      <c r="D46" s="131"/>
      <c r="E46" s="131"/>
      <c r="F46" s="131"/>
      <c r="G46" s="131"/>
      <c r="H46" s="131"/>
      <c r="I46" s="131"/>
      <c r="J46" s="131"/>
    </row>
    <row r="47" spans="1:10">
      <c r="A47" s="131" t="s">
        <v>1523</v>
      </c>
      <c r="B47" s="131"/>
      <c r="C47" s="131"/>
      <c r="D47" s="131"/>
      <c r="E47" s="131"/>
      <c r="F47" s="131"/>
      <c r="G47" s="131"/>
      <c r="H47" s="131"/>
      <c r="I47" s="131"/>
      <c r="J47" s="131"/>
    </row>
    <row r="48" spans="1:10">
      <c r="A48" s="131" t="s">
        <v>1557</v>
      </c>
      <c r="B48" s="131"/>
      <c r="C48" s="131"/>
      <c r="D48" s="131"/>
      <c r="E48" s="131"/>
      <c r="F48" s="131"/>
      <c r="G48" s="131"/>
      <c r="H48" s="131"/>
      <c r="I48" s="131"/>
      <c r="J48" s="131"/>
    </row>
    <row r="49" spans="1:10">
      <c r="A49" s="131"/>
      <c r="B49" s="131"/>
      <c r="C49" s="131"/>
      <c r="D49" s="131"/>
      <c r="E49" s="131"/>
      <c r="F49" s="131"/>
      <c r="G49" s="131"/>
      <c r="H49" s="131"/>
      <c r="I49" s="131"/>
      <c r="J49" s="131"/>
    </row>
    <row r="50" spans="1:10">
      <c r="A50" s="131" t="s">
        <v>1525</v>
      </c>
      <c r="B50" s="131"/>
      <c r="C50" s="131"/>
      <c r="D50" s="131"/>
      <c r="E50" s="131"/>
      <c r="F50" s="131"/>
      <c r="G50" s="131"/>
      <c r="H50" s="131"/>
      <c r="I50" s="131"/>
      <c r="J50" s="131"/>
    </row>
    <row r="51" spans="1:10">
      <c r="A51" s="131" t="s">
        <v>1558</v>
      </c>
      <c r="B51" s="131"/>
      <c r="C51" s="131"/>
      <c r="D51" s="131"/>
      <c r="E51" s="131"/>
      <c r="F51" s="131"/>
      <c r="G51" s="131"/>
      <c r="H51" s="131"/>
      <c r="I51" s="131"/>
      <c r="J51" s="131"/>
    </row>
    <row r="52" spans="1:10">
      <c r="A52" s="131"/>
      <c r="B52" s="131"/>
      <c r="C52" s="131"/>
      <c r="D52" s="131"/>
      <c r="E52" s="131"/>
      <c r="F52" s="131"/>
      <c r="G52" s="131"/>
      <c r="H52" s="131"/>
      <c r="I52" s="131"/>
      <c r="J52" s="131"/>
    </row>
    <row r="53" spans="1:10">
      <c r="A53" s="131" t="s">
        <v>1527</v>
      </c>
      <c r="B53" s="131"/>
      <c r="C53" s="131"/>
      <c r="D53" s="131"/>
      <c r="E53" s="131"/>
      <c r="F53" s="131"/>
      <c r="G53" s="131"/>
      <c r="H53" s="131"/>
      <c r="I53" s="131"/>
      <c r="J53" s="131"/>
    </row>
    <row r="54" spans="1:10">
      <c r="A54" s="131" t="s">
        <v>1559</v>
      </c>
      <c r="B54" s="131"/>
      <c r="C54" s="131"/>
      <c r="D54" s="131"/>
      <c r="E54" s="131"/>
      <c r="F54" s="131"/>
      <c r="G54" s="131"/>
      <c r="H54" s="131"/>
      <c r="I54" s="131"/>
      <c r="J54" s="131"/>
    </row>
    <row r="55" spans="1:10">
      <c r="A55" s="131"/>
      <c r="B55" s="131"/>
      <c r="C55" s="131"/>
      <c r="D55" s="131"/>
      <c r="E55" s="131"/>
      <c r="F55" s="131"/>
      <c r="G55" s="131"/>
      <c r="H55" s="131"/>
      <c r="I55" s="131"/>
      <c r="J55" s="131"/>
    </row>
    <row r="56" spans="1:10">
      <c r="A56" s="131" t="s">
        <v>1529</v>
      </c>
      <c r="B56" s="131"/>
      <c r="C56" s="131"/>
      <c r="D56" s="131"/>
      <c r="E56" s="131"/>
      <c r="F56" s="131"/>
      <c r="G56" s="131"/>
      <c r="H56" s="131"/>
      <c r="I56" s="131"/>
      <c r="J56" s="131"/>
    </row>
    <row r="57" spans="1:10">
      <c r="A57" s="131" t="s">
        <v>1560</v>
      </c>
      <c r="B57" s="131"/>
      <c r="C57" s="131"/>
      <c r="D57" s="131"/>
      <c r="E57" s="131"/>
      <c r="F57" s="131"/>
      <c r="G57" s="131"/>
      <c r="H57" s="131"/>
      <c r="I57" s="131"/>
      <c r="J57" s="131"/>
    </row>
    <row r="58" spans="1:10">
      <c r="A58" s="131"/>
      <c r="B58" s="131"/>
      <c r="C58" s="131"/>
      <c r="D58" s="131"/>
      <c r="E58" s="131"/>
      <c r="F58" s="131"/>
      <c r="G58" s="131"/>
      <c r="H58" s="131"/>
      <c r="I58" s="131"/>
      <c r="J58" s="131"/>
    </row>
    <row r="59" spans="1:10">
      <c r="A59" s="131" t="s">
        <v>1531</v>
      </c>
      <c r="B59" s="131"/>
      <c r="C59" s="131"/>
      <c r="D59" s="131"/>
      <c r="E59" s="131"/>
      <c r="F59" s="131"/>
      <c r="G59" s="131"/>
      <c r="H59" s="131"/>
      <c r="I59" s="131"/>
      <c r="J59" s="131"/>
    </row>
    <row r="60" spans="1:10">
      <c r="A60" s="131" t="s">
        <v>1561</v>
      </c>
      <c r="B60" s="131"/>
      <c r="C60" s="131"/>
      <c r="D60" s="131"/>
      <c r="E60" s="131"/>
      <c r="F60" s="131"/>
      <c r="G60" s="131"/>
      <c r="H60" s="131"/>
      <c r="I60" s="131"/>
      <c r="J60" s="131"/>
    </row>
    <row r="61" spans="1:10">
      <c r="A61" s="131"/>
      <c r="B61" s="131"/>
      <c r="C61" s="131"/>
      <c r="D61" s="131"/>
      <c r="E61" s="131"/>
      <c r="F61" s="131"/>
      <c r="G61" s="131"/>
      <c r="H61" s="131"/>
      <c r="I61" s="131"/>
      <c r="J61" s="131"/>
    </row>
    <row r="62" spans="1:10">
      <c r="A62" s="131"/>
      <c r="B62" s="131"/>
      <c r="C62" s="131"/>
      <c r="D62" s="131"/>
      <c r="E62" s="131"/>
      <c r="F62" s="131"/>
      <c r="G62" s="131"/>
      <c r="H62" s="131"/>
      <c r="I62" s="131"/>
      <c r="J62" s="131"/>
    </row>
    <row r="63" spans="1:10">
      <c r="A63" s="131"/>
      <c r="B63" s="131"/>
      <c r="C63" s="131"/>
      <c r="D63" s="131"/>
      <c r="E63" s="131"/>
      <c r="F63" s="131"/>
      <c r="G63" s="131"/>
      <c r="H63" s="131"/>
      <c r="I63" s="131"/>
      <c r="J63" s="131"/>
    </row>
    <row r="64" spans="1:10">
      <c r="A64" s="131" t="s">
        <v>1562</v>
      </c>
      <c r="B64" s="131"/>
      <c r="C64" s="131"/>
      <c r="D64" s="131"/>
      <c r="E64" s="131"/>
      <c r="F64" s="131"/>
      <c r="G64" s="131"/>
      <c r="H64" s="131"/>
      <c r="I64" s="131"/>
      <c r="J64" s="131"/>
    </row>
    <row r="65" spans="1:10">
      <c r="A65" s="131"/>
      <c r="B65" s="131"/>
      <c r="C65" s="131"/>
      <c r="D65" s="131"/>
      <c r="E65" s="131"/>
      <c r="F65" s="131"/>
      <c r="G65" s="131"/>
      <c r="H65" s="131"/>
      <c r="I65" s="131"/>
      <c r="J65" s="131"/>
    </row>
    <row r="66" spans="1:10">
      <c r="A66" s="131" t="s">
        <v>1563</v>
      </c>
      <c r="B66" s="131"/>
      <c r="C66" s="131"/>
      <c r="D66" s="131"/>
      <c r="E66" s="131"/>
      <c r="F66" s="131"/>
      <c r="G66" s="131"/>
      <c r="H66" s="131"/>
      <c r="I66" s="131"/>
      <c r="J66" s="131"/>
    </row>
    <row r="67" spans="1:10">
      <c r="A67" s="131" t="s">
        <v>1564</v>
      </c>
      <c r="B67" s="131"/>
      <c r="C67" s="131"/>
      <c r="D67" s="131"/>
      <c r="E67" s="131"/>
      <c r="F67" s="131"/>
      <c r="G67" s="131"/>
      <c r="H67" s="131"/>
      <c r="I67" s="131"/>
      <c r="J67" s="131"/>
    </row>
    <row r="68" spans="1:10">
      <c r="A68" s="131" t="s">
        <v>1565</v>
      </c>
      <c r="B68" s="131"/>
      <c r="C68" s="131"/>
      <c r="D68" s="131"/>
      <c r="E68" s="131"/>
      <c r="F68" s="131"/>
      <c r="G68" s="131"/>
      <c r="H68" s="131"/>
      <c r="I68" s="131"/>
      <c r="J68" s="131"/>
    </row>
    <row r="69" spans="1:10">
      <c r="A69" s="131" t="s">
        <v>1566</v>
      </c>
      <c r="B69" s="131"/>
      <c r="C69" s="131"/>
      <c r="D69" s="131"/>
      <c r="E69" s="131"/>
      <c r="F69" s="131"/>
      <c r="G69" s="131"/>
      <c r="H69" s="131"/>
      <c r="I69" s="131"/>
      <c r="J69" s="131"/>
    </row>
    <row r="70" spans="1:10">
      <c r="A70" s="131" t="s">
        <v>1567</v>
      </c>
      <c r="B70" s="131"/>
      <c r="C70" s="131"/>
      <c r="D70" s="131"/>
      <c r="E70" s="131"/>
      <c r="F70" s="131"/>
      <c r="G70" s="131"/>
      <c r="H70" s="131"/>
      <c r="I70" s="131"/>
      <c r="J70" s="131"/>
    </row>
    <row r="71" spans="1:10">
      <c r="A71" s="131" t="s">
        <v>1568</v>
      </c>
      <c r="B71" s="131"/>
      <c r="C71" s="131"/>
      <c r="D71" s="131"/>
      <c r="E71" s="131"/>
      <c r="F71" s="131"/>
      <c r="G71" s="131"/>
      <c r="H71" s="131"/>
      <c r="I71" s="131"/>
      <c r="J71" s="131"/>
    </row>
    <row r="72" spans="1:10">
      <c r="A72" s="131" t="s">
        <v>1569</v>
      </c>
      <c r="B72" s="131"/>
      <c r="C72" s="131"/>
      <c r="D72" s="131"/>
      <c r="E72" s="131"/>
      <c r="F72" s="131"/>
      <c r="G72" s="131"/>
      <c r="H72" s="131"/>
      <c r="I72" s="131"/>
      <c r="J72" s="131"/>
    </row>
    <row r="73" spans="1:10">
      <c r="A73" s="131" t="s">
        <v>1570</v>
      </c>
      <c r="B73" s="131"/>
      <c r="C73" s="131"/>
      <c r="D73" s="131"/>
      <c r="E73" s="131"/>
      <c r="F73" s="131"/>
      <c r="G73" s="131"/>
      <c r="H73" s="131"/>
      <c r="I73" s="131"/>
      <c r="J73" s="131"/>
    </row>
    <row r="74" spans="1:10">
      <c r="A74" s="131" t="s">
        <v>1571</v>
      </c>
      <c r="B74" s="131"/>
      <c r="C74" s="131"/>
      <c r="D74" s="131"/>
      <c r="E74" s="131"/>
      <c r="F74" s="131"/>
      <c r="G74" s="131"/>
      <c r="H74" s="131"/>
      <c r="I74" s="131"/>
      <c r="J74" s="131"/>
    </row>
  </sheetData>
  <mergeCells count="45">
    <mergeCell ref="A73:J73"/>
    <mergeCell ref="A74:J74"/>
    <mergeCell ref="A68:J68"/>
    <mergeCell ref="A69:J69"/>
    <mergeCell ref="A70:J70"/>
    <mergeCell ref="A71:J71"/>
    <mergeCell ref="A72:J72"/>
    <mergeCell ref="A63:J63"/>
    <mergeCell ref="A64:J64"/>
    <mergeCell ref="A65:J65"/>
    <mergeCell ref="A66:J66"/>
    <mergeCell ref="A67:J67"/>
    <mergeCell ref="A58:J58"/>
    <mergeCell ref="A59:J59"/>
    <mergeCell ref="A60:J60"/>
    <mergeCell ref="A61:J61"/>
    <mergeCell ref="A62:J62"/>
    <mergeCell ref="A53:J53"/>
    <mergeCell ref="A54:J54"/>
    <mergeCell ref="A55:J55"/>
    <mergeCell ref="A56:J56"/>
    <mergeCell ref="A57:J57"/>
    <mergeCell ref="A48:J48"/>
    <mergeCell ref="A49:J49"/>
    <mergeCell ref="A50:J50"/>
    <mergeCell ref="A51:J51"/>
    <mergeCell ref="A52:J52"/>
    <mergeCell ref="A43:J43"/>
    <mergeCell ref="A44:J44"/>
    <mergeCell ref="A45:J45"/>
    <mergeCell ref="A46:J46"/>
    <mergeCell ref="A47:J47"/>
    <mergeCell ref="B2:D2"/>
    <mergeCell ref="E2:G2"/>
    <mergeCell ref="H2:J2"/>
    <mergeCell ref="A41:J41"/>
    <mergeCell ref="A42:J42"/>
    <mergeCell ref="A30:D30"/>
    <mergeCell ref="A31:D31"/>
    <mergeCell ref="AF2:AH2"/>
    <mergeCell ref="Z2:AB2"/>
    <mergeCell ref="AC2:AE2"/>
    <mergeCell ref="P2:R2"/>
    <mergeCell ref="S2:U2"/>
    <mergeCell ref="V2:X2"/>
  </mergeCells>
  <pageMargins left="0.7" right="0.7" top="0.75" bottom="0.75" header="0.3" footer="0.3"/>
  <pageSetup scale="62" orientation="landscape" horizontalDpi="0" verticalDpi="0" r:id="rId1"/>
</worksheet>
</file>

<file path=xl/worksheets/sheet135.xml><?xml version="1.0" encoding="utf-8"?>
<worksheet xmlns="http://schemas.openxmlformats.org/spreadsheetml/2006/main" xmlns:r="http://schemas.openxmlformats.org/officeDocument/2006/relationships">
  <sheetPr codeName="Sheet128"/>
  <dimension ref="A1:AC67"/>
  <sheetViews>
    <sheetView view="pageBreakPreview" zoomScale="85" zoomScaleNormal="100" zoomScaleSheetLayoutView="85"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9.140625" style="64"/>
    <col min="2" max="2" width="14.85546875" style="64" customWidth="1"/>
    <col min="3" max="4" width="10.42578125" style="64" customWidth="1"/>
    <col min="5" max="5" width="9.140625" style="64"/>
    <col min="6" max="6" width="11.140625" style="64" customWidth="1"/>
    <col min="7" max="7" width="11.28515625" style="64" customWidth="1"/>
    <col min="8" max="8" width="12.42578125" style="64" customWidth="1"/>
    <col min="9" max="13" width="14.140625" style="64" customWidth="1"/>
    <col min="14" max="15" width="9.140625" style="64"/>
    <col min="16" max="28" width="9.140625" style="64" hidden="1" customWidth="1" outlineLevel="1"/>
    <col min="29" max="29" width="9.140625" style="64" collapsed="1"/>
    <col min="30" max="16384" width="9.140625" style="64"/>
  </cols>
  <sheetData>
    <row r="1" spans="1:28">
      <c r="A1" s="66" t="s">
        <v>2012</v>
      </c>
    </row>
    <row r="2" spans="1:28">
      <c r="A2" s="158"/>
      <c r="B2" s="94" t="s">
        <v>1183</v>
      </c>
      <c r="C2" s="111" t="s">
        <v>1054</v>
      </c>
      <c r="D2" s="111"/>
      <c r="E2" s="111"/>
      <c r="F2" s="111"/>
      <c r="G2" s="111"/>
      <c r="H2" s="111"/>
      <c r="I2" s="94" t="s">
        <v>1055</v>
      </c>
      <c r="J2" s="94"/>
      <c r="K2" s="94"/>
      <c r="L2" s="94"/>
      <c r="M2" s="94"/>
    </row>
    <row r="3" spans="1:28">
      <c r="A3" s="158"/>
      <c r="B3" s="94"/>
      <c r="C3" s="94" t="s">
        <v>1184</v>
      </c>
      <c r="D3" s="94" t="s">
        <v>1185</v>
      </c>
      <c r="E3" s="111" t="s">
        <v>1186</v>
      </c>
      <c r="F3" s="111"/>
      <c r="G3" s="111"/>
      <c r="H3" s="123" t="s">
        <v>1189</v>
      </c>
      <c r="I3" s="94" t="s">
        <v>1190</v>
      </c>
      <c r="J3" s="123" t="s">
        <v>1191</v>
      </c>
      <c r="K3" s="123" t="s">
        <v>1192</v>
      </c>
      <c r="L3" s="123" t="s">
        <v>871</v>
      </c>
      <c r="M3" s="123" t="s">
        <v>872</v>
      </c>
    </row>
    <row r="4" spans="1:28" ht="135">
      <c r="A4" s="158"/>
      <c r="B4" s="94"/>
      <c r="C4" s="94"/>
      <c r="D4" s="94"/>
      <c r="E4" s="72" t="s">
        <v>1592</v>
      </c>
      <c r="F4" s="72" t="s">
        <v>1187</v>
      </c>
      <c r="G4" s="72" t="s">
        <v>1188</v>
      </c>
      <c r="H4" s="126"/>
      <c r="I4" s="94"/>
      <c r="J4" s="126"/>
      <c r="K4" s="126"/>
      <c r="L4" s="126"/>
      <c r="M4" s="126"/>
      <c r="Q4" s="117" t="s">
        <v>2</v>
      </c>
      <c r="R4" s="117" t="s">
        <v>13</v>
      </c>
      <c r="S4" s="117" t="s">
        <v>14</v>
      </c>
      <c r="T4" s="117" t="s">
        <v>15</v>
      </c>
      <c r="U4" s="117" t="s">
        <v>16</v>
      </c>
      <c r="V4" s="117" t="s">
        <v>17</v>
      </c>
      <c r="W4" s="117" t="s">
        <v>18</v>
      </c>
      <c r="X4" s="117" t="s">
        <v>19</v>
      </c>
      <c r="Y4" s="117" t="s">
        <v>20</v>
      </c>
      <c r="Z4" s="117" t="s">
        <v>21</v>
      </c>
      <c r="AA4" s="117" t="s">
        <v>1572</v>
      </c>
      <c r="AB4" s="117" t="s">
        <v>1573</v>
      </c>
    </row>
    <row r="5" spans="1:28" hidden="1" outlineLevel="1">
      <c r="B5" s="117" t="s">
        <v>1493</v>
      </c>
      <c r="C5" s="117" t="s">
        <v>1496</v>
      </c>
      <c r="D5" s="117" t="s">
        <v>1574</v>
      </c>
      <c r="E5" s="117" t="s">
        <v>1575</v>
      </c>
      <c r="F5" s="117" t="s">
        <v>1576</v>
      </c>
      <c r="G5" s="117" t="s">
        <v>1577</v>
      </c>
      <c r="H5" s="117" t="s">
        <v>1578</v>
      </c>
      <c r="I5" s="117" t="s">
        <v>1499</v>
      </c>
      <c r="J5" s="117" t="s">
        <v>1579</v>
      </c>
      <c r="K5" s="117" t="s">
        <v>1580</v>
      </c>
      <c r="L5" s="117" t="s">
        <v>1581</v>
      </c>
      <c r="M5" s="117" t="s">
        <v>1582</v>
      </c>
      <c r="Q5" s="64" t="s">
        <v>1505</v>
      </c>
      <c r="R5" s="64" t="s">
        <v>1506</v>
      </c>
      <c r="S5" s="64" t="s">
        <v>1583</v>
      </c>
      <c r="T5" s="64" t="s">
        <v>1584</v>
      </c>
      <c r="U5" s="64" t="s">
        <v>1585</v>
      </c>
      <c r="V5" s="64" t="s">
        <v>1586</v>
      </c>
      <c r="W5" s="64" t="s">
        <v>1587</v>
      </c>
      <c r="X5" s="64" t="s">
        <v>1507</v>
      </c>
      <c r="Y5" s="64" t="s">
        <v>1588</v>
      </c>
      <c r="Z5" s="64" t="s">
        <v>1589</v>
      </c>
      <c r="AA5" s="64" t="s">
        <v>1590</v>
      </c>
      <c r="AB5" s="64" t="s">
        <v>1591</v>
      </c>
    </row>
    <row r="6" spans="1:28" collapsed="1">
      <c r="A6" s="66">
        <v>1990</v>
      </c>
      <c r="B6" s="56">
        <v>712</v>
      </c>
      <c r="C6" s="56">
        <v>157</v>
      </c>
      <c r="D6" s="56">
        <v>35</v>
      </c>
      <c r="E6" s="56">
        <v>99</v>
      </c>
      <c r="F6" s="56" t="s">
        <v>188</v>
      </c>
      <c r="G6" s="56" t="s">
        <v>188</v>
      </c>
      <c r="H6" s="56">
        <v>23</v>
      </c>
      <c r="I6" s="56">
        <v>555</v>
      </c>
      <c r="J6" s="56">
        <v>273</v>
      </c>
      <c r="K6" s="56">
        <v>107</v>
      </c>
      <c r="L6" s="56">
        <v>76</v>
      </c>
      <c r="M6" s="56">
        <v>99</v>
      </c>
    </row>
    <row r="7" spans="1:28">
      <c r="A7" s="66">
        <v>1991</v>
      </c>
      <c r="B7" s="56">
        <v>673</v>
      </c>
      <c r="C7" s="56">
        <v>161</v>
      </c>
      <c r="D7" s="56">
        <v>38</v>
      </c>
      <c r="E7" s="56">
        <v>100</v>
      </c>
      <c r="F7" s="56" t="s">
        <v>188</v>
      </c>
      <c r="G7" s="56" t="s">
        <v>188</v>
      </c>
      <c r="H7" s="56">
        <v>23</v>
      </c>
      <c r="I7" s="56">
        <v>512</v>
      </c>
      <c r="J7" s="56">
        <v>262</v>
      </c>
      <c r="K7" s="56">
        <v>95</v>
      </c>
      <c r="L7" s="56">
        <v>65</v>
      </c>
      <c r="M7" s="56">
        <v>90</v>
      </c>
    </row>
    <row r="8" spans="1:28">
      <c r="A8" s="66">
        <v>1992</v>
      </c>
      <c r="B8" s="56">
        <v>665</v>
      </c>
      <c r="C8" s="56">
        <v>162</v>
      </c>
      <c r="D8" s="56">
        <v>37</v>
      </c>
      <c r="E8" s="56">
        <v>99</v>
      </c>
      <c r="F8" s="56" t="s">
        <v>188</v>
      </c>
      <c r="G8" s="56" t="s">
        <v>188</v>
      </c>
      <c r="H8" s="56">
        <v>26</v>
      </c>
      <c r="I8" s="56">
        <v>503</v>
      </c>
      <c r="J8" s="56">
        <v>265</v>
      </c>
      <c r="K8" s="56">
        <v>86</v>
      </c>
      <c r="L8" s="56">
        <v>66</v>
      </c>
      <c r="M8" s="56">
        <v>86</v>
      </c>
    </row>
    <row r="9" spans="1:28">
      <c r="A9" s="66">
        <v>1993</v>
      </c>
      <c r="B9" s="56">
        <v>648</v>
      </c>
      <c r="C9" s="56">
        <v>163</v>
      </c>
      <c r="D9" s="56">
        <v>38</v>
      </c>
      <c r="E9" s="56">
        <v>100</v>
      </c>
      <c r="F9" s="56" t="s">
        <v>188</v>
      </c>
      <c r="G9" s="56" t="s">
        <v>188</v>
      </c>
      <c r="H9" s="56">
        <v>25</v>
      </c>
      <c r="I9" s="56">
        <v>485</v>
      </c>
      <c r="J9" s="56">
        <v>246</v>
      </c>
      <c r="K9" s="56">
        <v>88</v>
      </c>
      <c r="L9" s="56">
        <v>62</v>
      </c>
      <c r="M9" s="56">
        <v>89</v>
      </c>
    </row>
    <row r="10" spans="1:28">
      <c r="A10" s="66">
        <v>1994</v>
      </c>
      <c r="B10" s="56">
        <v>654</v>
      </c>
      <c r="C10" s="56">
        <v>165</v>
      </c>
      <c r="D10" s="56">
        <v>39</v>
      </c>
      <c r="E10" s="56">
        <v>101</v>
      </c>
      <c r="F10" s="56" t="s">
        <v>188</v>
      </c>
      <c r="G10" s="56" t="s">
        <v>188</v>
      </c>
      <c r="H10" s="56">
        <v>25</v>
      </c>
      <c r="I10" s="56">
        <v>489</v>
      </c>
      <c r="J10" s="56">
        <v>247</v>
      </c>
      <c r="K10" s="56">
        <v>93</v>
      </c>
      <c r="L10" s="56">
        <v>64</v>
      </c>
      <c r="M10" s="56">
        <v>85</v>
      </c>
    </row>
    <row r="11" spans="1:28">
      <c r="A11" s="66">
        <v>1995</v>
      </c>
      <c r="B11" s="56">
        <v>676</v>
      </c>
      <c r="C11" s="56">
        <v>169</v>
      </c>
      <c r="D11" s="56">
        <v>41</v>
      </c>
      <c r="E11" s="56">
        <v>103</v>
      </c>
      <c r="F11" s="56" t="s">
        <v>188</v>
      </c>
      <c r="G11" s="56" t="s">
        <v>188</v>
      </c>
      <c r="H11" s="56">
        <v>25</v>
      </c>
      <c r="I11" s="56">
        <v>507</v>
      </c>
      <c r="J11" s="56">
        <v>252</v>
      </c>
      <c r="K11" s="56">
        <v>98</v>
      </c>
      <c r="L11" s="56">
        <v>67</v>
      </c>
      <c r="M11" s="56">
        <v>90</v>
      </c>
    </row>
    <row r="12" spans="1:28">
      <c r="A12" s="66">
        <v>1996</v>
      </c>
      <c r="B12" s="56">
        <v>696</v>
      </c>
      <c r="C12" s="56">
        <v>173</v>
      </c>
      <c r="D12" s="56">
        <v>43</v>
      </c>
      <c r="E12" s="56">
        <v>106</v>
      </c>
      <c r="F12" s="56" t="s">
        <v>188</v>
      </c>
      <c r="G12" s="56" t="s">
        <v>188</v>
      </c>
      <c r="H12" s="56">
        <v>24</v>
      </c>
      <c r="I12" s="56">
        <v>523</v>
      </c>
      <c r="J12" s="56">
        <v>262</v>
      </c>
      <c r="K12" s="56">
        <v>105</v>
      </c>
      <c r="L12" s="56">
        <v>63</v>
      </c>
      <c r="M12" s="56">
        <v>93</v>
      </c>
    </row>
    <row r="13" spans="1:28">
      <c r="A13" s="66">
        <v>1997</v>
      </c>
      <c r="B13" s="56">
        <v>659</v>
      </c>
      <c r="C13" s="56">
        <v>179</v>
      </c>
      <c r="D13" s="56">
        <v>45</v>
      </c>
      <c r="E13" s="56">
        <v>104</v>
      </c>
      <c r="F13" s="56" t="s">
        <v>188</v>
      </c>
      <c r="G13" s="56" t="s">
        <v>188</v>
      </c>
      <c r="H13" s="56">
        <v>30</v>
      </c>
      <c r="I13" s="56">
        <v>480</v>
      </c>
      <c r="J13" s="56">
        <v>261</v>
      </c>
      <c r="K13" s="56">
        <v>87</v>
      </c>
      <c r="L13" s="56">
        <v>55</v>
      </c>
      <c r="M13" s="56">
        <v>77</v>
      </c>
    </row>
    <row r="14" spans="1:28">
      <c r="A14" s="66">
        <v>1998</v>
      </c>
      <c r="B14" s="56">
        <v>669</v>
      </c>
      <c r="C14" s="56">
        <v>167</v>
      </c>
      <c r="D14" s="56">
        <v>47</v>
      </c>
      <c r="E14" s="56">
        <v>90</v>
      </c>
      <c r="F14" s="56">
        <v>45</v>
      </c>
      <c r="G14" s="56">
        <v>45</v>
      </c>
      <c r="H14" s="56">
        <v>30</v>
      </c>
      <c r="I14" s="56">
        <v>502</v>
      </c>
      <c r="J14" s="56">
        <v>265</v>
      </c>
      <c r="K14" s="56">
        <v>106</v>
      </c>
      <c r="L14" s="56">
        <v>65</v>
      </c>
      <c r="M14" s="56">
        <v>66</v>
      </c>
    </row>
    <row r="15" spans="1:28" ht="15.75" thickBot="1">
      <c r="A15" s="171">
        <v>1999</v>
      </c>
      <c r="B15" s="172">
        <v>663</v>
      </c>
      <c r="C15" s="172">
        <v>182</v>
      </c>
      <c r="D15" s="172">
        <v>49</v>
      </c>
      <c r="E15" s="172">
        <v>98</v>
      </c>
      <c r="F15" s="172">
        <v>48</v>
      </c>
      <c r="G15" s="172">
        <v>50</v>
      </c>
      <c r="H15" s="172">
        <v>35</v>
      </c>
      <c r="I15" s="172">
        <v>481</v>
      </c>
      <c r="J15" s="172">
        <v>256</v>
      </c>
      <c r="K15" s="172">
        <v>107</v>
      </c>
      <c r="L15" s="172">
        <v>60</v>
      </c>
      <c r="M15" s="172">
        <v>58</v>
      </c>
    </row>
    <row r="16" spans="1:28">
      <c r="A16" s="66">
        <v>2000</v>
      </c>
      <c r="B16" s="56">
        <v>872</v>
      </c>
      <c r="C16" s="56">
        <v>207</v>
      </c>
      <c r="D16" s="56">
        <v>59</v>
      </c>
      <c r="E16" s="56">
        <v>109</v>
      </c>
      <c r="F16" s="56">
        <v>59</v>
      </c>
      <c r="G16" s="56">
        <v>50</v>
      </c>
      <c r="H16" s="56">
        <v>39</v>
      </c>
      <c r="I16" s="56">
        <v>665</v>
      </c>
      <c r="J16" s="56">
        <v>319</v>
      </c>
      <c r="K16" s="56">
        <v>157</v>
      </c>
      <c r="L16" s="56">
        <v>85</v>
      </c>
      <c r="M16" s="56">
        <v>104</v>
      </c>
    </row>
    <row r="17" spans="1:28">
      <c r="A17" s="66">
        <v>2001</v>
      </c>
      <c r="B17" s="56">
        <v>850</v>
      </c>
      <c r="C17" s="56">
        <v>208</v>
      </c>
      <c r="D17" s="56">
        <v>56</v>
      </c>
      <c r="E17" s="56">
        <v>109</v>
      </c>
      <c r="F17" s="56">
        <v>60</v>
      </c>
      <c r="G17" s="56">
        <v>49</v>
      </c>
      <c r="H17" s="56">
        <v>43</v>
      </c>
      <c r="I17" s="56">
        <v>642</v>
      </c>
      <c r="J17" s="56">
        <v>305</v>
      </c>
      <c r="K17" s="56">
        <v>159</v>
      </c>
      <c r="L17" s="56">
        <v>76</v>
      </c>
      <c r="M17" s="56">
        <v>102</v>
      </c>
    </row>
    <row r="18" spans="1:28">
      <c r="A18" s="66">
        <v>2002</v>
      </c>
      <c r="B18" s="56">
        <v>846</v>
      </c>
      <c r="C18" s="56">
        <v>202</v>
      </c>
      <c r="D18" s="56">
        <v>50</v>
      </c>
      <c r="E18" s="56">
        <v>108</v>
      </c>
      <c r="F18" s="56">
        <v>61</v>
      </c>
      <c r="G18" s="56">
        <v>47</v>
      </c>
      <c r="H18" s="56">
        <v>44</v>
      </c>
      <c r="I18" s="56">
        <v>644</v>
      </c>
      <c r="J18" s="56">
        <v>305</v>
      </c>
      <c r="K18" s="56">
        <v>156</v>
      </c>
      <c r="L18" s="56">
        <v>83</v>
      </c>
      <c r="M18" s="56">
        <v>100</v>
      </c>
    </row>
    <row r="19" spans="1:28" ht="15.75" thickBot="1">
      <c r="A19" s="171">
        <v>2003</v>
      </c>
      <c r="B19" s="172">
        <v>870</v>
      </c>
      <c r="C19" s="172">
        <v>213</v>
      </c>
      <c r="D19" s="172">
        <v>51</v>
      </c>
      <c r="E19" s="172">
        <v>112</v>
      </c>
      <c r="F19" s="172">
        <v>70</v>
      </c>
      <c r="G19" s="172">
        <v>42</v>
      </c>
      <c r="H19" s="172">
        <v>50</v>
      </c>
      <c r="I19" s="172">
        <v>657</v>
      </c>
      <c r="J19" s="172">
        <v>304</v>
      </c>
      <c r="K19" s="172">
        <v>164</v>
      </c>
      <c r="L19" s="172">
        <v>83</v>
      </c>
      <c r="M19" s="172">
        <v>106</v>
      </c>
    </row>
    <row r="20" spans="1:28">
      <c r="A20" s="66">
        <v>2004</v>
      </c>
      <c r="B20" s="56">
        <f>Q20</f>
        <v>1173</v>
      </c>
      <c r="C20" s="56">
        <f t="shared" ref="C20:M20" si="0">R20</f>
        <v>274</v>
      </c>
      <c r="D20" s="56">
        <f t="shared" si="0"/>
        <v>84</v>
      </c>
      <c r="E20" s="56">
        <f t="shared" si="0"/>
        <v>133</v>
      </c>
      <c r="F20" s="56">
        <f t="shared" si="0"/>
        <v>88</v>
      </c>
      <c r="G20" s="56">
        <f t="shared" si="0"/>
        <v>45</v>
      </c>
      <c r="H20" s="56">
        <f t="shared" si="0"/>
        <v>57</v>
      </c>
      <c r="I20" s="56">
        <f t="shared" si="0"/>
        <v>899</v>
      </c>
      <c r="J20" s="56">
        <f t="shared" si="0"/>
        <v>339</v>
      </c>
      <c r="K20" s="56">
        <f t="shared" si="0"/>
        <v>219</v>
      </c>
      <c r="L20" s="56">
        <f t="shared" si="0"/>
        <v>121</v>
      </c>
      <c r="M20" s="56">
        <f t="shared" si="0"/>
        <v>220</v>
      </c>
      <c r="P20" s="176">
        <v>37987</v>
      </c>
      <c r="Q20" s="64">
        <v>1173</v>
      </c>
      <c r="R20" s="64">
        <v>274</v>
      </c>
      <c r="S20" s="64">
        <v>84</v>
      </c>
      <c r="T20" s="64">
        <v>133</v>
      </c>
      <c r="U20" s="64">
        <v>88</v>
      </c>
      <c r="V20" s="64">
        <v>45</v>
      </c>
      <c r="W20" s="64">
        <v>57</v>
      </c>
      <c r="X20" s="64">
        <v>899</v>
      </c>
      <c r="Y20" s="64">
        <v>339</v>
      </c>
      <c r="Z20" s="64">
        <v>219</v>
      </c>
      <c r="AA20" s="64">
        <v>121</v>
      </c>
      <c r="AB20" s="64">
        <v>220</v>
      </c>
    </row>
    <row r="21" spans="1:28">
      <c r="A21" s="66">
        <v>2005</v>
      </c>
      <c r="B21" s="56">
        <f t="shared" ref="B21:B26" si="1">Q21</f>
        <v>1080</v>
      </c>
      <c r="C21" s="56">
        <f t="shared" ref="C21:C26" si="2">R21</f>
        <v>283</v>
      </c>
      <c r="D21" s="56">
        <f t="shared" ref="D21:D26" si="3">S21</f>
        <v>76</v>
      </c>
      <c r="E21" s="56">
        <f t="shared" ref="E21:E26" si="4">T21</f>
        <v>150</v>
      </c>
      <c r="F21" s="56">
        <f t="shared" ref="F21:F26" si="5">U21</f>
        <v>105</v>
      </c>
      <c r="G21" s="56">
        <f t="shared" ref="G21:G26" si="6">V21</f>
        <v>45</v>
      </c>
      <c r="H21" s="56">
        <f t="shared" ref="H21:H26" si="7">W21</f>
        <v>57</v>
      </c>
      <c r="I21" s="56">
        <f t="shared" ref="I21:I26" si="8">X21</f>
        <v>797</v>
      </c>
      <c r="J21" s="56">
        <f t="shared" ref="J21:J26" si="9">Y21</f>
        <v>347</v>
      </c>
      <c r="K21" s="56">
        <f t="shared" ref="K21:K26" si="10">Z21</f>
        <v>189</v>
      </c>
      <c r="L21" s="56">
        <f t="shared" ref="L21:L26" si="11">AA21</f>
        <v>98</v>
      </c>
      <c r="M21" s="56">
        <f t="shared" ref="M21:M26" si="12">AB21</f>
        <v>163</v>
      </c>
      <c r="P21" s="176">
        <v>38353</v>
      </c>
      <c r="Q21" s="64">
        <v>1080</v>
      </c>
      <c r="R21" s="64">
        <v>283</v>
      </c>
      <c r="S21" s="64">
        <v>76</v>
      </c>
      <c r="T21" s="64">
        <v>150</v>
      </c>
      <c r="U21" s="64">
        <v>105</v>
      </c>
      <c r="V21" s="64">
        <v>45</v>
      </c>
      <c r="W21" s="64">
        <v>57</v>
      </c>
      <c r="X21" s="64">
        <v>797</v>
      </c>
      <c r="Y21" s="64">
        <v>347</v>
      </c>
      <c r="Z21" s="64">
        <v>189</v>
      </c>
      <c r="AA21" s="64">
        <v>98</v>
      </c>
      <c r="AB21" s="64">
        <v>163</v>
      </c>
    </row>
    <row r="22" spans="1:28">
      <c r="A22" s="66">
        <v>2006</v>
      </c>
      <c r="B22" s="56">
        <f t="shared" si="1"/>
        <v>1027</v>
      </c>
      <c r="C22" s="56">
        <f t="shared" si="2"/>
        <v>251</v>
      </c>
      <c r="D22" s="56">
        <f t="shared" si="3"/>
        <v>65</v>
      </c>
      <c r="E22" s="56">
        <f t="shared" si="4"/>
        <v>129</v>
      </c>
      <c r="F22" s="56">
        <f t="shared" si="5"/>
        <v>89</v>
      </c>
      <c r="G22" s="56">
        <f t="shared" si="6"/>
        <v>40</v>
      </c>
      <c r="H22" s="56">
        <f t="shared" si="7"/>
        <v>57</v>
      </c>
      <c r="I22" s="56">
        <f t="shared" si="8"/>
        <v>776</v>
      </c>
      <c r="J22" s="56">
        <f t="shared" si="9"/>
        <v>336</v>
      </c>
      <c r="K22" s="56">
        <f t="shared" si="10"/>
        <v>187</v>
      </c>
      <c r="L22" s="56">
        <f t="shared" si="11"/>
        <v>95</v>
      </c>
      <c r="M22" s="56">
        <f t="shared" si="12"/>
        <v>158</v>
      </c>
      <c r="P22" s="176">
        <v>38718</v>
      </c>
      <c r="Q22" s="64">
        <v>1027</v>
      </c>
      <c r="R22" s="64">
        <v>251</v>
      </c>
      <c r="S22" s="64">
        <v>65</v>
      </c>
      <c r="T22" s="64">
        <v>129</v>
      </c>
      <c r="U22" s="64">
        <v>89</v>
      </c>
      <c r="V22" s="64">
        <v>40</v>
      </c>
      <c r="W22" s="64">
        <v>57</v>
      </c>
      <c r="X22" s="64">
        <v>776</v>
      </c>
      <c r="Y22" s="64">
        <v>336</v>
      </c>
      <c r="Z22" s="64">
        <v>187</v>
      </c>
      <c r="AA22" s="64">
        <v>95</v>
      </c>
      <c r="AB22" s="64">
        <v>158</v>
      </c>
    </row>
    <row r="23" spans="1:28">
      <c r="A23" s="66">
        <v>2007</v>
      </c>
      <c r="B23" s="56">
        <f t="shared" si="1"/>
        <v>1006</v>
      </c>
      <c r="C23" s="56">
        <f t="shared" si="2"/>
        <v>251</v>
      </c>
      <c r="D23" s="56">
        <f t="shared" si="3"/>
        <v>70</v>
      </c>
      <c r="E23" s="56">
        <f t="shared" si="4"/>
        <v>122</v>
      </c>
      <c r="F23" s="56">
        <f t="shared" si="5"/>
        <v>82</v>
      </c>
      <c r="G23" s="56">
        <f t="shared" si="6"/>
        <v>40</v>
      </c>
      <c r="H23" s="56">
        <f t="shared" si="7"/>
        <v>59</v>
      </c>
      <c r="I23" s="56">
        <f t="shared" si="8"/>
        <v>755</v>
      </c>
      <c r="J23" s="56">
        <f t="shared" si="9"/>
        <v>330</v>
      </c>
      <c r="K23" s="56">
        <f t="shared" si="10"/>
        <v>175</v>
      </c>
      <c r="L23" s="56">
        <f t="shared" si="11"/>
        <v>95</v>
      </c>
      <c r="M23" s="56">
        <f t="shared" si="12"/>
        <v>155</v>
      </c>
      <c r="P23" s="176"/>
      <c r="Q23" s="64">
        <v>1006</v>
      </c>
      <c r="R23" s="64">
        <v>251</v>
      </c>
      <c r="S23" s="64">
        <v>70</v>
      </c>
      <c r="T23" s="64">
        <v>122</v>
      </c>
      <c r="U23" s="64">
        <v>82</v>
      </c>
      <c r="V23" s="64">
        <v>40</v>
      </c>
      <c r="W23" s="64">
        <v>59</v>
      </c>
      <c r="X23" s="64">
        <v>755</v>
      </c>
      <c r="Y23" s="64">
        <v>330</v>
      </c>
      <c r="Z23" s="64">
        <v>175</v>
      </c>
      <c r="AA23" s="64">
        <v>95</v>
      </c>
      <c r="AB23" s="64">
        <v>155</v>
      </c>
    </row>
    <row r="24" spans="1:28">
      <c r="A24" s="66">
        <v>2008</v>
      </c>
      <c r="B24" s="56">
        <f t="shared" si="1"/>
        <v>962</v>
      </c>
      <c r="C24" s="56">
        <f t="shared" si="2"/>
        <v>243</v>
      </c>
      <c r="D24" s="56">
        <f t="shared" si="3"/>
        <v>66</v>
      </c>
      <c r="E24" s="56">
        <f t="shared" si="4"/>
        <v>117</v>
      </c>
      <c r="F24" s="56">
        <f t="shared" si="5"/>
        <v>78</v>
      </c>
      <c r="G24" s="56">
        <f t="shared" si="6"/>
        <v>39</v>
      </c>
      <c r="H24" s="56">
        <f t="shared" si="7"/>
        <v>60</v>
      </c>
      <c r="I24" s="56">
        <f t="shared" si="8"/>
        <v>719</v>
      </c>
      <c r="J24" s="56">
        <f t="shared" si="9"/>
        <v>310</v>
      </c>
      <c r="K24" s="56">
        <f t="shared" si="10"/>
        <v>169</v>
      </c>
      <c r="L24" s="56">
        <f t="shared" si="11"/>
        <v>87</v>
      </c>
      <c r="M24" s="56">
        <f t="shared" si="12"/>
        <v>153</v>
      </c>
      <c r="P24" s="176"/>
      <c r="Q24" s="64">
        <v>962</v>
      </c>
      <c r="R24" s="64">
        <v>243</v>
      </c>
      <c r="S24" s="64">
        <v>66</v>
      </c>
      <c r="T24" s="64">
        <v>117</v>
      </c>
      <c r="U24" s="64">
        <v>78</v>
      </c>
      <c r="V24" s="64">
        <v>39</v>
      </c>
      <c r="W24" s="64">
        <v>60</v>
      </c>
      <c r="X24" s="64">
        <v>719</v>
      </c>
      <c r="Y24" s="64">
        <v>310</v>
      </c>
      <c r="Z24" s="64">
        <v>169</v>
      </c>
      <c r="AA24" s="64">
        <v>87</v>
      </c>
      <c r="AB24" s="64">
        <v>153</v>
      </c>
    </row>
    <row r="25" spans="1:28">
      <c r="A25" s="66">
        <v>2009</v>
      </c>
      <c r="B25" s="56">
        <f t="shared" si="1"/>
        <v>939</v>
      </c>
      <c r="C25" s="56">
        <f t="shared" si="2"/>
        <v>240</v>
      </c>
      <c r="D25" s="56">
        <f t="shared" si="3"/>
        <v>66</v>
      </c>
      <c r="E25" s="56">
        <f t="shared" si="4"/>
        <v>118</v>
      </c>
      <c r="F25" s="56">
        <f t="shared" si="5"/>
        <v>81</v>
      </c>
      <c r="G25" s="56">
        <f t="shared" si="6"/>
        <v>37</v>
      </c>
      <c r="H25" s="56">
        <f t="shared" si="7"/>
        <v>56</v>
      </c>
      <c r="I25" s="56">
        <f t="shared" si="8"/>
        <v>699</v>
      </c>
      <c r="J25" s="56">
        <f t="shared" si="9"/>
        <v>313</v>
      </c>
      <c r="K25" s="56">
        <f t="shared" si="10"/>
        <v>161</v>
      </c>
      <c r="L25" s="56">
        <f t="shared" si="11"/>
        <v>80</v>
      </c>
      <c r="M25" s="56">
        <f t="shared" si="12"/>
        <v>145</v>
      </c>
      <c r="P25" s="176"/>
      <c r="Q25" s="64">
        <v>939</v>
      </c>
      <c r="R25" s="64">
        <v>240</v>
      </c>
      <c r="S25" s="64">
        <v>66</v>
      </c>
      <c r="T25" s="64">
        <v>118</v>
      </c>
      <c r="U25" s="64">
        <v>81</v>
      </c>
      <c r="V25" s="64">
        <v>37</v>
      </c>
      <c r="W25" s="64">
        <v>56</v>
      </c>
      <c r="X25" s="64">
        <v>699</v>
      </c>
      <c r="Y25" s="64">
        <v>313</v>
      </c>
      <c r="Z25" s="64">
        <v>161</v>
      </c>
      <c r="AA25" s="64">
        <v>80</v>
      </c>
      <c r="AB25" s="64">
        <v>145</v>
      </c>
    </row>
    <row r="26" spans="1:28">
      <c r="A26" s="66">
        <v>2010</v>
      </c>
      <c r="B26" s="56">
        <f t="shared" si="1"/>
        <v>899</v>
      </c>
      <c r="C26" s="56">
        <f t="shared" si="2"/>
        <v>238</v>
      </c>
      <c r="D26" s="56">
        <f t="shared" si="3"/>
        <v>62</v>
      </c>
      <c r="E26" s="56">
        <f t="shared" si="4"/>
        <v>113</v>
      </c>
      <c r="F26" s="56">
        <f t="shared" si="5"/>
        <v>81</v>
      </c>
      <c r="G26" s="56">
        <f t="shared" si="6"/>
        <v>32</v>
      </c>
      <c r="H26" s="56">
        <f t="shared" si="7"/>
        <v>63</v>
      </c>
      <c r="I26" s="56">
        <f t="shared" si="8"/>
        <v>661</v>
      </c>
      <c r="J26" s="56">
        <f t="shared" si="9"/>
        <v>288</v>
      </c>
      <c r="K26" s="56">
        <f t="shared" si="10"/>
        <v>155</v>
      </c>
      <c r="L26" s="56">
        <f t="shared" si="11"/>
        <v>80</v>
      </c>
      <c r="M26" s="56">
        <f t="shared" si="12"/>
        <v>138</v>
      </c>
      <c r="P26" s="176"/>
      <c r="Q26" s="64">
        <v>899</v>
      </c>
      <c r="R26" s="64">
        <v>238</v>
      </c>
      <c r="S26" s="64">
        <v>62</v>
      </c>
      <c r="T26" s="64">
        <v>113</v>
      </c>
      <c r="U26" s="64">
        <v>81</v>
      </c>
      <c r="V26" s="64">
        <v>32</v>
      </c>
      <c r="W26" s="64">
        <v>63</v>
      </c>
      <c r="X26" s="64">
        <v>661</v>
      </c>
      <c r="Y26" s="64">
        <v>288</v>
      </c>
      <c r="Z26" s="64">
        <v>155</v>
      </c>
      <c r="AA26" s="64">
        <v>80</v>
      </c>
      <c r="AB26" s="64">
        <v>138</v>
      </c>
    </row>
    <row r="28" spans="1:28">
      <c r="A28" s="64" t="s">
        <v>500</v>
      </c>
    </row>
    <row r="29" spans="1:28">
      <c r="A29" s="64" t="s">
        <v>2011</v>
      </c>
    </row>
    <row r="30" spans="1:28">
      <c r="A30" s="64" t="s">
        <v>1491</v>
      </c>
    </row>
    <row r="32" spans="1:28">
      <c r="A32" s="64" t="s">
        <v>1593</v>
      </c>
    </row>
    <row r="34" spans="1:13">
      <c r="A34" s="131" t="s">
        <v>1562</v>
      </c>
      <c r="B34" s="131"/>
      <c r="C34" s="131"/>
      <c r="D34" s="131"/>
      <c r="E34" s="131"/>
      <c r="F34" s="131"/>
      <c r="G34" s="131"/>
      <c r="H34" s="131"/>
      <c r="I34" s="131"/>
      <c r="J34" s="131"/>
      <c r="K34" s="131"/>
      <c r="L34" s="131"/>
      <c r="M34" s="131"/>
    </row>
    <row r="35" spans="1:13">
      <c r="A35" s="131"/>
      <c r="B35" s="131"/>
      <c r="C35" s="131"/>
      <c r="D35" s="131"/>
      <c r="E35" s="131"/>
      <c r="F35" s="131"/>
      <c r="G35" s="131"/>
      <c r="H35" s="131"/>
      <c r="I35" s="131"/>
      <c r="J35" s="131"/>
      <c r="K35" s="131"/>
      <c r="L35" s="131"/>
      <c r="M35" s="131"/>
    </row>
    <row r="36" spans="1:13" ht="81.75" customHeight="1">
      <c r="A36" s="131" t="s">
        <v>1563</v>
      </c>
      <c r="B36" s="131"/>
      <c r="C36" s="131"/>
      <c r="D36" s="131"/>
      <c r="E36" s="131"/>
      <c r="F36" s="131"/>
      <c r="G36" s="131"/>
      <c r="H36" s="131"/>
      <c r="I36" s="131"/>
      <c r="J36" s="131"/>
      <c r="K36" s="131"/>
      <c r="L36" s="131"/>
      <c r="M36" s="131"/>
    </row>
    <row r="37" spans="1:13" ht="81.75" customHeight="1">
      <c r="A37" s="131" t="s">
        <v>1564</v>
      </c>
      <c r="B37" s="131"/>
      <c r="C37" s="131"/>
      <c r="D37" s="131"/>
      <c r="E37" s="131"/>
      <c r="F37" s="131"/>
      <c r="G37" s="131"/>
      <c r="H37" s="131"/>
      <c r="I37" s="131"/>
      <c r="J37" s="131"/>
      <c r="K37" s="131"/>
      <c r="L37" s="131"/>
      <c r="M37" s="131"/>
    </row>
    <row r="38" spans="1:13" ht="53.25" customHeight="1">
      <c r="A38" s="131" t="s">
        <v>1565</v>
      </c>
      <c r="B38" s="131"/>
      <c r="C38" s="131"/>
      <c r="D38" s="131"/>
      <c r="E38" s="131"/>
      <c r="F38" s="131"/>
      <c r="G38" s="131"/>
      <c r="H38" s="131"/>
      <c r="I38" s="131"/>
      <c r="J38" s="131"/>
      <c r="K38" s="131"/>
      <c r="L38" s="131"/>
      <c r="M38" s="131"/>
    </row>
    <row r="39" spans="1:13" ht="51" customHeight="1">
      <c r="A39" s="131" t="s">
        <v>1566</v>
      </c>
      <c r="B39" s="131"/>
      <c r="C39" s="131"/>
      <c r="D39" s="131"/>
      <c r="E39" s="131"/>
      <c r="F39" s="131"/>
      <c r="G39" s="131"/>
      <c r="H39" s="131"/>
      <c r="I39" s="131"/>
      <c r="J39" s="131"/>
      <c r="K39" s="131"/>
      <c r="L39" s="131"/>
      <c r="M39" s="131"/>
    </row>
    <row r="40" spans="1:13" ht="37.5" customHeight="1">
      <c r="A40" s="131" t="s">
        <v>1567</v>
      </c>
      <c r="B40" s="131"/>
      <c r="C40" s="131"/>
      <c r="D40" s="131"/>
      <c r="E40" s="131"/>
      <c r="F40" s="131"/>
      <c r="G40" s="131"/>
      <c r="H40" s="131"/>
      <c r="I40" s="131"/>
      <c r="J40" s="131"/>
      <c r="K40" s="131"/>
      <c r="L40" s="131"/>
      <c r="M40" s="131"/>
    </row>
    <row r="41" spans="1:13" ht="39" customHeight="1">
      <c r="A41" s="131" t="s">
        <v>1568</v>
      </c>
      <c r="B41" s="131"/>
      <c r="C41" s="131"/>
      <c r="D41" s="131"/>
      <c r="E41" s="131"/>
      <c r="F41" s="131"/>
      <c r="G41" s="131"/>
      <c r="H41" s="131"/>
      <c r="I41" s="131"/>
      <c r="J41" s="131"/>
      <c r="K41" s="131"/>
      <c r="L41" s="131"/>
      <c r="M41" s="131"/>
    </row>
    <row r="42" spans="1:13" ht="91.5" customHeight="1">
      <c r="A42" s="131" t="s">
        <v>1569</v>
      </c>
      <c r="B42" s="131"/>
      <c r="C42" s="131"/>
      <c r="D42" s="131"/>
      <c r="E42" s="131"/>
      <c r="F42" s="131"/>
      <c r="G42" s="131"/>
      <c r="H42" s="131"/>
      <c r="I42" s="131"/>
      <c r="J42" s="131"/>
      <c r="K42" s="131"/>
      <c r="L42" s="131"/>
      <c r="M42" s="131"/>
    </row>
    <row r="43" spans="1:13" ht="34.5" customHeight="1">
      <c r="A43" s="131" t="s">
        <v>1570</v>
      </c>
      <c r="B43" s="131"/>
      <c r="C43" s="131"/>
      <c r="D43" s="131"/>
      <c r="E43" s="131"/>
      <c r="F43" s="131"/>
      <c r="G43" s="131"/>
      <c r="H43" s="131"/>
      <c r="I43" s="131"/>
      <c r="J43" s="131"/>
      <c r="K43" s="131"/>
      <c r="L43" s="131"/>
      <c r="M43" s="131"/>
    </row>
    <row r="44" spans="1:13">
      <c r="A44" s="131" t="s">
        <v>1571</v>
      </c>
      <c r="B44" s="131"/>
      <c r="C44" s="131"/>
      <c r="D44" s="131"/>
      <c r="E44" s="131"/>
      <c r="F44" s="131"/>
      <c r="G44" s="131"/>
      <c r="H44" s="131"/>
      <c r="I44" s="131"/>
      <c r="J44" s="131"/>
      <c r="K44" s="131"/>
      <c r="L44" s="131"/>
      <c r="M44" s="131"/>
    </row>
    <row r="45" spans="1:13">
      <c r="A45" s="131"/>
      <c r="B45" s="131"/>
      <c r="C45" s="131"/>
      <c r="D45" s="131"/>
      <c r="E45" s="131"/>
      <c r="F45" s="131"/>
      <c r="G45" s="131"/>
      <c r="H45" s="131"/>
      <c r="I45" s="131"/>
      <c r="J45" s="131"/>
      <c r="K45" s="131"/>
      <c r="L45" s="131"/>
      <c r="M45" s="131"/>
    </row>
    <row r="46" spans="1:13">
      <c r="A46" s="131" t="s">
        <v>1556</v>
      </c>
      <c r="B46" s="131"/>
      <c r="C46" s="131"/>
      <c r="D46" s="131"/>
      <c r="E46" s="131"/>
      <c r="F46" s="131"/>
      <c r="G46" s="131"/>
      <c r="H46" s="131"/>
      <c r="I46" s="131"/>
      <c r="J46" s="131"/>
      <c r="K46" s="131"/>
      <c r="L46" s="131"/>
      <c r="M46" s="131"/>
    </row>
    <row r="47" spans="1:13">
      <c r="A47" s="131"/>
      <c r="B47" s="131"/>
      <c r="C47" s="131"/>
      <c r="D47" s="131"/>
      <c r="E47" s="131"/>
      <c r="F47" s="131"/>
      <c r="G47" s="131"/>
      <c r="H47" s="131"/>
      <c r="I47" s="131"/>
      <c r="J47" s="131"/>
      <c r="K47" s="131"/>
      <c r="L47" s="131"/>
      <c r="M47" s="131"/>
    </row>
    <row r="48" spans="1:13" ht="66.75" customHeight="1">
      <c r="A48" s="131" t="s">
        <v>1457</v>
      </c>
      <c r="B48" s="131"/>
      <c r="C48" s="131"/>
      <c r="D48" s="131"/>
      <c r="E48" s="131"/>
      <c r="F48" s="131"/>
      <c r="G48" s="131"/>
      <c r="H48" s="131"/>
      <c r="I48" s="131"/>
      <c r="J48" s="131"/>
      <c r="K48" s="131"/>
      <c r="L48" s="131"/>
      <c r="M48" s="131"/>
    </row>
    <row r="49" spans="1:13" ht="81.75" customHeight="1">
      <c r="A49" s="131" t="s">
        <v>1458</v>
      </c>
      <c r="B49" s="131"/>
      <c r="C49" s="131"/>
      <c r="D49" s="131"/>
      <c r="E49" s="131"/>
      <c r="F49" s="131"/>
      <c r="G49" s="131"/>
      <c r="H49" s="131"/>
      <c r="I49" s="131"/>
      <c r="J49" s="131"/>
      <c r="K49" s="131"/>
      <c r="L49" s="131"/>
      <c r="M49" s="131"/>
    </row>
    <row r="50" spans="1:13" ht="67.5" customHeight="1">
      <c r="A50" s="131" t="s">
        <v>1459</v>
      </c>
      <c r="B50" s="131"/>
      <c r="C50" s="131"/>
      <c r="D50" s="131"/>
      <c r="E50" s="131"/>
      <c r="F50" s="131"/>
      <c r="G50" s="131"/>
      <c r="H50" s="131"/>
      <c r="I50" s="131"/>
      <c r="J50" s="131"/>
      <c r="K50" s="131"/>
      <c r="L50" s="131"/>
      <c r="M50" s="131"/>
    </row>
    <row r="51" spans="1:13" ht="40.5" customHeight="1">
      <c r="A51" s="131" t="s">
        <v>1460</v>
      </c>
      <c r="B51" s="131"/>
      <c r="C51" s="131"/>
      <c r="D51" s="131"/>
      <c r="E51" s="131"/>
      <c r="F51" s="131"/>
      <c r="G51" s="131"/>
      <c r="H51" s="131"/>
      <c r="I51" s="131"/>
      <c r="J51" s="131"/>
      <c r="K51" s="131"/>
      <c r="L51" s="131"/>
      <c r="M51" s="131"/>
    </row>
    <row r="52" spans="1:13" ht="23.25" customHeight="1">
      <c r="A52" s="131" t="s">
        <v>1461</v>
      </c>
      <c r="B52" s="131"/>
      <c r="C52" s="131"/>
      <c r="D52" s="131"/>
      <c r="E52" s="131"/>
      <c r="F52" s="131"/>
      <c r="G52" s="131"/>
      <c r="H52" s="131"/>
      <c r="I52" s="131"/>
      <c r="J52" s="131"/>
      <c r="K52" s="131"/>
      <c r="L52" s="131"/>
      <c r="M52" s="131"/>
    </row>
    <row r="53" spans="1:13">
      <c r="A53" s="131"/>
      <c r="B53" s="131"/>
      <c r="C53" s="131"/>
      <c r="D53" s="131"/>
      <c r="E53" s="131"/>
      <c r="F53" s="131"/>
      <c r="G53" s="131"/>
      <c r="H53" s="131"/>
      <c r="I53" s="131"/>
      <c r="J53" s="131"/>
      <c r="K53" s="131"/>
      <c r="L53" s="131"/>
      <c r="M53" s="131"/>
    </row>
    <row r="54" spans="1:13">
      <c r="A54" s="131" t="s">
        <v>1523</v>
      </c>
      <c r="B54" s="131"/>
      <c r="C54" s="131"/>
      <c r="D54" s="131"/>
      <c r="E54" s="131"/>
      <c r="F54" s="131"/>
      <c r="G54" s="131"/>
      <c r="H54" s="131"/>
      <c r="I54" s="131"/>
      <c r="J54" s="131"/>
      <c r="K54" s="131"/>
      <c r="L54" s="131"/>
      <c r="M54" s="131"/>
    </row>
    <row r="55" spans="1:13" ht="34.5" customHeight="1">
      <c r="A55" s="131" t="s">
        <v>1557</v>
      </c>
      <c r="B55" s="131"/>
      <c r="C55" s="131"/>
      <c r="D55" s="131"/>
      <c r="E55" s="131"/>
      <c r="F55" s="131"/>
      <c r="G55" s="131"/>
      <c r="H55" s="131"/>
      <c r="I55" s="131"/>
      <c r="J55" s="131"/>
      <c r="K55" s="131"/>
      <c r="L55" s="131"/>
      <c r="M55" s="131"/>
    </row>
    <row r="56" spans="1:13">
      <c r="A56" s="131"/>
      <c r="B56" s="131"/>
      <c r="C56" s="131"/>
      <c r="D56" s="131"/>
      <c r="E56" s="131"/>
      <c r="F56" s="131"/>
      <c r="G56" s="131"/>
      <c r="H56" s="131"/>
      <c r="I56" s="131"/>
      <c r="J56" s="131"/>
      <c r="K56" s="131"/>
      <c r="L56" s="131"/>
      <c r="M56" s="131"/>
    </row>
    <row r="57" spans="1:13">
      <c r="A57" s="131" t="s">
        <v>1525</v>
      </c>
      <c r="B57" s="131"/>
      <c r="C57" s="131"/>
      <c r="D57" s="131"/>
      <c r="E57" s="131"/>
      <c r="F57" s="131"/>
      <c r="G57" s="131"/>
      <c r="H57" s="131"/>
      <c r="I57" s="131"/>
      <c r="J57" s="131"/>
      <c r="K57" s="131"/>
      <c r="L57" s="131"/>
      <c r="M57" s="131"/>
    </row>
    <row r="58" spans="1:13" ht="50.25" customHeight="1">
      <c r="A58" s="131" t="s">
        <v>1558</v>
      </c>
      <c r="B58" s="131"/>
      <c r="C58" s="131"/>
      <c r="D58" s="131"/>
      <c r="E58" s="131"/>
      <c r="F58" s="131"/>
      <c r="G58" s="131"/>
      <c r="H58" s="131"/>
      <c r="I58" s="131"/>
      <c r="J58" s="131"/>
      <c r="K58" s="131"/>
      <c r="L58" s="131"/>
      <c r="M58" s="131"/>
    </row>
    <row r="59" spans="1:13">
      <c r="A59" s="131"/>
      <c r="B59" s="131"/>
      <c r="C59" s="131"/>
      <c r="D59" s="131"/>
      <c r="E59" s="131"/>
      <c r="F59" s="131"/>
      <c r="G59" s="131"/>
      <c r="H59" s="131"/>
      <c r="I59" s="131"/>
      <c r="J59" s="131"/>
      <c r="K59" s="131"/>
      <c r="L59" s="131"/>
      <c r="M59" s="131"/>
    </row>
    <row r="60" spans="1:13">
      <c r="A60" s="131" t="s">
        <v>1527</v>
      </c>
      <c r="B60" s="131"/>
      <c r="C60" s="131"/>
      <c r="D60" s="131"/>
      <c r="E60" s="131"/>
      <c r="F60" s="131"/>
      <c r="G60" s="131"/>
      <c r="H60" s="131"/>
      <c r="I60" s="131"/>
      <c r="J60" s="131"/>
      <c r="K60" s="131"/>
      <c r="L60" s="131"/>
      <c r="M60" s="131"/>
    </row>
    <row r="61" spans="1:13" ht="48.75" customHeight="1">
      <c r="A61" s="131" t="s">
        <v>1559</v>
      </c>
      <c r="B61" s="131"/>
      <c r="C61" s="131"/>
      <c r="D61" s="131"/>
      <c r="E61" s="131"/>
      <c r="F61" s="131"/>
      <c r="G61" s="131"/>
      <c r="H61" s="131"/>
      <c r="I61" s="131"/>
      <c r="J61" s="131"/>
      <c r="K61" s="131"/>
      <c r="L61" s="131"/>
      <c r="M61" s="131"/>
    </row>
    <row r="62" spans="1:13">
      <c r="A62" s="131"/>
      <c r="B62" s="131"/>
      <c r="C62" s="131"/>
      <c r="D62" s="131"/>
      <c r="E62" s="131"/>
      <c r="F62" s="131"/>
      <c r="G62" s="131"/>
      <c r="H62" s="131"/>
      <c r="I62" s="131"/>
      <c r="J62" s="131"/>
      <c r="K62" s="131"/>
      <c r="L62" s="131"/>
      <c r="M62" s="131"/>
    </row>
    <row r="63" spans="1:13">
      <c r="A63" s="131" t="s">
        <v>1529</v>
      </c>
      <c r="B63" s="131"/>
      <c r="C63" s="131"/>
      <c r="D63" s="131"/>
      <c r="E63" s="131"/>
      <c r="F63" s="131"/>
      <c r="G63" s="131"/>
      <c r="H63" s="131"/>
      <c r="I63" s="131"/>
      <c r="J63" s="131"/>
      <c r="K63" s="131"/>
      <c r="L63" s="131"/>
      <c r="M63" s="131"/>
    </row>
    <row r="64" spans="1:13" ht="41.25" customHeight="1">
      <c r="A64" s="131" t="s">
        <v>1560</v>
      </c>
      <c r="B64" s="131"/>
      <c r="C64" s="131"/>
      <c r="D64" s="131"/>
      <c r="E64" s="131"/>
      <c r="F64" s="131"/>
      <c r="G64" s="131"/>
      <c r="H64" s="131"/>
      <c r="I64" s="131"/>
      <c r="J64" s="131"/>
      <c r="K64" s="131"/>
      <c r="L64" s="131"/>
      <c r="M64" s="131"/>
    </row>
    <row r="65" spans="1:13">
      <c r="A65" s="131"/>
      <c r="B65" s="131"/>
      <c r="C65" s="131"/>
      <c r="D65" s="131"/>
      <c r="E65" s="131"/>
      <c r="F65" s="131"/>
      <c r="G65" s="131"/>
      <c r="H65" s="131"/>
      <c r="I65" s="131"/>
      <c r="J65" s="131"/>
      <c r="K65" s="131"/>
      <c r="L65" s="131"/>
      <c r="M65" s="131"/>
    </row>
    <row r="66" spans="1:13">
      <c r="A66" s="131" t="s">
        <v>1531</v>
      </c>
      <c r="B66" s="131"/>
      <c r="C66" s="131"/>
      <c r="D66" s="131"/>
      <c r="E66" s="131"/>
      <c r="F66" s="131"/>
      <c r="G66" s="131"/>
      <c r="H66" s="131"/>
      <c r="I66" s="131"/>
      <c r="J66" s="131"/>
      <c r="K66" s="131"/>
      <c r="L66" s="131"/>
      <c r="M66" s="131"/>
    </row>
    <row r="67" spans="1:13">
      <c r="A67" s="131" t="s">
        <v>1561</v>
      </c>
      <c r="B67" s="131"/>
      <c r="C67" s="131"/>
      <c r="D67" s="131"/>
      <c r="E67" s="131"/>
      <c r="F67" s="131"/>
      <c r="G67" s="131"/>
      <c r="H67" s="131"/>
      <c r="I67" s="131"/>
      <c r="J67" s="131"/>
      <c r="K67" s="131"/>
      <c r="L67" s="131"/>
      <c r="M67" s="131"/>
    </row>
  </sheetData>
  <mergeCells count="47">
    <mergeCell ref="A63:M63"/>
    <mergeCell ref="A64:M64"/>
    <mergeCell ref="A65:M65"/>
    <mergeCell ref="A66:M66"/>
    <mergeCell ref="A67:M67"/>
    <mergeCell ref="A62:M62"/>
    <mergeCell ref="A51:M51"/>
    <mergeCell ref="A52:M52"/>
    <mergeCell ref="A53:M53"/>
    <mergeCell ref="A54:M54"/>
    <mergeCell ref="A55:M55"/>
    <mergeCell ref="A56:M56"/>
    <mergeCell ref="A57:M57"/>
    <mergeCell ref="A58:M58"/>
    <mergeCell ref="A59:M59"/>
    <mergeCell ref="A60:M60"/>
    <mergeCell ref="A61:M61"/>
    <mergeCell ref="A36:M36"/>
    <mergeCell ref="A37:M37"/>
    <mergeCell ref="A50:M50"/>
    <mergeCell ref="A39:M39"/>
    <mergeCell ref="A40:M40"/>
    <mergeCell ref="A41:M41"/>
    <mergeCell ref="A42:M42"/>
    <mergeCell ref="A43:M43"/>
    <mergeCell ref="A44:M44"/>
    <mergeCell ref="A45:M45"/>
    <mergeCell ref="A46:M46"/>
    <mergeCell ref="A47:M47"/>
    <mergeCell ref="A48:M48"/>
    <mergeCell ref="A49:M49"/>
    <mergeCell ref="A38:M38"/>
    <mergeCell ref="B2:B4"/>
    <mergeCell ref="A2:A4"/>
    <mergeCell ref="A34:M34"/>
    <mergeCell ref="A35:M35"/>
    <mergeCell ref="E3:G3"/>
    <mergeCell ref="D3:D4"/>
    <mergeCell ref="C3:C4"/>
    <mergeCell ref="C2:H2"/>
    <mergeCell ref="H3:H4"/>
    <mergeCell ref="I2:M2"/>
    <mergeCell ref="I3:I4"/>
    <mergeCell ref="J3:J4"/>
    <mergeCell ref="K3:K4"/>
    <mergeCell ref="L3:L4"/>
    <mergeCell ref="M3:M4"/>
  </mergeCells>
  <pageMargins left="0.7" right="0.7" top="0.75" bottom="0.75" header="0.3" footer="0.3"/>
  <pageSetup scale="77" orientation="landscape" horizontalDpi="0" verticalDpi="0" r:id="rId1"/>
</worksheet>
</file>

<file path=xl/worksheets/sheet136.xml><?xml version="1.0" encoding="utf-8"?>
<worksheet xmlns="http://schemas.openxmlformats.org/spreadsheetml/2006/main" xmlns:r="http://schemas.openxmlformats.org/officeDocument/2006/relationships">
  <sheetPr codeName="Sheet129"/>
  <dimension ref="A1:Y36"/>
  <sheetViews>
    <sheetView view="pageBreakPreview" zoomScale="70" zoomScaleNormal="70" zoomScaleSheetLayoutView="70" workbookViewId="0">
      <pane xSplit="1" ySplit="6" topLeftCell="B7"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2" style="64" customWidth="1"/>
    <col min="2" max="2" width="13.28515625" style="64" customWidth="1"/>
    <col min="3" max="3" width="14.85546875" style="64" customWidth="1"/>
    <col min="4" max="4" width="15.28515625" style="64" customWidth="1"/>
    <col min="5" max="5" width="18.42578125" style="64" customWidth="1"/>
    <col min="6" max="6" width="14.42578125" style="64" customWidth="1"/>
    <col min="7" max="7" width="16.7109375" style="64" customWidth="1"/>
    <col min="8" max="8" width="9.140625" style="64"/>
    <col min="9" max="9" width="15.140625" style="64" customWidth="1"/>
    <col min="10" max="10" width="13.85546875" style="64" customWidth="1"/>
    <col min="11" max="11" width="15.5703125" style="64" customWidth="1"/>
    <col min="12" max="12" width="9.140625" style="64"/>
    <col min="13" max="13" width="16" style="64" customWidth="1"/>
    <col min="14" max="14" width="19.28515625" style="64" customWidth="1"/>
    <col min="15" max="15" width="13.85546875" style="64" customWidth="1"/>
    <col min="16" max="17" width="9.140625" style="64"/>
    <col min="18" max="20" width="14.42578125" style="64" customWidth="1"/>
    <col min="21" max="21" width="16.28515625" style="64" customWidth="1"/>
    <col min="22" max="24" width="15.85546875" style="64" customWidth="1"/>
    <col min="25" max="26" width="9.140625" style="64"/>
    <col min="27" max="27" width="9.5703125" style="64" bestFit="1" customWidth="1"/>
    <col min="28" max="16384" width="9.140625" style="64"/>
  </cols>
  <sheetData>
    <row r="1" spans="1:25">
      <c r="A1" s="108" t="s">
        <v>2010</v>
      </c>
      <c r="B1" s="108"/>
      <c r="C1" s="108"/>
      <c r="D1" s="108"/>
      <c r="E1" s="108"/>
      <c r="F1" s="108"/>
      <c r="G1" s="108"/>
      <c r="H1" s="108"/>
      <c r="I1" s="108"/>
      <c r="J1" s="108"/>
      <c r="K1" s="108"/>
      <c r="L1" s="108"/>
      <c r="M1" s="108"/>
      <c r="N1" s="108"/>
      <c r="O1" s="108"/>
      <c r="P1" s="108"/>
      <c r="Q1" s="108"/>
      <c r="R1" s="108"/>
      <c r="S1" s="108"/>
      <c r="T1" s="108"/>
      <c r="U1" s="108"/>
      <c r="V1" s="108"/>
      <c r="W1" s="108"/>
      <c r="X1" s="108"/>
    </row>
    <row r="2" spans="1:25" ht="15" customHeight="1">
      <c r="A2" s="96"/>
      <c r="B2" s="94" t="s">
        <v>7</v>
      </c>
      <c r="C2" s="127" t="s">
        <v>37</v>
      </c>
      <c r="D2" s="128"/>
      <c r="E2" s="128"/>
      <c r="F2" s="128"/>
      <c r="G2" s="128"/>
      <c r="H2" s="128"/>
      <c r="I2" s="128"/>
      <c r="J2" s="128"/>
      <c r="K2" s="128"/>
      <c r="L2" s="128"/>
      <c r="M2" s="128"/>
      <c r="N2" s="128"/>
      <c r="O2" s="128"/>
      <c r="P2" s="128"/>
      <c r="Q2" s="128"/>
      <c r="R2" s="128"/>
      <c r="S2" s="128"/>
      <c r="T2" s="128"/>
      <c r="U2" s="128"/>
      <c r="V2" s="128"/>
      <c r="W2" s="128"/>
      <c r="X2" s="129"/>
      <c r="Y2" s="124"/>
    </row>
    <row r="3" spans="1:25" ht="15" customHeight="1">
      <c r="A3" s="96"/>
      <c r="B3" s="94"/>
      <c r="C3" s="123" t="s">
        <v>78</v>
      </c>
      <c r="D3" s="94" t="s">
        <v>63</v>
      </c>
      <c r="E3" s="112" t="s">
        <v>1</v>
      </c>
      <c r="F3" s="112"/>
      <c r="G3" s="112"/>
      <c r="H3" s="112"/>
      <c r="I3" s="112"/>
      <c r="J3" s="112"/>
      <c r="K3" s="112"/>
      <c r="L3" s="112"/>
      <c r="M3" s="112"/>
      <c r="N3" s="112" t="s">
        <v>2</v>
      </c>
      <c r="O3" s="112"/>
      <c r="P3" s="112"/>
      <c r="Q3" s="112"/>
      <c r="R3" s="112"/>
      <c r="S3" s="112"/>
      <c r="T3" s="112"/>
      <c r="U3" s="112"/>
      <c r="V3" s="112"/>
      <c r="W3" s="112"/>
      <c r="X3" s="112"/>
      <c r="Y3" s="124"/>
    </row>
    <row r="4" spans="1:25" ht="15" customHeight="1">
      <c r="A4" s="96"/>
      <c r="B4" s="94"/>
      <c r="C4" s="125"/>
      <c r="D4" s="94"/>
      <c r="E4" s="94" t="s">
        <v>670</v>
      </c>
      <c r="F4" s="97" t="s">
        <v>8</v>
      </c>
      <c r="G4" s="97" t="s">
        <v>9</v>
      </c>
      <c r="H4" s="97"/>
      <c r="I4" s="97"/>
      <c r="J4" s="97"/>
      <c r="K4" s="98" t="s">
        <v>11</v>
      </c>
      <c r="L4" s="100"/>
      <c r="M4" s="99"/>
      <c r="N4" s="94" t="s">
        <v>517</v>
      </c>
      <c r="O4" s="103" t="s">
        <v>13</v>
      </c>
      <c r="P4" s="103"/>
      <c r="Q4" s="103"/>
      <c r="R4" s="103"/>
      <c r="S4" s="103"/>
      <c r="T4" s="103"/>
      <c r="U4" s="97" t="s">
        <v>19</v>
      </c>
      <c r="V4" s="97"/>
      <c r="W4" s="97"/>
      <c r="X4" s="97"/>
      <c r="Y4" s="62"/>
    </row>
    <row r="5" spans="1:25" ht="90">
      <c r="A5" s="96"/>
      <c r="B5" s="94"/>
      <c r="C5" s="126"/>
      <c r="D5" s="94"/>
      <c r="E5" s="94"/>
      <c r="F5" s="97"/>
      <c r="G5" s="73" t="s">
        <v>558</v>
      </c>
      <c r="H5" s="73" t="s">
        <v>554</v>
      </c>
      <c r="I5" s="73" t="s">
        <v>10</v>
      </c>
      <c r="J5" s="73" t="s">
        <v>555</v>
      </c>
      <c r="K5" s="73" t="s">
        <v>559</v>
      </c>
      <c r="L5" s="73" t="s">
        <v>12</v>
      </c>
      <c r="M5" s="73" t="s">
        <v>556</v>
      </c>
      <c r="N5" s="94"/>
      <c r="O5" s="73" t="s">
        <v>561</v>
      </c>
      <c r="P5" s="73" t="s">
        <v>798</v>
      </c>
      <c r="Q5" s="73" t="s">
        <v>15</v>
      </c>
      <c r="R5" s="73" t="s">
        <v>799</v>
      </c>
      <c r="S5" s="73" t="s">
        <v>800</v>
      </c>
      <c r="T5" s="73" t="s">
        <v>801</v>
      </c>
      <c r="U5" s="73" t="s">
        <v>672</v>
      </c>
      <c r="V5" s="73" t="s">
        <v>20</v>
      </c>
      <c r="W5" s="73" t="s">
        <v>21</v>
      </c>
      <c r="X5" s="73" t="s">
        <v>557</v>
      </c>
      <c r="Y5" s="62"/>
    </row>
    <row r="6" spans="1:25" hidden="1" outlineLevel="1"/>
    <row r="7" spans="1:25" collapsed="1">
      <c r="A7" s="66">
        <v>1990</v>
      </c>
      <c r="B7" s="56"/>
      <c r="C7" s="56"/>
      <c r="D7" s="56">
        <v>8458</v>
      </c>
      <c r="E7" s="56">
        <v>2653</v>
      </c>
      <c r="F7" s="56">
        <v>1013</v>
      </c>
      <c r="G7" s="56">
        <v>204</v>
      </c>
      <c r="H7" s="56"/>
      <c r="I7" s="56"/>
      <c r="J7" s="56"/>
      <c r="K7" s="56"/>
      <c r="L7" s="56">
        <v>814</v>
      </c>
      <c r="M7" s="56">
        <v>215</v>
      </c>
      <c r="N7" s="56">
        <v>712</v>
      </c>
      <c r="O7" s="56">
        <v>157</v>
      </c>
      <c r="P7" s="56">
        <v>35</v>
      </c>
      <c r="Q7" s="56">
        <v>99</v>
      </c>
      <c r="R7" s="56" t="s">
        <v>188</v>
      </c>
      <c r="S7" s="56" t="s">
        <v>188</v>
      </c>
      <c r="T7" s="56">
        <v>23</v>
      </c>
      <c r="U7" s="56">
        <v>555</v>
      </c>
      <c r="V7" s="56">
        <v>273</v>
      </c>
      <c r="W7" s="56">
        <v>107</v>
      </c>
      <c r="X7" s="56">
        <v>175</v>
      </c>
    </row>
    <row r="8" spans="1:25">
      <c r="A8" s="66">
        <v>1991</v>
      </c>
      <c r="B8" s="56"/>
      <c r="C8" s="56"/>
      <c r="D8" s="56">
        <v>8031</v>
      </c>
      <c r="E8" s="56">
        <v>2409</v>
      </c>
      <c r="F8" s="56">
        <v>951</v>
      </c>
      <c r="G8" s="56">
        <v>212</v>
      </c>
      <c r="H8" s="56"/>
      <c r="I8" s="56"/>
      <c r="J8" s="56"/>
      <c r="K8" s="56"/>
      <c r="L8" s="56">
        <v>714</v>
      </c>
      <c r="M8" s="56">
        <v>189</v>
      </c>
      <c r="N8" s="56">
        <v>673</v>
      </c>
      <c r="O8" s="56">
        <v>161</v>
      </c>
      <c r="P8" s="56">
        <v>38</v>
      </c>
      <c r="Q8" s="56">
        <v>100</v>
      </c>
      <c r="R8" s="56" t="s">
        <v>188</v>
      </c>
      <c r="S8" s="56" t="s">
        <v>188</v>
      </c>
      <c r="T8" s="56">
        <v>23</v>
      </c>
      <c r="U8" s="56">
        <v>512</v>
      </c>
      <c r="V8" s="56">
        <v>262</v>
      </c>
      <c r="W8" s="56">
        <v>95</v>
      </c>
      <c r="X8" s="56">
        <v>155</v>
      </c>
    </row>
    <row r="9" spans="1:25">
      <c r="A9" s="66">
        <v>1992</v>
      </c>
      <c r="B9" s="56"/>
      <c r="C9" s="56"/>
      <c r="D9" s="56">
        <v>8716</v>
      </c>
      <c r="E9" s="56">
        <v>2285</v>
      </c>
      <c r="F9" s="56">
        <v>916</v>
      </c>
      <c r="G9" s="56">
        <v>212</v>
      </c>
      <c r="H9" s="56"/>
      <c r="I9" s="56"/>
      <c r="J9" s="56"/>
      <c r="K9" s="56"/>
      <c r="L9" s="56">
        <v>670</v>
      </c>
      <c r="M9" s="56">
        <v>171</v>
      </c>
      <c r="N9" s="56">
        <v>665</v>
      </c>
      <c r="O9" s="56">
        <v>162</v>
      </c>
      <c r="P9" s="56">
        <v>37</v>
      </c>
      <c r="Q9" s="56">
        <v>99</v>
      </c>
      <c r="R9" s="56" t="s">
        <v>188</v>
      </c>
      <c r="S9" s="56" t="s">
        <v>188</v>
      </c>
      <c r="T9" s="56">
        <v>26</v>
      </c>
      <c r="U9" s="56">
        <v>503</v>
      </c>
      <c r="V9" s="56">
        <v>265</v>
      </c>
      <c r="W9" s="56">
        <v>86</v>
      </c>
      <c r="X9" s="56">
        <v>152</v>
      </c>
    </row>
    <row r="10" spans="1:25">
      <c r="A10" s="66">
        <v>1993</v>
      </c>
      <c r="B10" s="56"/>
      <c r="C10" s="56"/>
      <c r="D10" s="56">
        <v>8589</v>
      </c>
      <c r="E10" s="56">
        <v>2202</v>
      </c>
      <c r="F10" s="56">
        <v>912</v>
      </c>
      <c r="G10" s="56">
        <v>202</v>
      </c>
      <c r="H10" s="56"/>
      <c r="I10" s="56"/>
      <c r="J10" s="56"/>
      <c r="K10" s="56"/>
      <c r="L10" s="56">
        <v>628</v>
      </c>
      <c r="M10" s="56">
        <v>160</v>
      </c>
      <c r="N10" s="56">
        <v>648</v>
      </c>
      <c r="O10" s="56">
        <v>163</v>
      </c>
      <c r="P10" s="56">
        <v>38</v>
      </c>
      <c r="Q10" s="56">
        <v>100</v>
      </c>
      <c r="R10" s="56" t="s">
        <v>188</v>
      </c>
      <c r="S10" s="56" t="s">
        <v>188</v>
      </c>
      <c r="T10" s="56">
        <v>25</v>
      </c>
      <c r="U10" s="56">
        <v>485</v>
      </c>
      <c r="V10" s="56">
        <v>246</v>
      </c>
      <c r="W10" s="56">
        <v>88</v>
      </c>
      <c r="X10" s="56">
        <v>151</v>
      </c>
    </row>
    <row r="11" spans="1:25">
      <c r="A11" s="66">
        <v>1994</v>
      </c>
      <c r="B11" s="56"/>
      <c r="C11" s="56"/>
      <c r="D11" s="56">
        <v>7452</v>
      </c>
      <c r="E11" s="56">
        <v>2206</v>
      </c>
      <c r="F11" s="56">
        <v>931</v>
      </c>
      <c r="G11" s="56">
        <v>210</v>
      </c>
      <c r="H11" s="56"/>
      <c r="I11" s="56"/>
      <c r="J11" s="56"/>
      <c r="K11" s="56"/>
      <c r="L11" s="56">
        <v>608</v>
      </c>
      <c r="M11" s="56">
        <v>162</v>
      </c>
      <c r="N11" s="56">
        <v>654</v>
      </c>
      <c r="O11" s="56">
        <v>165</v>
      </c>
      <c r="P11" s="56">
        <v>39</v>
      </c>
      <c r="Q11" s="56">
        <v>101</v>
      </c>
      <c r="R11" s="56" t="s">
        <v>188</v>
      </c>
      <c r="S11" s="56" t="s">
        <v>188</v>
      </c>
      <c r="T11" s="56">
        <v>25</v>
      </c>
      <c r="U11" s="56">
        <v>489</v>
      </c>
      <c r="V11" s="56">
        <v>247</v>
      </c>
      <c r="W11" s="56">
        <v>93</v>
      </c>
      <c r="X11" s="56">
        <v>149</v>
      </c>
    </row>
    <row r="12" spans="1:25">
      <c r="A12" s="66">
        <v>1995</v>
      </c>
      <c r="B12" s="56"/>
      <c r="C12" s="56"/>
      <c r="D12" s="56">
        <v>9638</v>
      </c>
      <c r="E12" s="56">
        <v>2237</v>
      </c>
      <c r="F12" s="56">
        <v>977</v>
      </c>
      <c r="G12" s="56">
        <v>217</v>
      </c>
      <c r="H12" s="56"/>
      <c r="I12" s="56"/>
      <c r="J12" s="56"/>
      <c r="K12" s="56"/>
      <c r="L12" s="56">
        <v>576</v>
      </c>
      <c r="M12" s="56">
        <v>163</v>
      </c>
      <c r="N12" s="56">
        <v>676</v>
      </c>
      <c r="O12" s="56">
        <v>169</v>
      </c>
      <c r="P12" s="56">
        <v>41</v>
      </c>
      <c r="Q12" s="56">
        <v>103</v>
      </c>
      <c r="R12" s="56" t="s">
        <v>188</v>
      </c>
      <c r="S12" s="56" t="s">
        <v>188</v>
      </c>
      <c r="T12" s="56">
        <v>25</v>
      </c>
      <c r="U12" s="56">
        <v>507</v>
      </c>
      <c r="V12" s="56">
        <v>252</v>
      </c>
      <c r="W12" s="56">
        <v>98</v>
      </c>
      <c r="X12" s="56">
        <v>157</v>
      </c>
    </row>
    <row r="13" spans="1:25">
      <c r="A13" s="66">
        <v>1996</v>
      </c>
      <c r="B13" s="56"/>
      <c r="C13" s="56"/>
      <c r="D13" s="56">
        <v>9614</v>
      </c>
      <c r="E13" s="56">
        <v>2448</v>
      </c>
      <c r="F13" s="56">
        <v>1020</v>
      </c>
      <c r="G13" s="56">
        <v>231</v>
      </c>
      <c r="H13" s="56"/>
      <c r="I13" s="56"/>
      <c r="J13" s="56"/>
      <c r="K13" s="56"/>
      <c r="L13" s="56">
        <v>655</v>
      </c>
      <c r="M13" s="56">
        <v>192</v>
      </c>
      <c r="N13" s="56">
        <v>696</v>
      </c>
      <c r="O13" s="56">
        <v>173</v>
      </c>
      <c r="P13" s="56">
        <v>43</v>
      </c>
      <c r="Q13" s="56">
        <v>106</v>
      </c>
      <c r="R13" s="56" t="s">
        <v>188</v>
      </c>
      <c r="S13" s="56" t="s">
        <v>188</v>
      </c>
      <c r="T13" s="56">
        <v>24</v>
      </c>
      <c r="U13" s="56">
        <v>523</v>
      </c>
      <c r="V13" s="56">
        <v>262</v>
      </c>
      <c r="W13" s="56">
        <v>105</v>
      </c>
      <c r="X13" s="56">
        <v>156</v>
      </c>
    </row>
    <row r="14" spans="1:25">
      <c r="A14" s="66">
        <v>1997</v>
      </c>
      <c r="B14" s="56"/>
      <c r="C14" s="56"/>
      <c r="D14" s="56">
        <v>8958</v>
      </c>
      <c r="E14" s="56">
        <v>2350</v>
      </c>
      <c r="F14" s="56">
        <v>980</v>
      </c>
      <c r="G14" s="56">
        <v>256</v>
      </c>
      <c r="H14" s="56"/>
      <c r="I14" s="56"/>
      <c r="J14" s="56"/>
      <c r="K14" s="56"/>
      <c r="L14" s="56">
        <v>615</v>
      </c>
      <c r="M14" s="56">
        <v>187</v>
      </c>
      <c r="N14" s="56">
        <v>659</v>
      </c>
      <c r="O14" s="56">
        <v>179</v>
      </c>
      <c r="P14" s="56">
        <v>45</v>
      </c>
      <c r="Q14" s="56">
        <v>104</v>
      </c>
      <c r="R14" s="56" t="s">
        <v>188</v>
      </c>
      <c r="S14" s="56" t="s">
        <v>188</v>
      </c>
      <c r="T14" s="56">
        <v>30</v>
      </c>
      <c r="U14" s="56">
        <v>480</v>
      </c>
      <c r="V14" s="56">
        <v>261</v>
      </c>
      <c r="W14" s="56">
        <v>87</v>
      </c>
      <c r="X14" s="56">
        <v>132</v>
      </c>
    </row>
    <row r="15" spans="1:25">
      <c r="A15" s="66">
        <v>1998</v>
      </c>
      <c r="B15" s="56"/>
      <c r="C15" s="56"/>
      <c r="D15" s="56">
        <v>8364</v>
      </c>
      <c r="E15" s="56">
        <v>2326</v>
      </c>
      <c r="F15" s="56">
        <v>977</v>
      </c>
      <c r="G15" s="56">
        <v>276</v>
      </c>
      <c r="H15" s="56"/>
      <c r="I15" s="56"/>
      <c r="J15" s="56"/>
      <c r="K15" s="56"/>
      <c r="L15" s="56">
        <v>598</v>
      </c>
      <c r="M15" s="56">
        <v>186</v>
      </c>
      <c r="N15" s="56">
        <v>669</v>
      </c>
      <c r="O15" s="56">
        <v>167</v>
      </c>
      <c r="P15" s="56">
        <v>47</v>
      </c>
      <c r="Q15" s="56">
        <v>90</v>
      </c>
      <c r="R15" s="56">
        <v>45</v>
      </c>
      <c r="S15" s="56">
        <v>45</v>
      </c>
      <c r="T15" s="56">
        <v>30</v>
      </c>
      <c r="U15" s="56">
        <v>502</v>
      </c>
      <c r="V15" s="56">
        <v>265</v>
      </c>
      <c r="W15" s="56">
        <v>106</v>
      </c>
      <c r="X15" s="56">
        <v>131</v>
      </c>
    </row>
    <row r="16" spans="1:25" ht="15.75" thickBot="1">
      <c r="A16" s="171">
        <v>1999</v>
      </c>
      <c r="B16" s="172"/>
      <c r="C16" s="172"/>
      <c r="D16" s="172">
        <v>9541</v>
      </c>
      <c r="E16" s="172">
        <v>2144</v>
      </c>
      <c r="F16" s="172">
        <v>908</v>
      </c>
      <c r="G16" s="172">
        <v>268</v>
      </c>
      <c r="H16" s="172"/>
      <c r="I16" s="172"/>
      <c r="J16" s="172"/>
      <c r="K16" s="172"/>
      <c r="L16" s="172">
        <v>546</v>
      </c>
      <c r="M16" s="172">
        <v>169</v>
      </c>
      <c r="N16" s="172">
        <v>663</v>
      </c>
      <c r="O16" s="172">
        <v>182</v>
      </c>
      <c r="P16" s="172">
        <v>49</v>
      </c>
      <c r="Q16" s="172">
        <v>98</v>
      </c>
      <c r="R16" s="172">
        <v>48</v>
      </c>
      <c r="S16" s="172">
        <v>50</v>
      </c>
      <c r="T16" s="172">
        <v>35</v>
      </c>
      <c r="U16" s="172">
        <v>481</v>
      </c>
      <c r="V16" s="172">
        <v>256</v>
      </c>
      <c r="W16" s="172">
        <v>107</v>
      </c>
      <c r="X16" s="172">
        <v>118</v>
      </c>
    </row>
    <row r="17" spans="1:24">
      <c r="A17" s="66">
        <v>2000</v>
      </c>
      <c r="B17" s="56"/>
      <c r="C17" s="56"/>
      <c r="D17" s="56" t="s">
        <v>188</v>
      </c>
      <c r="E17" s="56">
        <v>3751</v>
      </c>
      <c r="F17" s="56">
        <v>1379</v>
      </c>
      <c r="G17" s="56">
        <v>408</v>
      </c>
      <c r="H17" s="56"/>
      <c r="I17" s="56"/>
      <c r="J17" s="56"/>
      <c r="K17" s="56"/>
      <c r="L17" s="56">
        <v>1027</v>
      </c>
      <c r="M17" s="56">
        <v>322</v>
      </c>
      <c r="N17" s="56">
        <v>872</v>
      </c>
      <c r="O17" s="56">
        <v>207</v>
      </c>
      <c r="P17" s="56">
        <v>59</v>
      </c>
      <c r="Q17" s="56">
        <v>109</v>
      </c>
      <c r="R17" s="56">
        <v>59</v>
      </c>
      <c r="S17" s="56">
        <v>50</v>
      </c>
      <c r="T17" s="56">
        <v>39</v>
      </c>
      <c r="U17" s="56">
        <v>665</v>
      </c>
      <c r="V17" s="56">
        <v>319</v>
      </c>
      <c r="W17" s="56">
        <v>157</v>
      </c>
      <c r="X17" s="56">
        <v>189</v>
      </c>
    </row>
    <row r="18" spans="1:24">
      <c r="A18" s="66">
        <v>2001</v>
      </c>
      <c r="B18" s="56"/>
      <c r="C18" s="56"/>
      <c r="D18" s="56" t="s">
        <v>188</v>
      </c>
      <c r="E18" s="56">
        <v>3740</v>
      </c>
      <c r="F18" s="56">
        <v>1339</v>
      </c>
      <c r="G18" s="56">
        <v>393</v>
      </c>
      <c r="H18" s="56"/>
      <c r="I18" s="56"/>
      <c r="J18" s="56"/>
      <c r="K18" s="56"/>
      <c r="L18" s="56">
        <v>1087</v>
      </c>
      <c r="M18" s="56">
        <v>322</v>
      </c>
      <c r="N18" s="56">
        <v>850</v>
      </c>
      <c r="O18" s="56">
        <v>208</v>
      </c>
      <c r="P18" s="56">
        <v>56</v>
      </c>
      <c r="Q18" s="56">
        <v>109</v>
      </c>
      <c r="R18" s="56">
        <v>60</v>
      </c>
      <c r="S18" s="56">
        <v>49</v>
      </c>
      <c r="T18" s="56">
        <v>43</v>
      </c>
      <c r="U18" s="56">
        <v>642</v>
      </c>
      <c r="V18" s="56">
        <v>305</v>
      </c>
      <c r="W18" s="56">
        <v>159</v>
      </c>
      <c r="X18" s="56">
        <v>178</v>
      </c>
    </row>
    <row r="19" spans="1:24">
      <c r="A19" s="66">
        <v>2002</v>
      </c>
      <c r="B19" s="56"/>
      <c r="C19" s="56"/>
      <c r="D19" s="56" t="s">
        <v>188</v>
      </c>
      <c r="E19" s="56">
        <v>3774</v>
      </c>
      <c r="F19" s="56">
        <v>1323</v>
      </c>
      <c r="G19" s="56">
        <v>395</v>
      </c>
      <c r="H19" s="56"/>
      <c r="I19" s="56"/>
      <c r="J19" s="56"/>
      <c r="K19" s="56"/>
      <c r="L19" s="56">
        <v>1124</v>
      </c>
      <c r="M19" s="56">
        <v>333</v>
      </c>
      <c r="N19" s="56">
        <v>846</v>
      </c>
      <c r="O19" s="56">
        <v>202</v>
      </c>
      <c r="P19" s="56">
        <v>50</v>
      </c>
      <c r="Q19" s="56">
        <v>108</v>
      </c>
      <c r="R19" s="56">
        <v>61</v>
      </c>
      <c r="S19" s="56">
        <v>47</v>
      </c>
      <c r="T19" s="56">
        <v>44</v>
      </c>
      <c r="U19" s="56">
        <v>644</v>
      </c>
      <c r="V19" s="56">
        <v>305</v>
      </c>
      <c r="W19" s="56">
        <v>156</v>
      </c>
      <c r="X19" s="56">
        <v>183</v>
      </c>
    </row>
    <row r="20" spans="1:24" ht="15.75" thickBot="1">
      <c r="A20" s="171">
        <v>2003</v>
      </c>
      <c r="B20" s="172"/>
      <c r="C20" s="172"/>
      <c r="D20" s="172" t="s">
        <v>188</v>
      </c>
      <c r="E20" s="172">
        <v>3747</v>
      </c>
      <c r="F20" s="172">
        <v>1295</v>
      </c>
      <c r="G20" s="172">
        <v>401</v>
      </c>
      <c r="H20" s="172"/>
      <c r="I20" s="172"/>
      <c r="J20" s="172"/>
      <c r="K20" s="172"/>
      <c r="L20" s="172">
        <v>1141</v>
      </c>
      <c r="M20" s="172">
        <v>328</v>
      </c>
      <c r="N20" s="172">
        <v>870</v>
      </c>
      <c r="O20" s="172">
        <v>213</v>
      </c>
      <c r="P20" s="172">
        <v>51</v>
      </c>
      <c r="Q20" s="172">
        <v>112</v>
      </c>
      <c r="R20" s="172">
        <v>70</v>
      </c>
      <c r="S20" s="172">
        <v>42</v>
      </c>
      <c r="T20" s="172">
        <v>50</v>
      </c>
      <c r="U20" s="172">
        <v>657</v>
      </c>
      <c r="V20" s="172">
        <v>304</v>
      </c>
      <c r="W20" s="172">
        <v>164</v>
      </c>
      <c r="X20" s="172">
        <v>189</v>
      </c>
    </row>
    <row r="21" spans="1:24">
      <c r="A21" s="66">
        <v>2004</v>
      </c>
      <c r="B21" s="56"/>
      <c r="C21" s="56"/>
      <c r="D21" s="56">
        <v>10293</v>
      </c>
      <c r="E21" s="56">
        <v>6558</v>
      </c>
      <c r="F21" s="56">
        <v>2393</v>
      </c>
      <c r="G21" s="56">
        <v>504</v>
      </c>
      <c r="H21" s="56">
        <v>45</v>
      </c>
      <c r="I21" s="56">
        <v>287</v>
      </c>
      <c r="J21" s="56">
        <v>57</v>
      </c>
      <c r="K21" s="56">
        <v>3661</v>
      </c>
      <c r="L21" s="56">
        <v>1666</v>
      </c>
      <c r="M21" s="56">
        <v>629</v>
      </c>
      <c r="N21" s="56">
        <f>'25d'!B20</f>
        <v>1173</v>
      </c>
      <c r="O21" s="56">
        <f>'25d'!C20</f>
        <v>274</v>
      </c>
      <c r="P21" s="56">
        <f>'25d'!D20</f>
        <v>84</v>
      </c>
      <c r="Q21" s="56">
        <f>'25d'!E20</f>
        <v>133</v>
      </c>
      <c r="R21" s="56">
        <f>'25d'!F20</f>
        <v>88</v>
      </c>
      <c r="S21" s="56">
        <f>'25d'!G20</f>
        <v>45</v>
      </c>
      <c r="T21" s="56">
        <f>'25d'!H20</f>
        <v>57</v>
      </c>
      <c r="U21" s="56">
        <f>'25d'!I20</f>
        <v>899</v>
      </c>
      <c r="V21" s="56">
        <f>'25d'!K20</f>
        <v>219</v>
      </c>
      <c r="W21" s="56">
        <f>'25d'!L20</f>
        <v>121</v>
      </c>
      <c r="X21" s="56">
        <f>'25d'!M20</f>
        <v>220</v>
      </c>
    </row>
    <row r="22" spans="1:24">
      <c r="A22" s="66">
        <v>2005</v>
      </c>
      <c r="B22" s="56"/>
      <c r="C22" s="56"/>
      <c r="D22" s="56">
        <v>14567</v>
      </c>
      <c r="E22" s="56">
        <v>5981</v>
      </c>
      <c r="F22" s="56">
        <v>2055</v>
      </c>
      <c r="G22" s="56">
        <v>490</v>
      </c>
      <c r="H22" s="56">
        <v>42</v>
      </c>
      <c r="I22" s="56">
        <v>280</v>
      </c>
      <c r="J22" s="56">
        <v>52</v>
      </c>
      <c r="K22" s="56">
        <v>3436</v>
      </c>
      <c r="L22" s="56">
        <v>1622</v>
      </c>
      <c r="M22" s="56">
        <v>527</v>
      </c>
      <c r="N22" s="56">
        <f>'25d'!B21</f>
        <v>1080</v>
      </c>
      <c r="O22" s="56">
        <f>'25d'!C21</f>
        <v>283</v>
      </c>
      <c r="P22" s="56">
        <f>'25d'!D21</f>
        <v>76</v>
      </c>
      <c r="Q22" s="56">
        <f>'25d'!E21</f>
        <v>150</v>
      </c>
      <c r="R22" s="56">
        <f>'25d'!F21</f>
        <v>105</v>
      </c>
      <c r="S22" s="56">
        <f>'25d'!G21</f>
        <v>45</v>
      </c>
      <c r="T22" s="56">
        <f>'25d'!H21</f>
        <v>57</v>
      </c>
      <c r="U22" s="56">
        <f>'25d'!I21</f>
        <v>797</v>
      </c>
      <c r="V22" s="56">
        <f>'25d'!K21</f>
        <v>189</v>
      </c>
      <c r="W22" s="56">
        <f>'25d'!L21</f>
        <v>98</v>
      </c>
      <c r="X22" s="56">
        <f>'25d'!M21</f>
        <v>163</v>
      </c>
    </row>
    <row r="23" spans="1:24">
      <c r="A23" s="66">
        <v>2006</v>
      </c>
      <c r="B23" s="56"/>
      <c r="C23" s="56"/>
      <c r="D23" s="56">
        <v>13779</v>
      </c>
      <c r="E23" s="56">
        <v>5941</v>
      </c>
      <c r="F23" s="56">
        <v>1977</v>
      </c>
      <c r="G23" s="56">
        <v>518</v>
      </c>
      <c r="H23" s="56">
        <v>39</v>
      </c>
      <c r="I23" s="56">
        <v>311</v>
      </c>
      <c r="J23" s="56">
        <v>46</v>
      </c>
      <c r="K23" s="56">
        <v>3446</v>
      </c>
      <c r="L23" s="56">
        <v>1615</v>
      </c>
      <c r="M23" s="56">
        <v>529</v>
      </c>
      <c r="N23" s="56">
        <f>'25d'!B22</f>
        <v>1027</v>
      </c>
      <c r="O23" s="56">
        <f>'25d'!C22</f>
        <v>251</v>
      </c>
      <c r="P23" s="56">
        <f>'25d'!D22</f>
        <v>65</v>
      </c>
      <c r="Q23" s="56">
        <f>'25d'!E22</f>
        <v>129</v>
      </c>
      <c r="R23" s="56">
        <f>'25d'!F22</f>
        <v>89</v>
      </c>
      <c r="S23" s="56">
        <f>'25d'!G22</f>
        <v>40</v>
      </c>
      <c r="T23" s="56">
        <f>'25d'!H22</f>
        <v>57</v>
      </c>
      <c r="U23" s="56">
        <f>'25d'!I22</f>
        <v>776</v>
      </c>
      <c r="V23" s="56">
        <f>'25d'!K22</f>
        <v>187</v>
      </c>
      <c r="W23" s="56">
        <f>'25d'!L22</f>
        <v>95</v>
      </c>
      <c r="X23" s="56">
        <f>'25d'!M22</f>
        <v>158</v>
      </c>
    </row>
    <row r="24" spans="1:24">
      <c r="A24" s="66">
        <v>2007</v>
      </c>
      <c r="B24" s="56"/>
      <c r="C24" s="56"/>
      <c r="D24" s="56"/>
      <c r="E24" s="56">
        <v>6121</v>
      </c>
      <c r="F24" s="56">
        <v>1972</v>
      </c>
      <c r="G24" s="56">
        <v>520</v>
      </c>
      <c r="H24" s="56">
        <v>36</v>
      </c>
      <c r="I24" s="56">
        <v>315</v>
      </c>
      <c r="J24" s="56">
        <v>51</v>
      </c>
      <c r="K24" s="56">
        <v>3629</v>
      </c>
      <c r="L24" s="56">
        <v>1663</v>
      </c>
      <c r="M24" s="56">
        <v>547</v>
      </c>
      <c r="N24" s="56">
        <f>'25d'!B23</f>
        <v>1006</v>
      </c>
      <c r="O24" s="56">
        <f>'25d'!C23</f>
        <v>251</v>
      </c>
      <c r="P24" s="56">
        <f>'25d'!D23</f>
        <v>70</v>
      </c>
      <c r="Q24" s="56">
        <f>'25d'!E23</f>
        <v>122</v>
      </c>
      <c r="R24" s="56">
        <f>'25d'!F23</f>
        <v>82</v>
      </c>
      <c r="S24" s="56">
        <f>'25d'!G23</f>
        <v>40</v>
      </c>
      <c r="T24" s="56">
        <f>'25d'!H23</f>
        <v>59</v>
      </c>
      <c r="U24" s="56">
        <f>'25d'!I23</f>
        <v>755</v>
      </c>
      <c r="V24" s="56">
        <f>'25d'!K23</f>
        <v>175</v>
      </c>
      <c r="W24" s="56">
        <f>'25d'!L23</f>
        <v>95</v>
      </c>
      <c r="X24" s="56">
        <f>'25d'!M23</f>
        <v>155</v>
      </c>
    </row>
    <row r="25" spans="1:24">
      <c r="A25" s="66">
        <v>2008</v>
      </c>
      <c r="B25" s="56"/>
      <c r="C25" s="56"/>
      <c r="D25" s="56"/>
      <c r="E25" s="56">
        <v>6060</v>
      </c>
      <c r="F25" s="56">
        <v>1908</v>
      </c>
      <c r="G25" s="56">
        <v>507</v>
      </c>
      <c r="H25" s="56">
        <v>35</v>
      </c>
      <c r="I25" s="56">
        <v>324</v>
      </c>
      <c r="J25" s="56">
        <v>42</v>
      </c>
      <c r="K25" s="56">
        <v>3645</v>
      </c>
      <c r="L25" s="56">
        <v>1675</v>
      </c>
      <c r="M25" s="56">
        <v>531</v>
      </c>
      <c r="N25" s="56">
        <f>'25d'!B24</f>
        <v>962</v>
      </c>
      <c r="O25" s="56">
        <f>'25d'!C24</f>
        <v>243</v>
      </c>
      <c r="P25" s="56">
        <f>'25d'!D24</f>
        <v>66</v>
      </c>
      <c r="Q25" s="56">
        <f>'25d'!E24</f>
        <v>117</v>
      </c>
      <c r="R25" s="56">
        <f>'25d'!F24</f>
        <v>78</v>
      </c>
      <c r="S25" s="56">
        <f>'25d'!G24</f>
        <v>39</v>
      </c>
      <c r="T25" s="56">
        <f>'25d'!H24</f>
        <v>60</v>
      </c>
      <c r="U25" s="56">
        <f>'25d'!I24</f>
        <v>719</v>
      </c>
      <c r="V25" s="56">
        <f>'25d'!K24</f>
        <v>169</v>
      </c>
      <c r="W25" s="56">
        <f>'25d'!L24</f>
        <v>87</v>
      </c>
      <c r="X25" s="56">
        <f>'25d'!M24</f>
        <v>153</v>
      </c>
    </row>
    <row r="26" spans="1:24">
      <c r="A26" s="66">
        <v>2009</v>
      </c>
      <c r="B26" s="56"/>
      <c r="C26" s="56"/>
      <c r="D26" s="56"/>
      <c r="E26" s="56">
        <v>5835</v>
      </c>
      <c r="F26" s="56">
        <v>1797</v>
      </c>
      <c r="G26" s="56">
        <v>495</v>
      </c>
      <c r="H26" s="56">
        <v>33</v>
      </c>
      <c r="I26" s="56">
        <v>317</v>
      </c>
      <c r="J26" s="56">
        <v>39</v>
      </c>
      <c r="K26" s="56">
        <v>3543</v>
      </c>
      <c r="L26" s="56">
        <v>1618</v>
      </c>
      <c r="M26" s="56">
        <v>519</v>
      </c>
      <c r="N26" s="56">
        <f>'25d'!B25</f>
        <v>939</v>
      </c>
      <c r="O26" s="56">
        <f>'25d'!C25</f>
        <v>240</v>
      </c>
      <c r="P26" s="56">
        <f>'25d'!D25</f>
        <v>66</v>
      </c>
      <c r="Q26" s="56">
        <f>'25d'!E25</f>
        <v>118</v>
      </c>
      <c r="R26" s="56">
        <f>'25d'!F25</f>
        <v>81</v>
      </c>
      <c r="S26" s="56">
        <f>'25d'!G25</f>
        <v>37</v>
      </c>
      <c r="T26" s="56">
        <f>'25d'!H25</f>
        <v>56</v>
      </c>
      <c r="U26" s="56">
        <f>'25d'!I25</f>
        <v>699</v>
      </c>
      <c r="V26" s="56">
        <f>'25d'!K25</f>
        <v>161</v>
      </c>
      <c r="W26" s="56">
        <f>'25d'!L25</f>
        <v>80</v>
      </c>
      <c r="X26" s="56">
        <f>'25d'!M25</f>
        <v>145</v>
      </c>
    </row>
    <row r="27" spans="1:24">
      <c r="A27" s="66">
        <v>2010</v>
      </c>
      <c r="B27" s="56"/>
      <c r="C27" s="56"/>
      <c r="D27" s="56"/>
      <c r="E27" s="56">
        <v>5776</v>
      </c>
      <c r="F27" s="56">
        <v>1741</v>
      </c>
      <c r="G27" s="56">
        <v>494</v>
      </c>
      <c r="H27" s="56">
        <v>33</v>
      </c>
      <c r="I27" s="56">
        <v>323</v>
      </c>
      <c r="J27" s="56">
        <v>40</v>
      </c>
      <c r="K27" s="56">
        <v>3541</v>
      </c>
      <c r="L27" s="56">
        <v>1650</v>
      </c>
      <c r="M27" s="56">
        <v>514</v>
      </c>
      <c r="N27" s="56">
        <f>'25d'!B26</f>
        <v>899</v>
      </c>
      <c r="O27" s="56">
        <f>'25d'!C26</f>
        <v>238</v>
      </c>
      <c r="P27" s="56">
        <f>'25d'!D26</f>
        <v>62</v>
      </c>
      <c r="Q27" s="56">
        <f>'25d'!E26</f>
        <v>113</v>
      </c>
      <c r="R27" s="56">
        <f>'25d'!F26</f>
        <v>81</v>
      </c>
      <c r="S27" s="56">
        <f>'25d'!G26</f>
        <v>32</v>
      </c>
      <c r="T27" s="56">
        <f>'25d'!H26</f>
        <v>63</v>
      </c>
      <c r="U27" s="56">
        <f>'25d'!I26</f>
        <v>661</v>
      </c>
      <c r="V27" s="56">
        <f>'25d'!K26</f>
        <v>155</v>
      </c>
      <c r="W27" s="56">
        <f>'25d'!L26</f>
        <v>80</v>
      </c>
      <c r="X27" s="56">
        <f>'25d'!M26</f>
        <v>138</v>
      </c>
    </row>
    <row r="29" spans="1:24">
      <c r="A29" s="137" t="s">
        <v>500</v>
      </c>
      <c r="B29" s="137"/>
      <c r="C29" s="137"/>
      <c r="D29" s="137"/>
      <c r="E29" s="137"/>
      <c r="F29" s="137"/>
      <c r="G29" s="137"/>
      <c r="H29" s="137"/>
      <c r="I29" s="137"/>
      <c r="J29" s="137"/>
      <c r="K29" s="137"/>
      <c r="L29" s="137"/>
      <c r="M29" s="137"/>
      <c r="N29" s="137"/>
      <c r="O29" s="137"/>
      <c r="P29" s="137"/>
      <c r="Q29" s="137"/>
      <c r="R29" s="137"/>
      <c r="S29" s="137"/>
      <c r="T29" s="137"/>
      <c r="U29" s="137"/>
      <c r="V29" s="137"/>
      <c r="W29" s="137"/>
      <c r="X29" s="137"/>
    </row>
    <row r="30" spans="1:24">
      <c r="A30" s="137" t="s">
        <v>2009</v>
      </c>
      <c r="B30" s="137"/>
      <c r="C30" s="137"/>
      <c r="D30" s="137"/>
      <c r="E30" s="137"/>
      <c r="F30" s="137"/>
      <c r="G30" s="137"/>
      <c r="H30" s="137"/>
      <c r="I30" s="137"/>
      <c r="J30" s="137"/>
      <c r="K30" s="137"/>
      <c r="L30" s="137"/>
      <c r="M30" s="137"/>
      <c r="N30" s="137"/>
      <c r="O30" s="137"/>
      <c r="P30" s="137"/>
      <c r="Q30" s="137"/>
      <c r="R30" s="137"/>
      <c r="S30" s="137"/>
      <c r="T30" s="137"/>
      <c r="U30" s="137"/>
      <c r="V30" s="137"/>
      <c r="W30" s="137"/>
      <c r="X30" s="137"/>
    </row>
    <row r="31" spans="1:24">
      <c r="A31" s="137" t="s">
        <v>1491</v>
      </c>
      <c r="B31" s="137"/>
      <c r="C31" s="137"/>
      <c r="D31" s="137"/>
      <c r="E31" s="137"/>
      <c r="F31" s="137"/>
      <c r="G31" s="137"/>
      <c r="H31" s="137"/>
      <c r="I31" s="137"/>
      <c r="J31" s="137"/>
      <c r="K31" s="137"/>
      <c r="L31" s="137"/>
      <c r="M31" s="137"/>
      <c r="N31" s="137"/>
      <c r="O31" s="137"/>
      <c r="P31" s="137"/>
      <c r="Q31" s="137"/>
      <c r="R31" s="137"/>
      <c r="S31" s="137"/>
      <c r="T31" s="137"/>
      <c r="U31" s="137"/>
      <c r="V31" s="137"/>
      <c r="W31" s="137"/>
      <c r="X31" s="137"/>
    </row>
    <row r="32" spans="1:24">
      <c r="A32" s="137" t="s">
        <v>773</v>
      </c>
      <c r="B32" s="137"/>
      <c r="C32" s="137"/>
      <c r="D32" s="137"/>
      <c r="E32" s="137"/>
      <c r="F32" s="137"/>
      <c r="G32" s="137"/>
      <c r="H32" s="137"/>
      <c r="I32" s="137"/>
      <c r="J32" s="137"/>
      <c r="K32" s="137"/>
      <c r="L32" s="137"/>
      <c r="M32" s="137"/>
      <c r="N32" s="137"/>
      <c r="O32" s="137"/>
      <c r="P32" s="137"/>
      <c r="Q32" s="137"/>
      <c r="R32" s="137"/>
      <c r="S32" s="137"/>
      <c r="T32" s="137"/>
      <c r="U32" s="137"/>
      <c r="V32" s="137"/>
      <c r="W32" s="137"/>
      <c r="X32" s="137"/>
    </row>
    <row r="33" spans="1:24" ht="45" customHeight="1">
      <c r="A33" s="131" t="s">
        <v>1563</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row>
    <row r="34" spans="1:24" ht="45" customHeight="1">
      <c r="A34" s="131" t="s">
        <v>1564</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row>
    <row r="35" spans="1:24" ht="30" customHeight="1">
      <c r="A35" s="131" t="s">
        <v>1565</v>
      </c>
      <c r="B35" s="131"/>
      <c r="C35" s="131"/>
      <c r="D35" s="131"/>
      <c r="E35" s="131"/>
      <c r="F35" s="131"/>
      <c r="G35" s="131"/>
      <c r="H35" s="131"/>
      <c r="I35" s="131"/>
      <c r="J35" s="131"/>
      <c r="K35" s="131"/>
      <c r="L35" s="131"/>
      <c r="M35" s="131"/>
      <c r="N35" s="131"/>
      <c r="O35" s="131"/>
      <c r="P35" s="131"/>
      <c r="Q35" s="131"/>
      <c r="R35" s="131"/>
      <c r="S35" s="131"/>
      <c r="T35" s="131"/>
      <c r="U35" s="131"/>
      <c r="V35" s="131"/>
      <c r="W35" s="131"/>
      <c r="X35" s="131"/>
    </row>
    <row r="36" spans="1:24" ht="30" customHeight="1"/>
  </sheetData>
  <mergeCells count="22">
    <mergeCell ref="A1:X1"/>
    <mergeCell ref="A2:A5"/>
    <mergeCell ref="B2:B5"/>
    <mergeCell ref="C2:X2"/>
    <mergeCell ref="C3:C5"/>
    <mergeCell ref="D3:D5"/>
    <mergeCell ref="E3:M3"/>
    <mergeCell ref="N3:X3"/>
    <mergeCell ref="U4:X4"/>
    <mergeCell ref="E4:E5"/>
    <mergeCell ref="F4:F5"/>
    <mergeCell ref="G4:J4"/>
    <mergeCell ref="K4:M4"/>
    <mergeCell ref="N4:N5"/>
    <mergeCell ref="O4:T4"/>
    <mergeCell ref="A34:X34"/>
    <mergeCell ref="A35:X35"/>
    <mergeCell ref="A29:X29"/>
    <mergeCell ref="A30:X30"/>
    <mergeCell ref="A31:X31"/>
    <mergeCell ref="A32:X32"/>
    <mergeCell ref="A33:X33"/>
  </mergeCells>
  <pageMargins left="0.7" right="0.7" top="0.75" bottom="0.75" header="0.3" footer="0.3"/>
  <pageSetup scale="35" orientation="landscape" horizontalDpi="0" verticalDpi="0" r:id="rId1"/>
</worksheet>
</file>

<file path=xl/worksheets/sheet137.xml><?xml version="1.0" encoding="utf-8"?>
<worksheet xmlns="http://schemas.openxmlformats.org/spreadsheetml/2006/main" xmlns:r="http://schemas.openxmlformats.org/officeDocument/2006/relationships">
  <sheetPr codeName="Sheet130"/>
  <dimension ref="A1:Y37"/>
  <sheetViews>
    <sheetView view="pageBreakPreview" zoomScale="70" zoomScaleNormal="70" zoomScaleSheetLayoutView="70" workbookViewId="0">
      <pane xSplit="1" ySplit="6" topLeftCell="B7"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2" style="64" customWidth="1"/>
    <col min="2" max="2" width="12.85546875" style="64" customWidth="1"/>
    <col min="3" max="4" width="15.28515625" style="64" customWidth="1"/>
    <col min="5" max="5" width="19.7109375" style="64" customWidth="1"/>
    <col min="6" max="13" width="15.28515625" style="64" customWidth="1"/>
    <col min="14" max="14" width="18.85546875" style="64" customWidth="1"/>
    <col min="15" max="15" width="15.28515625" style="64" customWidth="1"/>
    <col min="16" max="17" width="9.140625" style="64"/>
    <col min="18" max="20" width="12.85546875" style="64" customWidth="1"/>
    <col min="21" max="24" width="15.28515625" style="64" customWidth="1"/>
    <col min="25" max="26" width="9.140625" style="64"/>
    <col min="27" max="27" width="9.5703125" style="64" bestFit="1" customWidth="1"/>
    <col min="28" max="16384" width="9.140625" style="64"/>
  </cols>
  <sheetData>
    <row r="1" spans="1:25">
      <c r="A1" s="108" t="s">
        <v>2018</v>
      </c>
      <c r="B1" s="108"/>
      <c r="C1" s="108"/>
      <c r="D1" s="108"/>
      <c r="E1" s="108"/>
      <c r="F1" s="108"/>
      <c r="G1" s="108"/>
      <c r="H1" s="108"/>
      <c r="I1" s="108"/>
      <c r="J1" s="108"/>
      <c r="K1" s="108"/>
      <c r="L1" s="108"/>
      <c r="M1" s="108"/>
      <c r="N1" s="108"/>
      <c r="O1" s="108"/>
      <c r="P1" s="108"/>
      <c r="Q1" s="108"/>
      <c r="R1" s="108"/>
      <c r="S1" s="108"/>
      <c r="T1" s="108"/>
      <c r="U1" s="108"/>
      <c r="V1" s="108"/>
      <c r="W1" s="108"/>
      <c r="X1" s="108"/>
    </row>
    <row r="2" spans="1:25" ht="15" customHeight="1">
      <c r="A2" s="96"/>
      <c r="B2" s="94" t="s">
        <v>7</v>
      </c>
      <c r="C2" s="127" t="s">
        <v>37</v>
      </c>
      <c r="D2" s="128"/>
      <c r="E2" s="128"/>
      <c r="F2" s="128"/>
      <c r="G2" s="128"/>
      <c r="H2" s="128"/>
      <c r="I2" s="128"/>
      <c r="J2" s="128"/>
      <c r="K2" s="128"/>
      <c r="L2" s="128"/>
      <c r="M2" s="128"/>
      <c r="N2" s="128"/>
      <c r="O2" s="128"/>
      <c r="P2" s="128"/>
      <c r="Q2" s="128"/>
      <c r="R2" s="128"/>
      <c r="S2" s="128"/>
      <c r="T2" s="128"/>
      <c r="U2" s="128"/>
      <c r="V2" s="128"/>
      <c r="W2" s="128"/>
      <c r="X2" s="129"/>
      <c r="Y2" s="124"/>
    </row>
    <row r="3" spans="1:25" ht="15" customHeight="1">
      <c r="A3" s="96"/>
      <c r="B3" s="94"/>
      <c r="C3" s="123" t="s">
        <v>78</v>
      </c>
      <c r="D3" s="94" t="s">
        <v>63</v>
      </c>
      <c r="E3" s="112" t="s">
        <v>1</v>
      </c>
      <c r="F3" s="112"/>
      <c r="G3" s="112"/>
      <c r="H3" s="112"/>
      <c r="I3" s="112"/>
      <c r="J3" s="112"/>
      <c r="K3" s="112"/>
      <c r="L3" s="112"/>
      <c r="M3" s="112"/>
      <c r="N3" s="112" t="s">
        <v>2</v>
      </c>
      <c r="O3" s="112"/>
      <c r="P3" s="112"/>
      <c r="Q3" s="112"/>
      <c r="R3" s="112"/>
      <c r="S3" s="112"/>
      <c r="T3" s="112"/>
      <c r="U3" s="112"/>
      <c r="V3" s="112"/>
      <c r="W3" s="112"/>
      <c r="X3" s="112"/>
      <c r="Y3" s="124"/>
    </row>
    <row r="4" spans="1:25" ht="15" customHeight="1">
      <c r="A4" s="96"/>
      <c r="B4" s="94"/>
      <c r="C4" s="125"/>
      <c r="D4" s="94"/>
      <c r="E4" s="94" t="s">
        <v>670</v>
      </c>
      <c r="F4" s="97" t="s">
        <v>8</v>
      </c>
      <c r="G4" s="97" t="s">
        <v>9</v>
      </c>
      <c r="H4" s="97"/>
      <c r="I4" s="97"/>
      <c r="J4" s="97"/>
      <c r="K4" s="98" t="s">
        <v>11</v>
      </c>
      <c r="L4" s="100"/>
      <c r="M4" s="99"/>
      <c r="N4" s="94" t="s">
        <v>517</v>
      </c>
      <c r="O4" s="103" t="s">
        <v>13</v>
      </c>
      <c r="P4" s="103"/>
      <c r="Q4" s="103"/>
      <c r="R4" s="103"/>
      <c r="S4" s="103"/>
      <c r="T4" s="103"/>
      <c r="U4" s="97" t="s">
        <v>19</v>
      </c>
      <c r="V4" s="97"/>
      <c r="W4" s="97"/>
      <c r="X4" s="97"/>
      <c r="Y4" s="62"/>
    </row>
    <row r="5" spans="1:25" ht="90">
      <c r="A5" s="96"/>
      <c r="B5" s="94"/>
      <c r="C5" s="126"/>
      <c r="D5" s="94"/>
      <c r="E5" s="94"/>
      <c r="F5" s="97"/>
      <c r="G5" s="73" t="s">
        <v>558</v>
      </c>
      <c r="H5" s="73" t="s">
        <v>554</v>
      </c>
      <c r="I5" s="73" t="s">
        <v>10</v>
      </c>
      <c r="J5" s="73" t="s">
        <v>555</v>
      </c>
      <c r="K5" s="73" t="s">
        <v>559</v>
      </c>
      <c r="L5" s="73" t="s">
        <v>12</v>
      </c>
      <c r="M5" s="73" t="s">
        <v>556</v>
      </c>
      <c r="N5" s="94"/>
      <c r="O5" s="73" t="s">
        <v>561</v>
      </c>
      <c r="P5" s="73" t="s">
        <v>798</v>
      </c>
      <c r="Q5" s="73" t="s">
        <v>15</v>
      </c>
      <c r="R5" s="73" t="s">
        <v>799</v>
      </c>
      <c r="S5" s="73" t="s">
        <v>800</v>
      </c>
      <c r="T5" s="73" t="s">
        <v>801</v>
      </c>
      <c r="U5" s="73" t="s">
        <v>672</v>
      </c>
      <c r="V5" s="73" t="s">
        <v>20</v>
      </c>
      <c r="W5" s="73" t="s">
        <v>21</v>
      </c>
      <c r="X5" s="73" t="s">
        <v>557</v>
      </c>
      <c r="Y5" s="62"/>
    </row>
    <row r="6" spans="1:25" hidden="1" outlineLevel="1"/>
    <row r="7" spans="1:25" collapsed="1">
      <c r="A7" s="66">
        <v>1990</v>
      </c>
      <c r="B7" s="56" t="s">
        <v>22</v>
      </c>
      <c r="C7" s="56" t="s">
        <v>22</v>
      </c>
      <c r="D7" s="147">
        <f>'1a'!E16/'25e'!D7</f>
        <v>0.4850170705030375</v>
      </c>
      <c r="E7" s="147">
        <f>'1a'!F16/'25e'!E7</f>
        <v>2.3696704435972982</v>
      </c>
      <c r="F7" s="147" t="s">
        <v>22</v>
      </c>
      <c r="G7" s="147" t="s">
        <v>22</v>
      </c>
      <c r="H7" s="147" t="s">
        <v>22</v>
      </c>
      <c r="I7" s="147" t="s">
        <v>22</v>
      </c>
      <c r="J7" s="147" t="s">
        <v>22</v>
      </c>
      <c r="K7" s="147" t="s">
        <v>22</v>
      </c>
      <c r="L7" s="147" t="s">
        <v>22</v>
      </c>
      <c r="M7" s="147" t="s">
        <v>22</v>
      </c>
      <c r="N7" s="147">
        <f>'1a'!O16/'25e'!N7</f>
        <v>11.638354090020213</v>
      </c>
      <c r="O7" s="147">
        <f>'1a'!P16/'25e'!O7</f>
        <v>34.199637621615885</v>
      </c>
      <c r="P7" s="147" t="s">
        <v>22</v>
      </c>
      <c r="Q7" s="147" t="s">
        <v>22</v>
      </c>
      <c r="R7" s="147" t="s">
        <v>22</v>
      </c>
      <c r="S7" s="147" t="s">
        <v>22</v>
      </c>
      <c r="T7" s="147" t="s">
        <v>22</v>
      </c>
      <c r="U7" s="147">
        <f>'1a'!V16/'25e'!U7</f>
        <v>5.018069108806352</v>
      </c>
      <c r="V7" s="147" t="s">
        <v>22</v>
      </c>
      <c r="W7" s="147" t="s">
        <v>22</v>
      </c>
      <c r="X7" s="147" t="s">
        <v>22</v>
      </c>
    </row>
    <row r="8" spans="1:25">
      <c r="A8" s="66">
        <v>1991</v>
      </c>
      <c r="B8" s="56" t="s">
        <v>22</v>
      </c>
      <c r="C8" s="56" t="s">
        <v>22</v>
      </c>
      <c r="D8" s="147">
        <f>'1a'!E17/'25e'!D8</f>
        <v>0.43995981760534852</v>
      </c>
      <c r="E8" s="147">
        <f>'1a'!F17/'25e'!E8</f>
        <v>2.3121231937847284</v>
      </c>
      <c r="F8" s="147" t="s">
        <v>22</v>
      </c>
      <c r="G8" s="147" t="s">
        <v>22</v>
      </c>
      <c r="H8" s="147" t="s">
        <v>22</v>
      </c>
      <c r="I8" s="147" t="s">
        <v>22</v>
      </c>
      <c r="J8" s="147" t="s">
        <v>22</v>
      </c>
      <c r="K8" s="147" t="s">
        <v>22</v>
      </c>
      <c r="L8" s="147" t="s">
        <v>22</v>
      </c>
      <c r="M8" s="147" t="s">
        <v>22</v>
      </c>
      <c r="N8" s="147">
        <f>'1a'!O17/'25e'!N8</f>
        <v>11.677783402806082</v>
      </c>
      <c r="O8" s="147">
        <f>'1a'!P17/'25e'!O8</f>
        <v>31.263524330764369</v>
      </c>
      <c r="P8" s="147" t="s">
        <v>22</v>
      </c>
      <c r="Q8" s="147" t="s">
        <v>22</v>
      </c>
      <c r="R8" s="147" t="s">
        <v>22</v>
      </c>
      <c r="S8" s="147" t="s">
        <v>22</v>
      </c>
      <c r="T8" s="147" t="s">
        <v>22</v>
      </c>
      <c r="U8" s="147">
        <f>'1a'!V17/'25e'!U8</f>
        <v>5.4225100425330846</v>
      </c>
      <c r="V8" s="147" t="s">
        <v>22</v>
      </c>
      <c r="W8" s="147" t="s">
        <v>22</v>
      </c>
      <c r="X8" s="147" t="s">
        <v>22</v>
      </c>
    </row>
    <row r="9" spans="1:25">
      <c r="A9" s="66">
        <v>1992</v>
      </c>
      <c r="B9" s="56" t="s">
        <v>22</v>
      </c>
      <c r="C9" s="56" t="s">
        <v>22</v>
      </c>
      <c r="D9" s="147">
        <f>'1a'!E18/'25e'!D9</f>
        <v>0.41076289155677376</v>
      </c>
      <c r="E9" s="147">
        <f>'1a'!F18/'25e'!E9</f>
        <v>2.5673703845337679</v>
      </c>
      <c r="F9" s="147" t="s">
        <v>22</v>
      </c>
      <c r="G9" s="147" t="s">
        <v>22</v>
      </c>
      <c r="H9" s="147" t="s">
        <v>22</v>
      </c>
      <c r="I9" s="147" t="s">
        <v>22</v>
      </c>
      <c r="J9" s="147" t="s">
        <v>22</v>
      </c>
      <c r="K9" s="147" t="s">
        <v>22</v>
      </c>
      <c r="L9" s="147" t="s">
        <v>22</v>
      </c>
      <c r="M9" s="147" t="s">
        <v>22</v>
      </c>
      <c r="N9" s="147">
        <f>'1a'!O18/'25e'!N9</f>
        <v>12.144732406236827</v>
      </c>
      <c r="O9" s="147">
        <f>'1a'!P18/'25e'!O9</f>
        <v>32.161144573467574</v>
      </c>
      <c r="P9" s="147" t="s">
        <v>22</v>
      </c>
      <c r="Q9" s="147" t="s">
        <v>22</v>
      </c>
      <c r="R9" s="147" t="s">
        <v>22</v>
      </c>
      <c r="S9" s="147" t="s">
        <v>22</v>
      </c>
      <c r="T9" s="147" t="s">
        <v>22</v>
      </c>
      <c r="U9" s="147">
        <f>'1a'!V18/'25e'!U9</f>
        <v>5.5065561263797207</v>
      </c>
      <c r="V9" s="147" t="s">
        <v>22</v>
      </c>
      <c r="W9" s="147" t="s">
        <v>22</v>
      </c>
      <c r="X9" s="147" t="s">
        <v>22</v>
      </c>
    </row>
    <row r="10" spans="1:25">
      <c r="A10" s="66">
        <v>1993</v>
      </c>
      <c r="B10" s="56" t="s">
        <v>22</v>
      </c>
      <c r="C10" s="56" t="s">
        <v>22</v>
      </c>
      <c r="D10" s="147">
        <f>'1a'!E19/'25e'!D10</f>
        <v>0.44731906007941602</v>
      </c>
      <c r="E10" s="147">
        <f>'1a'!F19/'25e'!E10</f>
        <v>2.7951597014049705</v>
      </c>
      <c r="F10" s="147" t="s">
        <v>22</v>
      </c>
      <c r="G10" s="147" t="s">
        <v>22</v>
      </c>
      <c r="H10" s="147" t="s">
        <v>22</v>
      </c>
      <c r="I10" s="147" t="s">
        <v>22</v>
      </c>
      <c r="J10" s="147" t="s">
        <v>22</v>
      </c>
      <c r="K10" s="147" t="s">
        <v>22</v>
      </c>
      <c r="L10" s="147" t="s">
        <v>22</v>
      </c>
      <c r="M10" s="147" t="s">
        <v>22</v>
      </c>
      <c r="N10" s="147">
        <f>'1a'!O19/'25e'!N10</f>
        <v>13.378738528351356</v>
      </c>
      <c r="O10" s="147">
        <f>'1a'!P19/'25e'!O10</f>
        <v>34.299136915183297</v>
      </c>
      <c r="P10" s="147" t="s">
        <v>22</v>
      </c>
      <c r="Q10" s="147" t="s">
        <v>22</v>
      </c>
      <c r="R10" s="147" t="s">
        <v>22</v>
      </c>
      <c r="S10" s="147" t="s">
        <v>22</v>
      </c>
      <c r="T10" s="147" t="s">
        <v>22</v>
      </c>
      <c r="U10" s="147">
        <f>'1a'!V19/'25e'!U10</f>
        <v>6.1303821643638097</v>
      </c>
      <c r="V10" s="147" t="s">
        <v>22</v>
      </c>
      <c r="W10" s="147" t="s">
        <v>22</v>
      </c>
      <c r="X10" s="147" t="s">
        <v>22</v>
      </c>
    </row>
    <row r="11" spans="1:25">
      <c r="A11" s="66">
        <v>1994</v>
      </c>
      <c r="B11" s="56" t="s">
        <v>22</v>
      </c>
      <c r="C11" s="56" t="s">
        <v>22</v>
      </c>
      <c r="D11" s="147">
        <f>'1a'!E20/'25e'!D11</f>
        <v>0.53560070973519625</v>
      </c>
      <c r="E11" s="147">
        <f>'1a'!F20/'25e'!E11</f>
        <v>2.8389061758246337</v>
      </c>
      <c r="F11" s="147" t="s">
        <v>22</v>
      </c>
      <c r="G11" s="147" t="s">
        <v>22</v>
      </c>
      <c r="H11" s="147" t="s">
        <v>22</v>
      </c>
      <c r="I11" s="147" t="s">
        <v>22</v>
      </c>
      <c r="J11" s="147" t="s">
        <v>22</v>
      </c>
      <c r="K11" s="147" t="s">
        <v>22</v>
      </c>
      <c r="L11" s="147" t="s">
        <v>22</v>
      </c>
      <c r="M11" s="147" t="s">
        <v>22</v>
      </c>
      <c r="N11" s="147">
        <f>'1a'!O20/'25e'!N11</f>
        <v>13.932977682155643</v>
      </c>
      <c r="O11" s="147">
        <f>'1a'!P20/'25e'!O11</f>
        <v>35.473468855876995</v>
      </c>
      <c r="P11" s="147" t="s">
        <v>22</v>
      </c>
      <c r="Q11" s="147" t="s">
        <v>22</v>
      </c>
      <c r="R11" s="147" t="s">
        <v>22</v>
      </c>
      <c r="S11" s="147" t="s">
        <v>22</v>
      </c>
      <c r="T11" s="147" t="s">
        <v>22</v>
      </c>
      <c r="U11" s="147">
        <f>'1a'!V20/'25e'!U11</f>
        <v>6.465117267986443</v>
      </c>
      <c r="V11" s="147" t="s">
        <v>22</v>
      </c>
      <c r="W11" s="147" t="s">
        <v>22</v>
      </c>
      <c r="X11" s="147" t="s">
        <v>22</v>
      </c>
    </row>
    <row r="12" spans="1:25">
      <c r="A12" s="66">
        <v>1995</v>
      </c>
      <c r="B12" s="56" t="s">
        <v>22</v>
      </c>
      <c r="C12" s="56" t="s">
        <v>22</v>
      </c>
      <c r="D12" s="147">
        <f>'1a'!E21/'25e'!D12</f>
        <v>0.42750048504902144</v>
      </c>
      <c r="E12" s="147">
        <f>'1a'!F21/'25e'!E12</f>
        <v>2.7780105935986401</v>
      </c>
      <c r="F12" s="147" t="s">
        <v>22</v>
      </c>
      <c r="G12" s="147" t="s">
        <v>22</v>
      </c>
      <c r="H12" s="147" t="s">
        <v>22</v>
      </c>
      <c r="I12" s="147" t="s">
        <v>22</v>
      </c>
      <c r="J12" s="147" t="s">
        <v>22</v>
      </c>
      <c r="K12" s="147" t="s">
        <v>22</v>
      </c>
      <c r="L12" s="147" t="s">
        <v>22</v>
      </c>
      <c r="M12" s="147" t="s">
        <v>22</v>
      </c>
      <c r="N12" s="147">
        <f>'1a'!O21/'25e'!N12</f>
        <v>13.344249096716759</v>
      </c>
      <c r="O12" s="147">
        <f>'1a'!P21/'25e'!O12</f>
        <v>33.032060920375116</v>
      </c>
      <c r="P12" s="147" t="s">
        <v>22</v>
      </c>
      <c r="Q12" s="147" t="s">
        <v>22</v>
      </c>
      <c r="R12" s="147" t="s">
        <v>22</v>
      </c>
      <c r="S12" s="147" t="s">
        <v>22</v>
      </c>
      <c r="T12" s="147" t="s">
        <v>22</v>
      </c>
      <c r="U12" s="147">
        <f>'1a'!V21/'25e'!U12</f>
        <v>6.737694954940852</v>
      </c>
      <c r="V12" s="147" t="s">
        <v>22</v>
      </c>
      <c r="W12" s="147" t="s">
        <v>22</v>
      </c>
      <c r="X12" s="147" t="s">
        <v>22</v>
      </c>
    </row>
    <row r="13" spans="1:25">
      <c r="A13" s="66">
        <v>1996</v>
      </c>
      <c r="B13" s="56" t="s">
        <v>22</v>
      </c>
      <c r="C13" s="56" t="s">
        <v>22</v>
      </c>
      <c r="D13" s="147">
        <f>'1a'!E22/'25e'!D13</f>
        <v>0.39214918209600574</v>
      </c>
      <c r="E13" s="147">
        <f>'1a'!F22/'25e'!E13</f>
        <v>2.6153828714204219</v>
      </c>
      <c r="F13" s="147" t="s">
        <v>22</v>
      </c>
      <c r="G13" s="147" t="s">
        <v>22</v>
      </c>
      <c r="H13" s="147" t="s">
        <v>22</v>
      </c>
      <c r="I13" s="147" t="s">
        <v>22</v>
      </c>
      <c r="J13" s="147" t="s">
        <v>22</v>
      </c>
      <c r="K13" s="147" t="s">
        <v>22</v>
      </c>
      <c r="L13" s="147" t="s">
        <v>22</v>
      </c>
      <c r="M13" s="147" t="s">
        <v>22</v>
      </c>
      <c r="N13" s="147">
        <f>'1a'!O22/'25e'!N13</f>
        <v>13.183069923371644</v>
      </c>
      <c r="O13" s="147">
        <f>'1a'!P22/'25e'!O13</f>
        <v>31.764258414796004</v>
      </c>
      <c r="P13" s="147" t="s">
        <v>22</v>
      </c>
      <c r="Q13" s="147" t="s">
        <v>22</v>
      </c>
      <c r="R13" s="147" t="s">
        <v>22</v>
      </c>
      <c r="S13" s="147" t="s">
        <v>22</v>
      </c>
      <c r="T13" s="147" t="s">
        <v>22</v>
      </c>
      <c r="U13" s="147">
        <f>'1a'!V22/'25e'!U13</f>
        <v>7.1244040669830566</v>
      </c>
      <c r="V13" s="147">
        <f>'1a'!W22/'25e'!V13</f>
        <v>0</v>
      </c>
      <c r="W13" s="147">
        <f>'1a'!X22/'25e'!W13</f>
        <v>0</v>
      </c>
      <c r="X13" s="147" t="s">
        <v>22</v>
      </c>
    </row>
    <row r="14" spans="1:25">
      <c r="A14" s="66">
        <v>1997</v>
      </c>
      <c r="B14" s="56" t="s">
        <v>22</v>
      </c>
      <c r="C14" s="56" t="s">
        <v>22</v>
      </c>
      <c r="D14" s="147">
        <f>'1a'!E23/'25e'!D14</f>
        <v>0.44389901029250484</v>
      </c>
      <c r="E14" s="147">
        <f>'1a'!F23/'25e'!E14</f>
        <v>3.1717425428923542</v>
      </c>
      <c r="F14" s="147">
        <f>'1a'!G23/'25e'!F14</f>
        <v>3.6855782740634755</v>
      </c>
      <c r="G14" s="147">
        <f>'1a'!H23/'25e'!G14</f>
        <v>5.3947285962205909</v>
      </c>
      <c r="H14" s="147" t="s">
        <v>22</v>
      </c>
      <c r="I14" s="147" t="s">
        <v>22</v>
      </c>
      <c r="J14" s="147" t="s">
        <v>22</v>
      </c>
      <c r="K14" s="147" t="s">
        <v>22</v>
      </c>
      <c r="L14" s="147">
        <f>'1a'!M23/'25e'!L14</f>
        <v>1.832520325203252</v>
      </c>
      <c r="M14" s="147">
        <f>'1a'!N23/'25e'!M14</f>
        <v>4.0053475935828873</v>
      </c>
      <c r="N14" s="147">
        <f>'1a'!O23/'25e'!N14</f>
        <v>14.059426770694845</v>
      </c>
      <c r="O14" s="147">
        <f>'1a'!P23/'25e'!O14</f>
        <v>31.983094625543995</v>
      </c>
      <c r="P14" s="147">
        <f>'1a'!Q23/'25e'!P14</f>
        <v>34.444444444444443</v>
      </c>
      <c r="Q14" s="147">
        <f>'1a'!R23/'25e'!Q14</f>
        <v>48.644230769230766</v>
      </c>
      <c r="R14" s="147" t="s">
        <v>22</v>
      </c>
      <c r="S14" s="147" t="s">
        <v>22</v>
      </c>
      <c r="T14" s="147">
        <f>'1a'!U23/'25e'!T14</f>
        <v>33.533333333333331</v>
      </c>
      <c r="U14" s="147">
        <f>'1a'!V23/'25e'!U14</f>
        <v>7.334270636420924</v>
      </c>
      <c r="V14" s="147">
        <f>'1a'!W23/'25e'!V14</f>
        <v>7.3026819923371651</v>
      </c>
      <c r="W14" s="147">
        <f>'1a'!X23/'25e'!W14</f>
        <v>7.4942528735632186</v>
      </c>
      <c r="X14" s="147">
        <f>'1a'!Y23/'25e'!X14</f>
        <v>5.8484848484848486</v>
      </c>
    </row>
    <row r="15" spans="1:25">
      <c r="A15" s="66">
        <v>1998</v>
      </c>
      <c r="B15" s="56" t="s">
        <v>22</v>
      </c>
      <c r="C15" s="56" t="s">
        <v>22</v>
      </c>
      <c r="D15" s="147">
        <f>'1a'!E24/'25e'!D15</f>
        <v>0.48205837887186315</v>
      </c>
      <c r="E15" s="147">
        <f>'1a'!F24/'25e'!E15</f>
        <v>3.3495770669475138</v>
      </c>
      <c r="F15" s="147">
        <f>'1a'!G24/'25e'!F15</f>
        <v>3.8878396775635267</v>
      </c>
      <c r="G15" s="147">
        <f>'1a'!H24/'25e'!G15</f>
        <v>5.2204597662603298</v>
      </c>
      <c r="H15" s="147" t="s">
        <v>22</v>
      </c>
      <c r="I15" s="147" t="s">
        <v>22</v>
      </c>
      <c r="J15" s="147" t="s">
        <v>22</v>
      </c>
      <c r="K15" s="147" t="s">
        <v>22</v>
      </c>
      <c r="L15" s="147">
        <f>'1a'!M24/'25e'!L15</f>
        <v>1.9665551839464883</v>
      </c>
      <c r="M15" s="147">
        <f>'1a'!N24/'25e'!M15</f>
        <v>3.967741935483871</v>
      </c>
      <c r="N15" s="147">
        <f>'1a'!O24/'25e'!N15</f>
        <v>13.467266117262144</v>
      </c>
      <c r="O15" s="147">
        <f>'1a'!P24/'25e'!O15</f>
        <v>32.583108997017696</v>
      </c>
      <c r="P15" s="147">
        <f>'1a'!Q24/'25e'!P15</f>
        <v>33.255319148936174</v>
      </c>
      <c r="Q15" s="147">
        <f>'1a'!R24/'25e'!Q15</f>
        <v>52.422222222222224</v>
      </c>
      <c r="R15" s="147">
        <f>'1a'!S24/'25e'!R15</f>
        <v>40.155555555555559</v>
      </c>
      <c r="S15" s="147">
        <f>'1a'!T24/'25e'!S15</f>
        <v>64.86666666666666</v>
      </c>
      <c r="T15" s="147">
        <f>'1a'!U24/'25e'!T15</f>
        <v>31.5</v>
      </c>
      <c r="U15" s="147">
        <f>'1a'!V24/'25e'!U15</f>
        <v>7.3205815678684178</v>
      </c>
      <c r="V15" s="147">
        <f>'1a'!W24/'25e'!V15</f>
        <v>6.9433962264150946</v>
      </c>
      <c r="W15" s="147">
        <f>'1a'!X24/'25e'!W15</f>
        <v>6.9811320754716979</v>
      </c>
      <c r="X15" s="147">
        <f>'1a'!Y24/'25e'!X15</f>
        <v>6.6030534351145036</v>
      </c>
    </row>
    <row r="16" spans="1:25" ht="15.75" thickBot="1">
      <c r="A16" s="171">
        <v>1999</v>
      </c>
      <c r="B16" s="172" t="s">
        <v>22</v>
      </c>
      <c r="C16" s="172" t="s">
        <v>22</v>
      </c>
      <c r="D16" s="173">
        <f>'1a'!E25/'25e'!D16</f>
        <v>0.43815405390928652</v>
      </c>
      <c r="E16" s="173">
        <f>'1a'!F25/'25e'!E16</f>
        <v>3.867431355366385</v>
      </c>
      <c r="F16" s="173">
        <f>'1a'!G25/'25e'!F16</f>
        <v>4.2638935820752888</v>
      </c>
      <c r="G16" s="173">
        <f>'1a'!H25/'25e'!G16</f>
        <v>6.2412695489003083</v>
      </c>
      <c r="H16" s="173" t="s">
        <v>22</v>
      </c>
      <c r="I16" s="173" t="s">
        <v>22</v>
      </c>
      <c r="J16" s="173" t="s">
        <v>22</v>
      </c>
      <c r="K16" s="173" t="s">
        <v>22</v>
      </c>
      <c r="L16" s="173">
        <f>'1a'!M25/'25e'!L16</f>
        <v>2.6098901098901099</v>
      </c>
      <c r="M16" s="173">
        <f>'1a'!N25/'25e'!M16</f>
        <v>4.6804733727810648</v>
      </c>
      <c r="N16" s="173">
        <f>'1a'!O25/'25e'!N16</f>
        <v>14.862841869218752</v>
      </c>
      <c r="O16" s="173">
        <f>'1a'!P25/'25e'!O16</f>
        <v>33.709893117047145</v>
      </c>
      <c r="P16" s="173">
        <f>'1a'!Q25/'25e'!P16</f>
        <v>37.673469387755105</v>
      </c>
      <c r="Q16" s="173">
        <f>'1a'!R25/'25e'!Q16</f>
        <v>52.938775510204081</v>
      </c>
      <c r="R16" s="173">
        <f>'1a'!S25/'25e'!R16</f>
        <v>38.583333333333336</v>
      </c>
      <c r="S16" s="173">
        <f>'1a'!T25/'25e'!S16</f>
        <v>66.42</v>
      </c>
      <c r="T16" s="173">
        <f>'1a'!U25/'25e'!T16</f>
        <v>32.428571428571431</v>
      </c>
      <c r="U16" s="173">
        <f>'1a'!V25/'25e'!U16</f>
        <v>7.5881709104771522</v>
      </c>
      <c r="V16" s="173">
        <f>'1a'!W25/'25e'!V16</f>
        <v>6.6953125</v>
      </c>
      <c r="W16" s="173">
        <f>'1a'!X25/'25e'!W16</f>
        <v>7.5046728971962615</v>
      </c>
      <c r="X16" s="173">
        <f>'1a'!Y25/'25e'!X16</f>
        <v>7.4491525423728815</v>
      </c>
    </row>
    <row r="17" spans="1:24">
      <c r="A17" s="66">
        <v>2000</v>
      </c>
      <c r="B17" s="56" t="s">
        <v>22</v>
      </c>
      <c r="C17" s="56" t="s">
        <v>22</v>
      </c>
      <c r="D17" s="174" t="s">
        <v>22</v>
      </c>
      <c r="E17" s="174">
        <f>'1a'!F26/'25e'!E17</f>
        <v>2.4520007817644904</v>
      </c>
      <c r="F17" s="174">
        <f>'1a'!G26/'25e'!F17</f>
        <v>3.0851609641090958</v>
      </c>
      <c r="G17" s="174">
        <f>'1a'!H26/'25e'!G17</f>
        <v>4.4228919489122287</v>
      </c>
      <c r="H17" s="174" t="s">
        <v>22</v>
      </c>
      <c r="I17" s="174" t="s">
        <v>22</v>
      </c>
      <c r="J17" s="174" t="s">
        <v>22</v>
      </c>
      <c r="K17" s="174" t="s">
        <v>22</v>
      </c>
      <c r="L17" s="174">
        <f>'1a'!M26/'25e'!L17</f>
        <v>1.6407010710808179</v>
      </c>
      <c r="M17" s="174">
        <f>'1a'!N26/'25e'!M17</f>
        <v>2.847826086956522</v>
      </c>
      <c r="N17" s="174">
        <f>'1a'!O26/'25e'!N17</f>
        <v>11.762198587318339</v>
      </c>
      <c r="O17" s="174">
        <f>'1a'!P26/'25e'!O17</f>
        <v>31.561810442185735</v>
      </c>
      <c r="P17" s="174">
        <f>'1a'!Q26/'25e'!P17</f>
        <v>32.288135593220339</v>
      </c>
      <c r="Q17" s="174">
        <f>'1a'!R26/'25e'!Q17</f>
        <v>52.100917431192663</v>
      </c>
      <c r="R17" s="174">
        <f>'1a'!S26/'25e'!R17</f>
        <v>36.440677966101696</v>
      </c>
      <c r="S17" s="174">
        <f>'1a'!T26/'25e'!S17</f>
        <v>70.680000000000007</v>
      </c>
      <c r="T17" s="174">
        <f>'1a'!U26/'25e'!T17</f>
        <v>27.23076923076923</v>
      </c>
      <c r="U17" s="174">
        <f>'1a'!V26/'25e'!U17</f>
        <v>5.2710064385917565</v>
      </c>
      <c r="V17" s="174">
        <f>'1a'!W26/'25e'!V17</f>
        <v>5.1442006269592477</v>
      </c>
      <c r="W17" s="174">
        <f>'1a'!X26/'25e'!W17</f>
        <v>4.9044585987261149</v>
      </c>
      <c r="X17" s="174">
        <f>'1a'!Y26/'25e'!X17</f>
        <v>4.4920634920634921</v>
      </c>
    </row>
    <row r="18" spans="1:24">
      <c r="A18" s="66">
        <v>2001</v>
      </c>
      <c r="B18" s="56" t="s">
        <v>22</v>
      </c>
      <c r="C18" s="56" t="s">
        <v>22</v>
      </c>
      <c r="D18" s="147" t="s">
        <v>22</v>
      </c>
      <c r="E18" s="147">
        <f>'1a'!F27/'25e'!E18</f>
        <v>2.3354461505091875</v>
      </c>
      <c r="F18" s="147">
        <f>'1a'!G27/'25e'!F18</f>
        <v>2.9102895529585551</v>
      </c>
      <c r="G18" s="147">
        <f>'1a'!H27/'25e'!G18</f>
        <v>4.5937889149589459</v>
      </c>
      <c r="H18" s="147" t="s">
        <v>22</v>
      </c>
      <c r="I18" s="147" t="s">
        <v>22</v>
      </c>
      <c r="J18" s="147" t="s">
        <v>22</v>
      </c>
      <c r="K18" s="147" t="s">
        <v>22</v>
      </c>
      <c r="L18" s="147">
        <f>'1a'!M27/'25e'!L18</f>
        <v>1.6154553817847286</v>
      </c>
      <c r="M18" s="147">
        <f>'1a'!N27/'25e'!M18</f>
        <v>2.7763975155279503</v>
      </c>
      <c r="N18" s="147">
        <f>'1a'!O27/'25e'!N18</f>
        <v>11.345650702758977</v>
      </c>
      <c r="O18" s="147">
        <f>'1a'!P27/'25e'!O18</f>
        <v>28.172821314729056</v>
      </c>
      <c r="P18" s="147">
        <f>'1a'!Q27/'25e'!P18</f>
        <v>31.428571428571427</v>
      </c>
      <c r="Q18" s="147">
        <f>'1a'!R27/'25e'!Q18</f>
        <v>45.908256880733944</v>
      </c>
      <c r="R18" s="147">
        <f>'1a'!S27/'25e'!R18</f>
        <v>31.5</v>
      </c>
      <c r="S18" s="147">
        <f>'1a'!T27/'25e'!S18</f>
        <v>63.632653061224488</v>
      </c>
      <c r="T18" s="147">
        <f>'1a'!U27/'25e'!T18</f>
        <v>23.488372093023255</v>
      </c>
      <c r="U18" s="147">
        <f>'1a'!V27/'25e'!U18</f>
        <v>6.0156558250740559</v>
      </c>
      <c r="V18" s="147">
        <f>'1a'!W27/'25e'!V18</f>
        <v>5.6983606557377051</v>
      </c>
      <c r="W18" s="147">
        <f>'1a'!X27/'25e'!W18</f>
        <v>6.333333333333333</v>
      </c>
      <c r="X18" s="147">
        <f>'1a'!Y27/'25e'!X18</f>
        <v>4.6573033707865168</v>
      </c>
    </row>
    <row r="19" spans="1:24">
      <c r="A19" s="66">
        <v>2002</v>
      </c>
      <c r="B19" s="56" t="s">
        <v>22</v>
      </c>
      <c r="C19" s="56" t="s">
        <v>22</v>
      </c>
      <c r="D19" s="147" t="s">
        <v>22</v>
      </c>
      <c r="E19" s="147">
        <f>'1a'!F28/'25e'!E19</f>
        <v>2.572272115999473</v>
      </c>
      <c r="F19" s="147">
        <f>'1a'!G28/'25e'!F19</f>
        <v>3.2671586990309756</v>
      </c>
      <c r="G19" s="147">
        <f>'1a'!H28/'25e'!G19</f>
        <v>5.1802096198626284</v>
      </c>
      <c r="H19" s="147" t="s">
        <v>22</v>
      </c>
      <c r="I19" s="147" t="s">
        <v>22</v>
      </c>
      <c r="J19" s="147" t="s">
        <v>22</v>
      </c>
      <c r="K19" s="147" t="s">
        <v>22</v>
      </c>
      <c r="L19" s="147">
        <f>'1a'!M28/'25e'!L19</f>
        <v>1.7704626334519573</v>
      </c>
      <c r="M19" s="147">
        <f>'1a'!N28/'25e'!M19</f>
        <v>2.7597597597597598</v>
      </c>
      <c r="N19" s="147">
        <f>'1a'!O28/'25e'!N19</f>
        <v>11.987293144208035</v>
      </c>
      <c r="O19" s="147">
        <f>'1a'!P28/'25e'!O19</f>
        <v>30.45861814484811</v>
      </c>
      <c r="P19" s="147">
        <f>'1a'!Q28/'25e'!P19</f>
        <v>35.96</v>
      </c>
      <c r="Q19" s="147">
        <f>'1a'!R28/'25e'!Q19</f>
        <v>49.907407407407405</v>
      </c>
      <c r="R19" s="147">
        <f>'1a'!S28/'25e'!R19</f>
        <v>33.016393442622949</v>
      </c>
      <c r="S19" s="147">
        <f>'1a'!T28/'25e'!S19</f>
        <v>71.829787234042556</v>
      </c>
      <c r="T19" s="147">
        <f>'1a'!U28/'25e'!T19</f>
        <v>21.045454545454547</v>
      </c>
      <c r="U19" s="147">
        <f>'1a'!V28/'25e'!U19</f>
        <v>6.3365206237011149</v>
      </c>
      <c r="V19" s="147">
        <f>'1a'!W28/'25e'!V19</f>
        <v>5.639344262295082</v>
      </c>
      <c r="W19" s="147">
        <f>'1a'!X28/'25e'!W19</f>
        <v>7.1474358974358978</v>
      </c>
      <c r="X19" s="147">
        <f>'1a'!Y28/'25e'!X19</f>
        <v>5.0054644808743172</v>
      </c>
    </row>
    <row r="20" spans="1:24" ht="15.75" thickBot="1">
      <c r="A20" s="171">
        <v>2003</v>
      </c>
      <c r="B20" s="172" t="s">
        <v>22</v>
      </c>
      <c r="C20" s="172" t="s">
        <v>22</v>
      </c>
      <c r="D20" s="173" t="s">
        <v>22</v>
      </c>
      <c r="E20" s="173">
        <f>'1a'!F29/'25e'!E20</f>
        <v>2.6028176683671544</v>
      </c>
      <c r="F20" s="173">
        <f>'1a'!G29/'25e'!F20</f>
        <v>3.2787769806003064</v>
      </c>
      <c r="G20" s="173">
        <f>'1a'!H29/'25e'!G20</f>
        <v>5.3171852474482888</v>
      </c>
      <c r="H20" s="173" t="s">
        <v>22</v>
      </c>
      <c r="I20" s="173" t="s">
        <v>22</v>
      </c>
      <c r="J20" s="173" t="s">
        <v>22</v>
      </c>
      <c r="K20" s="173" t="s">
        <v>22</v>
      </c>
      <c r="L20" s="173">
        <f>'1a'!M29/'25e'!L20</f>
        <v>1.7546012269938651</v>
      </c>
      <c r="M20" s="173">
        <f>'1a'!N29/'25e'!M20</f>
        <v>2.975609756097561</v>
      </c>
      <c r="N20" s="173">
        <f>'1a'!O29/'25e'!N20</f>
        <v>11.681170108161258</v>
      </c>
      <c r="O20" s="173">
        <f>'1a'!P29/'25e'!O20</f>
        <v>28.611519783281395</v>
      </c>
      <c r="P20" s="173">
        <f>'1a'!Q29/'25e'!P20</f>
        <v>33.431372549019606</v>
      </c>
      <c r="Q20" s="173">
        <f>'1a'!R29/'25e'!Q20</f>
        <v>48.839285714285715</v>
      </c>
      <c r="R20" s="173">
        <f>'1a'!S29/'25e'!R20</f>
        <v>36.814285714285717</v>
      </c>
      <c r="S20" s="173">
        <f>'1a'!T29/'25e'!S20</f>
        <v>68.88095238095238</v>
      </c>
      <c r="T20" s="173">
        <f>'1a'!U29/'25e'!T20</f>
        <v>17.239999999999998</v>
      </c>
      <c r="U20" s="173">
        <f>'1a'!V29/'25e'!U20</f>
        <v>6.3800384401803489</v>
      </c>
      <c r="V20" s="173">
        <f>'1a'!W29/'25e'!V20</f>
        <v>5.8684210526315788</v>
      </c>
      <c r="W20" s="173">
        <f>'1a'!X29/'25e'!W20</f>
        <v>6.9146341463414638</v>
      </c>
      <c r="X20" s="173">
        <f>'1a'!Y29/'25e'!X20</f>
        <v>4.947089947089947</v>
      </c>
    </row>
    <row r="21" spans="1:24">
      <c r="A21" s="66">
        <v>2004</v>
      </c>
      <c r="B21" s="56" t="s">
        <v>22</v>
      </c>
      <c r="C21" s="56" t="s">
        <v>22</v>
      </c>
      <c r="D21" s="147">
        <f>'1a'!E30/'25e'!D21</f>
        <v>0.46832843207669383</v>
      </c>
      <c r="E21" s="147">
        <f>'1a'!F30/'25e'!E21</f>
        <v>1.5438906428159067</v>
      </c>
      <c r="F21" s="147">
        <f>'1a'!G30/'25e'!F21</f>
        <v>1.8290272253519479</v>
      </c>
      <c r="G21" s="147">
        <f>'1a'!H30/'25e'!G21</f>
        <v>4.3735606853616869</v>
      </c>
      <c r="H21" s="147">
        <f>'1a'!I30/'25e'!H21</f>
        <v>18.2</v>
      </c>
      <c r="I21" s="147">
        <f>'1a'!J30/'25e'!I21</f>
        <v>1.4668989547038327</v>
      </c>
      <c r="J21" s="147">
        <f>'1a'!K30/'25e'!J21</f>
        <v>25.456140350877192</v>
      </c>
      <c r="K21" s="147">
        <f>'1a'!L30/'25e'!K21</f>
        <v>0.96220278081803534</v>
      </c>
      <c r="L21" s="147">
        <f>'1a'!M30/'25e'!L21</f>
        <v>1.2869147659063624</v>
      </c>
      <c r="M21" s="147">
        <f>'1a'!N30/'25e'!M21</f>
        <v>1.6009538950715421</v>
      </c>
      <c r="N21" s="147">
        <f>'1a'!O30/'25e'!N21</f>
        <v>8.7534088022794077</v>
      </c>
      <c r="O21" s="147">
        <f>'1a'!P30/'25e'!O21</f>
        <v>22.825728738046184</v>
      </c>
      <c r="P21" s="147">
        <f>'1a'!Q30/'25e'!P21</f>
        <v>22.047619047619047</v>
      </c>
      <c r="Q21" s="147">
        <f>'1a'!R30/'25e'!Q21</f>
        <v>41.774436090225564</v>
      </c>
      <c r="R21" s="147">
        <f>'1a'!S30/'25e'!R21</f>
        <v>31.272727272727273</v>
      </c>
      <c r="S21" s="147">
        <f>'1a'!T30/'25e'!S21</f>
        <v>62.31111111111111</v>
      </c>
      <c r="T21" s="147">
        <f>'1a'!U30/'25e'!T21</f>
        <v>14.736842105263158</v>
      </c>
      <c r="U21" s="147">
        <f>'1a'!V30/'25e'!U21</f>
        <v>4.5561178036507703</v>
      </c>
      <c r="V21" s="147">
        <f>'1a'!W30/'25e'!V21</f>
        <v>7.9771689497716896</v>
      </c>
      <c r="W21" s="147">
        <f>'1a'!X30/'25e'!W21</f>
        <v>9.0330578512396702</v>
      </c>
      <c r="X21" s="147">
        <f>'1a'!Y30/'25e'!X21</f>
        <v>4.2045454545454541</v>
      </c>
    </row>
    <row r="22" spans="1:24">
      <c r="A22" s="66">
        <v>2005</v>
      </c>
      <c r="B22" s="56" t="s">
        <v>22</v>
      </c>
      <c r="C22" s="175" t="s">
        <v>22</v>
      </c>
      <c r="D22" s="174">
        <f>'1a'!E31/'25e'!D22</f>
        <v>0.33403127274421768</v>
      </c>
      <c r="E22" s="147">
        <f>'1a'!F31/'25e'!E22</f>
        <v>1.8035478090345129</v>
      </c>
      <c r="F22" s="147">
        <f>'1a'!G31/'25e'!F22</f>
        <v>2.3631137892183744</v>
      </c>
      <c r="G22" s="147">
        <f>'1a'!H31/'25e'!G22</f>
        <v>4.9398458959364691</v>
      </c>
      <c r="H22" s="147">
        <f>'1a'!I31/'25e'!H22</f>
        <v>21.88095238095238</v>
      </c>
      <c r="I22" s="147">
        <f>'1a'!J31/'25e'!I22</f>
        <v>1.5464285714285715</v>
      </c>
      <c r="J22" s="147">
        <f>'1a'!K31/'25e'!J22</f>
        <v>30.826923076923077</v>
      </c>
      <c r="K22" s="147">
        <f>'1a'!L31/'25e'!K22</f>
        <v>0.96664593743618266</v>
      </c>
      <c r="L22" s="147">
        <f>'1a'!M31/'25e'!L22</f>
        <v>1.2250308261405671</v>
      </c>
      <c r="M22" s="147">
        <f>'1a'!N31/'25e'!M22</f>
        <v>1.8671726755218216</v>
      </c>
      <c r="N22" s="147">
        <f>'1a'!O31/'25e'!N22</f>
        <v>9.5831496503878491</v>
      </c>
      <c r="O22" s="147">
        <f>'1a'!P31/'25e'!O22</f>
        <v>22.624987682698954</v>
      </c>
      <c r="P22" s="147">
        <f>'1a'!Q31/'25e'!P22</f>
        <v>23.815789473684209</v>
      </c>
      <c r="Q22" s="147">
        <f>'1a'!R31/'25e'!Q22</f>
        <v>38.766666666666666</v>
      </c>
      <c r="R22" s="147">
        <f>'1a'!S31/'25e'!R22</f>
        <v>26.447619047619046</v>
      </c>
      <c r="S22" s="147">
        <f>'1a'!T31/'25e'!S22</f>
        <v>67.511111111111106</v>
      </c>
      <c r="T22" s="147">
        <f>'1a'!U31/'25e'!T22</f>
        <v>14.368421052631579</v>
      </c>
      <c r="U22" s="147">
        <f>'1a'!V31/'25e'!U22</f>
        <v>5.0027098310535978</v>
      </c>
      <c r="V22" s="147">
        <f>'1a'!W31/'25e'!V22</f>
        <v>8.693121693121693</v>
      </c>
      <c r="W22" s="147">
        <f>'1a'!X31/'25e'!W22</f>
        <v>11.408163265306122</v>
      </c>
      <c r="X22" s="147">
        <f>'1a'!Y31/'25e'!X22</f>
        <v>5.5460122699386503</v>
      </c>
    </row>
    <row r="23" spans="1:24">
      <c r="A23" s="66">
        <v>2006</v>
      </c>
      <c r="B23" s="56" t="s">
        <v>22</v>
      </c>
      <c r="C23" s="56" t="s">
        <v>22</v>
      </c>
      <c r="D23" s="147">
        <f>'1a'!E32/'25e'!D23</f>
        <v>0.33668543120451194</v>
      </c>
      <c r="E23" s="147">
        <f>'1a'!F32/'25e'!E23</f>
        <v>1.7964829334558987</v>
      </c>
      <c r="F23" s="147">
        <f>'1a'!G32/'25e'!F23</f>
        <v>2.3891803842268451</v>
      </c>
      <c r="G23" s="147">
        <f>'1a'!H32/'25e'!G23</f>
        <v>4.6412006188327046</v>
      </c>
      <c r="H23" s="147">
        <f>'1a'!I32/'25e'!H23</f>
        <v>22.358974358974358</v>
      </c>
      <c r="I23" s="147">
        <f>'1a'!J32/'25e'!I23</f>
        <v>1.4308681672025723</v>
      </c>
      <c r="J23" s="147">
        <f>'1a'!K32/'25e'!J23</f>
        <v>35.173913043478258</v>
      </c>
      <c r="K23" s="147">
        <f>'1a'!L32/'25e'!K23</f>
        <v>0.99076736533128718</v>
      </c>
      <c r="L23" s="147">
        <f>'1a'!M32/'25e'!L23</f>
        <v>1.2575851393188855</v>
      </c>
      <c r="M23" s="147">
        <f>'1a'!N32/'25e'!M23</f>
        <v>1.9338374291115312</v>
      </c>
      <c r="N23" s="147">
        <f>'1a'!O32/'25e'!N23</f>
        <v>9.0165860986405395</v>
      </c>
      <c r="O23" s="147">
        <f>'1a'!P32/'25e'!O23</f>
        <v>22.636463268635126</v>
      </c>
      <c r="P23" s="147">
        <f>'1a'!Q32/'25e'!P23</f>
        <v>25.784615384615385</v>
      </c>
      <c r="Q23" s="147">
        <f>'1a'!R32/'25e'!Q23</f>
        <v>39.015503875968989</v>
      </c>
      <c r="R23" s="147">
        <f>'1a'!S32/'25e'!R23</f>
        <v>25.674157303370787</v>
      </c>
      <c r="S23" s="147">
        <f>'1a'!T32/'25e'!S23</f>
        <v>68.7</v>
      </c>
      <c r="T23" s="147">
        <f>'1a'!U32/'25e'!T23</f>
        <v>13.754385964912281</v>
      </c>
      <c r="U23" s="147">
        <f>'1a'!V32/'25e'!U23</f>
        <v>4.6838654434548754</v>
      </c>
      <c r="V23" s="147">
        <f>'1a'!W32/'25e'!V23</f>
        <v>8.2406417112299462</v>
      </c>
      <c r="W23" s="147">
        <f>'1a'!X32/'25e'!W23</f>
        <v>9.9789473684210535</v>
      </c>
      <c r="X23" s="147">
        <f>'1a'!Y32/'25e'!X23</f>
        <v>5.3924050632911396</v>
      </c>
    </row>
    <row r="24" spans="1:24">
      <c r="A24" s="66">
        <v>2007</v>
      </c>
      <c r="B24" s="56"/>
      <c r="C24" s="56"/>
      <c r="D24" s="147" t="s">
        <v>22</v>
      </c>
      <c r="E24" s="147">
        <f>'1a'!F33/'25e'!E24</f>
        <v>1.5731089691226923</v>
      </c>
      <c r="F24" s="147">
        <f>'1a'!G33/'25e'!F24</f>
        <v>2.0897565922920891</v>
      </c>
      <c r="G24" s="147">
        <f>'1a'!H33/'25e'!G24</f>
        <v>4.0846153846153843</v>
      </c>
      <c r="H24" s="147">
        <f>'1a'!I33/'25e'!H24</f>
        <v>20.861111111111111</v>
      </c>
      <c r="I24" s="147">
        <f>'1a'!J33/'25e'!I24</f>
        <v>1.3650793650793651</v>
      </c>
      <c r="J24" s="147">
        <f>'1a'!K33/'25e'!J24</f>
        <v>27.686274509803923</v>
      </c>
      <c r="K24" s="147">
        <f>'1a'!L33/'25e'!K24</f>
        <v>0.93248828878478918</v>
      </c>
      <c r="L24" s="147">
        <f>'1a'!M33/'25e'!L24</f>
        <v>1.2134696331930246</v>
      </c>
      <c r="M24" s="147">
        <f>'1a'!N33/'25e'!M24</f>
        <v>1.8446069469835467</v>
      </c>
      <c r="N24" s="147">
        <f>'1a'!O33/'25e'!N24</f>
        <v>9.2166998011928438</v>
      </c>
      <c r="O24" s="147">
        <f>'1a'!P33/'25e'!O24</f>
        <v>23.183266932270918</v>
      </c>
      <c r="P24" s="147">
        <f>'1a'!Q33/'25e'!P24</f>
        <v>24.914285714285715</v>
      </c>
      <c r="Q24" s="147">
        <f>'1a'!R33/'25e'!Q24</f>
        <v>42.377049180327866</v>
      </c>
      <c r="R24" s="147">
        <f>'1a'!S33/'25e'!R24</f>
        <v>30.085365853658537</v>
      </c>
      <c r="S24" s="147">
        <f>'1a'!T33/'25e'!S24</f>
        <v>67.575000000000003</v>
      </c>
      <c r="T24" s="147">
        <f>'1a'!U33/'25e'!T24</f>
        <v>12.881355932203389</v>
      </c>
      <c r="U24" s="147">
        <f>'1a'!V33/'25e'!U24</f>
        <v>4.5735099337748348</v>
      </c>
      <c r="V24" s="147">
        <f>'1a'!W33/'25e'!V24</f>
        <v>8.5028571428571436</v>
      </c>
      <c r="W24" s="147">
        <f>'1a'!X33/'25e'!W24</f>
        <v>9.0210526315789465</v>
      </c>
      <c r="X24" s="147">
        <f>'1a'!Y33/'25e'!X24</f>
        <v>5.3483870967741938</v>
      </c>
    </row>
    <row r="25" spans="1:24">
      <c r="A25" s="66">
        <v>2008</v>
      </c>
      <c r="B25" s="56"/>
      <c r="C25" s="56"/>
      <c r="D25" s="147" t="s">
        <v>22</v>
      </c>
      <c r="E25" s="147">
        <f>'1a'!F34/'25e'!E25</f>
        <v>1.4165016501650165</v>
      </c>
      <c r="F25" s="147">
        <f>'1a'!G34/'25e'!F25</f>
        <v>1.9077568134171907</v>
      </c>
      <c r="G25" s="147">
        <f>'1a'!H34/'25e'!G25</f>
        <v>3.5897435897435899</v>
      </c>
      <c r="H25" s="147">
        <f>'1a'!I34/'25e'!H25</f>
        <v>19</v>
      </c>
      <c r="I25" s="147">
        <f>'1a'!J34/'25e'!I25</f>
        <v>1.2222222222222223</v>
      </c>
      <c r="J25" s="147">
        <f>'1a'!K34/'25e'!J25</f>
        <v>23.142857142857142</v>
      </c>
      <c r="K25" s="147">
        <f>'1a'!L34/'25e'!K25</f>
        <v>0.85706447187928669</v>
      </c>
      <c r="L25" s="147">
        <f>'1a'!M34/'25e'!L25</f>
        <v>1.1480597014925373</v>
      </c>
      <c r="M25" s="147">
        <f>'1a'!N34/'25e'!M25</f>
        <v>1.7608286252354048</v>
      </c>
      <c r="N25" s="147">
        <f>'1a'!O34/'25e'!N25</f>
        <v>8.9189189189189193</v>
      </c>
      <c r="O25" s="147">
        <f>'1a'!P34/'25e'!O25</f>
        <v>21.851851851851851</v>
      </c>
      <c r="P25" s="147">
        <f>'1a'!Q34/'25e'!P25</f>
        <v>23.393939393939394</v>
      </c>
      <c r="Q25" s="147">
        <f>'1a'!R34/'25e'!Q25</f>
        <v>39.094017094017097</v>
      </c>
      <c r="R25" s="147">
        <f>'1a'!S34/'25e'!R25</f>
        <v>29.384615384615383</v>
      </c>
      <c r="S25" s="147">
        <f>'1a'!T34/'25e'!S25</f>
        <v>58.512820512820511</v>
      </c>
      <c r="T25" s="147">
        <f>'1a'!U34/'25e'!T25</f>
        <v>13.116666666666667</v>
      </c>
      <c r="U25" s="147">
        <f>'1a'!V34/'25e'!U25</f>
        <v>4.5479833101529898</v>
      </c>
      <c r="V25" s="147">
        <f>'1a'!W34/'25e'!V25</f>
        <v>8.0710059171597628</v>
      </c>
      <c r="W25" s="147">
        <f>'1a'!X34/'25e'!W25</f>
        <v>9.4252873563218387</v>
      </c>
      <c r="X25" s="147">
        <f>'1a'!Y34/'25e'!X25</f>
        <v>5.4509803921568629</v>
      </c>
    </row>
    <row r="26" spans="1:24">
      <c r="A26" s="66">
        <v>2009</v>
      </c>
      <c r="B26" s="56"/>
      <c r="C26" s="56"/>
      <c r="D26" s="147" t="s">
        <v>22</v>
      </c>
      <c r="E26" s="147">
        <f>'1a'!F35/'25e'!E26</f>
        <v>1.2051413881748072</v>
      </c>
      <c r="F26" s="147">
        <f>'1a'!G35/'25e'!F26</f>
        <v>1.6093489148580968</v>
      </c>
      <c r="G26" s="147">
        <f>'1a'!H35/'25e'!G26</f>
        <v>3.2262626262626264</v>
      </c>
      <c r="H26" s="147">
        <f>'1a'!I35/'25e'!H26</f>
        <v>15.757575757575758</v>
      </c>
      <c r="I26" s="147">
        <f>'1a'!J35/'25e'!I26</f>
        <v>1.0662460567823344</v>
      </c>
      <c r="J26" s="147">
        <f>'1a'!K35/'25e'!J26</f>
        <v>24.46153846153846</v>
      </c>
      <c r="K26" s="147">
        <f>'1a'!L35/'25e'!K26</f>
        <v>0.71775331639853235</v>
      </c>
      <c r="L26" s="147">
        <f>'1a'!M35/'25e'!L26</f>
        <v>0.99567367119901118</v>
      </c>
      <c r="M26" s="147">
        <f>'1a'!N35/'25e'!M26</f>
        <v>1.4315992292870905</v>
      </c>
      <c r="N26" s="147">
        <f>'1a'!O35/'25e'!N26</f>
        <v>7.5686900958466454</v>
      </c>
      <c r="O26" s="147">
        <f>'1a'!P35/'25e'!O26</f>
        <v>16.941666666666666</v>
      </c>
      <c r="P26" s="147">
        <f>'1a'!Q35/'25e'!P26</f>
        <v>19.772727272727273</v>
      </c>
      <c r="Q26" s="147">
        <f>'1a'!R35/'25e'!Q26</f>
        <v>31.85593220338983</v>
      </c>
      <c r="R26" s="147">
        <f>'1a'!S35/'25e'!R26</f>
        <v>24.654320987654319</v>
      </c>
      <c r="S26" s="147">
        <f>'1a'!T35/'25e'!S26</f>
        <v>47.621621621621621</v>
      </c>
      <c r="T26" s="147">
        <f>'1a'!U35/'25e'!T26</f>
        <v>11.482142857142858</v>
      </c>
      <c r="U26" s="147">
        <f>'1a'!V35/'25e'!U26</f>
        <v>4.3505007153075823</v>
      </c>
      <c r="V26" s="147">
        <f>'1a'!W35/'25e'!V26</f>
        <v>8.1801242236024851</v>
      </c>
      <c r="W26" s="147">
        <f>'1a'!X35/'25e'!W26</f>
        <v>11.275</v>
      </c>
      <c r="X26" s="147">
        <f>'1a'!Y35/'25e'!X26</f>
        <v>5.2137931034482756</v>
      </c>
    </row>
    <row r="27" spans="1:24">
      <c r="A27" s="66">
        <v>2010</v>
      </c>
      <c r="B27" s="56"/>
      <c r="C27" s="56"/>
      <c r="D27" s="147" t="s">
        <v>22</v>
      </c>
      <c r="E27" s="147">
        <f>'1a'!F36/'25e'!E27</f>
        <v>1.3455678670360112</v>
      </c>
      <c r="F27" s="147">
        <f>'1a'!G36/'25e'!F27</f>
        <v>1.9092475588742102</v>
      </c>
      <c r="G27" s="147">
        <f>'1a'!H36/'25e'!G27</f>
        <v>3.6457489878542511</v>
      </c>
      <c r="H27" s="147">
        <f>'1a'!I36/'25e'!H27</f>
        <v>15.787878787878787</v>
      </c>
      <c r="I27" s="147">
        <f>'1a'!J36/'25e'!I27</f>
        <v>1.346749226006192</v>
      </c>
      <c r="J27" s="147">
        <f>'1a'!K36/'25e'!J27</f>
        <v>26.024999999999999</v>
      </c>
      <c r="K27" s="147">
        <f>'1a'!L36/'25e'!K27</f>
        <v>0.74752894662524716</v>
      </c>
      <c r="L27" s="147">
        <f>'1a'!M36/'25e'!L27</f>
        <v>0.9872727272727273</v>
      </c>
      <c r="M27" s="147">
        <f>'1a'!N36/'25e'!M27</f>
        <v>1.566147859922179</v>
      </c>
      <c r="N27" s="147">
        <f>'1a'!O36/'25e'!N27</f>
        <v>7.995550611790879</v>
      </c>
      <c r="O27" s="147">
        <f>'1a'!P36/'25e'!O27</f>
        <v>17.5</v>
      </c>
      <c r="P27" s="147">
        <f>'1a'!Q36/'25e'!P27</f>
        <v>23</v>
      </c>
      <c r="Q27" s="147">
        <f>'1a'!R36/'25e'!Q27</f>
        <v>32.787610619469028</v>
      </c>
      <c r="R27" s="147">
        <f>'1a'!S36/'25e'!R27</f>
        <v>22.641975308641975</v>
      </c>
      <c r="S27" s="147">
        <f>'1a'!T36/'25e'!S27</f>
        <v>58.46875</v>
      </c>
      <c r="T27" s="147">
        <f>'1a'!U36/'25e'!T27</f>
        <v>10.714285714285714</v>
      </c>
      <c r="U27" s="147">
        <f>'1a'!V36/'25e'!U27</f>
        <v>4.5733736762481092</v>
      </c>
      <c r="V27" s="147">
        <f>'1a'!W36/'25e'!V27</f>
        <v>8.7806451612903231</v>
      </c>
      <c r="W27" s="147">
        <f>'1a'!X36/'25e'!W27</f>
        <v>11.074999999999999</v>
      </c>
      <c r="X27" s="147">
        <f>'1a'!Y36/'25e'!X27</f>
        <v>5.1811594202898554</v>
      </c>
    </row>
    <row r="28" spans="1:24">
      <c r="B28" s="57"/>
      <c r="C28" s="56"/>
      <c r="D28" s="57"/>
      <c r="E28" s="57"/>
      <c r="F28" s="57"/>
      <c r="G28" s="57"/>
      <c r="H28" s="57"/>
      <c r="I28" s="57"/>
      <c r="J28" s="57"/>
      <c r="K28" s="57"/>
      <c r="L28" s="57"/>
      <c r="M28" s="57"/>
      <c r="N28" s="57"/>
      <c r="O28" s="57"/>
      <c r="P28" s="57"/>
      <c r="Q28" s="57"/>
      <c r="R28" s="57"/>
      <c r="S28" s="57"/>
      <c r="T28" s="57"/>
      <c r="U28" s="57"/>
      <c r="V28" s="57"/>
      <c r="W28" s="57"/>
      <c r="X28" s="57"/>
    </row>
    <row r="29" spans="1:24">
      <c r="A29" s="132" t="s">
        <v>498</v>
      </c>
      <c r="B29" s="57"/>
      <c r="C29" s="57"/>
      <c r="D29" s="57"/>
      <c r="E29" s="57"/>
      <c r="F29" s="57"/>
      <c r="G29" s="57"/>
      <c r="H29" s="57"/>
      <c r="I29" s="57"/>
      <c r="J29" s="57"/>
      <c r="K29" s="57"/>
      <c r="L29" s="57"/>
      <c r="M29" s="57"/>
      <c r="N29" s="57"/>
      <c r="O29" s="57"/>
      <c r="P29" s="57"/>
      <c r="Q29" s="57"/>
      <c r="R29" s="57"/>
      <c r="S29" s="57"/>
      <c r="T29" s="57"/>
      <c r="U29" s="57"/>
      <c r="V29" s="57"/>
      <c r="W29" s="57"/>
      <c r="X29" s="57"/>
    </row>
    <row r="30" spans="1:24">
      <c r="A30" s="64" t="s">
        <v>1617</v>
      </c>
      <c r="B30" s="58" t="s">
        <v>22</v>
      </c>
      <c r="C30" s="58" t="s">
        <v>22</v>
      </c>
      <c r="D30" s="65">
        <f>((D16/D7)^(1/9)-1)*100</f>
        <v>-1.1226893558535012</v>
      </c>
      <c r="E30" s="65">
        <f>((E16/E7)^(1/9)-1)*100</f>
        <v>5.5934998689801896</v>
      </c>
      <c r="F30" s="65" t="s">
        <v>22</v>
      </c>
      <c r="G30" s="65" t="s">
        <v>22</v>
      </c>
      <c r="H30" s="65" t="s">
        <v>22</v>
      </c>
      <c r="I30" s="65" t="s">
        <v>22</v>
      </c>
      <c r="J30" s="65" t="s">
        <v>22</v>
      </c>
      <c r="K30" s="65" t="s">
        <v>22</v>
      </c>
      <c r="L30" s="65" t="s">
        <v>22</v>
      </c>
      <c r="M30" s="65" t="s">
        <v>22</v>
      </c>
      <c r="N30" s="65">
        <f>((N16/N7)^(1/9)-1)*100</f>
        <v>2.754569351719649</v>
      </c>
      <c r="O30" s="65">
        <f>((O16/O7)^(1/9)-1)*100</f>
        <v>-0.16013486455364045</v>
      </c>
      <c r="P30" s="65" t="s">
        <v>22</v>
      </c>
      <c r="Q30" s="65" t="s">
        <v>22</v>
      </c>
      <c r="R30" s="65" t="s">
        <v>22</v>
      </c>
      <c r="S30" s="65" t="s">
        <v>22</v>
      </c>
      <c r="T30" s="65" t="s">
        <v>22</v>
      </c>
      <c r="U30" s="65">
        <f>((U16/U7)^(1/9)-1)*100</f>
        <v>4.7021518232274628</v>
      </c>
      <c r="V30" s="65" t="s">
        <v>22</v>
      </c>
      <c r="W30" s="65" t="s">
        <v>22</v>
      </c>
      <c r="X30" s="65" t="s">
        <v>22</v>
      </c>
    </row>
    <row r="31" spans="1:24">
      <c r="A31" s="64" t="s">
        <v>659</v>
      </c>
      <c r="B31" s="58" t="s">
        <v>22</v>
      </c>
      <c r="C31" s="58" t="s">
        <v>22</v>
      </c>
      <c r="D31" s="65" t="s">
        <v>22</v>
      </c>
      <c r="E31" s="65">
        <f>((E20/E17)^(1/3)-1)*100</f>
        <v>2.009600625201502</v>
      </c>
      <c r="F31" s="65">
        <f t="shared" ref="F31:X31" si="0">((F20/F17)^(1/3)-1)*100</f>
        <v>2.0496101330717886</v>
      </c>
      <c r="G31" s="65">
        <f t="shared" si="0"/>
        <v>6.3306545080038967</v>
      </c>
      <c r="H31" s="65" t="s">
        <v>22</v>
      </c>
      <c r="I31" s="65" t="s">
        <v>22</v>
      </c>
      <c r="J31" s="65" t="s">
        <v>22</v>
      </c>
      <c r="K31" s="65" t="s">
        <v>22</v>
      </c>
      <c r="L31" s="65">
        <f t="shared" si="0"/>
        <v>2.2624803860547438</v>
      </c>
      <c r="M31" s="65">
        <f t="shared" si="0"/>
        <v>1.4738574353524214</v>
      </c>
      <c r="N31" s="65">
        <f t="shared" si="0"/>
        <v>-0.23015895466563796</v>
      </c>
      <c r="O31" s="65">
        <f t="shared" si="0"/>
        <v>-3.2183534097462885</v>
      </c>
      <c r="P31" s="65">
        <f t="shared" si="0"/>
        <v>1.1665825570099209</v>
      </c>
      <c r="Q31" s="65">
        <f t="shared" si="0"/>
        <v>-2.1318653151408906</v>
      </c>
      <c r="R31" s="65">
        <f t="shared" si="0"/>
        <v>0.34058840160495762</v>
      </c>
      <c r="S31" s="65">
        <f t="shared" si="0"/>
        <v>-0.85574946551114639</v>
      </c>
      <c r="T31" s="65">
        <f t="shared" si="0"/>
        <v>-14.133100037824942</v>
      </c>
      <c r="U31" s="65">
        <f t="shared" si="0"/>
        <v>6.5720327471526785</v>
      </c>
      <c r="V31" s="65">
        <f t="shared" si="0"/>
        <v>4.488330341671265</v>
      </c>
      <c r="W31" s="65">
        <f t="shared" si="0"/>
        <v>12.131090189597838</v>
      </c>
      <c r="X31" s="65">
        <f t="shared" si="0"/>
        <v>3.2685248981263459</v>
      </c>
    </row>
    <row r="32" spans="1:24">
      <c r="A32" s="64" t="s">
        <v>1618</v>
      </c>
      <c r="B32" s="58" t="s">
        <v>22</v>
      </c>
      <c r="C32" s="58" t="s">
        <v>22</v>
      </c>
      <c r="D32" s="65">
        <f>((D23/D21)^(1/2)-1)*100</f>
        <v>-15.211510203240818</v>
      </c>
      <c r="E32" s="65">
        <f t="shared" ref="E32:X32" si="1">((E23/E21)^(1/2)-1)*100</f>
        <v>7.8706461939333394</v>
      </c>
      <c r="F32" s="65">
        <f t="shared" si="1"/>
        <v>14.291619108828456</v>
      </c>
      <c r="G32" s="65">
        <f t="shared" si="1"/>
        <v>3.0143181425986265</v>
      </c>
      <c r="H32" s="65" t="s">
        <v>22</v>
      </c>
      <c r="I32" s="65" t="s">
        <v>22</v>
      </c>
      <c r="J32" s="65" t="s">
        <v>22</v>
      </c>
      <c r="K32" s="65" t="s">
        <v>22</v>
      </c>
      <c r="L32" s="65">
        <f t="shared" si="1"/>
        <v>-1.1461003299891082</v>
      </c>
      <c r="M32" s="65">
        <f t="shared" si="1"/>
        <v>9.905788982873398</v>
      </c>
      <c r="N32" s="65">
        <f t="shared" si="1"/>
        <v>1.4921520307873859</v>
      </c>
      <c r="O32" s="65">
        <f t="shared" si="1"/>
        <v>-0.41545100841372529</v>
      </c>
      <c r="P32" s="65">
        <f t="shared" si="1"/>
        <v>8.1432658152427173</v>
      </c>
      <c r="Q32" s="65">
        <f t="shared" si="1"/>
        <v>-3.358577914281724</v>
      </c>
      <c r="R32" s="65">
        <f t="shared" si="1"/>
        <v>-9.3922762518445442</v>
      </c>
      <c r="S32" s="65">
        <f t="shared" si="1"/>
        <v>5.0015284176511132</v>
      </c>
      <c r="T32" s="65">
        <f t="shared" si="1"/>
        <v>-3.3908216920704115</v>
      </c>
      <c r="U32" s="65">
        <f t="shared" si="1"/>
        <v>1.392243504588242</v>
      </c>
      <c r="V32" s="65">
        <f t="shared" si="1"/>
        <v>1.6380024490814549</v>
      </c>
      <c r="W32" s="65">
        <f t="shared" si="1"/>
        <v>5.1053856871655645</v>
      </c>
      <c r="X32" s="65">
        <f t="shared" si="1"/>
        <v>13.248309523761726</v>
      </c>
    </row>
    <row r="33" spans="1:24">
      <c r="H33" s="58"/>
      <c r="I33" s="58"/>
      <c r="J33" s="58"/>
      <c r="K33" s="58"/>
    </row>
    <row r="34" spans="1:24">
      <c r="A34" s="137" t="s">
        <v>500</v>
      </c>
      <c r="B34" s="137"/>
      <c r="C34" s="137"/>
      <c r="D34" s="137"/>
      <c r="E34" s="137"/>
      <c r="F34" s="137"/>
      <c r="G34" s="137"/>
      <c r="H34" s="137"/>
      <c r="I34" s="137"/>
      <c r="J34" s="137"/>
      <c r="K34" s="137"/>
      <c r="L34" s="137"/>
      <c r="M34" s="137"/>
      <c r="N34" s="137"/>
      <c r="O34" s="137"/>
      <c r="P34" s="137"/>
      <c r="Q34" s="137"/>
      <c r="R34" s="137"/>
      <c r="S34" s="137"/>
      <c r="T34" s="137"/>
      <c r="U34" s="137"/>
      <c r="V34" s="137"/>
      <c r="W34" s="137"/>
      <c r="X34" s="137"/>
    </row>
    <row r="35" spans="1:24">
      <c r="A35" s="137" t="s">
        <v>1615</v>
      </c>
      <c r="B35" s="137"/>
      <c r="C35" s="137"/>
      <c r="D35" s="137"/>
      <c r="E35" s="137"/>
      <c r="F35" s="137"/>
      <c r="G35" s="137"/>
      <c r="H35" s="137"/>
      <c r="I35" s="137"/>
      <c r="J35" s="137"/>
      <c r="K35" s="137"/>
      <c r="L35" s="137"/>
      <c r="M35" s="137"/>
      <c r="N35" s="137"/>
      <c r="O35" s="137"/>
      <c r="P35" s="137"/>
      <c r="Q35" s="137"/>
      <c r="R35" s="137"/>
      <c r="S35" s="137"/>
      <c r="T35" s="137"/>
      <c r="U35" s="137"/>
      <c r="V35" s="137"/>
      <c r="W35" s="137"/>
      <c r="X35" s="137"/>
    </row>
    <row r="36" spans="1:24">
      <c r="A36" s="137" t="s">
        <v>193</v>
      </c>
      <c r="B36" s="137"/>
      <c r="C36" s="137"/>
      <c r="D36" s="137"/>
      <c r="E36" s="137"/>
      <c r="F36" s="137"/>
      <c r="G36" s="137"/>
      <c r="H36" s="137"/>
      <c r="I36" s="137"/>
      <c r="J36" s="137"/>
      <c r="K36" s="137"/>
      <c r="L36" s="137"/>
      <c r="M36" s="137"/>
      <c r="N36" s="137"/>
      <c r="O36" s="137"/>
      <c r="P36" s="137"/>
      <c r="Q36" s="137"/>
      <c r="R36" s="137"/>
      <c r="S36" s="137"/>
      <c r="T36" s="137"/>
      <c r="U36" s="137"/>
      <c r="V36" s="137"/>
      <c r="W36" s="137"/>
      <c r="X36" s="137"/>
    </row>
    <row r="37" spans="1:24">
      <c r="A37" s="64" t="s">
        <v>1616</v>
      </c>
    </row>
  </sheetData>
  <mergeCells count="18">
    <mergeCell ref="A1:X1"/>
    <mergeCell ref="A2:A5"/>
    <mergeCell ref="B2:B5"/>
    <mergeCell ref="C2:X2"/>
    <mergeCell ref="C3:C5"/>
    <mergeCell ref="D3:D5"/>
    <mergeCell ref="E3:M3"/>
    <mergeCell ref="N3:X3"/>
    <mergeCell ref="E4:E5"/>
    <mergeCell ref="F4:F5"/>
    <mergeCell ref="A35:X35"/>
    <mergeCell ref="A36:X36"/>
    <mergeCell ref="G4:J4"/>
    <mergeCell ref="K4:M4"/>
    <mergeCell ref="N4:N5"/>
    <mergeCell ref="O4:T4"/>
    <mergeCell ref="U4:X4"/>
    <mergeCell ref="A34:X34"/>
  </mergeCells>
  <pageMargins left="0.7" right="0.7" top="0.75" bottom="0.75" header="0.3" footer="0.3"/>
  <pageSetup scale="35" orientation="landscape" horizontalDpi="0" verticalDpi="0" r:id="rId1"/>
</worksheet>
</file>

<file path=xl/worksheets/sheet138.xml><?xml version="1.0" encoding="utf-8"?>
<worksheet xmlns="http://schemas.openxmlformats.org/spreadsheetml/2006/main" xmlns:r="http://schemas.openxmlformats.org/officeDocument/2006/relationships">
  <sheetPr codeName="Sheet131"/>
  <dimension ref="A1:L37"/>
  <sheetViews>
    <sheetView view="pageBreakPreview" zoomScaleNormal="100" zoomScaleSheetLayoutView="100" workbookViewId="0">
      <selection activeCell="AC38" sqref="AC38"/>
    </sheetView>
  </sheetViews>
  <sheetFormatPr defaultRowHeight="15" outlineLevelRow="1"/>
  <cols>
    <col min="1" max="1" width="10.28515625" style="64" customWidth="1"/>
    <col min="2" max="16384" width="9.140625" style="64"/>
  </cols>
  <sheetData>
    <row r="1" spans="1:12">
      <c r="A1" s="66" t="s">
        <v>2019</v>
      </c>
    </row>
    <row r="2" spans="1:12">
      <c r="A2" s="66"/>
      <c r="B2" s="97" t="s">
        <v>1661</v>
      </c>
      <c r="C2" s="107" t="s">
        <v>1662</v>
      </c>
      <c r="D2" s="107"/>
      <c r="E2" s="107"/>
      <c r="F2" s="107"/>
      <c r="G2" s="107"/>
      <c r="H2" s="107"/>
      <c r="I2" s="107"/>
      <c r="J2" s="107"/>
      <c r="K2" s="107"/>
      <c r="L2" s="107"/>
    </row>
    <row r="3" spans="1:12" ht="30">
      <c r="B3" s="97"/>
      <c r="C3" s="73" t="s">
        <v>1663</v>
      </c>
      <c r="D3" s="73" t="s">
        <v>1664</v>
      </c>
      <c r="E3" s="73" t="s">
        <v>1665</v>
      </c>
      <c r="F3" s="73" t="s">
        <v>1666</v>
      </c>
      <c r="G3" s="73" t="s">
        <v>1667</v>
      </c>
      <c r="H3" s="73" t="s">
        <v>1668</v>
      </c>
      <c r="I3" s="73" t="s">
        <v>1669</v>
      </c>
      <c r="J3" s="73" t="s">
        <v>1670</v>
      </c>
      <c r="K3" s="73" t="s">
        <v>1671</v>
      </c>
      <c r="L3" s="73" t="s">
        <v>1672</v>
      </c>
    </row>
    <row r="4" spans="1:12" hidden="1" outlineLevel="1">
      <c r="B4" s="117" t="s">
        <v>1650</v>
      </c>
      <c r="C4" s="117" t="s">
        <v>1651</v>
      </c>
      <c r="D4" s="117" t="s">
        <v>1652</v>
      </c>
      <c r="E4" s="117" t="s">
        <v>1653</v>
      </c>
      <c r="F4" s="117" t="s">
        <v>1654</v>
      </c>
      <c r="G4" s="117" t="s">
        <v>1655</v>
      </c>
      <c r="H4" s="117" t="s">
        <v>1656</v>
      </c>
      <c r="I4" s="117" t="s">
        <v>1657</v>
      </c>
      <c r="J4" s="117" t="s">
        <v>1658</v>
      </c>
      <c r="K4" s="117" t="s">
        <v>1659</v>
      </c>
      <c r="L4" s="117" t="s">
        <v>1660</v>
      </c>
    </row>
    <row r="5" spans="1:12" collapsed="1">
      <c r="A5" s="66">
        <v>2000</v>
      </c>
      <c r="B5" s="56">
        <v>78328</v>
      </c>
      <c r="C5" s="56">
        <v>12546</v>
      </c>
      <c r="D5" s="56">
        <v>17307</v>
      </c>
      <c r="E5" s="56">
        <v>9606</v>
      </c>
      <c r="F5" s="56">
        <v>5867</v>
      </c>
      <c r="G5" s="56">
        <v>5718</v>
      </c>
      <c r="H5" s="56" t="s">
        <v>188</v>
      </c>
      <c r="I5" s="56" t="s">
        <v>188</v>
      </c>
      <c r="J5" s="56">
        <v>39459</v>
      </c>
      <c r="K5" s="56">
        <v>11585</v>
      </c>
      <c r="L5" s="56">
        <v>27284</v>
      </c>
    </row>
    <row r="6" spans="1:12">
      <c r="A6" s="66">
        <v>2001</v>
      </c>
      <c r="B6" s="56">
        <v>68149</v>
      </c>
      <c r="C6" s="56">
        <v>10811</v>
      </c>
      <c r="D6" s="56">
        <v>16131</v>
      </c>
      <c r="E6" s="56">
        <v>9205</v>
      </c>
      <c r="F6" s="56">
        <v>4959</v>
      </c>
      <c r="G6" s="56">
        <v>4525</v>
      </c>
      <c r="H6" s="56" t="s">
        <v>188</v>
      </c>
      <c r="I6" s="56" t="s">
        <v>188</v>
      </c>
      <c r="J6" s="56">
        <v>36148</v>
      </c>
      <c r="K6" s="56">
        <v>9484</v>
      </c>
      <c r="L6" s="56">
        <v>22517</v>
      </c>
    </row>
    <row r="7" spans="1:12">
      <c r="A7" s="66">
        <v>2002</v>
      </c>
      <c r="B7" s="56">
        <v>67119</v>
      </c>
      <c r="C7" s="56">
        <v>10902</v>
      </c>
      <c r="D7" s="56">
        <v>15494</v>
      </c>
      <c r="E7" s="56">
        <v>9275</v>
      </c>
      <c r="F7" s="56">
        <v>4987</v>
      </c>
      <c r="G7" s="56">
        <v>3858</v>
      </c>
      <c r="H7" s="56" t="s">
        <v>188</v>
      </c>
      <c r="I7" s="56" t="s">
        <v>188</v>
      </c>
      <c r="J7" s="56">
        <v>35671</v>
      </c>
      <c r="K7" s="56">
        <v>8845</v>
      </c>
      <c r="L7" s="56">
        <v>22603</v>
      </c>
    </row>
    <row r="8" spans="1:12">
      <c r="A8" s="66">
        <v>2003</v>
      </c>
      <c r="B8" s="56">
        <v>62977</v>
      </c>
      <c r="C8" s="56">
        <v>10368</v>
      </c>
      <c r="D8" s="56">
        <v>15309</v>
      </c>
      <c r="E8" s="56">
        <v>9942</v>
      </c>
      <c r="F8" s="56">
        <v>5518</v>
      </c>
      <c r="G8" s="56">
        <v>4607</v>
      </c>
      <c r="H8" s="56">
        <v>1383</v>
      </c>
      <c r="I8" s="56">
        <v>15850</v>
      </c>
      <c r="J8" s="56">
        <v>35619</v>
      </c>
      <c r="K8" s="56">
        <v>10125</v>
      </c>
      <c r="L8" s="56">
        <v>17233</v>
      </c>
    </row>
    <row r="9" spans="1:12">
      <c r="A9" s="66">
        <v>2004</v>
      </c>
      <c r="B9" s="56">
        <v>61497</v>
      </c>
      <c r="C9" s="56">
        <v>9961</v>
      </c>
      <c r="D9" s="56">
        <v>16072</v>
      </c>
      <c r="E9" s="56">
        <v>10513</v>
      </c>
      <c r="F9" s="56">
        <v>5080</v>
      </c>
      <c r="G9" s="56">
        <v>5108</v>
      </c>
      <c r="H9" s="56">
        <v>1270</v>
      </c>
      <c r="I9" s="56">
        <v>13494</v>
      </c>
      <c r="J9" s="56">
        <v>36545</v>
      </c>
      <c r="K9" s="56">
        <v>10187</v>
      </c>
      <c r="L9" s="56">
        <v>14764</v>
      </c>
    </row>
    <row r="10" spans="1:12">
      <c r="A10" s="66">
        <v>2005</v>
      </c>
      <c r="B10" s="56">
        <v>59143</v>
      </c>
      <c r="C10" s="56">
        <v>10104</v>
      </c>
      <c r="D10" s="56">
        <v>15302</v>
      </c>
      <c r="E10" s="56">
        <v>10429</v>
      </c>
      <c r="F10" s="56">
        <v>5121</v>
      </c>
      <c r="G10" s="56">
        <v>4565</v>
      </c>
      <c r="H10" s="56">
        <v>1313</v>
      </c>
      <c r="I10" s="56">
        <v>12311</v>
      </c>
      <c r="J10" s="56">
        <v>35834</v>
      </c>
      <c r="K10" s="56">
        <v>9686</v>
      </c>
      <c r="L10" s="56">
        <v>13623</v>
      </c>
    </row>
    <row r="11" spans="1:12">
      <c r="A11" s="66">
        <v>2006</v>
      </c>
      <c r="B11" s="56">
        <v>56061</v>
      </c>
      <c r="C11" s="56">
        <v>9610</v>
      </c>
      <c r="D11" s="56">
        <v>14525</v>
      </c>
      <c r="E11" s="56">
        <v>9746</v>
      </c>
      <c r="F11" s="56">
        <v>4793</v>
      </c>
      <c r="G11" s="56">
        <v>4939</v>
      </c>
      <c r="H11" s="56">
        <v>2100</v>
      </c>
      <c r="I11" s="56">
        <v>10347</v>
      </c>
      <c r="J11" s="56">
        <v>33882</v>
      </c>
      <c r="K11" s="56">
        <v>9731</v>
      </c>
      <c r="L11" s="56">
        <v>12448</v>
      </c>
    </row>
    <row r="12" spans="1:12">
      <c r="A12" s="66">
        <v>2007</v>
      </c>
      <c r="B12" s="56">
        <v>52462</v>
      </c>
      <c r="C12" s="56">
        <v>8831</v>
      </c>
      <c r="D12" s="56">
        <v>13541</v>
      </c>
      <c r="E12" s="56">
        <v>9225</v>
      </c>
      <c r="F12" s="56">
        <v>4818</v>
      </c>
      <c r="G12" s="56">
        <v>4094</v>
      </c>
      <c r="H12" s="56">
        <v>1918</v>
      </c>
      <c r="I12" s="56">
        <v>10034</v>
      </c>
      <c r="J12" s="56">
        <v>31598</v>
      </c>
      <c r="K12" s="56">
        <v>8912</v>
      </c>
      <c r="L12" s="56">
        <v>11952</v>
      </c>
    </row>
    <row r="13" spans="1:12">
      <c r="A13" s="66">
        <v>2008</v>
      </c>
      <c r="B13" s="56">
        <v>45592</v>
      </c>
      <c r="C13" s="56">
        <v>8064</v>
      </c>
      <c r="D13" s="56">
        <v>12360</v>
      </c>
      <c r="E13" s="56">
        <v>8270</v>
      </c>
      <c r="F13" s="56">
        <v>4391</v>
      </c>
      <c r="G13" s="56">
        <v>3768</v>
      </c>
      <c r="H13" s="56">
        <v>1024</v>
      </c>
      <c r="I13" s="56">
        <v>7716</v>
      </c>
      <c r="J13" s="56">
        <v>28694</v>
      </c>
      <c r="K13" s="56">
        <v>8159</v>
      </c>
      <c r="L13" s="56">
        <v>8739</v>
      </c>
    </row>
    <row r="14" spans="1:12">
      <c r="A14" s="66">
        <v>2009</v>
      </c>
      <c r="B14" s="56">
        <v>39374</v>
      </c>
      <c r="C14" s="56">
        <v>7248</v>
      </c>
      <c r="D14" s="56">
        <v>11216</v>
      </c>
      <c r="E14" s="56">
        <v>6758</v>
      </c>
      <c r="F14" s="56">
        <v>3905</v>
      </c>
      <c r="G14" s="56">
        <v>3331</v>
      </c>
      <c r="H14" s="56">
        <v>705</v>
      </c>
      <c r="I14" s="56">
        <v>6212</v>
      </c>
      <c r="J14" s="56">
        <v>25221</v>
      </c>
      <c r="K14" s="56">
        <v>7236</v>
      </c>
      <c r="L14" s="56">
        <v>6917</v>
      </c>
    </row>
    <row r="15" spans="1:12">
      <c r="A15" s="66">
        <v>2010</v>
      </c>
      <c r="B15" s="56">
        <v>39561</v>
      </c>
      <c r="C15" s="56">
        <v>7359</v>
      </c>
      <c r="D15" s="56">
        <v>11614</v>
      </c>
      <c r="E15" s="56">
        <v>7535</v>
      </c>
      <c r="F15" s="56">
        <v>3817</v>
      </c>
      <c r="G15" s="56">
        <v>3583</v>
      </c>
      <c r="H15" s="56">
        <v>525</v>
      </c>
      <c r="I15" s="56">
        <v>5129</v>
      </c>
      <c r="J15" s="56">
        <v>26508</v>
      </c>
      <c r="K15" s="56">
        <v>7399</v>
      </c>
      <c r="L15" s="56">
        <v>5653</v>
      </c>
    </row>
    <row r="16" spans="1:12">
      <c r="A16" s="66">
        <v>2011</v>
      </c>
      <c r="B16" s="56">
        <v>39691</v>
      </c>
      <c r="C16" s="56">
        <v>7253</v>
      </c>
      <c r="D16" s="56">
        <v>11947</v>
      </c>
      <c r="E16" s="56">
        <v>7660</v>
      </c>
      <c r="F16" s="56">
        <v>3863</v>
      </c>
      <c r="G16" s="56">
        <v>3731</v>
      </c>
      <c r="H16" s="56">
        <v>706</v>
      </c>
      <c r="I16" s="56">
        <v>4531</v>
      </c>
      <c r="J16" s="56">
        <v>26860</v>
      </c>
      <c r="K16" s="56">
        <v>7594</v>
      </c>
      <c r="L16" s="56">
        <v>5236</v>
      </c>
    </row>
    <row r="17" spans="1:12">
      <c r="A17" s="66">
        <v>2012</v>
      </c>
      <c r="B17" s="57">
        <v>38723</v>
      </c>
      <c r="C17" s="57">
        <v>6770</v>
      </c>
      <c r="D17" s="57">
        <v>11576</v>
      </c>
      <c r="E17" s="57">
        <v>7729</v>
      </c>
      <c r="F17" s="57">
        <v>3759</v>
      </c>
      <c r="G17" s="57">
        <v>3669</v>
      </c>
      <c r="H17" s="57">
        <v>753</v>
      </c>
      <c r="I17" s="57">
        <v>4466</v>
      </c>
      <c r="J17" s="57">
        <v>26075</v>
      </c>
      <c r="K17" s="57">
        <v>7428</v>
      </c>
      <c r="L17" s="57">
        <v>5219</v>
      </c>
    </row>
    <row r="19" spans="1:12">
      <c r="A19" s="66" t="s">
        <v>1673</v>
      </c>
    </row>
    <row r="20" spans="1:12">
      <c r="A20" s="64" t="s">
        <v>588</v>
      </c>
      <c r="B20" s="65">
        <f>((B17/B5)^(1/12)-1)*100</f>
        <v>-5.7015987103132275</v>
      </c>
      <c r="C20" s="65">
        <f t="shared" ref="C20:L20" si="0">((C17/C5)^(1/12)-1)*100</f>
        <v>-5.010934425636238</v>
      </c>
      <c r="D20" s="65">
        <f t="shared" si="0"/>
        <v>-3.2959357124478172</v>
      </c>
      <c r="E20" s="65">
        <f t="shared" si="0"/>
        <v>-1.7954235081065528</v>
      </c>
      <c r="F20" s="65">
        <f t="shared" si="0"/>
        <v>-3.6419461830572097</v>
      </c>
      <c r="G20" s="65">
        <f t="shared" si="0"/>
        <v>-3.6299768312697656</v>
      </c>
      <c r="H20" s="65" t="s">
        <v>22</v>
      </c>
      <c r="I20" s="65" t="s">
        <v>22</v>
      </c>
      <c r="J20" s="65">
        <f t="shared" si="0"/>
        <v>-3.3934617300035108</v>
      </c>
      <c r="K20" s="65">
        <f t="shared" si="0"/>
        <v>-3.6360364349253493</v>
      </c>
      <c r="L20" s="65">
        <f t="shared" si="0"/>
        <v>-12.875572367567012</v>
      </c>
    </row>
    <row r="21" spans="1:12">
      <c r="A21" s="64" t="s">
        <v>2138</v>
      </c>
      <c r="B21" s="65">
        <f>((B17/B8)^(1/9)-1)*100</f>
        <v>-5.2603246964826429</v>
      </c>
      <c r="C21" s="65">
        <f t="shared" ref="C21:L21" si="1">((C17/C8)^(1/9)-1)*100</f>
        <v>-4.6254216120393039</v>
      </c>
      <c r="D21" s="65">
        <f t="shared" si="1"/>
        <v>-3.0579028558022192</v>
      </c>
      <c r="E21" s="65">
        <f t="shared" si="1"/>
        <v>-2.7588805524818127</v>
      </c>
      <c r="F21" s="65">
        <f t="shared" si="1"/>
        <v>-4.1754614358695319</v>
      </c>
      <c r="G21" s="65">
        <f t="shared" si="1"/>
        <v>-2.4978058864677855</v>
      </c>
      <c r="H21" s="65">
        <f t="shared" si="1"/>
        <v>-6.5318506120984443</v>
      </c>
      <c r="I21" s="65">
        <f t="shared" si="1"/>
        <v>-13.128642958951719</v>
      </c>
      <c r="J21" s="65">
        <f t="shared" si="1"/>
        <v>-3.4062165416752221</v>
      </c>
      <c r="K21" s="65">
        <f t="shared" si="1"/>
        <v>-3.3831253675381423</v>
      </c>
      <c r="L21" s="65">
        <f t="shared" si="1"/>
        <v>-12.429366823337118</v>
      </c>
    </row>
    <row r="22" spans="1:12">
      <c r="B22" s="65"/>
      <c r="C22" s="65"/>
      <c r="D22" s="65"/>
      <c r="E22" s="65"/>
      <c r="F22" s="65"/>
      <c r="G22" s="65"/>
      <c r="H22" s="65"/>
      <c r="I22" s="65"/>
      <c r="J22" s="65"/>
      <c r="K22" s="65"/>
      <c r="L22" s="65"/>
    </row>
    <row r="23" spans="1:12">
      <c r="A23" s="66" t="s">
        <v>1772</v>
      </c>
    </row>
    <row r="24" spans="1:12">
      <c r="A24" s="66">
        <v>2000</v>
      </c>
      <c r="C24" s="32"/>
      <c r="D24" s="32"/>
      <c r="E24" s="32"/>
      <c r="F24" s="32"/>
      <c r="G24" s="32"/>
      <c r="H24" s="32"/>
      <c r="I24" s="30" t="s">
        <v>188</v>
      </c>
      <c r="J24" s="30"/>
      <c r="K24" s="30"/>
      <c r="L24" s="30">
        <f t="shared" ref="L24:L30" si="2">L5/300</f>
        <v>90.946666666666673</v>
      </c>
    </row>
    <row r="25" spans="1:12">
      <c r="A25" s="66">
        <v>2001</v>
      </c>
      <c r="C25" s="32"/>
      <c r="D25" s="32"/>
      <c r="E25" s="32"/>
      <c r="F25" s="32"/>
      <c r="G25" s="32"/>
      <c r="H25" s="32"/>
      <c r="I25" s="30" t="s">
        <v>188</v>
      </c>
      <c r="J25" s="30"/>
      <c r="K25" s="30"/>
      <c r="L25" s="30">
        <f t="shared" si="2"/>
        <v>75.056666666666672</v>
      </c>
    </row>
    <row r="26" spans="1:12">
      <c r="A26" s="66">
        <v>2002</v>
      </c>
      <c r="C26" s="32"/>
      <c r="D26" s="32"/>
      <c r="E26" s="32"/>
      <c r="F26" s="32"/>
      <c r="G26" s="32"/>
      <c r="H26" s="32"/>
      <c r="I26" s="30" t="s">
        <v>188</v>
      </c>
      <c r="J26" s="30"/>
      <c r="K26" s="30"/>
      <c r="L26" s="30">
        <f t="shared" si="2"/>
        <v>75.343333333333334</v>
      </c>
    </row>
    <row r="27" spans="1:12">
      <c r="A27" s="66">
        <v>2003</v>
      </c>
      <c r="C27" s="32"/>
      <c r="D27" s="32"/>
      <c r="E27" s="32"/>
      <c r="F27" s="32"/>
      <c r="G27" s="32"/>
      <c r="H27" s="32"/>
      <c r="I27" s="30">
        <f>I8/500</f>
        <v>31.7</v>
      </c>
      <c r="J27" s="30"/>
      <c r="K27" s="30"/>
      <c r="L27" s="30">
        <f t="shared" si="2"/>
        <v>57.443333333333335</v>
      </c>
    </row>
    <row r="28" spans="1:12">
      <c r="A28" s="66">
        <v>2004</v>
      </c>
      <c r="C28" s="32"/>
      <c r="D28" s="32"/>
      <c r="E28" s="32"/>
      <c r="F28" s="32"/>
      <c r="G28" s="32"/>
      <c r="H28" s="32"/>
      <c r="I28" s="30">
        <f>I9/500</f>
        <v>26.988</v>
      </c>
      <c r="J28" s="30"/>
      <c r="K28" s="30"/>
      <c r="L28" s="30">
        <f t="shared" si="2"/>
        <v>49.213333333333331</v>
      </c>
    </row>
    <row r="29" spans="1:12">
      <c r="A29" s="66">
        <v>2005</v>
      </c>
      <c r="C29" s="32"/>
      <c r="D29" s="32"/>
      <c r="E29" s="32"/>
      <c r="F29" s="32"/>
      <c r="G29" s="32"/>
      <c r="H29" s="32"/>
      <c r="I29" s="30">
        <f>I10/500</f>
        <v>24.622</v>
      </c>
      <c r="J29" s="30"/>
      <c r="K29" s="30"/>
      <c r="L29" s="30">
        <f t="shared" si="2"/>
        <v>45.41</v>
      </c>
    </row>
    <row r="30" spans="1:12">
      <c r="A30" s="66">
        <v>2006</v>
      </c>
      <c r="C30" s="32"/>
      <c r="D30" s="32"/>
      <c r="E30" s="32"/>
      <c r="F30" s="32"/>
      <c r="G30" s="32"/>
      <c r="H30" s="32"/>
      <c r="I30" s="30">
        <f>I11/500</f>
        <v>20.693999999999999</v>
      </c>
      <c r="J30" s="30"/>
      <c r="K30" s="30"/>
      <c r="L30" s="30">
        <f t="shared" si="2"/>
        <v>41.493333333333332</v>
      </c>
    </row>
    <row r="31" spans="1:12">
      <c r="A31" s="66">
        <v>2007</v>
      </c>
      <c r="C31" s="32"/>
      <c r="D31" s="32"/>
      <c r="E31" s="32"/>
      <c r="F31" s="32"/>
      <c r="G31" s="32"/>
      <c r="H31" s="32"/>
      <c r="I31" s="30">
        <f>I12/500</f>
        <v>20.068000000000001</v>
      </c>
      <c r="J31" s="30"/>
      <c r="K31" s="30"/>
      <c r="L31" s="30">
        <f>L12/300</f>
        <v>39.840000000000003</v>
      </c>
    </row>
    <row r="32" spans="1:12">
      <c r="A32" s="66">
        <v>2008</v>
      </c>
      <c r="C32" s="32"/>
      <c r="D32" s="32"/>
      <c r="E32" s="32"/>
      <c r="F32" s="32"/>
      <c r="G32" s="32"/>
      <c r="H32" s="32"/>
      <c r="I32" s="30">
        <f t="shared" ref="I32:I36" si="3">I13/500</f>
        <v>15.432</v>
      </c>
      <c r="J32" s="30"/>
      <c r="K32" s="30"/>
      <c r="L32" s="30">
        <f t="shared" ref="L32:L36" si="4">L13/300</f>
        <v>29.13</v>
      </c>
    </row>
    <row r="33" spans="1:12">
      <c r="A33" s="66">
        <v>2009</v>
      </c>
      <c r="C33" s="32"/>
      <c r="D33" s="32"/>
      <c r="E33" s="32"/>
      <c r="F33" s="32"/>
      <c r="G33" s="32"/>
      <c r="H33" s="32"/>
      <c r="I33" s="30">
        <f t="shared" si="3"/>
        <v>12.423999999999999</v>
      </c>
      <c r="J33" s="30"/>
      <c r="K33" s="30"/>
      <c r="L33" s="30">
        <f t="shared" si="4"/>
        <v>23.056666666666668</v>
      </c>
    </row>
    <row r="34" spans="1:12">
      <c r="A34" s="66">
        <v>2010</v>
      </c>
      <c r="C34" s="32"/>
      <c r="D34" s="32"/>
      <c r="E34" s="32"/>
      <c r="F34" s="32"/>
      <c r="G34" s="32"/>
      <c r="H34" s="32"/>
      <c r="I34" s="30">
        <f t="shared" si="3"/>
        <v>10.257999999999999</v>
      </c>
      <c r="J34" s="30"/>
      <c r="K34" s="30"/>
      <c r="L34" s="30">
        <f t="shared" si="4"/>
        <v>18.843333333333334</v>
      </c>
    </row>
    <row r="35" spans="1:12">
      <c r="A35" s="66">
        <v>2011</v>
      </c>
      <c r="C35" s="32"/>
      <c r="D35" s="32"/>
      <c r="E35" s="32"/>
      <c r="F35" s="32"/>
      <c r="G35" s="32"/>
      <c r="H35" s="32"/>
      <c r="I35" s="30">
        <f t="shared" si="3"/>
        <v>9.0619999999999994</v>
      </c>
      <c r="J35" s="30"/>
      <c r="K35" s="30"/>
      <c r="L35" s="30">
        <f t="shared" si="4"/>
        <v>17.453333333333333</v>
      </c>
    </row>
    <row r="36" spans="1:12">
      <c r="A36" s="66">
        <v>2012</v>
      </c>
      <c r="C36" s="32"/>
      <c r="D36" s="32"/>
      <c r="E36" s="32"/>
      <c r="F36" s="32"/>
      <c r="G36" s="32"/>
      <c r="H36" s="32"/>
      <c r="I36" s="30">
        <f t="shared" si="3"/>
        <v>8.9320000000000004</v>
      </c>
      <c r="J36" s="30"/>
      <c r="K36" s="30"/>
      <c r="L36" s="30">
        <f t="shared" si="4"/>
        <v>17.396666666666668</v>
      </c>
    </row>
    <row r="37" spans="1:12">
      <c r="L37" s="32"/>
    </row>
  </sheetData>
  <mergeCells count="2">
    <mergeCell ref="B2:B3"/>
    <mergeCell ref="C2:L2"/>
  </mergeCells>
  <pageMargins left="0.7" right="0.7" top="0.75" bottom="0.75" header="0.3" footer="0.3"/>
  <pageSetup scale="96" orientation="landscape" horizontalDpi="0" verticalDpi="0" r:id="rId1"/>
</worksheet>
</file>

<file path=xl/worksheets/sheet139.xml><?xml version="1.0" encoding="utf-8"?>
<worksheet xmlns="http://schemas.openxmlformats.org/spreadsheetml/2006/main" xmlns:r="http://schemas.openxmlformats.org/officeDocument/2006/relationships">
  <sheetPr codeName="Sheet132"/>
  <dimension ref="A1:X36"/>
  <sheetViews>
    <sheetView view="pageBreakPreview" zoomScaleNormal="100" zoomScaleSheetLayoutView="100" workbookViewId="0">
      <selection activeCell="AC38" sqref="AC38"/>
    </sheetView>
  </sheetViews>
  <sheetFormatPr defaultRowHeight="15" outlineLevelRow="1" outlineLevelCol="1"/>
  <cols>
    <col min="1" max="1" width="9.5703125" style="64" customWidth="1"/>
    <col min="2" max="2" width="11.7109375" style="64" hidden="1" customWidth="1" outlineLevel="1"/>
    <col min="3" max="3" width="11.7109375" style="64" hidden="1" customWidth="1" outlineLevel="1" collapsed="1"/>
    <col min="4" max="4" width="20.42578125" style="64" customWidth="1" collapsed="1"/>
    <col min="5" max="6" width="20.42578125" style="64" customWidth="1"/>
    <col min="7" max="7" width="9.140625" style="64"/>
    <col min="8" max="11" width="35.5703125" style="64" hidden="1" customWidth="1" outlineLevel="1"/>
    <col min="12" max="15" width="9.140625" style="64" hidden="1" customWidth="1" outlineLevel="1"/>
    <col min="16" max="16" width="11.140625" style="64" hidden="1" customWidth="1" outlineLevel="1"/>
    <col min="17" max="18" width="12.7109375" style="64" hidden="1" customWidth="1" outlineLevel="1"/>
    <col min="19" max="19" width="13.5703125" style="64" hidden="1" customWidth="1" outlineLevel="1"/>
    <col min="20" max="21" width="9.140625" style="64" hidden="1" customWidth="1" outlineLevel="1"/>
    <col min="22" max="22" width="9.140625" style="64" collapsed="1"/>
    <col min="23" max="16384" width="9.140625" style="64"/>
  </cols>
  <sheetData>
    <row r="1" spans="1:24" ht="30" customHeight="1">
      <c r="A1" s="93" t="s">
        <v>2139</v>
      </c>
      <c r="B1" s="93"/>
      <c r="C1" s="93"/>
      <c r="D1" s="93"/>
      <c r="E1" s="93"/>
      <c r="F1" s="93"/>
    </row>
    <row r="2" spans="1:24" ht="45">
      <c r="A2" s="167"/>
      <c r="B2" s="72" t="s">
        <v>1308</v>
      </c>
      <c r="C2" s="72" t="s">
        <v>37</v>
      </c>
      <c r="D2" s="72" t="s">
        <v>1628</v>
      </c>
      <c r="E2" s="72" t="s">
        <v>670</v>
      </c>
      <c r="F2" s="72" t="s">
        <v>671</v>
      </c>
      <c r="G2" s="66"/>
      <c r="H2" s="117" t="s">
        <v>1308</v>
      </c>
      <c r="I2" s="117" t="s">
        <v>1626</v>
      </c>
      <c r="J2" s="117" t="s">
        <v>745</v>
      </c>
      <c r="K2" s="117" t="s">
        <v>678</v>
      </c>
      <c r="N2" s="64" t="s">
        <v>1060</v>
      </c>
      <c r="O2" s="64" t="s">
        <v>1681</v>
      </c>
      <c r="P2" s="64" t="s">
        <v>522</v>
      </c>
      <c r="Q2" s="64" t="s">
        <v>1678</v>
      </c>
      <c r="R2" s="64" t="s">
        <v>1679</v>
      </c>
      <c r="S2" s="64" t="s">
        <v>1680</v>
      </c>
    </row>
    <row r="3" spans="1:24" hidden="1" outlineLevel="1">
      <c r="A3" s="167"/>
      <c r="B3" s="64" t="s">
        <v>1622</v>
      </c>
      <c r="H3" s="64" t="s">
        <v>1622</v>
      </c>
      <c r="I3" s="64" t="s">
        <v>1623</v>
      </c>
      <c r="J3" s="64" t="s">
        <v>1624</v>
      </c>
      <c r="K3" s="64" t="s">
        <v>1625</v>
      </c>
      <c r="O3" s="64" t="s">
        <v>1682</v>
      </c>
      <c r="P3" s="64" t="s">
        <v>1674</v>
      </c>
      <c r="Q3" s="64" t="s">
        <v>1675</v>
      </c>
      <c r="R3" s="64" t="s">
        <v>1676</v>
      </c>
      <c r="S3" s="64" t="s">
        <v>1677</v>
      </c>
    </row>
    <row r="4" spans="1:24" hidden="1" outlineLevel="1">
      <c r="A4" s="49">
        <v>1988</v>
      </c>
      <c r="B4" s="32"/>
      <c r="C4" s="32"/>
      <c r="D4" s="32"/>
      <c r="N4" s="64">
        <v>1988</v>
      </c>
      <c r="O4" s="64">
        <v>107724000000</v>
      </c>
      <c r="P4" s="32">
        <v>184000000</v>
      </c>
      <c r="Q4" s="32">
        <v>972000000</v>
      </c>
      <c r="R4" s="32">
        <v>1470000000</v>
      </c>
      <c r="S4" s="32">
        <v>3338000000</v>
      </c>
      <c r="U4" s="32">
        <f>Q4/1000000</f>
        <v>972</v>
      </c>
      <c r="V4" s="32">
        <f>R4/1000000</f>
        <v>1470</v>
      </c>
      <c r="W4" s="32">
        <f>S4/1000000</f>
        <v>3338</v>
      </c>
      <c r="X4" s="32">
        <f>SUM(U4:W4)</f>
        <v>5780</v>
      </c>
    </row>
    <row r="5" spans="1:24" hidden="1" outlineLevel="1">
      <c r="A5" s="49">
        <v>1989</v>
      </c>
      <c r="B5" s="32"/>
      <c r="C5" s="32"/>
      <c r="D5" s="32"/>
      <c r="E5" s="32"/>
      <c r="F5" s="32"/>
      <c r="G5" s="32"/>
      <c r="N5" s="64">
        <v>1989</v>
      </c>
      <c r="O5" s="64">
        <v>113814000000</v>
      </c>
      <c r="P5" s="32">
        <v>185000000</v>
      </c>
      <c r="Q5" s="32">
        <v>853000000</v>
      </c>
      <c r="R5" s="32">
        <v>1565000000</v>
      </c>
      <c r="S5" s="32">
        <v>2309000000</v>
      </c>
      <c r="U5" s="32">
        <f t="shared" ref="U5:U14" si="0">Q5/1000000</f>
        <v>853</v>
      </c>
      <c r="V5" s="32">
        <f t="shared" ref="V5:V14" si="1">R5/1000000</f>
        <v>1565</v>
      </c>
      <c r="W5" s="32">
        <f t="shared" ref="W5:W14" si="2">S5/1000000</f>
        <v>2309</v>
      </c>
      <c r="X5" s="32">
        <f t="shared" ref="X5:X14" si="3">SUM(U5:W5)</f>
        <v>4727</v>
      </c>
    </row>
    <row r="6" spans="1:24" hidden="1" outlineLevel="1">
      <c r="A6" s="49">
        <v>1990</v>
      </c>
      <c r="B6" s="32"/>
      <c r="C6" s="32"/>
      <c r="D6" s="32"/>
      <c r="E6" s="32"/>
      <c r="F6" s="32"/>
      <c r="G6" s="32"/>
      <c r="N6" s="64">
        <v>1990</v>
      </c>
      <c r="O6" s="64">
        <v>102338000000</v>
      </c>
      <c r="P6" s="32">
        <v>66000000</v>
      </c>
      <c r="Q6" s="32">
        <v>401000000</v>
      </c>
      <c r="R6" s="32">
        <v>811000000</v>
      </c>
      <c r="S6" s="32">
        <v>535000000</v>
      </c>
      <c r="U6" s="32">
        <f t="shared" si="0"/>
        <v>401</v>
      </c>
      <c r="V6" s="32">
        <f t="shared" si="1"/>
        <v>811</v>
      </c>
      <c r="W6" s="32">
        <f t="shared" si="2"/>
        <v>535</v>
      </c>
      <c r="X6" s="32">
        <f t="shared" si="3"/>
        <v>1747</v>
      </c>
    </row>
    <row r="7" spans="1:24" hidden="1" outlineLevel="1">
      <c r="A7" s="49">
        <v>1991</v>
      </c>
      <c r="B7" s="32"/>
      <c r="C7" s="32"/>
      <c r="D7" s="32"/>
      <c r="E7" s="32"/>
      <c r="F7" s="32"/>
      <c r="G7" s="32"/>
      <c r="N7" s="64">
        <v>1991</v>
      </c>
      <c r="O7" s="64">
        <v>87528000000</v>
      </c>
      <c r="P7" s="32">
        <v>113000000</v>
      </c>
      <c r="Q7" s="32">
        <v>-1000000</v>
      </c>
      <c r="R7" s="32">
        <v>4000000</v>
      </c>
      <c r="S7" s="32">
        <v>-1131000000</v>
      </c>
      <c r="U7" s="32">
        <f t="shared" si="0"/>
        <v>-1</v>
      </c>
      <c r="V7" s="32">
        <f t="shared" si="1"/>
        <v>4</v>
      </c>
      <c r="W7" s="32">
        <f t="shared" si="2"/>
        <v>-1131</v>
      </c>
      <c r="X7" s="32">
        <f t="shared" si="3"/>
        <v>-1128</v>
      </c>
    </row>
    <row r="8" spans="1:24" hidden="1" outlineLevel="1">
      <c r="A8" s="49">
        <v>1992</v>
      </c>
      <c r="B8" s="32"/>
      <c r="C8" s="32"/>
      <c r="D8" s="32"/>
      <c r="E8" s="32"/>
      <c r="F8" s="32"/>
      <c r="G8" s="32"/>
      <c r="N8" s="64">
        <v>1992</v>
      </c>
      <c r="O8" s="64">
        <v>73473000000</v>
      </c>
      <c r="P8" s="32">
        <v>161000000</v>
      </c>
      <c r="Q8" s="32">
        <v>560000000</v>
      </c>
      <c r="R8" s="32">
        <v>-19000000</v>
      </c>
      <c r="S8" s="32">
        <v>-796000000</v>
      </c>
      <c r="U8" s="32">
        <f t="shared" si="0"/>
        <v>560</v>
      </c>
      <c r="V8" s="32">
        <f t="shared" si="1"/>
        <v>-19</v>
      </c>
      <c r="W8" s="32">
        <f t="shared" si="2"/>
        <v>-796</v>
      </c>
      <c r="X8" s="32">
        <f t="shared" si="3"/>
        <v>-255</v>
      </c>
    </row>
    <row r="9" spans="1:24" hidden="1" outlineLevel="1">
      <c r="A9" s="49">
        <v>1993</v>
      </c>
      <c r="B9" s="32"/>
      <c r="C9" s="32"/>
      <c r="D9" s="32"/>
      <c r="E9" s="32"/>
      <c r="F9" s="32"/>
      <c r="G9" s="32"/>
      <c r="N9" s="64">
        <v>1993</v>
      </c>
      <c r="O9" s="64">
        <v>88902000000</v>
      </c>
      <c r="P9" s="32">
        <v>208000000</v>
      </c>
      <c r="Q9" s="32">
        <v>1561000000</v>
      </c>
      <c r="R9" s="32">
        <v>1000000</v>
      </c>
      <c r="S9" s="32">
        <v>44000000</v>
      </c>
      <c r="U9" s="32">
        <f t="shared" si="0"/>
        <v>1561</v>
      </c>
      <c r="V9" s="32">
        <f t="shared" si="1"/>
        <v>1</v>
      </c>
      <c r="W9" s="32">
        <f t="shared" si="2"/>
        <v>44</v>
      </c>
      <c r="X9" s="32">
        <f t="shared" si="3"/>
        <v>1606</v>
      </c>
    </row>
    <row r="10" spans="1:24" hidden="1" outlineLevel="1">
      <c r="A10" s="49">
        <v>1994</v>
      </c>
      <c r="B10" s="32"/>
      <c r="C10" s="32"/>
      <c r="D10" s="32"/>
      <c r="E10" s="32"/>
      <c r="F10" s="32"/>
      <c r="G10" s="32"/>
      <c r="N10" s="64">
        <v>1994</v>
      </c>
      <c r="O10" s="64">
        <v>112742000000</v>
      </c>
      <c r="P10" s="32">
        <v>289000000</v>
      </c>
      <c r="Q10" s="32">
        <v>2428000000</v>
      </c>
      <c r="R10" s="32">
        <v>1107000000</v>
      </c>
      <c r="S10" s="32">
        <v>1936000000</v>
      </c>
      <c r="U10" s="32">
        <f t="shared" si="0"/>
        <v>2428</v>
      </c>
      <c r="V10" s="32">
        <f t="shared" si="1"/>
        <v>1107</v>
      </c>
      <c r="W10" s="32">
        <f t="shared" si="2"/>
        <v>1936</v>
      </c>
      <c r="X10" s="32">
        <f t="shared" si="3"/>
        <v>5471</v>
      </c>
    </row>
    <row r="11" spans="1:24" hidden="1" outlineLevel="1">
      <c r="A11" s="49">
        <v>1995</v>
      </c>
      <c r="B11" s="32"/>
      <c r="C11" s="32"/>
      <c r="D11" s="32"/>
      <c r="E11" s="32"/>
      <c r="F11" s="32"/>
      <c r="G11" s="32"/>
      <c r="N11" s="64">
        <v>1995</v>
      </c>
      <c r="O11" s="64">
        <v>137339000000</v>
      </c>
      <c r="P11" s="32">
        <v>242000000</v>
      </c>
      <c r="Q11" s="32">
        <v>2087000000</v>
      </c>
      <c r="R11" s="32">
        <v>3965000000</v>
      </c>
      <c r="S11" s="32">
        <v>4498000000</v>
      </c>
      <c r="U11" s="32">
        <f t="shared" si="0"/>
        <v>2087</v>
      </c>
      <c r="V11" s="32">
        <f t="shared" si="1"/>
        <v>3965</v>
      </c>
      <c r="W11" s="32">
        <f t="shared" si="2"/>
        <v>4498</v>
      </c>
      <c r="X11" s="32">
        <f t="shared" si="3"/>
        <v>10550</v>
      </c>
    </row>
    <row r="12" spans="1:24" hidden="1" outlineLevel="1">
      <c r="A12" s="49">
        <v>1996</v>
      </c>
      <c r="B12" s="32"/>
      <c r="C12" s="32"/>
      <c r="D12" s="32"/>
      <c r="E12" s="32"/>
      <c r="F12" s="32"/>
      <c r="G12" s="32"/>
      <c r="N12" s="64">
        <v>1996</v>
      </c>
      <c r="O12" s="64">
        <v>145483000000</v>
      </c>
      <c r="P12" s="32">
        <v>345000000</v>
      </c>
      <c r="Q12" s="32">
        <v>1387000000</v>
      </c>
      <c r="R12" s="32">
        <v>1490000000</v>
      </c>
      <c r="S12" s="32">
        <v>1338000000</v>
      </c>
      <c r="U12" s="32">
        <f t="shared" si="0"/>
        <v>1387</v>
      </c>
      <c r="V12" s="32">
        <f t="shared" si="1"/>
        <v>1490</v>
      </c>
      <c r="W12" s="32">
        <f t="shared" si="2"/>
        <v>1338</v>
      </c>
      <c r="X12" s="32">
        <f t="shared" si="3"/>
        <v>4215</v>
      </c>
    </row>
    <row r="13" spans="1:24" hidden="1" outlineLevel="1">
      <c r="A13" s="49">
        <v>1997</v>
      </c>
      <c r="B13" s="32"/>
      <c r="C13" s="32"/>
      <c r="D13" s="32"/>
      <c r="E13" s="32"/>
      <c r="F13" s="32"/>
      <c r="G13" s="32"/>
      <c r="N13" s="64">
        <v>1997</v>
      </c>
      <c r="O13" s="64">
        <v>169682000000</v>
      </c>
      <c r="P13" s="32">
        <v>242000000</v>
      </c>
      <c r="Q13" s="32">
        <v>1371000000</v>
      </c>
      <c r="R13" s="32">
        <v>1242000000</v>
      </c>
      <c r="S13" s="32">
        <v>543000000</v>
      </c>
      <c r="U13" s="32">
        <f t="shared" si="0"/>
        <v>1371</v>
      </c>
      <c r="V13" s="32">
        <f t="shared" si="1"/>
        <v>1242</v>
      </c>
      <c r="W13" s="32">
        <f t="shared" si="2"/>
        <v>543</v>
      </c>
      <c r="X13" s="32">
        <f t="shared" si="3"/>
        <v>3156</v>
      </c>
    </row>
    <row r="14" spans="1:24" hidden="1" outlineLevel="1">
      <c r="A14" s="49">
        <v>1998</v>
      </c>
      <c r="B14" s="32"/>
      <c r="C14" s="32"/>
      <c r="D14" s="32"/>
      <c r="E14" s="32"/>
      <c r="F14" s="32"/>
      <c r="G14" s="32"/>
      <c r="N14" s="64">
        <v>1998</v>
      </c>
      <c r="O14" s="64">
        <v>161597000000</v>
      </c>
      <c r="P14" s="32">
        <v>437000000</v>
      </c>
      <c r="Q14" s="32">
        <v>1193000000</v>
      </c>
      <c r="R14" s="32">
        <v>1992000000</v>
      </c>
      <c r="S14" s="32">
        <v>847000000</v>
      </c>
      <c r="U14" s="32">
        <f t="shared" si="0"/>
        <v>1193</v>
      </c>
      <c r="V14" s="32">
        <f t="shared" si="1"/>
        <v>1992</v>
      </c>
      <c r="W14" s="32">
        <f t="shared" si="2"/>
        <v>847</v>
      </c>
      <c r="X14" s="32">
        <f t="shared" si="3"/>
        <v>4032</v>
      </c>
    </row>
    <row r="15" spans="1:24" hidden="1" outlineLevel="1" collapsed="1">
      <c r="A15" s="49">
        <v>1999</v>
      </c>
      <c r="B15" s="32">
        <v>160090</v>
      </c>
      <c r="C15" s="32">
        <f>SUM(D15:F15)</f>
        <v>6786</v>
      </c>
      <c r="D15" s="56">
        <v>541</v>
      </c>
      <c r="E15" s="56">
        <v>2913</v>
      </c>
      <c r="F15" s="56">
        <v>3332</v>
      </c>
      <c r="H15" s="64">
        <v>160090000000</v>
      </c>
      <c r="I15" s="64">
        <v>541000000</v>
      </c>
      <c r="J15" s="64">
        <v>2913000000</v>
      </c>
      <c r="K15" s="64">
        <v>3332000000</v>
      </c>
    </row>
    <row r="16" spans="1:24" collapsed="1">
      <c r="A16" s="49">
        <v>2000</v>
      </c>
      <c r="B16" s="32">
        <v>191182</v>
      </c>
      <c r="C16" s="32">
        <f t="shared" ref="C16:C27" si="4">SUM(D16:F16)</f>
        <v>8087</v>
      </c>
      <c r="D16" s="56">
        <v>476</v>
      </c>
      <c r="E16" s="56">
        <v>2531</v>
      </c>
      <c r="F16" s="56">
        <v>5080</v>
      </c>
      <c r="H16" s="64">
        <v>191182000000</v>
      </c>
      <c r="I16" s="64">
        <v>476000000</v>
      </c>
      <c r="J16" s="64">
        <v>2531000000</v>
      </c>
      <c r="K16" s="64">
        <v>5080000000</v>
      </c>
    </row>
    <row r="17" spans="1:11">
      <c r="A17" s="49">
        <v>2001</v>
      </c>
      <c r="B17" s="32">
        <v>172496</v>
      </c>
      <c r="C17" s="32">
        <f t="shared" si="4"/>
        <v>5674</v>
      </c>
      <c r="D17" s="56">
        <v>437</v>
      </c>
      <c r="E17" s="56">
        <v>1460</v>
      </c>
      <c r="F17" s="56">
        <v>3777</v>
      </c>
      <c r="H17" s="64">
        <v>172496000000</v>
      </c>
      <c r="I17" s="64">
        <v>437000000</v>
      </c>
      <c r="J17" s="64">
        <v>1460000000</v>
      </c>
      <c r="K17" s="64">
        <v>3777000000</v>
      </c>
    </row>
    <row r="18" spans="1:11">
      <c r="A18" s="49">
        <v>2002</v>
      </c>
      <c r="B18" s="32">
        <v>170488</v>
      </c>
      <c r="C18" s="32">
        <f t="shared" si="4"/>
        <v>4777</v>
      </c>
      <c r="D18" s="56">
        <v>436</v>
      </c>
      <c r="E18" s="56">
        <v>1922</v>
      </c>
      <c r="F18" s="56">
        <v>2419</v>
      </c>
      <c r="H18" s="64">
        <v>170488000000</v>
      </c>
      <c r="I18" s="64">
        <v>436000000</v>
      </c>
      <c r="J18" s="64">
        <v>1922000000</v>
      </c>
      <c r="K18" s="64">
        <v>2419000000</v>
      </c>
    </row>
    <row r="19" spans="1:11">
      <c r="A19" s="49">
        <v>2003</v>
      </c>
      <c r="B19" s="32">
        <v>189549</v>
      </c>
      <c r="C19" s="32">
        <f t="shared" si="4"/>
        <v>2828</v>
      </c>
      <c r="D19" s="56">
        <v>298</v>
      </c>
      <c r="E19" s="56">
        <v>1326</v>
      </c>
      <c r="F19" s="56">
        <v>1204</v>
      </c>
      <c r="H19" s="64">
        <v>189549000000</v>
      </c>
      <c r="I19" s="64">
        <v>298000000</v>
      </c>
      <c r="J19" s="64">
        <v>1326000000</v>
      </c>
      <c r="K19" s="64">
        <v>1204000000</v>
      </c>
    </row>
    <row r="20" spans="1:11">
      <c r="A20" s="49">
        <v>2004</v>
      </c>
      <c r="B20" s="32">
        <v>224185</v>
      </c>
      <c r="C20" s="32">
        <f t="shared" si="4"/>
        <v>6830</v>
      </c>
      <c r="D20" s="56">
        <v>486</v>
      </c>
      <c r="E20" s="56">
        <v>4968</v>
      </c>
      <c r="F20" s="56">
        <v>1376</v>
      </c>
      <c r="H20" s="64">
        <v>224185000000</v>
      </c>
      <c r="I20" s="64">
        <v>486000000</v>
      </c>
      <c r="J20" s="64">
        <v>4968000000</v>
      </c>
      <c r="K20" s="64">
        <v>1376000000</v>
      </c>
    </row>
    <row r="21" spans="1:11">
      <c r="A21" s="49">
        <v>2005</v>
      </c>
      <c r="B21" s="32">
        <v>256042</v>
      </c>
      <c r="C21" s="32">
        <f t="shared" si="4"/>
        <v>3422</v>
      </c>
      <c r="D21" s="56">
        <v>446</v>
      </c>
      <c r="E21" s="56">
        <v>2533</v>
      </c>
      <c r="F21" s="56">
        <v>443</v>
      </c>
      <c r="H21" s="64">
        <v>256042000000</v>
      </c>
      <c r="I21" s="64">
        <v>446000000</v>
      </c>
      <c r="J21" s="64">
        <v>2533000000</v>
      </c>
      <c r="K21" s="64">
        <v>443000000</v>
      </c>
    </row>
    <row r="22" spans="1:11">
      <c r="A22" s="49">
        <v>2006</v>
      </c>
      <c r="B22" s="32">
        <v>287834</v>
      </c>
      <c r="C22" s="32">
        <f t="shared" si="4"/>
        <v>2385</v>
      </c>
      <c r="D22" s="56">
        <v>451</v>
      </c>
      <c r="E22" s="56">
        <v>997</v>
      </c>
      <c r="F22" s="56">
        <v>937</v>
      </c>
      <c r="H22" s="64">
        <v>285577000000</v>
      </c>
      <c r="I22" s="64">
        <v>488000000</v>
      </c>
      <c r="J22" s="64">
        <v>960000000</v>
      </c>
      <c r="K22" s="64">
        <v>931000000</v>
      </c>
    </row>
    <row r="23" spans="1:11">
      <c r="A23" s="49">
        <v>2007</v>
      </c>
      <c r="B23" s="32">
        <v>302960</v>
      </c>
      <c r="C23" s="32">
        <f>SUM(D23:F23)</f>
        <v>536</v>
      </c>
      <c r="D23" s="56">
        <v>316</v>
      </c>
      <c r="E23" s="56">
        <v>-90</v>
      </c>
      <c r="F23" s="56">
        <v>310</v>
      </c>
    </row>
    <row r="24" spans="1:11">
      <c r="A24" s="49">
        <v>2008</v>
      </c>
      <c r="B24" s="32">
        <v>311893</v>
      </c>
      <c r="C24" s="32">
        <f t="shared" si="4"/>
        <v>-706</v>
      </c>
      <c r="D24" s="56">
        <v>159</v>
      </c>
      <c r="E24" s="56">
        <v>-487</v>
      </c>
      <c r="F24" s="56">
        <v>-378</v>
      </c>
    </row>
    <row r="25" spans="1:11">
      <c r="A25" s="49">
        <v>2009</v>
      </c>
      <c r="B25" s="32">
        <v>233580</v>
      </c>
      <c r="C25" s="32">
        <f t="shared" si="4"/>
        <v>-186</v>
      </c>
      <c r="D25" s="56">
        <v>77</v>
      </c>
      <c r="E25" s="56">
        <v>-678</v>
      </c>
      <c r="F25" s="56">
        <v>415</v>
      </c>
    </row>
    <row r="26" spans="1:11">
      <c r="A26" s="49">
        <v>2010</v>
      </c>
      <c r="B26" s="32">
        <v>299229</v>
      </c>
      <c r="C26" s="32">
        <f t="shared" si="4"/>
        <v>2442</v>
      </c>
      <c r="D26" s="56">
        <v>282</v>
      </c>
      <c r="E26" s="56">
        <v>1005</v>
      </c>
      <c r="F26" s="56">
        <v>1155</v>
      </c>
    </row>
    <row r="27" spans="1:11">
      <c r="A27" s="49">
        <v>2011</v>
      </c>
      <c r="B27" s="32">
        <v>342663</v>
      </c>
      <c r="C27" s="32">
        <f t="shared" si="4"/>
        <v>1586</v>
      </c>
      <c r="D27" s="56">
        <v>394</v>
      </c>
      <c r="E27" s="56">
        <v>344</v>
      </c>
      <c r="F27" s="56">
        <v>848</v>
      </c>
    </row>
    <row r="28" spans="1:11">
      <c r="A28" s="49"/>
      <c r="B28" s="32"/>
      <c r="C28" s="32"/>
      <c r="D28" s="32"/>
      <c r="E28" s="32"/>
      <c r="F28" s="32"/>
    </row>
    <row r="29" spans="1:11">
      <c r="A29" s="49" t="s">
        <v>23</v>
      </c>
      <c r="B29" s="32"/>
      <c r="C29" s="32"/>
      <c r="D29" s="32"/>
      <c r="E29" s="32"/>
      <c r="F29" s="32"/>
    </row>
    <row r="30" spans="1:11">
      <c r="A30" s="49" t="s">
        <v>1782</v>
      </c>
      <c r="B30" s="32"/>
      <c r="C30" s="32"/>
      <c r="D30" s="50">
        <f>((D27/D16)^(1/11)-1)*100</f>
        <v>-1.7041034724135318</v>
      </c>
      <c r="E30" s="50">
        <f t="shared" ref="E30:F30" si="5">((E27/E16)^(1/11)-1)*100</f>
        <v>-16.592322754865961</v>
      </c>
      <c r="F30" s="50">
        <f t="shared" si="5"/>
        <v>-15.019143555385284</v>
      </c>
    </row>
    <row r="31" spans="1:11">
      <c r="A31" s="167"/>
    </row>
    <row r="32" spans="1:11">
      <c r="A32" s="168" t="s">
        <v>1683</v>
      </c>
      <c r="B32" s="168"/>
      <c r="C32" s="168"/>
      <c r="D32" s="168"/>
      <c r="E32" s="168"/>
      <c r="F32" s="168"/>
    </row>
    <row r="33" spans="1:6">
      <c r="A33" s="168" t="s">
        <v>666</v>
      </c>
      <c r="B33" s="168"/>
      <c r="C33" s="168"/>
      <c r="D33" s="168"/>
      <c r="E33" s="168"/>
      <c r="F33" s="168"/>
    </row>
    <row r="34" spans="1:6" ht="30" customHeight="1">
      <c r="A34" s="169" t="s">
        <v>1627</v>
      </c>
      <c r="B34" s="169"/>
      <c r="C34" s="169"/>
      <c r="D34" s="169"/>
      <c r="E34" s="169"/>
      <c r="F34" s="169"/>
    </row>
    <row r="35" spans="1:6">
      <c r="A35" s="170"/>
    </row>
    <row r="36" spans="1:6">
      <c r="A36" s="170"/>
    </row>
  </sheetData>
  <mergeCells count="4">
    <mergeCell ref="A1:F1"/>
    <mergeCell ref="A32:F32"/>
    <mergeCell ref="A33:F33"/>
    <mergeCell ref="A34:F34"/>
  </mergeCells>
  <pageMargins left="0.7" right="0.7" top="0.75" bottom="0.75" header="0.3" footer="0.3"/>
  <pageSetup orientation="portrait" horizontalDpi="0" verticalDpi="0" r:id="rId1"/>
</worksheet>
</file>

<file path=xl/worksheets/sheet14.xml><?xml version="1.0" encoding="utf-8"?>
<worksheet xmlns="http://schemas.openxmlformats.org/spreadsheetml/2006/main" xmlns:r="http://schemas.openxmlformats.org/officeDocument/2006/relationships">
  <sheetPr codeName="Sheet14"/>
  <dimension ref="A1:P51"/>
  <sheetViews>
    <sheetView view="pageBreakPreview" zoomScale="85" zoomScaleNormal="100"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1.7109375" style="64" customWidth="1"/>
    <col min="2" max="2" width="14.140625" style="64" customWidth="1"/>
    <col min="3" max="3" width="13.140625" style="64" customWidth="1"/>
    <col min="4" max="5" width="12.28515625" style="64" bestFit="1" customWidth="1"/>
    <col min="6" max="6" width="12.7109375" style="64" customWidth="1"/>
    <col min="7" max="7" width="11.140625" style="64" customWidth="1"/>
    <col min="8" max="8" width="11.28515625" style="64" customWidth="1"/>
    <col min="9" max="9" width="15.7109375" style="64" customWidth="1"/>
    <col min="10" max="10" width="15.140625" style="64" customWidth="1"/>
    <col min="11" max="11" width="16.7109375" style="64" customWidth="1"/>
    <col min="12" max="13" width="16.140625" style="64" customWidth="1"/>
    <col min="14" max="16384" width="9.140625" style="64"/>
  </cols>
  <sheetData>
    <row r="1" spans="1:16">
      <c r="A1" s="108" t="s">
        <v>1841</v>
      </c>
      <c r="B1" s="108"/>
      <c r="C1" s="108"/>
      <c r="D1" s="108"/>
      <c r="E1" s="108"/>
      <c r="F1" s="108"/>
      <c r="G1" s="108"/>
      <c r="H1" s="108"/>
      <c r="I1" s="108"/>
      <c r="J1" s="108"/>
      <c r="K1" s="108"/>
      <c r="L1" s="108"/>
      <c r="M1" s="108"/>
    </row>
    <row r="2" spans="1:16" ht="15" customHeight="1">
      <c r="B2" s="94" t="s">
        <v>1183</v>
      </c>
      <c r="C2" s="94" t="s">
        <v>1184</v>
      </c>
      <c r="D2" s="94"/>
      <c r="E2" s="94"/>
      <c r="F2" s="94"/>
      <c r="G2" s="94"/>
      <c r="H2" s="94"/>
      <c r="I2" s="94" t="s">
        <v>1055</v>
      </c>
      <c r="J2" s="94"/>
      <c r="K2" s="94"/>
      <c r="L2" s="94"/>
      <c r="M2" s="94"/>
    </row>
    <row r="3" spans="1:16" ht="75">
      <c r="B3" s="94"/>
      <c r="C3" s="72" t="s">
        <v>1184</v>
      </c>
      <c r="D3" s="73" t="s">
        <v>1185</v>
      </c>
      <c r="E3" s="73" t="s">
        <v>1186</v>
      </c>
      <c r="F3" s="73" t="s">
        <v>1187</v>
      </c>
      <c r="G3" s="73" t="s">
        <v>1188</v>
      </c>
      <c r="H3" s="73" t="s">
        <v>1189</v>
      </c>
      <c r="I3" s="72" t="s">
        <v>1190</v>
      </c>
      <c r="J3" s="73" t="s">
        <v>1191</v>
      </c>
      <c r="K3" s="73" t="s">
        <v>1192</v>
      </c>
      <c r="L3" s="73" t="s">
        <v>871</v>
      </c>
      <c r="M3" s="73" t="s">
        <v>872</v>
      </c>
    </row>
    <row r="4" spans="1:16" hidden="1" outlineLevel="1"/>
    <row r="5" spans="1:16" collapsed="1">
      <c r="A5" s="66">
        <v>1992</v>
      </c>
      <c r="B5" s="29">
        <v>76.3</v>
      </c>
      <c r="C5" s="29">
        <v>77.8</v>
      </c>
      <c r="D5" s="29">
        <v>83.9</v>
      </c>
      <c r="E5" s="29">
        <v>76</v>
      </c>
      <c r="F5" s="29">
        <v>71.8</v>
      </c>
      <c r="G5" s="29">
        <v>78.599999999999994</v>
      </c>
      <c r="H5" s="29">
        <v>73.7</v>
      </c>
      <c r="I5" s="29">
        <v>71.5</v>
      </c>
      <c r="J5" s="29">
        <v>69.3</v>
      </c>
      <c r="K5" s="29">
        <v>75.400000000000006</v>
      </c>
      <c r="L5" s="29">
        <v>60.9</v>
      </c>
      <c r="M5" s="29">
        <v>83.4</v>
      </c>
      <c r="P5" s="139"/>
    </row>
    <row r="6" spans="1:16">
      <c r="A6" s="66">
        <v>1993</v>
      </c>
      <c r="B6" s="29">
        <v>73.900000000000006</v>
      </c>
      <c r="C6" s="29">
        <v>74.8</v>
      </c>
      <c r="D6" s="29">
        <v>72.3</v>
      </c>
      <c r="E6" s="29">
        <v>76.400000000000006</v>
      </c>
      <c r="F6" s="29">
        <v>71.099999999999994</v>
      </c>
      <c r="G6" s="29">
        <v>79.599999999999994</v>
      </c>
      <c r="H6" s="29">
        <v>71</v>
      </c>
      <c r="I6" s="29">
        <v>71.099999999999994</v>
      </c>
      <c r="J6" s="29">
        <v>68.900000000000006</v>
      </c>
      <c r="K6" s="29">
        <v>74.599999999999994</v>
      </c>
      <c r="L6" s="29">
        <v>62.4</v>
      </c>
      <c r="M6" s="29">
        <v>81.900000000000006</v>
      </c>
      <c r="P6" s="139"/>
    </row>
    <row r="7" spans="1:16">
      <c r="A7" s="66">
        <v>1994</v>
      </c>
      <c r="B7" s="29">
        <v>82.1</v>
      </c>
      <c r="C7" s="29">
        <v>84.4</v>
      </c>
      <c r="D7" s="29">
        <v>94.4</v>
      </c>
      <c r="E7" s="29">
        <v>81</v>
      </c>
      <c r="F7" s="29">
        <v>74.900000000000006</v>
      </c>
      <c r="G7" s="29">
        <v>84.7</v>
      </c>
      <c r="H7" s="29">
        <v>80</v>
      </c>
      <c r="I7" s="29">
        <v>74.599999999999994</v>
      </c>
      <c r="J7" s="29">
        <v>73.5</v>
      </c>
      <c r="K7" s="29">
        <v>76.7</v>
      </c>
      <c r="L7" s="29">
        <v>66.8</v>
      </c>
      <c r="M7" s="29">
        <v>81.8</v>
      </c>
      <c r="P7" s="139"/>
    </row>
    <row r="8" spans="1:16">
      <c r="A8" s="66">
        <v>1995</v>
      </c>
      <c r="B8" s="29">
        <v>114.4</v>
      </c>
      <c r="C8" s="29">
        <v>123.1</v>
      </c>
      <c r="D8" s="29">
        <v>152.9</v>
      </c>
      <c r="E8" s="29">
        <v>112.2</v>
      </c>
      <c r="F8" s="29">
        <v>102.5</v>
      </c>
      <c r="G8" s="29">
        <v>118</v>
      </c>
      <c r="H8" s="29">
        <v>114.6</v>
      </c>
      <c r="I8" s="29">
        <v>86.8</v>
      </c>
      <c r="J8" s="29">
        <v>85.9</v>
      </c>
      <c r="K8" s="29">
        <v>87.7</v>
      </c>
      <c r="L8" s="29">
        <v>94.1</v>
      </c>
      <c r="M8" s="29">
        <v>85.7</v>
      </c>
      <c r="P8" s="139"/>
    </row>
    <row r="9" spans="1:16">
      <c r="A9" s="66">
        <v>1996</v>
      </c>
      <c r="B9" s="29">
        <v>100.4</v>
      </c>
      <c r="C9" s="29">
        <v>105.7</v>
      </c>
      <c r="D9" s="29">
        <v>105.8</v>
      </c>
      <c r="E9" s="29">
        <v>107.5</v>
      </c>
      <c r="F9" s="29">
        <v>94.3</v>
      </c>
      <c r="G9" s="29">
        <v>115.6</v>
      </c>
      <c r="H9" s="29">
        <v>93.9</v>
      </c>
      <c r="I9" s="29">
        <v>83.8</v>
      </c>
      <c r="J9" s="29">
        <v>80</v>
      </c>
      <c r="K9" s="29">
        <v>89.9</v>
      </c>
      <c r="L9" s="29">
        <v>92.7</v>
      </c>
      <c r="M9" s="29">
        <v>86.2</v>
      </c>
      <c r="P9" s="139"/>
    </row>
    <row r="10" spans="1:16">
      <c r="A10" s="66">
        <v>1997</v>
      </c>
      <c r="B10" s="29">
        <v>94.6</v>
      </c>
      <c r="C10" s="29">
        <v>98.3</v>
      </c>
      <c r="D10" s="29">
        <v>101.7</v>
      </c>
      <c r="E10" s="29">
        <v>99.3</v>
      </c>
      <c r="F10" s="29">
        <v>92.7</v>
      </c>
      <c r="G10" s="29">
        <v>103.3</v>
      </c>
      <c r="H10" s="29">
        <v>83.2</v>
      </c>
      <c r="I10" s="29">
        <v>83.1</v>
      </c>
      <c r="J10" s="29">
        <v>79.2</v>
      </c>
      <c r="K10" s="29">
        <v>90.4</v>
      </c>
      <c r="L10" s="29">
        <v>88.6</v>
      </c>
      <c r="M10" s="29">
        <v>85.8</v>
      </c>
      <c r="P10" s="139"/>
    </row>
    <row r="11" spans="1:16">
      <c r="A11" s="66">
        <v>1998</v>
      </c>
      <c r="B11" s="29">
        <v>98.2</v>
      </c>
      <c r="C11" s="29">
        <v>102.1</v>
      </c>
      <c r="D11" s="29">
        <v>99.9</v>
      </c>
      <c r="E11" s="29">
        <v>105.3</v>
      </c>
      <c r="F11" s="29">
        <v>93.7</v>
      </c>
      <c r="G11" s="29">
        <v>112.2</v>
      </c>
      <c r="H11" s="29">
        <v>88</v>
      </c>
      <c r="I11" s="29">
        <v>85.8</v>
      </c>
      <c r="J11" s="29">
        <v>83.4</v>
      </c>
      <c r="K11" s="29">
        <v>91.6</v>
      </c>
      <c r="L11" s="29">
        <v>88.3</v>
      </c>
      <c r="M11" s="29">
        <v>85.2</v>
      </c>
      <c r="P11" s="139"/>
    </row>
    <row r="12" spans="1:16">
      <c r="A12" s="66">
        <v>1999</v>
      </c>
      <c r="B12" s="29">
        <v>96.4</v>
      </c>
      <c r="C12" s="29">
        <v>98.5</v>
      </c>
      <c r="D12" s="29">
        <v>101.1</v>
      </c>
      <c r="E12" s="29">
        <v>98.7</v>
      </c>
      <c r="F12" s="29">
        <v>94</v>
      </c>
      <c r="G12" s="29">
        <v>101.5</v>
      </c>
      <c r="H12" s="29">
        <v>90.4</v>
      </c>
      <c r="I12" s="29">
        <v>89.8</v>
      </c>
      <c r="J12" s="29">
        <v>89.5</v>
      </c>
      <c r="K12" s="29">
        <v>92.4</v>
      </c>
      <c r="L12" s="29">
        <v>89</v>
      </c>
      <c r="M12" s="29">
        <v>86.1</v>
      </c>
      <c r="P12" s="139"/>
    </row>
    <row r="13" spans="1:16">
      <c r="A13" s="66">
        <v>2000</v>
      </c>
      <c r="B13" s="29">
        <v>109.2</v>
      </c>
      <c r="C13" s="29">
        <v>113</v>
      </c>
      <c r="D13" s="29">
        <v>128</v>
      </c>
      <c r="E13" s="29">
        <v>108</v>
      </c>
      <c r="F13" s="29">
        <v>102.5</v>
      </c>
      <c r="G13" s="29">
        <v>111.2</v>
      </c>
      <c r="H13" s="29">
        <v>105.5</v>
      </c>
      <c r="I13" s="29">
        <v>97.4</v>
      </c>
      <c r="J13" s="29">
        <v>98.8</v>
      </c>
      <c r="K13" s="29">
        <v>97</v>
      </c>
      <c r="L13" s="29">
        <v>94.2</v>
      </c>
      <c r="M13" s="29">
        <v>90.9</v>
      </c>
      <c r="P13" s="139"/>
    </row>
    <row r="14" spans="1:16">
      <c r="A14" s="66">
        <v>2001</v>
      </c>
      <c r="B14" s="29">
        <v>108.8</v>
      </c>
      <c r="C14" s="29">
        <v>111.6</v>
      </c>
      <c r="D14" s="29">
        <v>108.8</v>
      </c>
      <c r="E14" s="29">
        <v>114.2</v>
      </c>
      <c r="F14" s="29">
        <v>102.9</v>
      </c>
      <c r="G14" s="29">
        <v>121.1</v>
      </c>
      <c r="H14" s="29">
        <v>102.3</v>
      </c>
      <c r="I14" s="29">
        <v>100.2</v>
      </c>
      <c r="J14" s="29">
        <v>100.2</v>
      </c>
      <c r="K14" s="29">
        <v>100.2</v>
      </c>
      <c r="L14" s="29">
        <v>99.2</v>
      </c>
      <c r="M14" s="29">
        <v>101</v>
      </c>
      <c r="P14" s="139"/>
    </row>
    <row r="15" spans="1:16">
      <c r="A15" s="66">
        <v>2002</v>
      </c>
      <c r="B15" s="29">
        <v>100</v>
      </c>
      <c r="C15" s="29">
        <v>100</v>
      </c>
      <c r="D15" s="29">
        <v>100</v>
      </c>
      <c r="E15" s="29">
        <v>100</v>
      </c>
      <c r="F15" s="29">
        <v>100</v>
      </c>
      <c r="G15" s="29">
        <v>100</v>
      </c>
      <c r="H15" s="29">
        <v>100</v>
      </c>
      <c r="I15" s="29">
        <v>100</v>
      </c>
      <c r="J15" s="29">
        <v>100</v>
      </c>
      <c r="K15" s="29">
        <v>100</v>
      </c>
      <c r="L15" s="29">
        <v>100</v>
      </c>
      <c r="M15" s="29">
        <v>100</v>
      </c>
      <c r="P15" s="139"/>
    </row>
    <row r="16" spans="1:16">
      <c r="A16" s="66">
        <v>2003</v>
      </c>
      <c r="B16" s="29">
        <v>97</v>
      </c>
      <c r="C16" s="29">
        <v>96</v>
      </c>
      <c r="D16" s="29">
        <v>101</v>
      </c>
      <c r="E16" s="29">
        <v>93.4</v>
      </c>
      <c r="F16" s="29">
        <v>91.7</v>
      </c>
      <c r="G16" s="29">
        <v>94.5</v>
      </c>
      <c r="H16" s="29">
        <v>97.9</v>
      </c>
      <c r="I16" s="29">
        <v>99.4</v>
      </c>
      <c r="J16" s="29">
        <v>99.2</v>
      </c>
      <c r="K16" s="29">
        <v>100.1</v>
      </c>
      <c r="L16" s="29">
        <v>101.5</v>
      </c>
      <c r="M16" s="29">
        <v>98.3</v>
      </c>
      <c r="P16" s="139"/>
    </row>
    <row r="17" spans="1:16">
      <c r="A17" s="66">
        <v>2004</v>
      </c>
      <c r="B17" s="29">
        <v>98</v>
      </c>
      <c r="C17" s="29">
        <v>97.1</v>
      </c>
      <c r="D17" s="29">
        <v>105.7</v>
      </c>
      <c r="E17" s="29">
        <v>92.8</v>
      </c>
      <c r="F17" s="29">
        <v>89.2</v>
      </c>
      <c r="G17" s="29">
        <v>95.1</v>
      </c>
      <c r="H17" s="29">
        <v>99.3</v>
      </c>
      <c r="I17" s="29">
        <v>100.4</v>
      </c>
      <c r="J17" s="29">
        <v>101.1</v>
      </c>
      <c r="K17" s="29">
        <v>100.2</v>
      </c>
      <c r="L17" s="29">
        <v>101.4</v>
      </c>
      <c r="M17" s="29">
        <v>98.1</v>
      </c>
      <c r="P17" s="139"/>
    </row>
    <row r="18" spans="1:16">
      <c r="A18" s="66">
        <v>2005</v>
      </c>
      <c r="B18" s="29">
        <v>97.2</v>
      </c>
      <c r="C18" s="29">
        <v>95.4</v>
      </c>
      <c r="D18" s="29">
        <v>99.2</v>
      </c>
      <c r="E18" s="29">
        <v>93.1</v>
      </c>
      <c r="F18" s="29">
        <v>88</v>
      </c>
      <c r="G18" s="29">
        <v>96.4</v>
      </c>
      <c r="H18" s="29">
        <v>98.6</v>
      </c>
      <c r="I18" s="29">
        <v>101.8</v>
      </c>
      <c r="J18" s="29">
        <v>103.2</v>
      </c>
      <c r="K18" s="29">
        <v>100.7</v>
      </c>
      <c r="L18" s="29">
        <v>103.4</v>
      </c>
      <c r="M18" s="29">
        <v>98.8</v>
      </c>
      <c r="P18" s="139"/>
    </row>
    <row r="19" spans="1:16">
      <c r="A19" s="66">
        <v>2006</v>
      </c>
      <c r="B19" s="29">
        <v>98.6</v>
      </c>
      <c r="C19" s="29">
        <v>96.7</v>
      </c>
      <c r="D19" s="29">
        <v>100.1</v>
      </c>
      <c r="E19" s="29">
        <v>94.4</v>
      </c>
      <c r="F19" s="29">
        <v>89.6</v>
      </c>
      <c r="G19" s="29">
        <v>97.4</v>
      </c>
      <c r="H19" s="29">
        <v>101.3</v>
      </c>
      <c r="I19" s="29">
        <v>103.1</v>
      </c>
      <c r="J19" s="29">
        <v>104.9</v>
      </c>
      <c r="K19" s="29">
        <v>101.5</v>
      </c>
      <c r="L19" s="29">
        <v>108.9</v>
      </c>
      <c r="M19" s="29">
        <v>98.5</v>
      </c>
      <c r="P19" s="139"/>
    </row>
    <row r="20" spans="1:16">
      <c r="A20" s="66">
        <v>2007</v>
      </c>
      <c r="B20" s="29">
        <v>97.7</v>
      </c>
      <c r="C20" s="29">
        <v>95</v>
      </c>
      <c r="D20" s="29">
        <v>106.2</v>
      </c>
      <c r="E20" s="29">
        <v>88.8</v>
      </c>
      <c r="F20" s="29">
        <v>88</v>
      </c>
      <c r="G20" s="29">
        <v>89.3</v>
      </c>
      <c r="H20" s="29">
        <v>102.7</v>
      </c>
      <c r="I20" s="29">
        <v>104.1</v>
      </c>
      <c r="J20" s="29">
        <v>106.9</v>
      </c>
      <c r="K20" s="29">
        <v>100.8</v>
      </c>
      <c r="L20" s="29">
        <v>111.5</v>
      </c>
      <c r="M20" s="29">
        <v>98.7</v>
      </c>
      <c r="P20" s="139"/>
    </row>
    <row r="21" spans="1:16">
      <c r="A21" s="66">
        <v>2008</v>
      </c>
      <c r="B21" s="29">
        <v>101.6</v>
      </c>
      <c r="C21" s="29">
        <v>100</v>
      </c>
      <c r="D21" s="29">
        <v>109.5</v>
      </c>
      <c r="E21" s="29">
        <v>95</v>
      </c>
      <c r="F21" s="29">
        <v>93</v>
      </c>
      <c r="G21" s="29">
        <v>96.2</v>
      </c>
      <c r="H21" s="29">
        <v>104.1</v>
      </c>
      <c r="I21" s="29">
        <v>105.7</v>
      </c>
      <c r="J21" s="29">
        <v>109.3</v>
      </c>
      <c r="K21" s="29">
        <v>102.6</v>
      </c>
      <c r="L21" s="29">
        <v>111.6</v>
      </c>
      <c r="M21" s="29">
        <v>98.6</v>
      </c>
      <c r="P21" s="139"/>
    </row>
    <row r="22" spans="1:16">
      <c r="A22" s="66">
        <v>2009</v>
      </c>
      <c r="B22" s="29">
        <v>101.6</v>
      </c>
      <c r="C22" s="29">
        <v>99.7</v>
      </c>
      <c r="D22" s="29">
        <v>102</v>
      </c>
      <c r="E22" s="29">
        <v>97.9</v>
      </c>
      <c r="F22" s="29">
        <v>96.4</v>
      </c>
      <c r="G22" s="29">
        <v>98.8</v>
      </c>
      <c r="H22" s="29">
        <v>104.8</v>
      </c>
      <c r="I22" s="29">
        <v>106.1</v>
      </c>
      <c r="J22" s="29">
        <v>109</v>
      </c>
      <c r="K22" s="29">
        <v>104.2</v>
      </c>
      <c r="L22" s="29">
        <v>111.5</v>
      </c>
      <c r="M22" s="29">
        <v>99.2</v>
      </c>
      <c r="P22" s="139"/>
    </row>
    <row r="23" spans="1:16">
      <c r="A23" s="66">
        <v>2010</v>
      </c>
      <c r="B23" s="29">
        <v>99.7</v>
      </c>
      <c r="C23" s="29">
        <v>97.2</v>
      </c>
      <c r="D23" s="29">
        <v>108.7</v>
      </c>
      <c r="E23" s="29">
        <v>91</v>
      </c>
      <c r="F23" s="29">
        <v>91.5</v>
      </c>
      <c r="G23" s="29">
        <v>90.6</v>
      </c>
      <c r="H23" s="29">
        <v>103.1</v>
      </c>
      <c r="I23" s="29">
        <v>105.9</v>
      </c>
      <c r="J23" s="29">
        <v>110</v>
      </c>
      <c r="K23" s="29">
        <v>101.6</v>
      </c>
      <c r="L23" s="29">
        <v>112</v>
      </c>
      <c r="M23" s="29">
        <v>99.3</v>
      </c>
      <c r="P23" s="139"/>
    </row>
    <row r="24" spans="1:16">
      <c r="A24" s="66">
        <v>2011</v>
      </c>
      <c r="B24" s="29">
        <v>99.2</v>
      </c>
      <c r="C24" s="29">
        <v>96.2</v>
      </c>
      <c r="D24" s="29">
        <v>106.5</v>
      </c>
      <c r="E24" s="29">
        <v>90.6</v>
      </c>
      <c r="F24" s="29">
        <v>91</v>
      </c>
      <c r="G24" s="29">
        <v>90.4</v>
      </c>
      <c r="H24" s="29">
        <v>102.6</v>
      </c>
      <c r="I24" s="29">
        <v>106.3</v>
      </c>
      <c r="J24" s="29">
        <v>110.7</v>
      </c>
      <c r="K24" s="29">
        <v>101.8</v>
      </c>
      <c r="L24" s="29">
        <v>111.5</v>
      </c>
      <c r="M24" s="29">
        <v>99.1</v>
      </c>
      <c r="P24" s="139"/>
    </row>
    <row r="25" spans="1:16">
      <c r="A25" s="66">
        <v>2012</v>
      </c>
      <c r="B25" s="29">
        <v>98.4</v>
      </c>
      <c r="C25" s="29">
        <v>94.9</v>
      </c>
      <c r="D25" s="29">
        <v>101.8</v>
      </c>
      <c r="E25" s="29">
        <v>90.7</v>
      </c>
      <c r="F25" s="29">
        <v>91.5</v>
      </c>
      <c r="G25" s="29">
        <v>90.2</v>
      </c>
      <c r="H25" s="29">
        <v>102.5</v>
      </c>
      <c r="I25" s="29">
        <v>106.7</v>
      </c>
      <c r="J25" s="29">
        <v>109.6</v>
      </c>
      <c r="K25" s="29">
        <v>105.2</v>
      </c>
      <c r="L25" s="29">
        <v>109.8</v>
      </c>
      <c r="M25" s="29">
        <v>100</v>
      </c>
      <c r="P25" s="139"/>
    </row>
    <row r="26" spans="1:16">
      <c r="P26" s="139"/>
    </row>
    <row r="27" spans="1:16">
      <c r="A27" s="66" t="s">
        <v>23</v>
      </c>
      <c r="P27" s="139"/>
    </row>
    <row r="28" spans="1:16">
      <c r="A28" s="64" t="s">
        <v>2120</v>
      </c>
      <c r="B28" s="67">
        <f>((B25/B5)^(1/20)-1)*100</f>
        <v>1.2799616027959759</v>
      </c>
      <c r="C28" s="67">
        <f t="shared" ref="C28:M28" si="0">((C25/C5)^(1/20)-1)*100</f>
        <v>0.99836208299046714</v>
      </c>
      <c r="D28" s="67">
        <f t="shared" si="0"/>
        <v>0.97161225175317334</v>
      </c>
      <c r="E28" s="67">
        <f t="shared" si="0"/>
        <v>0.88803996943802588</v>
      </c>
      <c r="F28" s="67">
        <f t="shared" si="0"/>
        <v>1.219650286873053</v>
      </c>
      <c r="G28" s="67">
        <f t="shared" si="0"/>
        <v>0.69066278829039707</v>
      </c>
      <c r="H28" s="67">
        <f t="shared" si="0"/>
        <v>1.6629760321471343</v>
      </c>
      <c r="I28" s="67">
        <f t="shared" si="0"/>
        <v>2.0217852558156668</v>
      </c>
      <c r="J28" s="67">
        <f>((J25/J5)^(1/20)-1)*100</f>
        <v>2.3184296183412334</v>
      </c>
      <c r="K28" s="67">
        <f t="shared" si="0"/>
        <v>1.6792232055288903</v>
      </c>
      <c r="L28" s="67">
        <f t="shared" si="0"/>
        <v>2.9909946377682628</v>
      </c>
      <c r="M28" s="67">
        <f t="shared" si="0"/>
        <v>0.91174064619676809</v>
      </c>
      <c r="P28" s="139"/>
    </row>
    <row r="29" spans="1:16">
      <c r="A29" s="64" t="s">
        <v>1182</v>
      </c>
      <c r="B29" s="67">
        <f>((B13/B5)^(1/8)-1)*100</f>
        <v>4.5832810247117939</v>
      </c>
      <c r="C29" s="67">
        <f t="shared" ref="C29:M29" si="1">((C13/C5)^(1/8)-1)*100</f>
        <v>4.7761305930961839</v>
      </c>
      <c r="D29" s="67">
        <f t="shared" si="1"/>
        <v>5.4219393101196056</v>
      </c>
      <c r="E29" s="67">
        <f t="shared" si="1"/>
        <v>4.4903708144364396</v>
      </c>
      <c r="F29" s="67">
        <f t="shared" si="1"/>
        <v>4.5502143725700828</v>
      </c>
      <c r="G29" s="67">
        <f t="shared" si="1"/>
        <v>4.4324051335446368</v>
      </c>
      <c r="H29" s="67">
        <f t="shared" si="1"/>
        <v>4.5858960146275773</v>
      </c>
      <c r="I29" s="67">
        <f t="shared" si="1"/>
        <v>3.9397371907822665</v>
      </c>
      <c r="J29" s="67">
        <f t="shared" si="1"/>
        <v>4.5328915241016565</v>
      </c>
      <c r="K29" s="67">
        <f t="shared" si="1"/>
        <v>3.1988953403993214</v>
      </c>
      <c r="L29" s="67">
        <f t="shared" si="1"/>
        <v>5.6037161900266419</v>
      </c>
      <c r="M29" s="67">
        <f t="shared" si="1"/>
        <v>1.0822101328471501</v>
      </c>
      <c r="P29" s="139"/>
    </row>
    <row r="30" spans="1:16">
      <c r="A30" s="64" t="s">
        <v>2028</v>
      </c>
      <c r="B30" s="67">
        <f>((B25/B13)^(1/12)-1)*100</f>
        <v>-0.86408067129518651</v>
      </c>
      <c r="C30" s="67">
        <f t="shared" ref="C30:M30" si="2">((C25/C13)^(1/12)-1)*100</f>
        <v>-1.4441712884710856</v>
      </c>
      <c r="D30" s="67">
        <f t="shared" si="2"/>
        <v>-1.8904047523763623</v>
      </c>
      <c r="E30" s="67">
        <f t="shared" si="2"/>
        <v>-1.4442514217737235</v>
      </c>
      <c r="F30" s="67">
        <f t="shared" si="2"/>
        <v>-0.94157108212123974</v>
      </c>
      <c r="G30" s="67">
        <f t="shared" si="2"/>
        <v>-1.7290519469261412</v>
      </c>
      <c r="H30" s="67">
        <f t="shared" si="2"/>
        <v>-0.24011255367378803</v>
      </c>
      <c r="I30" s="67">
        <f t="shared" si="2"/>
        <v>0.76285290615720758</v>
      </c>
      <c r="J30" s="67">
        <f>((J25/J13)^(1/12)-1)*100</f>
        <v>0.86824565745406979</v>
      </c>
      <c r="K30" s="67">
        <f t="shared" si="2"/>
        <v>0.67856121297251715</v>
      </c>
      <c r="L30" s="67">
        <f t="shared" si="2"/>
        <v>1.2851913964278427</v>
      </c>
      <c r="M30" s="67">
        <f t="shared" si="2"/>
        <v>0.79825406684272959</v>
      </c>
      <c r="P30" s="139"/>
    </row>
    <row r="31" spans="1:16">
      <c r="P31" s="139"/>
    </row>
    <row r="32" spans="1:16">
      <c r="A32" s="232" t="s">
        <v>1843</v>
      </c>
      <c r="B32" s="232"/>
      <c r="C32" s="232"/>
      <c r="D32" s="232"/>
      <c r="E32" s="232"/>
      <c r="F32" s="232"/>
      <c r="G32" s="232"/>
      <c r="H32" s="232"/>
      <c r="I32" s="232"/>
      <c r="J32" s="232"/>
      <c r="K32" s="232"/>
      <c r="L32" s="232"/>
      <c r="M32" s="232"/>
      <c r="P32" s="139"/>
    </row>
    <row r="36" spans="2:14">
      <c r="B36" s="139"/>
      <c r="C36" s="139"/>
      <c r="D36" s="139"/>
      <c r="E36" s="139"/>
      <c r="F36" s="139"/>
      <c r="G36" s="139"/>
      <c r="H36" s="139"/>
      <c r="I36" s="139"/>
      <c r="J36" s="139"/>
      <c r="K36" s="139"/>
      <c r="L36" s="139"/>
      <c r="M36" s="139"/>
      <c r="N36" s="139"/>
    </row>
    <row r="37" spans="2:14">
      <c r="B37" s="139"/>
      <c r="C37" s="139"/>
      <c r="D37" s="139"/>
      <c r="E37" s="139"/>
      <c r="F37" s="139"/>
      <c r="G37" s="139"/>
      <c r="H37" s="139"/>
      <c r="I37" s="139"/>
      <c r="J37" s="139"/>
      <c r="K37" s="139"/>
      <c r="L37" s="139"/>
      <c r="M37" s="139"/>
      <c r="N37" s="139"/>
    </row>
    <row r="38" spans="2:14">
      <c r="B38" s="139"/>
      <c r="C38" s="139"/>
      <c r="D38" s="139"/>
      <c r="E38" s="139"/>
      <c r="F38" s="139"/>
      <c r="G38" s="139"/>
      <c r="H38" s="139"/>
      <c r="I38" s="139"/>
      <c r="J38" s="139"/>
      <c r="K38" s="139"/>
      <c r="L38" s="139"/>
      <c r="M38" s="139"/>
      <c r="N38" s="139"/>
    </row>
    <row r="39" spans="2:14">
      <c r="B39" s="139"/>
      <c r="C39" s="139"/>
      <c r="D39" s="139"/>
      <c r="E39" s="139"/>
      <c r="F39" s="139"/>
      <c r="G39" s="139"/>
      <c r="H39" s="139"/>
      <c r="I39" s="139"/>
      <c r="J39" s="139"/>
      <c r="K39" s="139"/>
      <c r="L39" s="139"/>
      <c r="M39" s="139"/>
      <c r="N39" s="139"/>
    </row>
    <row r="40" spans="2:14">
      <c r="B40" s="139"/>
      <c r="C40" s="139"/>
      <c r="D40" s="139"/>
      <c r="E40" s="139"/>
      <c r="F40" s="139"/>
      <c r="G40" s="139"/>
      <c r="H40" s="139"/>
      <c r="I40" s="139"/>
      <c r="J40" s="139"/>
      <c r="K40" s="139"/>
      <c r="L40" s="139"/>
      <c r="M40" s="139"/>
      <c r="N40" s="139"/>
    </row>
    <row r="41" spans="2:14">
      <c r="B41" s="139"/>
      <c r="C41" s="139"/>
      <c r="D41" s="139"/>
      <c r="E41" s="139"/>
      <c r="F41" s="139"/>
      <c r="G41" s="139"/>
      <c r="H41" s="139"/>
      <c r="I41" s="139"/>
      <c r="J41" s="139"/>
      <c r="K41" s="139"/>
      <c r="L41" s="139"/>
      <c r="M41" s="139"/>
      <c r="N41" s="139"/>
    </row>
    <row r="42" spans="2:14">
      <c r="B42" s="139"/>
      <c r="C42" s="139"/>
      <c r="D42" s="139"/>
      <c r="E42" s="139"/>
      <c r="F42" s="139"/>
      <c r="G42" s="139"/>
      <c r="H42" s="139"/>
      <c r="I42" s="139"/>
      <c r="J42" s="139"/>
      <c r="K42" s="139"/>
      <c r="L42" s="139"/>
      <c r="M42" s="139"/>
      <c r="N42" s="139"/>
    </row>
    <row r="43" spans="2:14">
      <c r="B43" s="139"/>
      <c r="C43" s="139"/>
      <c r="D43" s="139"/>
      <c r="E43" s="139"/>
      <c r="F43" s="139"/>
      <c r="G43" s="139"/>
      <c r="H43" s="139"/>
      <c r="I43" s="139"/>
      <c r="J43" s="139"/>
      <c r="K43" s="139"/>
      <c r="L43" s="139"/>
      <c r="M43" s="139"/>
      <c r="N43" s="139"/>
    </row>
    <row r="44" spans="2:14">
      <c r="B44" s="139"/>
      <c r="C44" s="139"/>
      <c r="D44" s="139"/>
      <c r="E44" s="139"/>
      <c r="F44" s="139"/>
      <c r="G44" s="139"/>
      <c r="H44" s="139"/>
      <c r="I44" s="139"/>
      <c r="J44" s="139"/>
      <c r="K44" s="139"/>
      <c r="L44" s="139"/>
      <c r="M44" s="139"/>
      <c r="N44" s="139"/>
    </row>
    <row r="45" spans="2:14">
      <c r="B45" s="139"/>
      <c r="C45" s="139"/>
      <c r="D45" s="139"/>
      <c r="E45" s="139"/>
      <c r="F45" s="139"/>
      <c r="G45" s="139"/>
      <c r="H45" s="139"/>
      <c r="I45" s="139"/>
      <c r="J45" s="139"/>
      <c r="K45" s="139"/>
      <c r="L45" s="139"/>
      <c r="M45" s="139"/>
      <c r="N45" s="139"/>
    </row>
    <row r="46" spans="2:14">
      <c r="B46" s="139"/>
      <c r="C46" s="139"/>
      <c r="D46" s="139"/>
      <c r="E46" s="139"/>
      <c r="F46" s="139"/>
      <c r="G46" s="139"/>
      <c r="H46" s="139"/>
      <c r="I46" s="139"/>
      <c r="J46" s="139"/>
      <c r="K46" s="139"/>
      <c r="L46" s="139"/>
      <c r="M46" s="139"/>
      <c r="N46" s="139"/>
    </row>
    <row r="47" spans="2:14">
      <c r="B47" s="139"/>
      <c r="C47" s="139"/>
      <c r="D47" s="139"/>
      <c r="E47" s="139"/>
      <c r="F47" s="139"/>
      <c r="G47" s="139"/>
      <c r="H47" s="139"/>
      <c r="I47" s="139"/>
      <c r="J47" s="139"/>
      <c r="K47" s="139"/>
      <c r="L47" s="139"/>
      <c r="M47" s="139"/>
      <c r="N47" s="139"/>
    </row>
    <row r="48" spans="2:14">
      <c r="B48" s="139"/>
      <c r="C48" s="139"/>
      <c r="D48" s="139"/>
      <c r="E48" s="139"/>
      <c r="F48" s="139"/>
      <c r="G48" s="139"/>
      <c r="H48" s="139"/>
      <c r="I48" s="139"/>
      <c r="J48" s="139"/>
      <c r="K48" s="139"/>
      <c r="L48" s="139"/>
      <c r="M48" s="139"/>
      <c r="N48" s="139"/>
    </row>
    <row r="49" spans="2:14">
      <c r="B49" s="139"/>
      <c r="C49" s="139"/>
      <c r="D49" s="139"/>
      <c r="E49" s="139"/>
      <c r="F49" s="139"/>
      <c r="G49" s="139"/>
      <c r="H49" s="139"/>
      <c r="I49" s="139"/>
      <c r="J49" s="139"/>
      <c r="K49" s="139"/>
      <c r="L49" s="139"/>
      <c r="M49" s="139"/>
      <c r="N49" s="139"/>
    </row>
    <row r="50" spans="2:14">
      <c r="B50" s="139"/>
      <c r="C50" s="139"/>
      <c r="D50" s="139"/>
      <c r="E50" s="139"/>
      <c r="F50" s="139"/>
      <c r="G50" s="139"/>
      <c r="H50" s="139"/>
      <c r="I50" s="139"/>
      <c r="J50" s="139"/>
      <c r="K50" s="139"/>
      <c r="L50" s="139"/>
      <c r="M50" s="139"/>
      <c r="N50" s="139"/>
    </row>
    <row r="51" spans="2:14">
      <c r="B51" s="139"/>
      <c r="C51" s="139"/>
      <c r="D51" s="139"/>
      <c r="E51" s="139"/>
      <c r="F51" s="139"/>
      <c r="G51" s="139"/>
      <c r="H51" s="139"/>
      <c r="I51" s="139"/>
      <c r="J51" s="139"/>
      <c r="K51" s="139"/>
      <c r="L51" s="139"/>
      <c r="M51" s="139"/>
      <c r="N51" s="139"/>
    </row>
  </sheetData>
  <mergeCells count="5">
    <mergeCell ref="A32:M32"/>
    <mergeCell ref="A1:M1"/>
    <mergeCell ref="B2:B3"/>
    <mergeCell ref="C2:H2"/>
    <mergeCell ref="I2:M2"/>
  </mergeCells>
  <pageMargins left="0.7" right="0.7" top="0.75" bottom="0.75" header="0.3" footer="0.3"/>
  <pageSetup scale="70" orientation="landscape" horizontalDpi="0" verticalDpi="0" r:id="rId1"/>
</worksheet>
</file>

<file path=xl/worksheets/sheet140.xml><?xml version="1.0" encoding="utf-8"?>
<worksheet xmlns="http://schemas.openxmlformats.org/spreadsheetml/2006/main" xmlns:r="http://schemas.openxmlformats.org/officeDocument/2006/relationships">
  <sheetPr codeName="Sheet133"/>
  <dimension ref="A1:E106"/>
  <sheetViews>
    <sheetView view="pageBreakPreview" zoomScale="85" zoomScaleNormal="100" zoomScaleSheetLayoutView="85" workbookViewId="0">
      <selection activeCell="AC38" sqref="AC38"/>
    </sheetView>
  </sheetViews>
  <sheetFormatPr defaultRowHeight="15" outlineLevelRow="1"/>
  <cols>
    <col min="1" max="1" width="9.140625" style="64"/>
    <col min="2" max="3" width="15" style="135" customWidth="1"/>
    <col min="4" max="5" width="14.85546875" style="135" customWidth="1"/>
    <col min="6" max="16384" width="9.140625" style="64"/>
  </cols>
  <sheetData>
    <row r="1" spans="1:5">
      <c r="A1" s="66" t="s">
        <v>1805</v>
      </c>
    </row>
    <row r="2" spans="1:5">
      <c r="B2" s="165" t="s">
        <v>1760</v>
      </c>
      <c r="C2" s="165" t="s">
        <v>1761</v>
      </c>
      <c r="D2" s="165" t="s">
        <v>1760</v>
      </c>
      <c r="E2" s="165" t="s">
        <v>1761</v>
      </c>
    </row>
    <row r="3" spans="1:5" ht="15" hidden="1" customHeight="1" outlineLevel="1">
      <c r="B3" s="135" t="s">
        <v>1759</v>
      </c>
    </row>
    <row r="4" spans="1:5" outlineLevel="1">
      <c r="D4" s="103" t="s">
        <v>1773</v>
      </c>
      <c r="E4" s="103"/>
    </row>
    <row r="5" spans="1:5">
      <c r="A5" s="64" t="s">
        <v>1684</v>
      </c>
      <c r="B5" s="166">
        <v>1.1919</v>
      </c>
      <c r="C5" s="166">
        <f>1/B5</f>
        <v>0.83899656011410351</v>
      </c>
    </row>
    <row r="6" spans="1:5">
      <c r="A6" s="64" t="s">
        <v>1685</v>
      </c>
      <c r="B6" s="166">
        <v>1.1932</v>
      </c>
      <c r="C6" s="166">
        <f t="shared" ref="C6:C69" si="0">1/B6</f>
        <v>0.83808246731478375</v>
      </c>
    </row>
    <row r="7" spans="1:5">
      <c r="A7" s="64" t="s">
        <v>1686</v>
      </c>
      <c r="B7" s="166">
        <v>1.1822999999999999</v>
      </c>
      <c r="C7" s="166">
        <f t="shared" si="0"/>
        <v>0.84580901632411409</v>
      </c>
    </row>
    <row r="8" spans="1:5">
      <c r="A8" s="64" t="s">
        <v>1687</v>
      </c>
      <c r="B8" s="166">
        <v>1.1685000000000001</v>
      </c>
      <c r="C8" s="166">
        <f t="shared" si="0"/>
        <v>0.85579803166452706</v>
      </c>
      <c r="D8" s="166">
        <f>AVERAGE(B5:B8)</f>
        <v>1.183975</v>
      </c>
      <c r="E8" s="166">
        <f>AVERAGE(C5:C8)</f>
        <v>0.84467151885438208</v>
      </c>
    </row>
    <row r="9" spans="1:5">
      <c r="A9" s="64" t="s">
        <v>1688</v>
      </c>
      <c r="B9" s="166">
        <v>1.1826000000000001</v>
      </c>
      <c r="C9" s="166">
        <f t="shared" si="0"/>
        <v>0.84559445290038893</v>
      </c>
    </row>
    <row r="10" spans="1:5">
      <c r="A10" s="64" t="s">
        <v>1689</v>
      </c>
      <c r="B10" s="166">
        <v>1.1704000000000001</v>
      </c>
      <c r="C10" s="166">
        <f t="shared" si="0"/>
        <v>0.85440874914559117</v>
      </c>
    </row>
    <row r="11" spans="1:5">
      <c r="A11" s="64" t="s">
        <v>1690</v>
      </c>
      <c r="B11" s="166">
        <v>1.1531</v>
      </c>
      <c r="C11" s="166">
        <f t="shared" si="0"/>
        <v>0.86722747376636888</v>
      </c>
    </row>
    <row r="12" spans="1:5">
      <c r="A12" s="64" t="s">
        <v>1691</v>
      </c>
      <c r="B12" s="166">
        <v>1.161</v>
      </c>
      <c r="C12" s="166">
        <f t="shared" si="0"/>
        <v>0.86132644272179149</v>
      </c>
      <c r="D12" s="166">
        <f>AVERAGE(B9:B12)</f>
        <v>1.1667749999999999</v>
      </c>
      <c r="E12" s="166">
        <f>AVERAGE(C9:C12)</f>
        <v>0.85713927963353509</v>
      </c>
    </row>
    <row r="13" spans="1:5">
      <c r="A13" s="64" t="s">
        <v>1692</v>
      </c>
      <c r="B13" s="166">
        <v>1.1557999999999999</v>
      </c>
      <c r="C13" s="166">
        <f t="shared" si="0"/>
        <v>0.86520159197092927</v>
      </c>
    </row>
    <row r="14" spans="1:5">
      <c r="A14" s="64" t="s">
        <v>1693</v>
      </c>
      <c r="B14" s="166">
        <v>1.1489</v>
      </c>
      <c r="C14" s="166">
        <f t="shared" si="0"/>
        <v>0.87039777178170419</v>
      </c>
    </row>
    <row r="15" spans="1:5">
      <c r="A15" s="64" t="s">
        <v>1694</v>
      </c>
      <c r="B15" s="166">
        <v>1.1435999999999999</v>
      </c>
      <c r="C15" s="166">
        <f t="shared" si="0"/>
        <v>0.87443161944735925</v>
      </c>
    </row>
    <row r="16" spans="1:5">
      <c r="A16" s="64" t="s">
        <v>1695</v>
      </c>
      <c r="B16" s="166">
        <v>1.1347</v>
      </c>
      <c r="C16" s="166">
        <f t="shared" si="0"/>
        <v>0.88129020886577947</v>
      </c>
      <c r="D16" s="166">
        <f>AVERAGE(B13:B16)</f>
        <v>1.14575</v>
      </c>
      <c r="E16" s="166">
        <f>AVERAGE(C13:C16)</f>
        <v>0.87283029801644307</v>
      </c>
    </row>
    <row r="17" spans="1:5">
      <c r="A17" s="64" t="s">
        <v>1696</v>
      </c>
      <c r="B17" s="166">
        <v>1.1772</v>
      </c>
      <c r="C17" s="166">
        <f t="shared" si="0"/>
        <v>0.8494733265375467</v>
      </c>
    </row>
    <row r="18" spans="1:5">
      <c r="A18" s="64" t="s">
        <v>1697</v>
      </c>
      <c r="B18" s="166">
        <v>1.1941999999999999</v>
      </c>
      <c r="C18" s="166">
        <f t="shared" si="0"/>
        <v>0.83738067325406129</v>
      </c>
    </row>
    <row r="19" spans="1:5">
      <c r="A19" s="64" t="s">
        <v>1698</v>
      </c>
      <c r="B19" s="166">
        <v>1.2016</v>
      </c>
      <c r="C19" s="166">
        <f t="shared" si="0"/>
        <v>0.83222370173102533</v>
      </c>
    </row>
    <row r="20" spans="1:5">
      <c r="A20" s="64" t="s">
        <v>1699</v>
      </c>
      <c r="B20" s="166">
        <v>1.2619</v>
      </c>
      <c r="C20" s="166">
        <f t="shared" si="0"/>
        <v>0.79245582058800224</v>
      </c>
      <c r="D20" s="166">
        <f>AVERAGE(B17:B20)</f>
        <v>1.208725</v>
      </c>
      <c r="E20" s="166">
        <f>AVERAGE(C17:C20)</f>
        <v>0.82788338052765886</v>
      </c>
    </row>
    <row r="21" spans="1:5">
      <c r="A21" s="64" t="s">
        <v>1700</v>
      </c>
      <c r="B21" s="166">
        <v>1.2614000000000001</v>
      </c>
      <c r="C21" s="166">
        <f t="shared" si="0"/>
        <v>0.79276993816394481</v>
      </c>
    </row>
    <row r="22" spans="1:5">
      <c r="A22" s="64" t="s">
        <v>1701</v>
      </c>
      <c r="B22" s="166">
        <v>1.2702</v>
      </c>
      <c r="C22" s="166">
        <f t="shared" si="0"/>
        <v>0.78727759407967246</v>
      </c>
    </row>
    <row r="23" spans="1:5">
      <c r="A23" s="64" t="s">
        <v>1702</v>
      </c>
      <c r="B23" s="166">
        <v>1.3039000000000001</v>
      </c>
      <c r="C23" s="166">
        <f t="shared" si="0"/>
        <v>0.76692997929289053</v>
      </c>
    </row>
    <row r="24" spans="1:5">
      <c r="A24" s="64" t="s">
        <v>1703</v>
      </c>
      <c r="B24" s="166">
        <v>1.3249</v>
      </c>
      <c r="C24" s="166">
        <f t="shared" si="0"/>
        <v>0.75477394520341157</v>
      </c>
      <c r="D24" s="166">
        <f>AVERAGE(B21:B24)</f>
        <v>1.2901</v>
      </c>
      <c r="E24" s="166">
        <f>AVERAGE(C21:C24)</f>
        <v>0.77543786418497984</v>
      </c>
    </row>
    <row r="25" spans="1:5">
      <c r="A25" s="64" t="s">
        <v>1704</v>
      </c>
      <c r="B25" s="166">
        <v>1.3412999999999999</v>
      </c>
      <c r="C25" s="166">
        <f t="shared" si="0"/>
        <v>0.74554536643554759</v>
      </c>
    </row>
    <row r="26" spans="1:5">
      <c r="A26" s="64" t="s">
        <v>1705</v>
      </c>
      <c r="B26" s="166">
        <v>1.3824000000000001</v>
      </c>
      <c r="C26" s="166">
        <f t="shared" si="0"/>
        <v>0.72337962962962954</v>
      </c>
    </row>
    <row r="27" spans="1:5">
      <c r="A27" s="64" t="s">
        <v>1706</v>
      </c>
      <c r="B27" s="166">
        <v>1.3713</v>
      </c>
      <c r="C27" s="166">
        <f t="shared" si="0"/>
        <v>0.729235032450959</v>
      </c>
    </row>
    <row r="28" spans="1:5">
      <c r="A28" s="64" t="s">
        <v>1707</v>
      </c>
      <c r="B28" s="166">
        <v>1.3677999999999999</v>
      </c>
      <c r="C28" s="166">
        <f t="shared" si="0"/>
        <v>0.73110103816347427</v>
      </c>
      <c r="D28" s="166">
        <f>AVERAGE(B25:B28)</f>
        <v>1.3656999999999999</v>
      </c>
      <c r="E28" s="166">
        <f>AVERAGE(C25:C28)</f>
        <v>0.73231526666990265</v>
      </c>
    </row>
    <row r="29" spans="1:5">
      <c r="A29" s="64" t="s">
        <v>1708</v>
      </c>
      <c r="B29" s="166">
        <v>1.4069</v>
      </c>
      <c r="C29" s="166">
        <f t="shared" si="0"/>
        <v>0.71078257161134406</v>
      </c>
    </row>
    <row r="30" spans="1:5">
      <c r="A30" s="64" t="s">
        <v>1709</v>
      </c>
      <c r="B30" s="166">
        <v>1.3713</v>
      </c>
      <c r="C30" s="166">
        <f t="shared" si="0"/>
        <v>0.729235032450959</v>
      </c>
    </row>
    <row r="31" spans="1:5">
      <c r="A31" s="64" t="s">
        <v>1710</v>
      </c>
      <c r="B31" s="166">
        <v>1.3554999999999999</v>
      </c>
      <c r="C31" s="166">
        <f t="shared" si="0"/>
        <v>0.73773515308004434</v>
      </c>
    </row>
    <row r="32" spans="1:5">
      <c r="A32" s="64" t="s">
        <v>1711</v>
      </c>
      <c r="B32" s="166">
        <v>1.3560000000000001</v>
      </c>
      <c r="C32" s="166">
        <f t="shared" si="0"/>
        <v>0.73746312684365778</v>
      </c>
      <c r="D32" s="166">
        <f>AVERAGE(B29:B32)</f>
        <v>1.372425</v>
      </c>
      <c r="E32" s="166">
        <f>AVERAGE(C29:C32)</f>
        <v>0.72880397099650129</v>
      </c>
    </row>
    <row r="33" spans="1:5">
      <c r="A33" s="64" t="s">
        <v>1712</v>
      </c>
      <c r="B33" s="166">
        <v>1.3691</v>
      </c>
      <c r="C33" s="166">
        <f t="shared" si="0"/>
        <v>0.73040683660799066</v>
      </c>
    </row>
    <row r="34" spans="1:5">
      <c r="A34" s="64" t="s">
        <v>1713</v>
      </c>
      <c r="B34" s="166">
        <v>1.3645</v>
      </c>
      <c r="C34" s="166">
        <f t="shared" si="0"/>
        <v>0.73286918285086111</v>
      </c>
    </row>
    <row r="35" spans="1:5">
      <c r="A35" s="64" t="s">
        <v>1714</v>
      </c>
      <c r="B35" s="166">
        <v>1.3701000000000001</v>
      </c>
      <c r="C35" s="166">
        <f t="shared" si="0"/>
        <v>0.72987373184439086</v>
      </c>
    </row>
    <row r="36" spans="1:5">
      <c r="A36" s="64" t="s">
        <v>1715</v>
      </c>
      <c r="B36" s="166">
        <v>1.3503000000000001</v>
      </c>
      <c r="C36" s="166">
        <f t="shared" si="0"/>
        <v>0.74057616825890538</v>
      </c>
      <c r="D36" s="166">
        <f>AVERAGE(B33:B36)</f>
        <v>1.3634999999999999</v>
      </c>
      <c r="E36" s="166">
        <f>AVERAGE(C33:C36)</f>
        <v>0.73343147989053703</v>
      </c>
    </row>
    <row r="37" spans="1:5">
      <c r="A37" s="64" t="s">
        <v>1716</v>
      </c>
      <c r="B37" s="166">
        <v>1.3585</v>
      </c>
      <c r="C37" s="166">
        <f t="shared" si="0"/>
        <v>0.73610599926389397</v>
      </c>
    </row>
    <row r="38" spans="1:5">
      <c r="A38" s="64" t="s">
        <v>499</v>
      </c>
      <c r="B38" s="166">
        <v>1.3861000000000001</v>
      </c>
      <c r="C38" s="166">
        <f t="shared" si="0"/>
        <v>0.72144866892720583</v>
      </c>
    </row>
    <row r="39" spans="1:5">
      <c r="A39" s="64" t="s">
        <v>1717</v>
      </c>
      <c r="B39" s="166">
        <v>1.3848</v>
      </c>
      <c r="C39" s="166">
        <f t="shared" si="0"/>
        <v>0.72212593876372033</v>
      </c>
    </row>
    <row r="40" spans="1:5">
      <c r="A40" s="64" t="s">
        <v>1718</v>
      </c>
      <c r="B40" s="166">
        <v>1.4089</v>
      </c>
      <c r="C40" s="166">
        <f t="shared" si="0"/>
        <v>0.70977358222726949</v>
      </c>
      <c r="D40" s="166">
        <f>AVERAGE(B37:B40)</f>
        <v>1.3845750000000001</v>
      </c>
      <c r="E40" s="166">
        <f>AVERAGE(C37:C40)</f>
        <v>0.72236354729552232</v>
      </c>
    </row>
    <row r="41" spans="1:5">
      <c r="A41" s="64" t="s">
        <v>1719</v>
      </c>
      <c r="B41" s="166">
        <v>1.4303999999999999</v>
      </c>
      <c r="C41" s="166">
        <f t="shared" si="0"/>
        <v>0.69910514541387025</v>
      </c>
    </row>
    <row r="42" spans="1:5">
      <c r="A42" s="64" t="s">
        <v>1720</v>
      </c>
      <c r="B42" s="166">
        <v>1.4467000000000001</v>
      </c>
      <c r="C42" s="166">
        <f t="shared" si="0"/>
        <v>0.69122831271168861</v>
      </c>
    </row>
    <row r="43" spans="1:5">
      <c r="A43" s="64" t="s">
        <v>1721</v>
      </c>
      <c r="B43" s="166">
        <v>1.5147999999999999</v>
      </c>
      <c r="C43" s="166">
        <f t="shared" si="0"/>
        <v>0.66015315553208342</v>
      </c>
    </row>
    <row r="44" spans="1:5">
      <c r="A44" s="64" t="s">
        <v>1722</v>
      </c>
      <c r="B44" s="166">
        <v>1.5422</v>
      </c>
      <c r="C44" s="166">
        <f t="shared" si="0"/>
        <v>0.64842432888081958</v>
      </c>
      <c r="D44" s="166">
        <f>AVERAGE(B41:B44)</f>
        <v>1.483525</v>
      </c>
      <c r="E44" s="166">
        <f>AVERAGE(C41:C44)</f>
        <v>0.67472773563461552</v>
      </c>
    </row>
    <row r="45" spans="1:5">
      <c r="A45" s="64" t="s">
        <v>1723</v>
      </c>
      <c r="B45" s="166">
        <v>1.5113000000000001</v>
      </c>
      <c r="C45" s="166">
        <f t="shared" si="0"/>
        <v>0.66168199563289876</v>
      </c>
    </row>
    <row r="46" spans="1:5">
      <c r="A46" s="64" t="s">
        <v>1724</v>
      </c>
      <c r="B46" s="166">
        <v>1.4728000000000001</v>
      </c>
      <c r="C46" s="166">
        <f t="shared" si="0"/>
        <v>0.67897881586094511</v>
      </c>
    </row>
    <row r="47" spans="1:5">
      <c r="A47" s="64" t="s">
        <v>1725</v>
      </c>
      <c r="B47" s="166">
        <v>1.486</v>
      </c>
      <c r="C47" s="166">
        <f t="shared" si="0"/>
        <v>0.67294751009421261</v>
      </c>
    </row>
    <row r="48" spans="1:5">
      <c r="A48" s="64" t="s">
        <v>1726</v>
      </c>
      <c r="B48" s="166">
        <v>1.4726999999999999</v>
      </c>
      <c r="C48" s="166">
        <f t="shared" si="0"/>
        <v>0.67902492021457195</v>
      </c>
      <c r="D48" s="166">
        <f>AVERAGE(B45:B48)</f>
        <v>1.4857</v>
      </c>
      <c r="E48" s="166">
        <f>AVERAGE(C45:C48)</f>
        <v>0.6731583104506571</v>
      </c>
    </row>
    <row r="49" spans="1:5">
      <c r="A49" s="64" t="s">
        <v>1727</v>
      </c>
      <c r="B49" s="166">
        <v>1.4535</v>
      </c>
      <c r="C49" s="166">
        <f t="shared" si="0"/>
        <v>0.68799449604403162</v>
      </c>
    </row>
    <row r="50" spans="1:5">
      <c r="A50" s="64" t="s">
        <v>1728</v>
      </c>
      <c r="B50" s="166">
        <v>1.4802</v>
      </c>
      <c r="C50" s="166">
        <f t="shared" si="0"/>
        <v>0.67558438048912306</v>
      </c>
    </row>
    <row r="51" spans="1:5">
      <c r="A51" s="64" t="s">
        <v>1729</v>
      </c>
      <c r="B51" s="166">
        <v>1.4822</v>
      </c>
      <c r="C51" s="166">
        <f t="shared" si="0"/>
        <v>0.67467278369990558</v>
      </c>
    </row>
    <row r="52" spans="1:5">
      <c r="A52" s="64" t="s">
        <v>1730</v>
      </c>
      <c r="B52" s="166">
        <v>1.5257000000000001</v>
      </c>
      <c r="C52" s="166">
        <f t="shared" si="0"/>
        <v>0.65543684865963159</v>
      </c>
      <c r="D52" s="166">
        <f>AVERAGE(B49:B52)</f>
        <v>1.4853999999999998</v>
      </c>
      <c r="E52" s="166">
        <f>AVERAGE(C49:C52)</f>
        <v>0.67342212722317285</v>
      </c>
    </row>
    <row r="53" spans="1:5">
      <c r="A53" s="64" t="s">
        <v>1731</v>
      </c>
      <c r="B53" s="166">
        <v>1.5278</v>
      </c>
      <c r="C53" s="166">
        <f t="shared" si="0"/>
        <v>0.65453593402277788</v>
      </c>
    </row>
    <row r="54" spans="1:5">
      <c r="A54" s="64" t="s">
        <v>1732</v>
      </c>
      <c r="B54" s="166">
        <v>1.5410999999999999</v>
      </c>
      <c r="C54" s="166">
        <f t="shared" si="0"/>
        <v>0.64888715852313283</v>
      </c>
    </row>
    <row r="55" spans="1:5">
      <c r="A55" s="64" t="s">
        <v>1733</v>
      </c>
      <c r="B55" s="166">
        <v>1.5461</v>
      </c>
      <c r="C55" s="166">
        <f t="shared" si="0"/>
        <v>0.6467886941336265</v>
      </c>
    </row>
    <row r="56" spans="1:5">
      <c r="A56" s="64" t="s">
        <v>1734</v>
      </c>
      <c r="B56" s="166">
        <v>1.5804</v>
      </c>
      <c r="C56" s="166">
        <f t="shared" si="0"/>
        <v>0.6327512022272842</v>
      </c>
      <c r="D56" s="166">
        <f>AVERAGE(B53:B56)</f>
        <v>1.5488500000000001</v>
      </c>
      <c r="E56" s="166">
        <f>AVERAGE(C53:C56)</f>
        <v>0.64574074722670538</v>
      </c>
    </row>
    <row r="57" spans="1:5">
      <c r="A57" s="64" t="s">
        <v>1735</v>
      </c>
      <c r="B57" s="166">
        <v>1.5944</v>
      </c>
      <c r="C57" s="166">
        <f t="shared" si="0"/>
        <v>0.62719518314099343</v>
      </c>
    </row>
    <row r="58" spans="1:5">
      <c r="A58" s="64" t="s">
        <v>1736</v>
      </c>
      <c r="B58" s="166">
        <v>1.5542</v>
      </c>
      <c r="C58" s="166">
        <f t="shared" si="0"/>
        <v>0.64341783554240117</v>
      </c>
    </row>
    <row r="59" spans="1:5">
      <c r="A59" s="64" t="s">
        <v>1737</v>
      </c>
      <c r="B59" s="166">
        <v>1.5631999999999999</v>
      </c>
      <c r="C59" s="166">
        <f t="shared" si="0"/>
        <v>0.63971340839303992</v>
      </c>
    </row>
    <row r="60" spans="1:5">
      <c r="A60" s="64" t="s">
        <v>1738</v>
      </c>
      <c r="B60" s="166">
        <v>1.5694999999999999</v>
      </c>
      <c r="C60" s="166">
        <f t="shared" si="0"/>
        <v>0.63714558776680474</v>
      </c>
      <c r="D60" s="166">
        <f>AVERAGE(B57:B60)</f>
        <v>1.570325</v>
      </c>
      <c r="E60" s="166">
        <f>AVERAGE(C57:C60)</f>
        <v>0.63686800371080987</v>
      </c>
    </row>
    <row r="61" spans="1:5">
      <c r="A61" s="64" t="s">
        <v>1739</v>
      </c>
      <c r="B61" s="166">
        <v>1.5098</v>
      </c>
      <c r="C61" s="166">
        <f t="shared" si="0"/>
        <v>0.66233938269969528</v>
      </c>
    </row>
    <row r="62" spans="1:5">
      <c r="A62" s="64" t="s">
        <v>1740</v>
      </c>
      <c r="B62" s="166">
        <v>1.3984000000000001</v>
      </c>
      <c r="C62" s="166">
        <f t="shared" si="0"/>
        <v>0.71510297482837526</v>
      </c>
    </row>
    <row r="63" spans="1:5">
      <c r="A63" s="64" t="s">
        <v>1741</v>
      </c>
      <c r="B63" s="166">
        <v>1.3801000000000001</v>
      </c>
      <c r="C63" s="166">
        <f t="shared" si="0"/>
        <v>0.72458517498731967</v>
      </c>
    </row>
    <row r="64" spans="1:5">
      <c r="A64" s="64" t="s">
        <v>1742</v>
      </c>
      <c r="B64" s="166">
        <v>1.3158000000000001</v>
      </c>
      <c r="C64" s="166">
        <f t="shared" si="0"/>
        <v>0.75999392004863953</v>
      </c>
      <c r="D64" s="166">
        <f>AVERAGE(B61:B64)</f>
        <v>1.401025</v>
      </c>
      <c r="E64" s="166">
        <f>AVERAGE(C61:C64)</f>
        <v>0.71550536314100743</v>
      </c>
    </row>
    <row r="65" spans="1:5">
      <c r="A65" s="64" t="s">
        <v>1743</v>
      </c>
      <c r="B65" s="166">
        <v>1.3178000000000001</v>
      </c>
      <c r="C65" s="166">
        <f t="shared" si="0"/>
        <v>0.75884049172863854</v>
      </c>
    </row>
    <row r="66" spans="1:5">
      <c r="A66" s="64" t="s">
        <v>1744</v>
      </c>
      <c r="B66" s="166">
        <v>1.3594999999999999</v>
      </c>
      <c r="C66" s="166">
        <f t="shared" si="0"/>
        <v>0.73556454578889297</v>
      </c>
    </row>
    <row r="67" spans="1:5">
      <c r="A67" s="64" t="s">
        <v>1745</v>
      </c>
      <c r="B67" s="166">
        <v>1.3071999999999999</v>
      </c>
      <c r="C67" s="166">
        <f t="shared" si="0"/>
        <v>0.76499388004895963</v>
      </c>
    </row>
    <row r="68" spans="1:5">
      <c r="A68" s="64" t="s">
        <v>1746</v>
      </c>
      <c r="B68" s="166">
        <v>1.2206999999999999</v>
      </c>
      <c r="C68" s="166">
        <f t="shared" si="0"/>
        <v>0.8192020971573688</v>
      </c>
      <c r="D68" s="166">
        <f>AVERAGE(B65:B68)</f>
        <v>1.3012999999999999</v>
      </c>
      <c r="E68" s="166">
        <f>AVERAGE(C65:C68)</f>
        <v>0.76965025368096507</v>
      </c>
    </row>
    <row r="69" spans="1:5">
      <c r="A69" s="64" t="s">
        <v>1747</v>
      </c>
      <c r="B69" s="166">
        <v>1.2270000000000001</v>
      </c>
      <c r="C69" s="166">
        <f t="shared" si="0"/>
        <v>0.81499592502037488</v>
      </c>
    </row>
    <row r="70" spans="1:5">
      <c r="A70" s="64" t="s">
        <v>1748</v>
      </c>
      <c r="B70" s="166">
        <v>1.2439</v>
      </c>
      <c r="C70" s="166">
        <f t="shared" ref="C70:C80" si="1">1/B70</f>
        <v>0.80392314494734307</v>
      </c>
    </row>
    <row r="71" spans="1:5">
      <c r="A71" s="64" t="s">
        <v>1749</v>
      </c>
      <c r="B71" s="166">
        <v>1.2015</v>
      </c>
      <c r="C71" s="166">
        <f t="shared" si="1"/>
        <v>0.8322929671244278</v>
      </c>
    </row>
    <row r="72" spans="1:5">
      <c r="A72" s="64" t="s">
        <v>1750</v>
      </c>
      <c r="B72" s="166">
        <v>1.1732</v>
      </c>
      <c r="C72" s="166">
        <f t="shared" si="1"/>
        <v>0.85236958745311964</v>
      </c>
      <c r="D72" s="166">
        <f>AVERAGE(B69:B72)</f>
        <v>1.2114000000000003</v>
      </c>
      <c r="E72" s="166">
        <f>AVERAGE(C69:C72)</f>
        <v>0.8258954061363164</v>
      </c>
    </row>
    <row r="73" spans="1:5">
      <c r="A73" s="64" t="s">
        <v>1751</v>
      </c>
      <c r="B73" s="166">
        <v>1.1545000000000001</v>
      </c>
      <c r="C73" s="166">
        <f t="shared" si="1"/>
        <v>0.86617583369423989</v>
      </c>
    </row>
    <row r="74" spans="1:5">
      <c r="A74" s="64" t="s">
        <v>1752</v>
      </c>
      <c r="B74" s="166">
        <v>1.1224000000000001</v>
      </c>
      <c r="C74" s="166">
        <f t="shared" si="1"/>
        <v>0.89094796863863146</v>
      </c>
    </row>
    <row r="75" spans="1:5">
      <c r="A75" s="64" t="s">
        <v>1753</v>
      </c>
      <c r="B75" s="166">
        <v>1.1212</v>
      </c>
      <c r="C75" s="166">
        <f t="shared" si="1"/>
        <v>0.89190153407063866</v>
      </c>
    </row>
    <row r="76" spans="1:5">
      <c r="A76" s="64" t="s">
        <v>1754</v>
      </c>
      <c r="B76" s="166">
        <v>1.1393</v>
      </c>
      <c r="C76" s="166">
        <f t="shared" si="1"/>
        <v>0.87773194066532079</v>
      </c>
      <c r="D76" s="166">
        <f>AVERAGE(B73:B76)</f>
        <v>1.13435</v>
      </c>
      <c r="E76" s="166">
        <f>AVERAGE(C73:C76)</f>
        <v>0.88168931926720773</v>
      </c>
    </row>
    <row r="77" spans="1:5">
      <c r="A77" s="64" t="s">
        <v>1755</v>
      </c>
      <c r="B77" s="166">
        <v>1.1716</v>
      </c>
      <c r="C77" s="166">
        <f t="shared" si="1"/>
        <v>0.85353362922499143</v>
      </c>
    </row>
    <row r="78" spans="1:5">
      <c r="A78" s="64" t="s">
        <v>1756</v>
      </c>
      <c r="B78" s="166">
        <v>1.0981000000000001</v>
      </c>
      <c r="C78" s="166">
        <f t="shared" si="1"/>
        <v>0.91066387396411974</v>
      </c>
    </row>
    <row r="79" spans="1:5">
      <c r="A79" s="64" t="s">
        <v>1757</v>
      </c>
      <c r="B79" s="166">
        <v>1.0446</v>
      </c>
      <c r="C79" s="166">
        <f t="shared" si="1"/>
        <v>0.95730423128470232</v>
      </c>
    </row>
    <row r="80" spans="1:5">
      <c r="A80" s="64" t="s">
        <v>1758</v>
      </c>
      <c r="B80" s="166">
        <v>0.98180000000000001</v>
      </c>
      <c r="C80" s="166">
        <f t="shared" si="1"/>
        <v>1.0185373803218578</v>
      </c>
      <c r="D80" s="166">
        <f>AVERAGE(B77:B80)</f>
        <v>1.074025</v>
      </c>
      <c r="E80" s="166">
        <f>AVERAGE(C77:C80)</f>
        <v>0.93500977869891777</v>
      </c>
    </row>
    <row r="81" spans="1:5">
      <c r="A81" s="64" t="s">
        <v>1787</v>
      </c>
      <c r="B81" s="166">
        <v>1.0041</v>
      </c>
      <c r="C81" s="166">
        <f>1/B81</f>
        <v>0.9959167413604223</v>
      </c>
      <c r="E81" s="166"/>
    </row>
    <row r="82" spans="1:5">
      <c r="A82" s="64" t="s">
        <v>1788</v>
      </c>
      <c r="B82" s="166">
        <v>1.01</v>
      </c>
      <c r="C82" s="166">
        <f t="shared" ref="C82:C98" si="2">1/B82</f>
        <v>0.99009900990099009</v>
      </c>
      <c r="E82" s="166"/>
    </row>
    <row r="83" spans="1:5">
      <c r="A83" s="64" t="s">
        <v>1789</v>
      </c>
      <c r="B83" s="166">
        <v>1.0418000000000001</v>
      </c>
      <c r="C83" s="166">
        <f t="shared" si="2"/>
        <v>0.95987713572662692</v>
      </c>
      <c r="E83" s="166"/>
    </row>
    <row r="84" spans="1:5">
      <c r="A84" s="64" t="s">
        <v>1790</v>
      </c>
      <c r="B84" s="166">
        <v>1.2124999999999999</v>
      </c>
      <c r="C84" s="166">
        <f t="shared" si="2"/>
        <v>0.82474226804123718</v>
      </c>
      <c r="D84" s="166">
        <f>AVERAGE(B81:B84)</f>
        <v>1.0670999999999999</v>
      </c>
      <c r="E84" s="166">
        <f>AVERAGE(C81:C84)</f>
        <v>0.94265878875731912</v>
      </c>
    </row>
    <row r="85" spans="1:5">
      <c r="A85" s="64" t="s">
        <v>1791</v>
      </c>
      <c r="B85" s="166">
        <v>1.2453000000000001</v>
      </c>
      <c r="C85" s="166">
        <f t="shared" si="2"/>
        <v>0.80301935276640157</v>
      </c>
    </row>
    <row r="86" spans="1:5">
      <c r="A86" s="64" t="s">
        <v>1792</v>
      </c>
      <c r="B86" s="166">
        <v>1.1672</v>
      </c>
      <c r="C86" s="166">
        <f t="shared" si="2"/>
        <v>0.85675119945167921</v>
      </c>
    </row>
    <row r="87" spans="1:5">
      <c r="A87" s="64" t="s">
        <v>1793</v>
      </c>
      <c r="B87" s="166">
        <v>1.0973999999999999</v>
      </c>
      <c r="C87" s="166">
        <f t="shared" si="2"/>
        <v>0.91124476034262814</v>
      </c>
    </row>
    <row r="88" spans="1:5">
      <c r="A88" s="64" t="s">
        <v>1794</v>
      </c>
      <c r="B88" s="166">
        <v>1.0563</v>
      </c>
      <c r="C88" s="166">
        <f t="shared" si="2"/>
        <v>0.94670074789359082</v>
      </c>
      <c r="D88" s="166">
        <f>AVERAGE(B85:B88)</f>
        <v>1.1415500000000001</v>
      </c>
      <c r="E88" s="166">
        <f>AVERAGE(C85:C88)</f>
        <v>0.87942901511357496</v>
      </c>
    </row>
    <row r="89" spans="1:5">
      <c r="A89" s="64" t="s">
        <v>1795</v>
      </c>
      <c r="B89" s="166">
        <v>1.0408999999999999</v>
      </c>
      <c r="C89" s="166">
        <f t="shared" si="2"/>
        <v>0.96070708041118269</v>
      </c>
    </row>
    <row r="90" spans="1:5">
      <c r="A90" s="64" t="s">
        <v>1796</v>
      </c>
      <c r="B90" s="166">
        <v>1.0276000000000001</v>
      </c>
      <c r="C90" s="166">
        <f t="shared" si="2"/>
        <v>0.97314130011677691</v>
      </c>
    </row>
    <row r="91" spans="1:5">
      <c r="A91" s="64" t="s">
        <v>1797</v>
      </c>
      <c r="B91" s="166">
        <v>1.0390999999999999</v>
      </c>
      <c r="C91" s="166">
        <f t="shared" si="2"/>
        <v>0.96237128284092011</v>
      </c>
    </row>
    <row r="92" spans="1:5">
      <c r="A92" s="64" t="s">
        <v>1798</v>
      </c>
      <c r="B92" s="166">
        <v>1.0127999999999999</v>
      </c>
      <c r="C92" s="166">
        <f t="shared" si="2"/>
        <v>0.98736176935229081</v>
      </c>
      <c r="D92" s="166">
        <f>AVERAGE(B89:B92)</f>
        <v>1.0301</v>
      </c>
      <c r="E92" s="166">
        <f>AVERAGE(C89:C92)</f>
        <v>0.9708953581802926</v>
      </c>
    </row>
    <row r="93" spans="1:5">
      <c r="A93" s="64" t="s">
        <v>1799</v>
      </c>
      <c r="B93" s="166">
        <v>0.98599999999999999</v>
      </c>
      <c r="C93" s="166">
        <f t="shared" si="2"/>
        <v>1.0141987829614605</v>
      </c>
    </row>
    <row r="94" spans="1:5">
      <c r="A94" s="64" t="s">
        <v>1800</v>
      </c>
      <c r="B94" s="166">
        <v>0.96760000000000002</v>
      </c>
      <c r="C94" s="166">
        <f t="shared" si="2"/>
        <v>1.0334849111202977</v>
      </c>
    </row>
    <row r="95" spans="1:5">
      <c r="A95" s="64" t="s">
        <v>1801</v>
      </c>
      <c r="B95" s="166">
        <v>0.98019999999999996</v>
      </c>
      <c r="C95" s="166">
        <f t="shared" si="2"/>
        <v>1.0201999591920017</v>
      </c>
    </row>
    <row r="96" spans="1:5">
      <c r="A96" s="64" t="s">
        <v>1802</v>
      </c>
      <c r="B96" s="166">
        <v>1.0230999999999999</v>
      </c>
      <c r="C96" s="166">
        <f t="shared" si="2"/>
        <v>0.97742156191965601</v>
      </c>
      <c r="D96" s="166">
        <f>AVERAGE(B93:B96)</f>
        <v>0.98922499999999991</v>
      </c>
      <c r="E96" s="166">
        <f>AVERAGE(C93:C96)</f>
        <v>1.011326303798354</v>
      </c>
    </row>
    <row r="97" spans="1:5">
      <c r="A97" s="64" t="s">
        <v>1803</v>
      </c>
      <c r="B97" s="166">
        <v>1.0012000000000001</v>
      </c>
      <c r="C97" s="166">
        <f t="shared" si="2"/>
        <v>0.99880143827407097</v>
      </c>
      <c r="D97" s="166"/>
      <c r="E97" s="166"/>
    </row>
    <row r="98" spans="1:5">
      <c r="A98" s="64" t="s">
        <v>1804</v>
      </c>
      <c r="B98" s="57">
        <v>1.0102</v>
      </c>
      <c r="C98" s="166">
        <f t="shared" si="2"/>
        <v>0.98990298950702837</v>
      </c>
      <c r="D98" s="166"/>
      <c r="E98" s="166"/>
    </row>
    <row r="99" spans="1:5">
      <c r="B99" s="166"/>
      <c r="C99" s="166"/>
      <c r="D99" s="166"/>
      <c r="E99" s="166"/>
    </row>
    <row r="100" spans="1:5">
      <c r="B100" s="166"/>
      <c r="C100" s="166"/>
      <c r="D100" s="166"/>
      <c r="E100" s="166"/>
    </row>
    <row r="101" spans="1:5">
      <c r="A101" s="66" t="s">
        <v>23</v>
      </c>
    </row>
    <row r="102" spans="1:5">
      <c r="A102" s="64" t="s">
        <v>1363</v>
      </c>
      <c r="D102" s="135">
        <f>((D80/D8)^(1/18)-1)*100</f>
        <v>-0.54000419645976461</v>
      </c>
      <c r="E102" s="67">
        <f>((E80/E8)^(1/18)-1)*100</f>
        <v>0.56609167213810263</v>
      </c>
    </row>
    <row r="103" spans="1:5">
      <c r="A103" s="64" t="s">
        <v>26</v>
      </c>
      <c r="D103" s="67">
        <f>((D52/D8)^(1/11)-1)*100</f>
        <v>2.083282436906253</v>
      </c>
      <c r="E103" s="67">
        <f>((E52/E8)^(1/11)-1)*100</f>
        <v>-2.0387083319318378</v>
      </c>
    </row>
    <row r="104" spans="1:5">
      <c r="A104" s="64" t="s">
        <v>588</v>
      </c>
      <c r="D104" s="67">
        <f>((D80/D52)^(1/7)-1)*100</f>
        <v>-4.5267806308031737</v>
      </c>
      <c r="E104" s="67">
        <f>((E80/E52)^(1/7)-1)*100</f>
        <v>4.7999928331348585</v>
      </c>
    </row>
    <row r="106" spans="1:5">
      <c r="A106" s="64" t="s">
        <v>1762</v>
      </c>
    </row>
  </sheetData>
  <mergeCells count="1">
    <mergeCell ref="D4:E4"/>
  </mergeCells>
  <pageMargins left="0.70866141732283472" right="0.70866141732283472" top="0.74803149606299213" bottom="0.74803149606299213" header="0.31496062992125984" footer="0.31496062992125984"/>
  <pageSetup scale="80" orientation="portrait" horizontalDpi="0" verticalDpi="0" r:id="rId1"/>
  <rowBreaks count="1" manualBreakCount="1">
    <brk id="48" max="4" man="1"/>
  </rowBreaks>
</worksheet>
</file>

<file path=xl/worksheets/sheet141.xml><?xml version="1.0" encoding="utf-8"?>
<worksheet xmlns="http://schemas.openxmlformats.org/spreadsheetml/2006/main" xmlns:r="http://schemas.openxmlformats.org/officeDocument/2006/relationships">
  <sheetPr codeName="Sheet134"/>
  <dimension ref="A1:F36"/>
  <sheetViews>
    <sheetView view="pageBreakPreview" zoomScale="85" zoomScaleNormal="100" zoomScaleSheetLayoutView="85" workbookViewId="0">
      <selection activeCell="AC38" sqref="AC38"/>
    </sheetView>
  </sheetViews>
  <sheetFormatPr defaultRowHeight="15" outlineLevelRow="1"/>
  <cols>
    <col min="1" max="1" width="10.7109375" style="64" customWidth="1"/>
    <col min="2" max="6" width="15.5703125" style="64" customWidth="1"/>
    <col min="7" max="7" width="8.85546875" style="64" customWidth="1"/>
    <col min="8" max="16384" width="9.140625" style="64"/>
  </cols>
  <sheetData>
    <row r="1" spans="1:6">
      <c r="A1" s="66" t="s">
        <v>2021</v>
      </c>
    </row>
    <row r="2" spans="1:6" ht="45">
      <c r="B2" s="72" t="s">
        <v>1763</v>
      </c>
      <c r="C2" s="72" t="s">
        <v>1764</v>
      </c>
      <c r="D2" s="72" t="s">
        <v>1765</v>
      </c>
      <c r="E2" s="72" t="s">
        <v>1766</v>
      </c>
      <c r="F2" s="72" t="s">
        <v>1767</v>
      </c>
    </row>
    <row r="3" spans="1:6" hidden="1" outlineLevel="1"/>
    <row r="4" spans="1:6" hidden="1" outlineLevel="1">
      <c r="A4" s="64">
        <v>1986</v>
      </c>
      <c r="B4" s="56">
        <v>5032.8</v>
      </c>
      <c r="C4" s="56">
        <v>1031.0999999999999</v>
      </c>
      <c r="D4" s="56">
        <v>4072.5</v>
      </c>
      <c r="E4" s="56">
        <v>5661.2</v>
      </c>
      <c r="F4" s="56">
        <v>1560.7</v>
      </c>
    </row>
    <row r="5" spans="1:6" hidden="1" outlineLevel="1">
      <c r="A5" s="64">
        <v>1987</v>
      </c>
      <c r="B5" s="56">
        <v>5937.6</v>
      </c>
      <c r="C5" s="56">
        <v>1095.0999999999999</v>
      </c>
      <c r="D5" s="56">
        <v>5473.9</v>
      </c>
      <c r="E5" s="56">
        <v>6028.7</v>
      </c>
      <c r="F5" s="56">
        <v>1944.1</v>
      </c>
    </row>
    <row r="6" spans="1:6" hidden="1" outlineLevel="1">
      <c r="A6" s="64">
        <v>1988</v>
      </c>
      <c r="B6" s="56">
        <v>5461.7</v>
      </c>
      <c r="C6" s="56">
        <v>1086.5999999999999</v>
      </c>
      <c r="D6" s="56">
        <v>6496.2</v>
      </c>
      <c r="E6" s="56">
        <v>6970.2</v>
      </c>
      <c r="F6" s="56">
        <v>1730.2</v>
      </c>
    </row>
    <row r="7" spans="1:6" collapsed="1">
      <c r="A7" s="66">
        <v>1989</v>
      </c>
      <c r="B7" s="30">
        <v>5590.6</v>
      </c>
      <c r="C7" s="30">
        <v>1060.4000000000001</v>
      </c>
      <c r="D7" s="30">
        <v>6940.8</v>
      </c>
      <c r="E7" s="30">
        <v>6507.1</v>
      </c>
      <c r="F7" s="30">
        <v>1753.2</v>
      </c>
    </row>
    <row r="8" spans="1:6">
      <c r="A8" s="66">
        <v>1990</v>
      </c>
      <c r="B8" s="30">
        <v>5463</v>
      </c>
      <c r="C8" s="30">
        <v>1085.3</v>
      </c>
      <c r="D8" s="30">
        <v>6122.5</v>
      </c>
      <c r="E8" s="30">
        <v>6462.5</v>
      </c>
      <c r="F8" s="30">
        <v>2217.4</v>
      </c>
    </row>
    <row r="9" spans="1:6">
      <c r="A9" s="66">
        <v>1991</v>
      </c>
      <c r="B9" s="30">
        <v>5225.5</v>
      </c>
      <c r="C9" s="30">
        <v>965.8</v>
      </c>
      <c r="D9" s="30">
        <v>4937.5</v>
      </c>
      <c r="E9" s="30">
        <v>6499.1</v>
      </c>
      <c r="F9" s="30">
        <v>2215</v>
      </c>
    </row>
    <row r="10" spans="1:6">
      <c r="A10" s="66">
        <v>1992</v>
      </c>
      <c r="B10" s="30">
        <v>6606.9</v>
      </c>
      <c r="C10" s="30">
        <v>1367.8</v>
      </c>
      <c r="D10" s="30">
        <v>5068.7</v>
      </c>
      <c r="E10" s="30">
        <v>6317.3</v>
      </c>
      <c r="F10" s="30">
        <v>2525.8000000000002</v>
      </c>
    </row>
    <row r="11" spans="1:6">
      <c r="A11" s="66">
        <v>1993</v>
      </c>
      <c r="B11" s="30">
        <v>9514.7999999999993</v>
      </c>
      <c r="C11" s="30">
        <v>1787.3</v>
      </c>
      <c r="D11" s="30">
        <v>4641</v>
      </c>
      <c r="E11" s="30">
        <v>6656.8</v>
      </c>
      <c r="F11" s="30">
        <v>2812.5</v>
      </c>
    </row>
    <row r="12" spans="1:6">
      <c r="A12" s="66">
        <v>1994</v>
      </c>
      <c r="B12" s="30">
        <v>11460.3</v>
      </c>
      <c r="C12" s="30">
        <v>2324.4</v>
      </c>
      <c r="D12" s="30">
        <v>6755.4</v>
      </c>
      <c r="E12" s="30">
        <v>6968.5</v>
      </c>
      <c r="F12" s="30">
        <v>3443.5</v>
      </c>
    </row>
    <row r="13" spans="1:6">
      <c r="A13" s="66">
        <v>1995</v>
      </c>
      <c r="B13" s="30">
        <v>10966.3</v>
      </c>
      <c r="C13" s="30">
        <v>2735</v>
      </c>
      <c r="D13" s="30">
        <v>10938.3</v>
      </c>
      <c r="E13" s="30">
        <v>9480</v>
      </c>
      <c r="F13" s="30">
        <v>4785.1000000000004</v>
      </c>
    </row>
    <row r="14" spans="1:6">
      <c r="A14" s="66">
        <v>1996</v>
      </c>
      <c r="B14" s="30">
        <v>12591.3</v>
      </c>
      <c r="C14" s="30">
        <v>2973</v>
      </c>
      <c r="D14" s="30">
        <v>6922.5</v>
      </c>
      <c r="E14" s="30">
        <v>8849.6</v>
      </c>
      <c r="F14" s="30">
        <v>4441.1000000000004</v>
      </c>
    </row>
    <row r="15" spans="1:6">
      <c r="A15" s="66">
        <v>1997</v>
      </c>
      <c r="B15" s="30">
        <v>13080.7</v>
      </c>
      <c r="C15" s="30">
        <v>3486.9</v>
      </c>
      <c r="D15" s="30">
        <v>6917.4</v>
      </c>
      <c r="E15" s="30">
        <v>7958.3</v>
      </c>
      <c r="F15" s="30">
        <v>4711.1000000000004</v>
      </c>
    </row>
    <row r="16" spans="1:6">
      <c r="A16" s="66">
        <v>1998</v>
      </c>
      <c r="B16" s="30">
        <v>11755.4</v>
      </c>
      <c r="C16" s="30">
        <v>4548.2</v>
      </c>
      <c r="D16" s="30">
        <v>6722.3</v>
      </c>
      <c r="E16" s="30">
        <v>8094</v>
      </c>
      <c r="F16" s="30">
        <v>5432.4</v>
      </c>
    </row>
    <row r="17" spans="1:6">
      <c r="A17" s="66">
        <v>1999</v>
      </c>
      <c r="B17" s="30">
        <v>13413.9</v>
      </c>
      <c r="C17" s="30">
        <v>5965.1</v>
      </c>
      <c r="D17" s="30">
        <v>7474.9</v>
      </c>
      <c r="E17" s="30">
        <v>8254.7000000000007</v>
      </c>
      <c r="F17" s="30">
        <v>5780.9</v>
      </c>
    </row>
    <row r="18" spans="1:6">
      <c r="A18" s="66">
        <v>2000</v>
      </c>
      <c r="B18" s="30">
        <v>12285.6</v>
      </c>
      <c r="C18" s="30">
        <v>5603.4</v>
      </c>
      <c r="D18" s="30">
        <v>9906.2000000000007</v>
      </c>
      <c r="E18" s="30">
        <v>8984.2000000000007</v>
      </c>
      <c r="F18" s="30">
        <v>6387.6</v>
      </c>
    </row>
    <row r="19" spans="1:6">
      <c r="A19" s="66">
        <v>2001</v>
      </c>
      <c r="B19" s="30">
        <v>11703.3</v>
      </c>
      <c r="C19" s="30">
        <v>5384.5</v>
      </c>
      <c r="D19" s="30">
        <v>7356</v>
      </c>
      <c r="E19" s="30">
        <v>9294.5</v>
      </c>
      <c r="F19" s="30">
        <v>6356.1</v>
      </c>
    </row>
    <row r="20" spans="1:6">
      <c r="A20" s="66">
        <v>2002</v>
      </c>
      <c r="B20" s="30">
        <v>11006.2</v>
      </c>
      <c r="C20" s="30">
        <v>5657.4</v>
      </c>
      <c r="D20" s="30">
        <v>7003.3</v>
      </c>
      <c r="E20" s="30">
        <v>8318.9</v>
      </c>
      <c r="F20" s="30">
        <v>5705.4</v>
      </c>
    </row>
    <row r="21" spans="1:6">
      <c r="A21" s="66">
        <v>2003</v>
      </c>
      <c r="B21" s="30">
        <v>9070.5</v>
      </c>
      <c r="C21" s="30">
        <v>6363.4</v>
      </c>
      <c r="D21" s="30">
        <v>6878.2</v>
      </c>
      <c r="E21" s="30">
        <v>7360.6</v>
      </c>
      <c r="F21" s="30">
        <v>4961.6000000000004</v>
      </c>
    </row>
    <row r="22" spans="1:6">
      <c r="A22" s="66">
        <v>2004</v>
      </c>
      <c r="B22" s="30">
        <v>11673.2</v>
      </c>
      <c r="C22" s="30">
        <v>7942.6</v>
      </c>
      <c r="D22" s="30">
        <v>7210.3</v>
      </c>
      <c r="E22" s="30">
        <v>7364.7</v>
      </c>
      <c r="F22" s="30">
        <v>5296.3</v>
      </c>
    </row>
    <row r="23" spans="1:6">
      <c r="A23" s="66">
        <v>2005</v>
      </c>
      <c r="B23" s="30">
        <v>10567.5</v>
      </c>
      <c r="C23" s="30">
        <v>7261.9</v>
      </c>
      <c r="D23" s="30">
        <v>6328.3</v>
      </c>
      <c r="E23" s="30">
        <v>7471.9</v>
      </c>
      <c r="F23" s="30">
        <v>5099</v>
      </c>
    </row>
    <row r="24" spans="1:6">
      <c r="A24" s="66">
        <v>2006</v>
      </c>
      <c r="B24" s="30">
        <v>9323.6</v>
      </c>
      <c r="C24" s="30">
        <v>5885.3</v>
      </c>
      <c r="D24" s="30">
        <v>6504.9</v>
      </c>
      <c r="E24" s="30">
        <v>6846.3</v>
      </c>
      <c r="F24" s="30">
        <v>4718.7</v>
      </c>
    </row>
    <row r="25" spans="1:6">
      <c r="A25" s="66">
        <v>2007</v>
      </c>
      <c r="B25" s="30">
        <v>7479.3</v>
      </c>
      <c r="C25" s="30">
        <v>4160.8</v>
      </c>
      <c r="D25" s="30">
        <v>7116.7</v>
      </c>
      <c r="E25" s="30">
        <v>5975</v>
      </c>
      <c r="F25" s="30">
        <v>4345.2</v>
      </c>
    </row>
    <row r="26" spans="1:6">
      <c r="A26" s="66">
        <v>2008</v>
      </c>
      <c r="B26" s="30">
        <v>5370.3</v>
      </c>
      <c r="C26" s="30">
        <v>2849.9</v>
      </c>
      <c r="D26" s="30">
        <v>6989.2</v>
      </c>
      <c r="E26" s="30">
        <v>6399.9</v>
      </c>
      <c r="F26" s="30">
        <v>4256.1000000000004</v>
      </c>
    </row>
    <row r="27" spans="1:6">
      <c r="A27" s="66">
        <v>2009</v>
      </c>
      <c r="B27" s="30">
        <v>3944.5</v>
      </c>
      <c r="C27" s="30">
        <v>2095.6999999999998</v>
      </c>
      <c r="D27" s="30">
        <v>5077.6000000000004</v>
      </c>
      <c r="E27" s="30">
        <v>4549.7</v>
      </c>
      <c r="F27" s="30">
        <v>3682.3</v>
      </c>
    </row>
    <row r="28" spans="1:6">
      <c r="A28" s="66">
        <v>2010</v>
      </c>
      <c r="B28" s="30">
        <v>5050.3</v>
      </c>
      <c r="C28" s="30">
        <v>2169</v>
      </c>
      <c r="D28" s="30">
        <v>7016.8</v>
      </c>
      <c r="E28" s="30">
        <v>4061.9</v>
      </c>
      <c r="F28" s="30">
        <v>3374.3</v>
      </c>
    </row>
    <row r="29" spans="1:6">
      <c r="A29" s="66">
        <v>2011</v>
      </c>
      <c r="B29" s="30">
        <v>5372.6</v>
      </c>
      <c r="C29" s="30">
        <v>1980.7</v>
      </c>
      <c r="D29" s="30">
        <v>7207.7</v>
      </c>
      <c r="E29" s="30">
        <v>4060.8</v>
      </c>
      <c r="F29" s="30">
        <v>3333.2</v>
      </c>
    </row>
    <row r="30" spans="1:6">
      <c r="B30" s="135"/>
      <c r="C30" s="135"/>
      <c r="D30" s="135"/>
      <c r="E30" s="135"/>
      <c r="F30" s="135"/>
    </row>
    <row r="31" spans="1:6">
      <c r="A31" s="66" t="s">
        <v>23</v>
      </c>
      <c r="B31" s="135"/>
      <c r="C31" s="135"/>
      <c r="D31" s="135"/>
      <c r="E31" s="135"/>
      <c r="F31" s="135"/>
    </row>
    <row r="32" spans="1:6">
      <c r="A32" s="64" t="s">
        <v>2127</v>
      </c>
      <c r="B32" s="67">
        <f>((B29/B7)^(1/22)-1)*100</f>
        <v>-0.18063054478385521</v>
      </c>
      <c r="C32" s="67">
        <f t="shared" ref="C32:F32" si="0">((C29/C7)^(1/22)-1)*100</f>
        <v>2.8807317745818573</v>
      </c>
      <c r="D32" s="67">
        <f t="shared" si="0"/>
        <v>0.17166015568554904</v>
      </c>
      <c r="E32" s="67">
        <f t="shared" si="0"/>
        <v>-2.1204406673248744</v>
      </c>
      <c r="F32" s="67">
        <f t="shared" si="0"/>
        <v>2.963471745094548</v>
      </c>
    </row>
    <row r="33" spans="1:6">
      <c r="A33" s="64" t="s">
        <v>26</v>
      </c>
      <c r="B33" s="67">
        <f>((B18/B7)^(1/11)-1)*100</f>
        <v>7.420029740841394</v>
      </c>
      <c r="C33" s="67">
        <f>((C18/C7)^(1/11)-1)*100</f>
        <v>16.339080743006384</v>
      </c>
      <c r="D33" s="67">
        <f>((D18/D7)^(1/11)-1)*100</f>
        <v>3.28689760712646</v>
      </c>
      <c r="E33" s="67">
        <f>((E18/E7)^(1/11)-1)*100</f>
        <v>2.9759079893664442</v>
      </c>
      <c r="F33" s="67">
        <f>((F18/F7)^(1/11)-1)*100</f>
        <v>12.472415612796993</v>
      </c>
    </row>
    <row r="34" spans="1:6">
      <c r="A34" s="64" t="s">
        <v>1782</v>
      </c>
      <c r="B34" s="67">
        <f>((B29/B18)^(1/11)-1)*100</f>
        <v>-7.243495068139671</v>
      </c>
      <c r="C34" s="67">
        <f t="shared" ref="C34:F34" si="1">((C29/C18)^(1/11)-1)*100</f>
        <v>-9.0207271462412031</v>
      </c>
      <c r="D34" s="67">
        <f t="shared" si="1"/>
        <v>-2.8496185787864836</v>
      </c>
      <c r="E34" s="67">
        <f t="shared" si="1"/>
        <v>-6.964567516627584</v>
      </c>
      <c r="F34" s="67">
        <f t="shared" si="1"/>
        <v>-5.7415415500628786</v>
      </c>
    </row>
    <row r="36" spans="1:6">
      <c r="A36" s="64" t="s">
        <v>1768</v>
      </c>
    </row>
  </sheetData>
  <pageMargins left="0.7" right="0.7" top="0.75" bottom="0.75" header="0.3" footer="0.3"/>
  <pageSetup orientation="portrait" horizontalDpi="0" verticalDpi="0" r:id="rId1"/>
</worksheet>
</file>

<file path=xl/worksheets/sheet142.xml><?xml version="1.0" encoding="utf-8"?>
<worksheet xmlns="http://schemas.openxmlformats.org/spreadsheetml/2006/main" xmlns:r="http://schemas.openxmlformats.org/officeDocument/2006/relationships">
  <dimension ref="A1:E35"/>
  <sheetViews>
    <sheetView view="pageBreakPreview" zoomScale="85" zoomScaleNormal="100" zoomScaleSheetLayoutView="85" workbookViewId="0">
      <selection activeCell="AC38" sqref="AC38"/>
    </sheetView>
  </sheetViews>
  <sheetFormatPr defaultRowHeight="15"/>
  <cols>
    <col min="1" max="1" width="10.7109375" style="64" customWidth="1"/>
    <col min="2" max="2" width="16.7109375" style="64" customWidth="1"/>
    <col min="3" max="5" width="15.5703125" style="64" customWidth="1"/>
    <col min="6" max="6" width="8.85546875" style="64" customWidth="1"/>
    <col min="7" max="16384" width="9.140625" style="64"/>
  </cols>
  <sheetData>
    <row r="1" spans="1:5">
      <c r="A1" s="66" t="s">
        <v>2076</v>
      </c>
    </row>
    <row r="2" spans="1:5" ht="60">
      <c r="B2" s="162" t="s">
        <v>2025</v>
      </c>
      <c r="C2" s="163" t="s">
        <v>2022</v>
      </c>
      <c r="D2" s="164" t="s">
        <v>2023</v>
      </c>
      <c r="E2" s="164" t="s">
        <v>2024</v>
      </c>
    </row>
    <row r="3" spans="1:5">
      <c r="A3" s="66">
        <v>1988</v>
      </c>
      <c r="B3" s="56">
        <f>SUM(C3:E3)</f>
        <v>183.9</v>
      </c>
      <c r="C3" s="56">
        <v>17.3</v>
      </c>
      <c r="D3" s="56">
        <v>80.7</v>
      </c>
      <c r="E3" s="56">
        <v>85.9</v>
      </c>
    </row>
    <row r="4" spans="1:5">
      <c r="A4" s="66">
        <v>1989</v>
      </c>
      <c r="B4" s="56">
        <f t="shared" ref="B4:B26" si="0">SUM(C4:E4)</f>
        <v>189.2</v>
      </c>
      <c r="C4" s="30">
        <v>16.899999999999999</v>
      </c>
      <c r="D4" s="30">
        <v>84.1</v>
      </c>
      <c r="E4" s="30">
        <v>88.2</v>
      </c>
    </row>
    <row r="5" spans="1:5">
      <c r="A5" s="66">
        <v>1990</v>
      </c>
      <c r="B5" s="56">
        <f t="shared" si="0"/>
        <v>188.9</v>
      </c>
      <c r="C5" s="30">
        <v>16.899999999999999</v>
      </c>
      <c r="D5" s="30">
        <v>90.1</v>
      </c>
      <c r="E5" s="30">
        <v>81.900000000000006</v>
      </c>
    </row>
    <row r="6" spans="1:5">
      <c r="A6" s="66">
        <v>1991</v>
      </c>
      <c r="B6" s="56">
        <f t="shared" si="0"/>
        <v>184.6</v>
      </c>
      <c r="C6" s="30">
        <v>18.8</v>
      </c>
      <c r="D6" s="30">
        <v>90.5</v>
      </c>
      <c r="E6" s="30">
        <v>75.3</v>
      </c>
    </row>
    <row r="7" spans="1:5">
      <c r="A7" s="66">
        <v>1992</v>
      </c>
      <c r="B7" s="56">
        <f t="shared" si="0"/>
        <v>202.6</v>
      </c>
      <c r="C7" s="30">
        <v>18.600000000000001</v>
      </c>
      <c r="D7" s="30">
        <v>97.5</v>
      </c>
      <c r="E7" s="30">
        <v>86.5</v>
      </c>
    </row>
    <row r="8" spans="1:5">
      <c r="A8" s="66">
        <v>1993</v>
      </c>
      <c r="B8" s="56">
        <f t="shared" si="0"/>
        <v>229.1</v>
      </c>
      <c r="C8" s="30">
        <v>21.9</v>
      </c>
      <c r="D8" s="30">
        <v>105.1</v>
      </c>
      <c r="E8" s="30">
        <v>102.1</v>
      </c>
    </row>
    <row r="9" spans="1:5">
      <c r="A9" s="66">
        <v>1994</v>
      </c>
      <c r="B9" s="56">
        <f t="shared" si="0"/>
        <v>271.5</v>
      </c>
      <c r="C9" s="30">
        <v>29.4</v>
      </c>
      <c r="D9" s="30">
        <v>129.1</v>
      </c>
      <c r="E9" s="30">
        <v>113</v>
      </c>
    </row>
    <row r="10" spans="1:5">
      <c r="A10" s="66">
        <v>1995</v>
      </c>
      <c r="B10" s="56">
        <f t="shared" si="0"/>
        <v>322.10000000000002</v>
      </c>
      <c r="C10" s="30">
        <v>40.799999999999997</v>
      </c>
      <c r="D10" s="30">
        <v>169.9</v>
      </c>
      <c r="E10" s="30">
        <v>111.4</v>
      </c>
    </row>
    <row r="11" spans="1:5">
      <c r="A11" s="66">
        <v>1996</v>
      </c>
      <c r="B11" s="56">
        <f t="shared" si="0"/>
        <v>317.60000000000002</v>
      </c>
      <c r="C11" s="30">
        <v>32</v>
      </c>
      <c r="D11" s="30">
        <v>166.2</v>
      </c>
      <c r="E11" s="30">
        <v>119.4</v>
      </c>
    </row>
    <row r="12" spans="1:5">
      <c r="A12" s="66">
        <v>1997</v>
      </c>
      <c r="B12" s="56">
        <f t="shared" si="0"/>
        <v>380.1</v>
      </c>
      <c r="C12" s="30">
        <v>39.5</v>
      </c>
      <c r="D12" s="30">
        <v>188.7</v>
      </c>
      <c r="E12" s="30">
        <v>151.9</v>
      </c>
    </row>
    <row r="13" spans="1:5">
      <c r="A13" s="66">
        <v>1998</v>
      </c>
      <c r="B13" s="56">
        <f t="shared" si="0"/>
        <v>413.6</v>
      </c>
      <c r="C13" s="30">
        <v>44.6</v>
      </c>
      <c r="D13" s="30">
        <v>212.5</v>
      </c>
      <c r="E13" s="30">
        <v>156.5</v>
      </c>
    </row>
    <row r="14" spans="1:5">
      <c r="A14" s="66">
        <v>1999</v>
      </c>
      <c r="B14" s="56">
        <f t="shared" si="0"/>
        <v>451.5</v>
      </c>
      <c r="C14" s="30">
        <v>44.4</v>
      </c>
      <c r="D14" s="30">
        <v>229.9</v>
      </c>
      <c r="E14" s="30">
        <v>177.2</v>
      </c>
    </row>
    <row r="15" spans="1:5">
      <c r="A15" s="66">
        <v>2000</v>
      </c>
      <c r="B15" s="56">
        <f t="shared" si="0"/>
        <v>504.79999999999995</v>
      </c>
      <c r="C15" s="30">
        <v>48.2</v>
      </c>
      <c r="D15" s="30">
        <v>259.39999999999998</v>
      </c>
      <c r="E15" s="30">
        <v>197.2</v>
      </c>
    </row>
    <row r="16" spans="1:5">
      <c r="A16" s="66">
        <v>2001</v>
      </c>
      <c r="B16" s="56">
        <f t="shared" si="0"/>
        <v>498.40000000000003</v>
      </c>
      <c r="C16" s="30">
        <v>50.5</v>
      </c>
      <c r="D16" s="30">
        <v>261.60000000000002</v>
      </c>
      <c r="E16" s="30">
        <v>186.3</v>
      </c>
    </row>
    <row r="17" spans="1:5">
      <c r="A17" s="66">
        <v>2002</v>
      </c>
      <c r="B17" s="56">
        <f t="shared" si="0"/>
        <v>526.70000000000005</v>
      </c>
      <c r="C17" s="30">
        <v>49.4</v>
      </c>
      <c r="D17" s="30">
        <v>259.5</v>
      </c>
      <c r="E17" s="30">
        <v>217.8</v>
      </c>
    </row>
    <row r="18" spans="1:5">
      <c r="A18" s="66">
        <v>2003</v>
      </c>
      <c r="B18" s="56">
        <f t="shared" si="0"/>
        <v>505.3</v>
      </c>
      <c r="C18" s="30">
        <v>44.1</v>
      </c>
      <c r="D18" s="30">
        <v>243</v>
      </c>
      <c r="E18" s="30">
        <v>218.2</v>
      </c>
    </row>
    <row r="19" spans="1:5">
      <c r="A19" s="66">
        <v>2004</v>
      </c>
      <c r="B19" s="56">
        <f t="shared" si="0"/>
        <v>523.59999999999991</v>
      </c>
      <c r="C19" s="30">
        <v>44.5</v>
      </c>
      <c r="D19" s="30">
        <v>237.4</v>
      </c>
      <c r="E19" s="30">
        <v>241.7</v>
      </c>
    </row>
    <row r="20" spans="1:5">
      <c r="A20" s="66">
        <v>2005</v>
      </c>
      <c r="B20" s="56">
        <f t="shared" si="0"/>
        <v>526.5</v>
      </c>
      <c r="C20" s="30">
        <v>42.8</v>
      </c>
      <c r="D20" s="30">
        <v>244</v>
      </c>
      <c r="E20" s="30">
        <v>239.7</v>
      </c>
    </row>
    <row r="21" spans="1:5">
      <c r="A21" s="66">
        <v>2006</v>
      </c>
      <c r="B21" s="56">
        <f t="shared" si="0"/>
        <v>528.70000000000005</v>
      </c>
      <c r="C21" s="30">
        <v>39</v>
      </c>
      <c r="D21" s="30">
        <v>245.2</v>
      </c>
      <c r="E21" s="30">
        <v>244.5</v>
      </c>
    </row>
    <row r="22" spans="1:5">
      <c r="A22" s="66">
        <v>2007</v>
      </c>
      <c r="B22" s="56">
        <f t="shared" si="0"/>
        <v>523.79999999999995</v>
      </c>
      <c r="C22" s="30">
        <v>31.3</v>
      </c>
      <c r="D22" s="30">
        <v>251.6</v>
      </c>
      <c r="E22" s="30">
        <v>240.9</v>
      </c>
    </row>
    <row r="23" spans="1:5">
      <c r="A23" s="66">
        <v>2008</v>
      </c>
      <c r="B23" s="56">
        <f t="shared" si="0"/>
        <v>509.2</v>
      </c>
      <c r="C23" s="30">
        <v>26.8</v>
      </c>
      <c r="D23" s="30">
        <v>253.4</v>
      </c>
      <c r="E23" s="30">
        <v>229</v>
      </c>
    </row>
    <row r="24" spans="1:5">
      <c r="A24" s="66">
        <v>2009</v>
      </c>
      <c r="B24" s="56">
        <f t="shared" si="0"/>
        <v>444.5</v>
      </c>
      <c r="C24" s="30">
        <v>28.3</v>
      </c>
      <c r="D24" s="30">
        <v>221.4</v>
      </c>
      <c r="E24" s="30">
        <v>194.8</v>
      </c>
    </row>
    <row r="25" spans="1:5">
      <c r="A25" s="66">
        <v>2010</v>
      </c>
      <c r="B25" s="56">
        <f t="shared" si="0"/>
        <v>458.5</v>
      </c>
      <c r="C25" s="30">
        <v>26.4</v>
      </c>
      <c r="D25" s="30">
        <v>214</v>
      </c>
      <c r="E25" s="30">
        <v>218.1</v>
      </c>
    </row>
    <row r="26" spans="1:5">
      <c r="A26" s="66">
        <v>2011</v>
      </c>
      <c r="B26" s="56">
        <f t="shared" si="0"/>
        <v>439.7</v>
      </c>
      <c r="C26" s="30">
        <v>22.5</v>
      </c>
      <c r="D26" s="30">
        <v>209.5</v>
      </c>
      <c r="E26" s="30">
        <v>207.7</v>
      </c>
    </row>
    <row r="27" spans="1:5">
      <c r="A27" s="66">
        <v>2012</v>
      </c>
      <c r="B27" s="56">
        <f>SUM(C27:E27)</f>
        <v>455.3</v>
      </c>
      <c r="C27" s="30">
        <v>24.6</v>
      </c>
      <c r="D27" s="30">
        <v>212.3</v>
      </c>
      <c r="E27" s="30">
        <v>218.4</v>
      </c>
    </row>
    <row r="28" spans="1:5">
      <c r="B28" s="135"/>
      <c r="C28" s="135"/>
      <c r="D28" s="135"/>
      <c r="E28" s="135">
        <v>217.6</v>
      </c>
    </row>
    <row r="29" spans="1:5">
      <c r="A29" s="66" t="s">
        <v>23</v>
      </c>
      <c r="B29" s="135"/>
      <c r="C29" s="135"/>
      <c r="D29" s="135"/>
      <c r="E29" s="135"/>
    </row>
    <row r="30" spans="1:5">
      <c r="A30" s="64" t="s">
        <v>2027</v>
      </c>
      <c r="B30" s="67">
        <f>((B27/B3)^(1/24)-1)*100</f>
        <v>3.8496004669444694</v>
      </c>
      <c r="C30" s="67">
        <f t="shared" ref="C30:E30" si="1">((C27/C3)^(1/24)-1)*100</f>
        <v>1.4776438799460889</v>
      </c>
      <c r="D30" s="67">
        <f t="shared" si="1"/>
        <v>4.1125744876292281</v>
      </c>
      <c r="E30" s="67">
        <f t="shared" si="1"/>
        <v>3.9646776296456965</v>
      </c>
    </row>
    <row r="31" spans="1:5">
      <c r="A31" s="64" t="s">
        <v>2026</v>
      </c>
      <c r="B31" s="67">
        <f>((B15/B3)^(1/12)-1)*100</f>
        <v>8.7789347184704667</v>
      </c>
      <c r="C31" s="67">
        <f t="shared" ref="C31:E31" si="2">((C15/C3)^(1/12)-1)*100</f>
        <v>8.9139254989772265</v>
      </c>
      <c r="D31" s="67">
        <f t="shared" si="2"/>
        <v>10.219398448459206</v>
      </c>
      <c r="E31" s="67">
        <f t="shared" si="2"/>
        <v>7.1707192947362053</v>
      </c>
    </row>
    <row r="32" spans="1:5">
      <c r="A32" s="64" t="s">
        <v>2028</v>
      </c>
      <c r="B32" s="67">
        <f>((B27/B15)^(1/12)-1)*100</f>
        <v>-0.85636024055708582</v>
      </c>
      <c r="C32" s="67">
        <f t="shared" ref="C32:E32" si="3">((C27/C15)^(1/12)-1)*100</f>
        <v>-5.4509130926342024</v>
      </c>
      <c r="D32" s="67">
        <f t="shared" si="3"/>
        <v>-1.6558943432187556</v>
      </c>
      <c r="E32" s="67">
        <f t="shared" si="3"/>
        <v>0.85454558638040634</v>
      </c>
    </row>
    <row r="34" spans="1:5">
      <c r="A34" s="64" t="s">
        <v>2020</v>
      </c>
    </row>
    <row r="35" spans="1:5" ht="63" customHeight="1">
      <c r="A35" s="104" t="s">
        <v>2029</v>
      </c>
      <c r="B35" s="104"/>
      <c r="C35" s="104"/>
      <c r="D35" s="104"/>
      <c r="E35" s="104"/>
    </row>
  </sheetData>
  <mergeCells count="1">
    <mergeCell ref="A35:E35"/>
  </mergeCells>
  <pageMargins left="0.7" right="0.7" top="0.75" bottom="0.75" header="0.3" footer="0.3"/>
  <pageSetup orientation="portrait" horizontalDpi="0" verticalDpi="0" r:id="rId1"/>
</worksheet>
</file>

<file path=xl/worksheets/sheet143.xml><?xml version="1.0" encoding="utf-8"?>
<worksheet xmlns="http://schemas.openxmlformats.org/spreadsheetml/2006/main" xmlns:r="http://schemas.openxmlformats.org/officeDocument/2006/relationships">
  <sheetPr codeName="Sheet135"/>
  <dimension ref="A1:L53"/>
  <sheetViews>
    <sheetView view="pageBreakPre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13.140625" style="64" customWidth="1"/>
    <col min="2" max="6" width="12" style="64" customWidth="1"/>
    <col min="7" max="11" width="14" style="64" customWidth="1"/>
    <col min="12" max="16384" width="9.140625" style="64"/>
  </cols>
  <sheetData>
    <row r="1" spans="1:12">
      <c r="A1" s="66" t="s">
        <v>1929</v>
      </c>
    </row>
    <row r="2" spans="1:12" ht="30" customHeight="1">
      <c r="A2" s="158"/>
      <c r="B2" s="112" t="s">
        <v>528</v>
      </c>
      <c r="C2" s="112"/>
      <c r="D2" s="112"/>
      <c r="E2" s="112"/>
      <c r="F2" s="112"/>
      <c r="G2" s="159" t="s">
        <v>537</v>
      </c>
      <c r="H2" s="160"/>
      <c r="I2" s="160"/>
      <c r="J2" s="160"/>
      <c r="K2" s="161"/>
    </row>
    <row r="3" spans="1:12" ht="15" customHeight="1">
      <c r="A3" s="158"/>
      <c r="B3" s="97" t="s">
        <v>523</v>
      </c>
      <c r="C3" s="97" t="s">
        <v>49</v>
      </c>
      <c r="D3" s="97"/>
      <c r="E3" s="97"/>
      <c r="F3" s="97"/>
      <c r="G3" s="97" t="s">
        <v>523</v>
      </c>
      <c r="H3" s="97" t="s">
        <v>49</v>
      </c>
      <c r="I3" s="97"/>
      <c r="J3" s="97"/>
      <c r="K3" s="97"/>
    </row>
    <row r="4" spans="1:12" ht="60">
      <c r="A4" s="158"/>
      <c r="B4" s="97"/>
      <c r="C4" s="73" t="s">
        <v>50</v>
      </c>
      <c r="D4" s="73" t="s">
        <v>522</v>
      </c>
      <c r="E4" s="73" t="s">
        <v>524</v>
      </c>
      <c r="F4" s="73" t="s">
        <v>525</v>
      </c>
      <c r="G4" s="97"/>
      <c r="H4" s="73" t="s">
        <v>50</v>
      </c>
      <c r="I4" s="73" t="s">
        <v>522</v>
      </c>
      <c r="J4" s="73" t="s">
        <v>524</v>
      </c>
      <c r="K4" s="73" t="s">
        <v>525</v>
      </c>
    </row>
    <row r="5" spans="1:12">
      <c r="A5" s="66">
        <v>1970</v>
      </c>
      <c r="B5" s="62" t="s">
        <v>22</v>
      </c>
      <c r="C5" s="56">
        <f t="shared" ref="C5:C13" si="0">SUM(D5:F5)</f>
        <v>680.7</v>
      </c>
      <c r="D5" s="150">
        <v>185.5</v>
      </c>
      <c r="E5" s="150">
        <v>222.9</v>
      </c>
      <c r="F5" s="150">
        <v>272.3</v>
      </c>
      <c r="G5" s="147" t="str">
        <f>IFERROR('600a'!L5/'600'!B5,"..")</f>
        <v>..</v>
      </c>
      <c r="H5" s="147">
        <f>'600a'!M5/'600'!C5</f>
        <v>21.315130362980295</v>
      </c>
      <c r="I5" s="147">
        <f>'600a'!N5/'600'!D5</f>
        <v>15.659657017852261</v>
      </c>
      <c r="J5" s="147">
        <f>'600a'!O5/'600'!E5</f>
        <v>14.797840403563024</v>
      </c>
      <c r="K5" s="147">
        <f>'600a'!P5/'600'!F5</f>
        <v>31.391692043198063</v>
      </c>
    </row>
    <row r="6" spans="1:12">
      <c r="A6" s="66">
        <v>1971</v>
      </c>
      <c r="B6" s="62" t="s">
        <v>22</v>
      </c>
      <c r="C6" s="56">
        <f t="shared" si="0"/>
        <v>671.5</v>
      </c>
      <c r="D6" s="150">
        <v>166.4</v>
      </c>
      <c r="E6" s="150">
        <v>236.8</v>
      </c>
      <c r="F6" s="150">
        <v>268.3</v>
      </c>
      <c r="G6" s="147" t="str">
        <f>IFERROR('600a'!L6/'600'!B6,"..")</f>
        <v>..</v>
      </c>
      <c r="H6" s="147">
        <f>'600a'!M6/'600'!C6</f>
        <v>21.605913122252698</v>
      </c>
      <c r="I6" s="147">
        <f>'600a'!N6/'600'!D6</f>
        <v>16.846290876997401</v>
      </c>
      <c r="J6" s="147">
        <f>'600a'!O6/'600'!E6</f>
        <v>14.941374819475966</v>
      </c>
      <c r="K6" s="147">
        <f>'600a'!P6/'600'!F6</f>
        <v>32.098350314500671</v>
      </c>
    </row>
    <row r="7" spans="1:12">
      <c r="A7" s="66">
        <v>1972</v>
      </c>
      <c r="B7" s="62" t="s">
        <v>22</v>
      </c>
      <c r="C7" s="56">
        <f t="shared" si="0"/>
        <v>693.5</v>
      </c>
      <c r="D7" s="150">
        <v>160.1</v>
      </c>
      <c r="E7" s="150">
        <v>261.60000000000002</v>
      </c>
      <c r="F7" s="150">
        <v>271.8</v>
      </c>
      <c r="G7" s="147" t="str">
        <f>IFERROR('600a'!L7/'600'!B7,"..")</f>
        <v>..</v>
      </c>
      <c r="H7" s="147">
        <f>'600a'!M7/'600'!C7</f>
        <v>21.706144840635158</v>
      </c>
      <c r="I7" s="147">
        <f>'600a'!N7/'600'!D7</f>
        <v>18.645292344458625</v>
      </c>
      <c r="J7" s="147">
        <f>'600a'!O7/'600'!E7</f>
        <v>14.790148119616218</v>
      </c>
      <c r="K7" s="147">
        <f>'600a'!P7/'600'!F7</f>
        <v>34.040779431778958</v>
      </c>
    </row>
    <row r="8" spans="1:12">
      <c r="A8" s="66">
        <v>1973</v>
      </c>
      <c r="B8" s="62" t="s">
        <v>22</v>
      </c>
      <c r="C8" s="56">
        <f>SUM(D8:F8)</f>
        <v>742.2</v>
      </c>
      <c r="D8" s="150">
        <v>186.3</v>
      </c>
      <c r="E8" s="150">
        <v>282.89999999999998</v>
      </c>
      <c r="F8" s="150">
        <v>273</v>
      </c>
      <c r="G8" s="147" t="str">
        <f>IFERROR('600a'!L8/'600'!B8,"..")</f>
        <v>..</v>
      </c>
      <c r="H8" s="147">
        <f>'600a'!M8/'600'!C8</f>
        <v>21.967447289872851</v>
      </c>
      <c r="I8" s="147">
        <f>'600a'!N8/'600'!D8</f>
        <v>19.468978661501239</v>
      </c>
      <c r="J8" s="147">
        <f>'600a'!O8/'600'!E8</f>
        <v>15.048265645616958</v>
      </c>
      <c r="K8" s="147">
        <f>'600a'!P8/'600'!F8</f>
        <v>36.002017083211776</v>
      </c>
    </row>
    <row r="9" spans="1:12">
      <c r="A9" s="66">
        <v>1974</v>
      </c>
      <c r="B9" s="62" t="s">
        <v>22</v>
      </c>
      <c r="C9" s="56">
        <f t="shared" si="0"/>
        <v>749.3</v>
      </c>
      <c r="D9" s="150">
        <v>196.4</v>
      </c>
      <c r="E9" s="150">
        <v>267.2</v>
      </c>
      <c r="F9" s="150">
        <v>285.7</v>
      </c>
      <c r="G9" s="147" t="str">
        <f>IFERROR('600a'!L9/'600'!B9,"..")</f>
        <v>..</v>
      </c>
      <c r="H9" s="147">
        <f>'600a'!M9/'600'!C9</f>
        <v>24.685561181827175</v>
      </c>
      <c r="I9" s="147">
        <f>'600a'!N9/'600'!D9</f>
        <v>18.767398191603451</v>
      </c>
      <c r="J9" s="147">
        <f>'600a'!O9/'600'!E9</f>
        <v>15.63346322621932</v>
      </c>
      <c r="K9" s="147">
        <f>'600a'!P9/'600'!F9</f>
        <v>37.707343165830856</v>
      </c>
    </row>
    <row r="10" spans="1:12">
      <c r="A10" s="66">
        <v>1975</v>
      </c>
      <c r="B10" s="62" t="s">
        <v>22</v>
      </c>
      <c r="C10" s="56">
        <f t="shared" si="0"/>
        <v>657.90000000000009</v>
      </c>
      <c r="D10" s="150">
        <v>167.4</v>
      </c>
      <c r="E10" s="150">
        <v>241.7</v>
      </c>
      <c r="F10" s="150">
        <v>248.8</v>
      </c>
      <c r="G10" s="147" t="str">
        <f>IFERROR('600a'!L10/'600'!B10,"..")</f>
        <v>..</v>
      </c>
      <c r="H10" s="147">
        <f>'600a'!M10/'600'!C10</f>
        <v>22.851187243919842</v>
      </c>
      <c r="I10" s="147">
        <f>'600a'!N10/'600'!D10</f>
        <v>17.225016305069289</v>
      </c>
      <c r="J10" s="147">
        <f>'600a'!O10/'600'!E10</f>
        <v>15.677326317717691</v>
      </c>
      <c r="K10" s="147">
        <f>'600a'!P10/'600'!F10</f>
        <v>34.099389458782689</v>
      </c>
    </row>
    <row r="11" spans="1:12">
      <c r="A11" s="66">
        <v>1976</v>
      </c>
      <c r="B11" s="62" t="s">
        <v>22</v>
      </c>
      <c r="C11" s="56">
        <f t="shared" si="0"/>
        <v>689.5</v>
      </c>
      <c r="D11" s="150">
        <v>153.30000000000001</v>
      </c>
      <c r="E11" s="150">
        <v>264.3</v>
      </c>
      <c r="F11" s="150">
        <v>271.89999999999998</v>
      </c>
      <c r="G11" s="147" t="str">
        <f>IFERROR('600a'!L11/'600'!B11,"..")</f>
        <v>..</v>
      </c>
      <c r="H11" s="147">
        <f>'600a'!M11/'600'!C11</f>
        <v>25.053526329293565</v>
      </c>
      <c r="I11" s="147">
        <f>'600a'!N11/'600'!D11</f>
        <v>21.077597839479914</v>
      </c>
      <c r="J11" s="147">
        <f>'600a'!O11/'600'!E11</f>
        <v>17.273223522887768</v>
      </c>
      <c r="K11" s="147">
        <f>'600a'!P11/'600'!F11</f>
        <v>35.912177336149746</v>
      </c>
    </row>
    <row r="12" spans="1:12">
      <c r="A12" s="66">
        <v>1977</v>
      </c>
      <c r="B12" s="62" t="s">
        <v>22</v>
      </c>
      <c r="C12" s="56">
        <f t="shared" si="0"/>
        <v>689.7</v>
      </c>
      <c r="D12" s="150">
        <v>156.5</v>
      </c>
      <c r="E12" s="150">
        <v>273.10000000000002</v>
      </c>
      <c r="F12" s="150">
        <v>260.10000000000002</v>
      </c>
      <c r="G12" s="147" t="str">
        <f>IFERROR('600a'!L12/'600'!B12,"..")</f>
        <v>..</v>
      </c>
      <c r="H12" s="147">
        <f>'600a'!M12/'600'!C12</f>
        <v>25.424421964984521</v>
      </c>
      <c r="I12" s="147">
        <f>'600a'!N12/'600'!D12</f>
        <v>21.945577626522201</v>
      </c>
      <c r="J12" s="147">
        <f>'600a'!O12/'600'!E12</f>
        <v>17.803216113550665</v>
      </c>
      <c r="K12" s="147">
        <f>'600a'!P12/'600'!F12</f>
        <v>37.602954360644134</v>
      </c>
    </row>
    <row r="13" spans="1:12">
      <c r="A13" s="66">
        <v>1978</v>
      </c>
      <c r="B13" s="62" t="s">
        <v>22</v>
      </c>
      <c r="C13" s="56">
        <f t="shared" si="0"/>
        <v>733</v>
      </c>
      <c r="D13" s="150">
        <v>176.6</v>
      </c>
      <c r="E13" s="150">
        <v>290.3</v>
      </c>
      <c r="F13" s="150">
        <v>266.10000000000002</v>
      </c>
      <c r="G13" s="147" t="str">
        <f>IFERROR('600a'!L13/'600'!B13,"..")</f>
        <v>..</v>
      </c>
      <c r="H13" s="147">
        <f>'600a'!M13/'600'!C13</f>
        <v>25.080060471290622</v>
      </c>
      <c r="I13" s="147">
        <f>'600a'!N13/'600'!D13</f>
        <v>20.750387075243051</v>
      </c>
      <c r="J13" s="147">
        <f>'600a'!O13/'600'!E13</f>
        <v>17.534701927198238</v>
      </c>
      <c r="K13" s="147">
        <f>'600a'!P13/'600'!F13</f>
        <v>40.123801102785897</v>
      </c>
    </row>
    <row r="14" spans="1:12">
      <c r="A14" s="66">
        <v>1979</v>
      </c>
      <c r="B14" s="56" t="s">
        <v>22</v>
      </c>
      <c r="C14" s="56">
        <f>SUM(D14:F14)</f>
        <v>761.2</v>
      </c>
      <c r="D14" s="56">
        <v>191.1</v>
      </c>
      <c r="E14" s="56">
        <v>299</v>
      </c>
      <c r="F14" s="56">
        <v>271.10000000000002</v>
      </c>
      <c r="G14" s="147" t="str">
        <f>IFERROR('600a'!L14/'600'!B14,"..")</f>
        <v>..</v>
      </c>
      <c r="H14" s="147">
        <f>'600a'!M14/'600'!C14</f>
        <v>25.424561317802418</v>
      </c>
      <c r="I14" s="147">
        <f>'600a'!N14/'600'!D14</f>
        <v>20.099723694754754</v>
      </c>
      <c r="J14" s="147">
        <f>'600a'!O14/'600'!E14</f>
        <v>17.558896065766294</v>
      </c>
      <c r="K14" s="147">
        <f>'600a'!P14/'600'!F14</f>
        <v>40.564705656731192</v>
      </c>
      <c r="L14" s="139"/>
    </row>
    <row r="15" spans="1:12">
      <c r="A15" s="66">
        <v>1980</v>
      </c>
      <c r="B15" s="56" t="s">
        <v>22</v>
      </c>
      <c r="C15" s="56">
        <f t="shared" ref="C15:C43" si="1">SUM(D15:F15)</f>
        <v>732</v>
      </c>
      <c r="D15" s="56">
        <v>179.9</v>
      </c>
      <c r="E15" s="56">
        <v>280.3</v>
      </c>
      <c r="F15" s="56">
        <v>271.8</v>
      </c>
      <c r="G15" s="147" t="str">
        <f>IFERROR('600a'!L15/'600'!B15,"..")</f>
        <v>..</v>
      </c>
      <c r="H15" s="147">
        <f>'600a'!M15/'600'!C15</f>
        <v>27.496393449128025</v>
      </c>
      <c r="I15" s="147">
        <f>'600a'!N15/'600'!D15</f>
        <v>21.440278952611887</v>
      </c>
      <c r="J15" s="147">
        <f>'600a'!O15/'600'!E15</f>
        <v>18.730324379822058</v>
      </c>
      <c r="K15" s="147">
        <f>'600a'!P15/'600'!F15</f>
        <v>41.343645607454732</v>
      </c>
      <c r="L15" s="139"/>
    </row>
    <row r="16" spans="1:12">
      <c r="A16" s="66">
        <v>1981</v>
      </c>
      <c r="B16" s="56" t="s">
        <v>2035</v>
      </c>
      <c r="C16" s="56">
        <f t="shared" si="1"/>
        <v>691.09999999999991</v>
      </c>
      <c r="D16" s="56">
        <v>159.6</v>
      </c>
      <c r="E16" s="56">
        <v>257.8</v>
      </c>
      <c r="F16" s="56">
        <v>273.7</v>
      </c>
      <c r="G16" s="147" t="str">
        <f>IFERROR('600a'!L16/'600'!B16,"..")</f>
        <v>..</v>
      </c>
      <c r="H16" s="147">
        <f>'600a'!M16/'600'!C16</f>
        <v>27.838368396862318</v>
      </c>
      <c r="I16" s="147">
        <f>'600a'!N16/'600'!D16</f>
        <v>23.262313997554276</v>
      </c>
      <c r="J16" s="147">
        <f>'600a'!O16/'600'!E16</f>
        <v>18.018642180754355</v>
      </c>
      <c r="K16" s="147">
        <f>'600a'!P16/'600'!F16</f>
        <v>40.237848429098456</v>
      </c>
      <c r="L16" s="139"/>
    </row>
    <row r="17" spans="1:12">
      <c r="A17" s="66">
        <v>1982</v>
      </c>
      <c r="B17" s="56" t="s">
        <v>22</v>
      </c>
      <c r="C17" s="56">
        <f t="shared" si="1"/>
        <v>597.29999999999995</v>
      </c>
      <c r="D17" s="56">
        <v>137.6</v>
      </c>
      <c r="E17" s="56">
        <v>215.4</v>
      </c>
      <c r="F17" s="56">
        <v>244.3</v>
      </c>
      <c r="G17" s="147" t="str">
        <f>IFERROR('600a'!L17/'600'!B17,"..")</f>
        <v>..</v>
      </c>
      <c r="H17" s="147">
        <f>'600a'!M17/'600'!C17</f>
        <v>28.490975361281393</v>
      </c>
      <c r="I17" s="147">
        <f>'600a'!N17/'600'!D17</f>
        <v>23.676919025952138</v>
      </c>
      <c r="J17" s="147">
        <f>'600a'!O17/'600'!E17</f>
        <v>18.439286397754575</v>
      </c>
      <c r="K17" s="147">
        <f>'600a'!P17/'600'!F17</f>
        <v>40.952239829166956</v>
      </c>
      <c r="L17" s="139"/>
    </row>
    <row r="18" spans="1:12">
      <c r="A18" s="66">
        <v>1983</v>
      </c>
      <c r="B18" s="56" t="s">
        <v>22</v>
      </c>
      <c r="C18" s="56">
        <f t="shared" si="1"/>
        <v>603.29999999999995</v>
      </c>
      <c r="D18" s="56">
        <v>144.5</v>
      </c>
      <c r="E18" s="56">
        <v>222.5</v>
      </c>
      <c r="F18" s="56">
        <v>236.3</v>
      </c>
      <c r="G18" s="147" t="str">
        <f>IFERROR('600a'!L18/'600'!B18,"..")</f>
        <v>..</v>
      </c>
      <c r="H18" s="147">
        <f>'600a'!M18/'600'!C18</f>
        <v>31.448331784859569</v>
      </c>
      <c r="I18" s="147">
        <f>'600a'!N18/'600'!D18</f>
        <v>27.17406081273089</v>
      </c>
      <c r="J18" s="147">
        <f>'600a'!O18/'600'!E18</f>
        <v>21.851947508362638</v>
      </c>
      <c r="K18" s="147">
        <f>'600a'!P18/'600'!F18</f>
        <v>45.522558319819943</v>
      </c>
      <c r="L18" s="139"/>
    </row>
    <row r="19" spans="1:12">
      <c r="A19" s="66">
        <v>1984</v>
      </c>
      <c r="B19" s="56" t="s">
        <v>22</v>
      </c>
      <c r="C19" s="56">
        <f t="shared" si="1"/>
        <v>605</v>
      </c>
      <c r="D19" s="56">
        <v>147.9</v>
      </c>
      <c r="E19" s="56">
        <v>219.1</v>
      </c>
      <c r="F19" s="56">
        <v>238</v>
      </c>
      <c r="G19" s="147" t="str">
        <f>IFERROR('600a'!L19/'600'!B19,"..")</f>
        <v>..</v>
      </c>
      <c r="H19" s="147">
        <f>'600a'!M19/'600'!C19</f>
        <v>34.452438655419179</v>
      </c>
      <c r="I19" s="147">
        <f>'600a'!N19/'600'!D19</f>
        <v>29.262180021100566</v>
      </c>
      <c r="J19" s="147">
        <f>'600a'!O19/'600'!E19</f>
        <v>24.014254706101649</v>
      </c>
      <c r="K19" s="147">
        <f>'600a'!P19/'600'!F19</f>
        <v>47.75320238714955</v>
      </c>
      <c r="L19" s="139"/>
    </row>
    <row r="20" spans="1:12">
      <c r="A20" s="66">
        <v>1985</v>
      </c>
      <c r="B20" s="56" t="s">
        <v>22</v>
      </c>
      <c r="C20" s="56">
        <f t="shared" si="1"/>
        <v>597.19999999999993</v>
      </c>
      <c r="D20" s="56">
        <v>141.6</v>
      </c>
      <c r="E20" s="56">
        <v>223.7</v>
      </c>
      <c r="F20" s="56">
        <v>231.9</v>
      </c>
      <c r="G20" s="147" t="str">
        <f>IFERROR('600a'!L20/'600'!B20,"..")</f>
        <v>..</v>
      </c>
      <c r="H20" s="147">
        <f>'600a'!M20/'600'!C20</f>
        <v>35.853322564530259</v>
      </c>
      <c r="I20" s="147">
        <f>'600a'!N20/'600'!D20</f>
        <v>30.412978656622727</v>
      </c>
      <c r="J20" s="147">
        <f>'600a'!O20/'600'!E20</f>
        <v>25.459221899558777</v>
      </c>
      <c r="K20" s="147">
        <f>'600a'!P20/'600'!F20</f>
        <v>49.837650307005994</v>
      </c>
      <c r="L20" s="139"/>
    </row>
    <row r="21" spans="1:12">
      <c r="A21" s="66">
        <v>1986</v>
      </c>
      <c r="B21" s="56" t="s">
        <v>22</v>
      </c>
      <c r="C21" s="56">
        <f t="shared" si="1"/>
        <v>617.6</v>
      </c>
      <c r="D21" s="56">
        <v>141.5</v>
      </c>
      <c r="E21" s="56">
        <v>234.7</v>
      </c>
      <c r="F21" s="56">
        <v>241.4</v>
      </c>
      <c r="G21" s="147" t="str">
        <f>IFERROR('600a'!L21/'600'!B21,"..")</f>
        <v>..</v>
      </c>
      <c r="H21" s="147">
        <f>'600a'!M21/'600'!C21</f>
        <v>36.090896450123168</v>
      </c>
      <c r="I21" s="147">
        <f>'600a'!N21/'600'!D21</f>
        <v>30.43447192775815</v>
      </c>
      <c r="J21" s="147">
        <f>'600a'!O21/'600'!E21</f>
        <v>25.044058193503488</v>
      </c>
      <c r="K21" s="147">
        <f>'600a'!P21/'600'!F21</f>
        <v>50.794023249334636</v>
      </c>
      <c r="L21" s="139"/>
    </row>
    <row r="22" spans="1:12">
      <c r="A22" s="66">
        <v>1987</v>
      </c>
      <c r="B22" s="56" t="s">
        <v>22</v>
      </c>
      <c r="C22" s="56">
        <f t="shared" si="1"/>
        <v>660.8</v>
      </c>
      <c r="D22" s="56">
        <v>152</v>
      </c>
      <c r="E22" s="56">
        <v>256.10000000000002</v>
      </c>
      <c r="F22" s="56">
        <v>252.7</v>
      </c>
      <c r="G22" s="147" t="str">
        <f>IFERROR('600a'!L22/'600'!B22,"..")</f>
        <v>..</v>
      </c>
      <c r="H22" s="147">
        <f>'600a'!M22/'600'!C22</f>
        <v>36.98839618923521</v>
      </c>
      <c r="I22" s="147">
        <f>'600a'!N22/'600'!D22</f>
        <v>32.520312738367657</v>
      </c>
      <c r="J22" s="147">
        <f>'600a'!O22/'600'!E22</f>
        <v>26.070949742317971</v>
      </c>
      <c r="K22" s="147">
        <f>'600a'!P22/'600'!F22</f>
        <v>50.866448112596338</v>
      </c>
      <c r="L22" s="139"/>
    </row>
    <row r="23" spans="1:12">
      <c r="A23" s="66">
        <v>1988</v>
      </c>
      <c r="B23" s="56" t="s">
        <v>22</v>
      </c>
      <c r="C23" s="56">
        <f t="shared" si="1"/>
        <v>656</v>
      </c>
      <c r="D23" s="56">
        <v>148.30000000000001</v>
      </c>
      <c r="E23" s="56">
        <v>257.3</v>
      </c>
      <c r="F23" s="56">
        <v>250.4</v>
      </c>
      <c r="G23" s="147" t="str">
        <f>IFERROR('600a'!L23/'600'!B23,"..")</f>
        <v>..</v>
      </c>
      <c r="H23" s="147">
        <f>'600a'!M23/'600'!C23</f>
        <v>38.137510474664332</v>
      </c>
      <c r="I23" s="147">
        <f>'600a'!N23/'600'!D23</f>
        <v>33.620261840309333</v>
      </c>
      <c r="J23" s="147">
        <f>'600a'!O23/'600'!E23</f>
        <v>27.013948727685921</v>
      </c>
      <c r="K23" s="147">
        <f>'600a'!P23/'600'!F23</f>
        <v>52.612219121971208</v>
      </c>
      <c r="L23" s="139"/>
    </row>
    <row r="24" spans="1:12">
      <c r="A24" s="66">
        <v>1989</v>
      </c>
      <c r="B24" s="56" t="s">
        <v>22</v>
      </c>
      <c r="C24" s="56">
        <f t="shared" si="1"/>
        <v>654.4</v>
      </c>
      <c r="D24" s="56">
        <v>149</v>
      </c>
      <c r="E24" s="56">
        <v>255.7</v>
      </c>
      <c r="F24" s="56">
        <v>249.7</v>
      </c>
      <c r="G24" s="147" t="str">
        <f>IFERROR('600a'!L24/'600'!B24,"..")</f>
        <v>..</v>
      </c>
      <c r="H24" s="147">
        <f>'600a'!M24/'600'!C24</f>
        <v>37.909156731826954</v>
      </c>
      <c r="I24" s="147">
        <f>'600a'!N24/'600'!D24</f>
        <v>33.210987906494182</v>
      </c>
      <c r="J24" s="147">
        <f>'600a'!O24/'600'!E24</f>
        <v>26.959806786937222</v>
      </c>
      <c r="K24" s="147">
        <f>'600a'!P24/'600'!F24</f>
        <v>52.118644585892461</v>
      </c>
      <c r="L24" s="139"/>
    </row>
    <row r="25" spans="1:12">
      <c r="A25" s="66">
        <v>1990</v>
      </c>
      <c r="B25" s="56" t="s">
        <v>22</v>
      </c>
      <c r="C25" s="56">
        <f t="shared" si="1"/>
        <v>604.29999999999995</v>
      </c>
      <c r="D25" s="56">
        <v>134.5</v>
      </c>
      <c r="E25" s="56">
        <v>230.2</v>
      </c>
      <c r="F25" s="56">
        <v>239.6</v>
      </c>
      <c r="G25" s="147" t="str">
        <f>IFERROR('600a'!L25/'600'!B25,"..")</f>
        <v>..</v>
      </c>
      <c r="H25" s="147">
        <f>'600a'!M25/'600'!C25</f>
        <v>38.804569111454434</v>
      </c>
      <c r="I25" s="147">
        <f>'600a'!N25/'600'!D25</f>
        <v>33.2912041377081</v>
      </c>
      <c r="J25" s="147">
        <f>'600a'!O25/'600'!E25</f>
        <v>28.161357200177736</v>
      </c>
      <c r="K25" s="147">
        <f>'600a'!P25/'600'!F25</f>
        <v>52.444983434780688</v>
      </c>
      <c r="L25" s="139"/>
    </row>
    <row r="26" spans="1:12">
      <c r="A26" s="66">
        <v>1991</v>
      </c>
      <c r="B26" s="56" t="s">
        <v>22</v>
      </c>
      <c r="C26" s="56">
        <f t="shared" si="1"/>
        <v>558.29999999999995</v>
      </c>
      <c r="D26" s="56">
        <v>131.80000000000001</v>
      </c>
      <c r="E26" s="56">
        <v>198</v>
      </c>
      <c r="F26" s="56">
        <v>228.5</v>
      </c>
      <c r="G26" s="147" t="str">
        <f>IFERROR('600a'!L26/'600'!B26,"..")</f>
        <v>..</v>
      </c>
      <c r="H26" s="147">
        <f>'600a'!M26/'600'!C26</f>
        <v>39.036898921414547</v>
      </c>
      <c r="I26" s="147">
        <f>'600a'!N26/'600'!D26</f>
        <v>31.010179381730477</v>
      </c>
      <c r="J26" s="147">
        <f>'600a'!O26/'600'!E26</f>
        <v>29.628420078649082</v>
      </c>
      <c r="K26" s="147">
        <f>'600a'!P26/'600'!F26</f>
        <v>53.451444104490619</v>
      </c>
      <c r="L26" s="139"/>
    </row>
    <row r="27" spans="1:12">
      <c r="A27" s="66">
        <v>1992</v>
      </c>
      <c r="B27" s="56" t="s">
        <v>22</v>
      </c>
      <c r="C27" s="56">
        <f t="shared" si="1"/>
        <v>554</v>
      </c>
      <c r="D27" s="56">
        <v>124.8</v>
      </c>
      <c r="E27" s="56">
        <v>209.1</v>
      </c>
      <c r="F27" s="56">
        <v>220.1</v>
      </c>
      <c r="G27" s="147" t="str">
        <f>IFERROR('600a'!L27/'600'!B27,"..")</f>
        <v>..</v>
      </c>
      <c r="H27" s="147">
        <f>'600a'!M27/'600'!C27</f>
        <v>39.263595240402104</v>
      </c>
      <c r="I27" s="147">
        <f>'600a'!N27/'600'!D27</f>
        <v>34.33556995540691</v>
      </c>
      <c r="J27" s="147">
        <f>'600a'!O27/'600'!E27</f>
        <v>29.747675424666241</v>
      </c>
      <c r="K27" s="147">
        <f>'600a'!P27/'600'!F27</f>
        <v>56.364125015580214</v>
      </c>
      <c r="L27" s="139"/>
    </row>
    <row r="28" spans="1:12">
      <c r="A28" s="66">
        <v>1993</v>
      </c>
      <c r="B28" s="56" t="s">
        <v>22</v>
      </c>
      <c r="C28" s="56">
        <f t="shared" si="1"/>
        <v>575.20000000000005</v>
      </c>
      <c r="D28" s="56">
        <v>130.9</v>
      </c>
      <c r="E28" s="56">
        <v>232.2</v>
      </c>
      <c r="F28" s="56">
        <v>212.1</v>
      </c>
      <c r="G28" s="147" t="str">
        <f>IFERROR('600a'!L28/'600'!B28,"..")</f>
        <v>..</v>
      </c>
      <c r="H28" s="147">
        <f>'600a'!M28/'600'!C28</f>
        <v>37.634649420336864</v>
      </c>
      <c r="I28" s="147">
        <f>'600a'!N28/'600'!D28</f>
        <v>34.697195558065125</v>
      </c>
      <c r="J28" s="147">
        <f>'600a'!O28/'600'!E28</f>
        <v>28.410324082292838</v>
      </c>
      <c r="K28" s="147">
        <f>'600a'!P28/'600'!F28</f>
        <v>61.433441605854661</v>
      </c>
      <c r="L28" s="139"/>
    </row>
    <row r="29" spans="1:12">
      <c r="A29" s="66">
        <v>1994</v>
      </c>
      <c r="B29" s="56" t="s">
        <v>22</v>
      </c>
      <c r="C29" s="56">
        <f t="shared" si="1"/>
        <v>609.1</v>
      </c>
      <c r="D29" s="56">
        <v>137.1</v>
      </c>
      <c r="E29" s="56">
        <v>255.5</v>
      </c>
      <c r="F29" s="56">
        <v>216.5</v>
      </c>
      <c r="G29" s="147" t="str">
        <f>IFERROR('600a'!L29/'600'!B29,"..")</f>
        <v>..</v>
      </c>
      <c r="H29" s="147">
        <f>'600a'!M29/'600'!C29</f>
        <v>38.685638419465455</v>
      </c>
      <c r="I29" s="147">
        <f>'600a'!N29/'600'!D29</f>
        <v>37.030117302156128</v>
      </c>
      <c r="J29" s="147">
        <f>'600a'!O29/'600'!E29</f>
        <v>27.695636455983625</v>
      </c>
      <c r="K29" s="147">
        <f>'600a'!P29/'600'!F29</f>
        <v>65.064767315906721</v>
      </c>
      <c r="L29" s="139"/>
    </row>
    <row r="30" spans="1:12">
      <c r="A30" s="66">
        <v>1995</v>
      </c>
      <c r="B30" s="56">
        <v>23913.451786225029</v>
      </c>
      <c r="C30" s="56">
        <f t="shared" si="1"/>
        <v>644.90000000000009</v>
      </c>
      <c r="D30" s="56">
        <v>158.6</v>
      </c>
      <c r="E30" s="56">
        <v>259.10000000000002</v>
      </c>
      <c r="F30" s="56">
        <v>227.2</v>
      </c>
      <c r="G30" s="147">
        <f>IFERROR('600a'!L30/'600'!B30,"..")</f>
        <v>31.391232769667276</v>
      </c>
      <c r="H30" s="147">
        <f>'600a'!M30/'600'!C30</f>
        <v>42.61637463172584</v>
      </c>
      <c r="I30" s="147">
        <f>'600a'!N30/'600'!D30</f>
        <v>34.911097099621692</v>
      </c>
      <c r="J30" s="147">
        <f>'600a'!O30/'600'!E30</f>
        <v>28.852566576611345</v>
      </c>
      <c r="K30" s="147">
        <f>'600a'!P30/'600'!F30</f>
        <v>63.691461267605639</v>
      </c>
      <c r="L30" s="139"/>
    </row>
    <row r="31" spans="1:12">
      <c r="A31" s="66">
        <v>1996</v>
      </c>
      <c r="B31" s="56">
        <v>24254.727082651665</v>
      </c>
      <c r="C31" s="56">
        <f t="shared" si="1"/>
        <v>625.09999999999991</v>
      </c>
      <c r="D31" s="56">
        <v>138.9</v>
      </c>
      <c r="E31" s="56">
        <v>267.39999999999998</v>
      </c>
      <c r="F31" s="56">
        <v>218.8</v>
      </c>
      <c r="G31" s="147">
        <f>IFERROR('600a'!L31/'600'!B31,"..")</f>
        <v>31.379030170999844</v>
      </c>
      <c r="H31" s="147">
        <f>'600a'!M31/'600'!C31</f>
        <v>44.001273534112975</v>
      </c>
      <c r="I31" s="147">
        <f>'600a'!N31/'600'!D31</f>
        <v>39.70843306448527</v>
      </c>
      <c r="J31" s="147">
        <f>'600a'!O31/'600'!E31</f>
        <v>28.981371647815834</v>
      </c>
      <c r="K31" s="147">
        <f>'600a'!P31/'600'!F31</f>
        <v>66.13665447897624</v>
      </c>
      <c r="L31" s="139"/>
    </row>
    <row r="32" spans="1:12">
      <c r="A32" s="66">
        <v>1997</v>
      </c>
      <c r="B32" s="56">
        <v>24972.061000000002</v>
      </c>
      <c r="C32" s="56">
        <f t="shared" si="1"/>
        <v>631.29999999999995</v>
      </c>
      <c r="D32" s="56">
        <v>137.6</v>
      </c>
      <c r="E32" s="56">
        <v>279.2</v>
      </c>
      <c r="F32" s="56">
        <v>214.5</v>
      </c>
      <c r="G32" s="147">
        <f>IFERROR('600a'!L32/'600'!B32,"..")</f>
        <v>31.650598665922637</v>
      </c>
      <c r="H32" s="147">
        <f>'600a'!M32/'600'!C32</f>
        <v>45.091596329524954</v>
      </c>
      <c r="I32" s="147">
        <f>'600a'!N32/'600'!D32</f>
        <v>41.01666596449838</v>
      </c>
      <c r="J32" s="147">
        <f>'600a'!O32/'600'!E32</f>
        <v>31.476459458868302</v>
      </c>
      <c r="K32" s="147">
        <f>'600a'!P32/'600'!F32</f>
        <v>69.104256657796469</v>
      </c>
      <c r="L32" s="139"/>
    </row>
    <row r="33" spans="1:12">
      <c r="A33" s="66">
        <v>1998</v>
      </c>
      <c r="B33" s="56">
        <v>25524.080999999998</v>
      </c>
      <c r="C33" s="56">
        <f t="shared" si="1"/>
        <v>598.80000000000007</v>
      </c>
      <c r="D33" s="56">
        <v>129.80000000000001</v>
      </c>
      <c r="E33" s="56">
        <v>267.60000000000002</v>
      </c>
      <c r="F33" s="56">
        <v>201.4</v>
      </c>
      <c r="G33" s="147">
        <f>IFERROR('600a'!L33/'600'!B33,"..")</f>
        <v>32.166357802659711</v>
      </c>
      <c r="H33" s="147">
        <f>'600a'!M33/'600'!C33</f>
        <v>47.249011522003585</v>
      </c>
      <c r="I33" s="147">
        <f>'600a'!N33/'600'!D33</f>
        <v>42.368662304697679</v>
      </c>
      <c r="J33" s="147">
        <f>'600a'!O33/'600'!E33</f>
        <v>33.821872111731075</v>
      </c>
      <c r="K33" s="147">
        <f>'600a'!P33/'600'!F33</f>
        <v>70.101970937947655</v>
      </c>
      <c r="L33" s="139"/>
    </row>
    <row r="34" spans="1:12">
      <c r="A34" s="66">
        <v>1999</v>
      </c>
      <c r="B34" s="56">
        <v>26167.659</v>
      </c>
      <c r="C34" s="56">
        <f>SUM(D34:F34)</f>
        <v>642.4</v>
      </c>
      <c r="D34" s="56">
        <v>140.19999999999999</v>
      </c>
      <c r="E34" s="56">
        <v>292.2</v>
      </c>
      <c r="F34" s="56">
        <v>210</v>
      </c>
      <c r="G34" s="147">
        <f>IFERROR('600a'!L34/'600'!B34,"..")</f>
        <v>33.137574432477727</v>
      </c>
      <c r="H34" s="147">
        <f>'600a'!M34/'600'!C34</f>
        <v>45.986935108487621</v>
      </c>
      <c r="I34" s="147">
        <f>'600a'!N34/'600'!D34</f>
        <v>43.079659148076949</v>
      </c>
      <c r="J34" s="147">
        <f>'600a'!O34/'600'!E34</f>
        <v>33.161796009216744</v>
      </c>
      <c r="K34" s="147">
        <f>'600a'!P34/'600'!F34</f>
        <v>73.634092920353979</v>
      </c>
      <c r="L34" s="139"/>
    </row>
    <row r="35" spans="1:12">
      <c r="A35" s="66">
        <v>2000</v>
      </c>
      <c r="B35" s="56">
        <v>26709.974999999999</v>
      </c>
      <c r="C35" s="56">
        <f t="shared" si="1"/>
        <v>635</v>
      </c>
      <c r="D35" s="56">
        <v>133.30000000000001</v>
      </c>
      <c r="E35" s="56">
        <v>294.89999999999998</v>
      </c>
      <c r="F35" s="56">
        <v>206.8</v>
      </c>
      <c r="G35" s="147">
        <f>IFERROR('600a'!L35/'600'!B35,"..")</f>
        <v>34.191833283341857</v>
      </c>
      <c r="H35" s="147">
        <f>'600a'!M35/'600'!C35</f>
        <v>51.598517721931351</v>
      </c>
      <c r="I35" s="147">
        <f>'600a'!N35/'600'!D35</f>
        <v>43.062169165479766</v>
      </c>
      <c r="J35" s="147">
        <f>'600a'!O35/'600'!E35</f>
        <v>37.734657109797858</v>
      </c>
      <c r="K35" s="147">
        <f>'600a'!P35/'600'!F35</f>
        <v>78.101925570428449</v>
      </c>
      <c r="L35" s="139"/>
    </row>
    <row r="36" spans="1:12">
      <c r="A36" s="66">
        <v>2001</v>
      </c>
      <c r="B36" s="56">
        <v>26868.101999999999</v>
      </c>
      <c r="C36" s="56">
        <f t="shared" si="1"/>
        <v>586.79999999999995</v>
      </c>
      <c r="D36" s="56">
        <v>119.4</v>
      </c>
      <c r="E36" s="56">
        <v>261.10000000000002</v>
      </c>
      <c r="F36" s="56">
        <v>206.3</v>
      </c>
      <c r="G36" s="147">
        <f>IFERROR('600a'!L36/'600'!B36,"..")</f>
        <v>34.477522045510469</v>
      </c>
      <c r="H36" s="147">
        <f>'600a'!M36/'600'!C36</f>
        <v>53.123663573898838</v>
      </c>
      <c r="I36" s="147">
        <f>'600a'!N36/'600'!D36</f>
        <v>43.415597310222616</v>
      </c>
      <c r="J36" s="147">
        <f>'600a'!O36/'600'!E36</f>
        <v>40.696154554570931</v>
      </c>
      <c r="K36" s="147">
        <f>'600a'!P36/'600'!F36</f>
        <v>75.808245466907465</v>
      </c>
      <c r="L36" s="139"/>
    </row>
    <row r="37" spans="1:12">
      <c r="A37" s="66">
        <v>2002</v>
      </c>
      <c r="B37" s="56">
        <v>27201.949000000001</v>
      </c>
      <c r="C37" s="56">
        <f t="shared" si="1"/>
        <v>571.70000000000005</v>
      </c>
      <c r="D37" s="56">
        <v>121</v>
      </c>
      <c r="E37" s="56">
        <v>256.5</v>
      </c>
      <c r="F37" s="56">
        <v>194.2</v>
      </c>
      <c r="G37" s="147">
        <f>IFERROR('600a'!L37/'600'!B37,"..")</f>
        <v>34.964577533870049</v>
      </c>
      <c r="H37" s="147">
        <f>'600a'!M37/'600'!C37</f>
        <v>55.535403154373725</v>
      </c>
      <c r="I37" s="147">
        <f>'600a'!N37/'600'!D37</f>
        <v>44.212081287180112</v>
      </c>
      <c r="J37" s="147">
        <f>'600a'!O37/'600'!E37</f>
        <v>44.496227846971117</v>
      </c>
      <c r="K37" s="147">
        <f>'600a'!P37/'600'!F37</f>
        <v>82.427453678809385</v>
      </c>
      <c r="L37" s="139"/>
    </row>
    <row r="38" spans="1:12">
      <c r="A38" s="66">
        <v>2003</v>
      </c>
      <c r="B38" s="56">
        <v>27611.261999999999</v>
      </c>
      <c r="C38" s="56">
        <f t="shared" si="1"/>
        <v>572.5</v>
      </c>
      <c r="D38" s="56">
        <v>122.8</v>
      </c>
      <c r="E38" s="56">
        <v>254</v>
      </c>
      <c r="F38" s="56">
        <v>195.7</v>
      </c>
      <c r="G38" s="147">
        <f>IFERROR('600a'!L38/'600'!B38,"..")</f>
        <v>35.175074199081486</v>
      </c>
      <c r="H38" s="147">
        <f>'600a'!M38/'600'!C38</f>
        <v>55.455166799424504</v>
      </c>
      <c r="I38" s="147">
        <f>'600a'!N38/'600'!D38</f>
        <v>43.302637334969873</v>
      </c>
      <c r="J38" s="147">
        <f>'600a'!O38/'600'!E38</f>
        <v>45.428458856765033</v>
      </c>
      <c r="K38" s="147">
        <f>'600a'!P38/'600'!F38</f>
        <v>83.022599269244509</v>
      </c>
      <c r="L38" s="139"/>
    </row>
    <row r="39" spans="1:12">
      <c r="A39" s="66">
        <v>2004</v>
      </c>
      <c r="B39" s="56">
        <v>28349.86</v>
      </c>
      <c r="C39" s="56">
        <f t="shared" si="1"/>
        <v>576.4</v>
      </c>
      <c r="D39" s="56">
        <v>117.4</v>
      </c>
      <c r="E39" s="56">
        <v>257.89999999999998</v>
      </c>
      <c r="F39" s="56">
        <v>201.1</v>
      </c>
      <c r="G39" s="147">
        <f>'600a'!L39/'600'!B39</f>
        <v>35.314031656351361</v>
      </c>
      <c r="H39" s="147">
        <f>'600a'!M39/'600'!C39</f>
        <v>55.51193009522671</v>
      </c>
      <c r="I39" s="147">
        <f>'600a'!N39/'600'!D39</f>
        <v>49.395514735534007</v>
      </c>
      <c r="J39" s="147">
        <f>'600a'!O39/'600'!E39</f>
        <v>46.423161234752811</v>
      </c>
      <c r="K39" s="147">
        <f>'600a'!P39/'600'!F39</f>
        <v>81.032048291916595</v>
      </c>
      <c r="L39" s="139"/>
    </row>
    <row r="40" spans="1:12">
      <c r="A40" s="66">
        <v>2005</v>
      </c>
      <c r="B40" s="56">
        <v>28533.803</v>
      </c>
      <c r="C40" s="56">
        <f>SUM(D40:F40)</f>
        <v>559.20000000000005</v>
      </c>
      <c r="D40" s="56">
        <v>113.3</v>
      </c>
      <c r="E40" s="56">
        <v>250.7</v>
      </c>
      <c r="F40" s="56">
        <v>195.2</v>
      </c>
      <c r="G40" s="147">
        <f>'600a'!L40/'600'!B40</f>
        <v>36.136820318189883</v>
      </c>
      <c r="H40" s="147">
        <f>'600a'!M40/'600'!C40</f>
        <v>58.463902967355018</v>
      </c>
      <c r="I40" s="147">
        <f>'600a'!N40/'600'!D40</f>
        <v>51.702380495542165</v>
      </c>
      <c r="J40" s="147">
        <f>'600a'!O40/'600'!E40</f>
        <v>49.304287536881453</v>
      </c>
      <c r="K40" s="147">
        <f>'600a'!P40/'600'!F40</f>
        <v>79.217005703249669</v>
      </c>
      <c r="L40" s="139"/>
    </row>
    <row r="41" spans="1:12">
      <c r="A41" s="66">
        <v>2006</v>
      </c>
      <c r="B41" s="56">
        <v>28986.531999999999</v>
      </c>
      <c r="C41" s="56">
        <f t="shared" si="1"/>
        <v>526.5</v>
      </c>
      <c r="D41" s="56">
        <v>106.2</v>
      </c>
      <c r="E41" s="56">
        <v>233.9</v>
      </c>
      <c r="F41" s="56">
        <v>186.4</v>
      </c>
      <c r="G41" s="147">
        <f>'600a'!L41/'600'!B41</f>
        <v>36.577036423113434</v>
      </c>
      <c r="H41" s="147">
        <f>'600a'!M41/'600'!C41</f>
        <v>60.124814743387375</v>
      </c>
      <c r="I41" s="147">
        <f>'600a'!N41/'600'!D41</f>
        <v>52.992883721353387</v>
      </c>
      <c r="J41" s="147">
        <f>'600a'!O41/'600'!E41</f>
        <v>51.869684637200599</v>
      </c>
      <c r="K41" s="147">
        <f>'600a'!P41/'600'!F41</f>
        <v>77.203127373808357</v>
      </c>
      <c r="L41" s="139"/>
    </row>
    <row r="42" spans="1:12">
      <c r="A42" s="66">
        <v>2007</v>
      </c>
      <c r="B42" s="56">
        <v>29625.119999999999</v>
      </c>
      <c r="C42" s="56">
        <f t="shared" si="1"/>
        <v>488.5</v>
      </c>
      <c r="D42" s="56">
        <v>101.3</v>
      </c>
      <c r="E42" s="56">
        <v>205.7</v>
      </c>
      <c r="F42" s="56">
        <v>181.5</v>
      </c>
      <c r="G42" s="147">
        <f>'600a'!L42/'600'!B42</f>
        <v>36.617012000694977</v>
      </c>
      <c r="H42" s="147">
        <f>'600a'!M42/'600'!C42</f>
        <v>60.103783620740209</v>
      </c>
      <c r="I42" s="147">
        <f>'600a'!N42/'600'!D42</f>
        <v>49.799912251837242</v>
      </c>
      <c r="J42" s="147">
        <f>'600a'!O42/'600'!E42</f>
        <v>52.433407430223362</v>
      </c>
      <c r="K42" s="147">
        <f>'600a'!P42/'600'!F42</f>
        <v>78.846423608571641</v>
      </c>
      <c r="L42" s="139"/>
    </row>
    <row r="43" spans="1:12">
      <c r="A43" s="66">
        <v>2008</v>
      </c>
      <c r="B43" s="56">
        <v>29953.588</v>
      </c>
      <c r="C43" s="56">
        <f t="shared" si="1"/>
        <v>426.3</v>
      </c>
      <c r="D43" s="56">
        <v>76.2</v>
      </c>
      <c r="E43" s="56">
        <v>180.9</v>
      </c>
      <c r="F43" s="56">
        <v>169.2</v>
      </c>
      <c r="G43" s="147">
        <f>'600a'!L43/'600'!B43</f>
        <v>36.536486114740896</v>
      </c>
      <c r="H43" s="147">
        <f>'600a'!M43/'600'!C43</f>
        <v>61.790458652883324</v>
      </c>
      <c r="I43" s="147">
        <f>'600a'!N43/'600'!D43</f>
        <v>57.498333903914173</v>
      </c>
      <c r="J43" s="147">
        <f>'600a'!O43/'600'!E43</f>
        <v>52.11371640525109</v>
      </c>
      <c r="K43" s="147">
        <f>'600a'!P43/'600'!F43</f>
        <v>77.104257541998791</v>
      </c>
      <c r="L43" s="139"/>
    </row>
    <row r="44" spans="1:12">
      <c r="A44" s="66"/>
      <c r="B44" s="56"/>
      <c r="C44" s="56"/>
      <c r="D44" s="56"/>
      <c r="E44" s="56"/>
      <c r="F44" s="56"/>
      <c r="G44" s="56"/>
      <c r="H44" s="56"/>
      <c r="I44" s="56"/>
      <c r="J44" s="56"/>
      <c r="K44" s="56"/>
      <c r="L44" s="139"/>
    </row>
    <row r="45" spans="1:12">
      <c r="A45" s="66" t="s">
        <v>23</v>
      </c>
      <c r="B45" s="56"/>
      <c r="C45" s="56"/>
      <c r="D45" s="56"/>
      <c r="E45" s="56"/>
      <c r="F45" s="56"/>
      <c r="G45" s="56"/>
      <c r="H45" s="56"/>
      <c r="I45" s="56"/>
      <c r="J45" s="56"/>
      <c r="K45" s="56"/>
      <c r="L45" s="139"/>
    </row>
    <row r="46" spans="1:12">
      <c r="A46" s="66" t="s">
        <v>1946</v>
      </c>
      <c r="B46" s="147" t="s">
        <v>22</v>
      </c>
      <c r="C46" s="147">
        <f>((C42/C5)^(1/37)-1)*100</f>
        <v>-0.89270023097114404</v>
      </c>
      <c r="D46" s="147">
        <f>((D42/D5)^(1/37)-1)*100</f>
        <v>-1.6217555350732105</v>
      </c>
      <c r="E46" s="147">
        <f>((E42/E5)^(1/37)-1)*100</f>
        <v>-0.21680367770254838</v>
      </c>
      <c r="F46" s="147">
        <f>((F42/F5)^(1/37)-1)*100</f>
        <v>-1.0903599708756317</v>
      </c>
      <c r="G46" s="147" t="s">
        <v>22</v>
      </c>
      <c r="H46" s="147">
        <f>((H42/H5)^(1/37)-1)*100</f>
        <v>2.841390744200667</v>
      </c>
      <c r="I46" s="147">
        <f>((I42/I5)^(1/37)-1)*100</f>
        <v>3.1762242104878435</v>
      </c>
      <c r="J46" s="147">
        <f>((J42/J5)^(1/37)-1)*100</f>
        <v>3.478211052983049</v>
      </c>
      <c r="K46" s="147">
        <f>((K42/K5)^(1/37)-1)*100</f>
        <v>2.52031367953931</v>
      </c>
      <c r="L46" s="139"/>
    </row>
    <row r="47" spans="1:12">
      <c r="A47" s="66" t="s">
        <v>2140</v>
      </c>
      <c r="B47" s="147" t="s">
        <v>22</v>
      </c>
      <c r="C47" s="147">
        <f>((C25/C5)^(1/20)-1)*100</f>
        <v>-0.59348645535594047</v>
      </c>
      <c r="D47" s="147">
        <f>((D25/D5)^(1/20)-1)*100</f>
        <v>-1.5946028304769544</v>
      </c>
      <c r="E47" s="147">
        <f>((E25/E5)^(1/20)-1)*100</f>
        <v>0.16125615761606316</v>
      </c>
      <c r="F47" s="147">
        <f>((F25/F5)^(1/20)-1)*100</f>
        <v>-0.63762614886678781</v>
      </c>
      <c r="G47" s="147" t="s">
        <v>22</v>
      </c>
      <c r="H47" s="147">
        <f>((H25/H5)^(1/20)-1)*100</f>
        <v>3.0409237923744392</v>
      </c>
      <c r="I47" s="147">
        <f>((I25/I5)^(1/20)-1)*100</f>
        <v>3.8430326614084187</v>
      </c>
      <c r="J47" s="147">
        <f>((J25/J5)^(1/20)-1)*100</f>
        <v>3.2696635510619076</v>
      </c>
      <c r="K47" s="147">
        <f>((K25/K5)^(1/20)-1)*100</f>
        <v>2.5993150307794366</v>
      </c>
      <c r="L47" s="139"/>
    </row>
    <row r="48" spans="1:12">
      <c r="A48" s="66" t="s">
        <v>660</v>
      </c>
      <c r="B48" s="147" t="s">
        <v>22</v>
      </c>
      <c r="C48" s="147">
        <f>((C35/C25)^(1/10)-1)*100</f>
        <v>0.496772197004125</v>
      </c>
      <c r="D48" s="147">
        <f>((D35/D25)^(1/10)-1)*100</f>
        <v>-8.957957209647649E-2</v>
      </c>
      <c r="E48" s="147">
        <f>((E35/E25)^(1/10)-1)*100</f>
        <v>2.5078076570531183</v>
      </c>
      <c r="F48" s="147">
        <f>((F35/F25)^(1/10)-1)*100</f>
        <v>-1.4614035433539674</v>
      </c>
      <c r="G48" s="147" t="s">
        <v>22</v>
      </c>
      <c r="H48" s="147">
        <f>((H35/H25)^(1/10)-1)*100</f>
        <v>2.8905375137755263</v>
      </c>
      <c r="I48" s="147">
        <f>((I35/I25)^(1/10)-1)*100</f>
        <v>2.6069172841909571</v>
      </c>
      <c r="J48" s="147">
        <f>((J35/J25)^(1/10)-1)*100</f>
        <v>2.9695186775140714</v>
      </c>
      <c r="K48" s="147">
        <f>((K35/K25)^(1/10)-1)*100</f>
        <v>4.0628650967570623</v>
      </c>
      <c r="L48" s="139"/>
    </row>
    <row r="49" spans="1:12">
      <c r="A49" s="66" t="s">
        <v>588</v>
      </c>
      <c r="B49" s="147">
        <f>((B42/B35)^(1/7)-1)*100</f>
        <v>1.490796853735854</v>
      </c>
      <c r="C49" s="147">
        <f>((C42/C35)^(1/7)-1)*100</f>
        <v>-3.6776070569707886</v>
      </c>
      <c r="D49" s="147">
        <f t="shared" ref="D49:K49" si="2">((D42/D35)^(1/7)-1)*100</f>
        <v>-3.8457530741243584</v>
      </c>
      <c r="E49" s="147">
        <f t="shared" si="2"/>
        <v>-5.0158020502898086</v>
      </c>
      <c r="F49" s="147">
        <f t="shared" si="2"/>
        <v>-1.8469661656374092</v>
      </c>
      <c r="G49" s="147">
        <f t="shared" si="2"/>
        <v>0.98375188656680823</v>
      </c>
      <c r="H49" s="147">
        <f t="shared" si="2"/>
        <v>2.2036414034668717</v>
      </c>
      <c r="I49" s="147">
        <f t="shared" si="2"/>
        <v>2.098404067756654</v>
      </c>
      <c r="J49" s="147">
        <f t="shared" si="2"/>
        <v>4.8116764837992765</v>
      </c>
      <c r="K49" s="147">
        <f t="shared" si="2"/>
        <v>0.13562393975583564</v>
      </c>
      <c r="L49" s="139"/>
    </row>
    <row r="50" spans="1:12">
      <c r="B50" s="56"/>
      <c r="C50" s="56"/>
      <c r="D50" s="56"/>
      <c r="E50" s="56"/>
      <c r="F50" s="56"/>
      <c r="G50" s="56"/>
      <c r="H50" s="56"/>
      <c r="I50" s="56"/>
      <c r="J50" s="56"/>
      <c r="K50" s="56"/>
      <c r="L50" s="139"/>
    </row>
    <row r="52" spans="1:12" ht="30" customHeight="1">
      <c r="A52" s="104" t="s">
        <v>2037</v>
      </c>
      <c r="B52" s="104"/>
      <c r="C52" s="104"/>
      <c r="D52" s="104"/>
      <c r="E52" s="104"/>
      <c r="F52" s="104"/>
      <c r="G52" s="104"/>
      <c r="H52" s="104"/>
      <c r="I52" s="104"/>
      <c r="J52" s="104"/>
      <c r="K52" s="104"/>
    </row>
    <row r="53" spans="1:12">
      <c r="A53" s="157" t="s">
        <v>2038</v>
      </c>
      <c r="B53" s="157"/>
      <c r="C53" s="157"/>
      <c r="D53" s="157"/>
      <c r="E53" s="157"/>
      <c r="F53" s="157"/>
      <c r="G53" s="157"/>
      <c r="H53" s="157"/>
      <c r="I53" s="157"/>
      <c r="J53" s="157"/>
      <c r="K53" s="157"/>
    </row>
  </sheetData>
  <mergeCells count="9">
    <mergeCell ref="A53:K53"/>
    <mergeCell ref="A52:K52"/>
    <mergeCell ref="A2:A4"/>
    <mergeCell ref="B2:F2"/>
    <mergeCell ref="G2:K2"/>
    <mergeCell ref="B3:B4"/>
    <mergeCell ref="C3:F3"/>
    <mergeCell ref="G3:G4"/>
    <mergeCell ref="H3:K3"/>
  </mergeCells>
  <pageMargins left="0.7" right="0.7" top="0.75" bottom="0.75" header="0.3" footer="0.3"/>
  <pageSetup scale="56" orientation="landscape" horizontalDpi="0" verticalDpi="0" r:id="rId1"/>
</worksheet>
</file>

<file path=xl/worksheets/sheet144.xml><?xml version="1.0" encoding="utf-8"?>
<worksheet xmlns="http://schemas.openxmlformats.org/spreadsheetml/2006/main" xmlns:r="http://schemas.openxmlformats.org/officeDocument/2006/relationships">
  <sheetPr codeName="Sheet136"/>
  <dimension ref="A1:AG90"/>
  <sheetViews>
    <sheetView view="pageBreakPreview" zoomScale="85" zoomScaleNormal="85" zoomScaleSheetLayoutView="85" workbookViewId="0">
      <pane xSplit="1" ySplit="4" topLeftCell="B17"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Col="1"/>
  <cols>
    <col min="1" max="1" width="10.85546875" style="64" customWidth="1"/>
    <col min="2" max="16" width="10.7109375" style="64" customWidth="1"/>
    <col min="17" max="17" width="9.42578125" style="64" bestFit="1" customWidth="1"/>
    <col min="18" max="32" width="9.140625" style="64" hidden="1" customWidth="1" outlineLevel="1"/>
    <col min="33" max="33" width="9.140625" style="64" collapsed="1"/>
    <col min="34" max="16384" width="9.140625" style="64"/>
  </cols>
  <sheetData>
    <row r="1" spans="1:32">
      <c r="A1" s="108" t="s">
        <v>1930</v>
      </c>
      <c r="B1" s="108"/>
      <c r="C1" s="108"/>
      <c r="D1" s="108"/>
      <c r="E1" s="108"/>
      <c r="F1" s="108"/>
      <c r="G1" s="108"/>
      <c r="H1" s="108"/>
      <c r="I1" s="108"/>
      <c r="J1" s="108"/>
      <c r="K1" s="108"/>
      <c r="L1" s="108"/>
      <c r="M1" s="108"/>
      <c r="N1" s="108"/>
      <c r="O1" s="108"/>
      <c r="P1" s="108"/>
    </row>
    <row r="2" spans="1:32" ht="30" customHeight="1">
      <c r="A2" s="66"/>
      <c r="B2" s="98" t="s">
        <v>539</v>
      </c>
      <c r="C2" s="100"/>
      <c r="D2" s="100"/>
      <c r="E2" s="100"/>
      <c r="F2" s="99"/>
      <c r="G2" s="103" t="s">
        <v>530</v>
      </c>
      <c r="H2" s="103"/>
      <c r="I2" s="103"/>
      <c r="J2" s="103"/>
      <c r="K2" s="103"/>
      <c r="L2" s="103" t="s">
        <v>538</v>
      </c>
      <c r="M2" s="103"/>
      <c r="N2" s="103"/>
      <c r="O2" s="103"/>
      <c r="P2" s="103"/>
    </row>
    <row r="3" spans="1:32" ht="15" customHeight="1">
      <c r="A3" s="149"/>
      <c r="B3" s="97" t="s">
        <v>523</v>
      </c>
      <c r="C3" s="97" t="s">
        <v>37</v>
      </c>
      <c r="D3" s="97"/>
      <c r="E3" s="97"/>
      <c r="F3" s="97"/>
      <c r="G3" s="97" t="s">
        <v>523</v>
      </c>
      <c r="H3" s="97" t="s">
        <v>37</v>
      </c>
      <c r="I3" s="97"/>
      <c r="J3" s="97"/>
      <c r="K3" s="97"/>
      <c r="L3" s="97" t="s">
        <v>523</v>
      </c>
      <c r="M3" s="97" t="s">
        <v>37</v>
      </c>
      <c r="N3" s="97"/>
      <c r="O3" s="97"/>
      <c r="P3" s="97"/>
    </row>
    <row r="4" spans="1:32" ht="60">
      <c r="A4" s="149"/>
      <c r="B4" s="97"/>
      <c r="C4" s="73" t="s">
        <v>78</v>
      </c>
      <c r="D4" s="73" t="s">
        <v>522</v>
      </c>
      <c r="E4" s="73" t="s">
        <v>524</v>
      </c>
      <c r="F4" s="73" t="s">
        <v>525</v>
      </c>
      <c r="G4" s="97"/>
      <c r="H4" s="73" t="s">
        <v>78</v>
      </c>
      <c r="I4" s="73" t="s">
        <v>522</v>
      </c>
      <c r="J4" s="73" t="s">
        <v>524</v>
      </c>
      <c r="K4" s="73" t="s">
        <v>525</v>
      </c>
      <c r="L4" s="97"/>
      <c r="M4" s="73" t="s">
        <v>78</v>
      </c>
      <c r="N4" s="73" t="s">
        <v>522</v>
      </c>
      <c r="O4" s="73" t="s">
        <v>524</v>
      </c>
      <c r="P4" s="73" t="s">
        <v>525</v>
      </c>
      <c r="S4" s="97" t="s">
        <v>523</v>
      </c>
      <c r="T4" s="64" t="s">
        <v>2030</v>
      </c>
      <c r="U4" s="64" t="s">
        <v>2031</v>
      </c>
      <c r="V4" s="64" t="s">
        <v>2032</v>
      </c>
      <c r="X4" s="97" t="s">
        <v>523</v>
      </c>
      <c r="Y4" s="64" t="s">
        <v>2030</v>
      </c>
      <c r="Z4" s="64" t="s">
        <v>2031</v>
      </c>
      <c r="AA4" s="64" t="s">
        <v>2032</v>
      </c>
      <c r="AC4" s="97" t="s">
        <v>523</v>
      </c>
      <c r="AD4" s="64" t="s">
        <v>2030</v>
      </c>
      <c r="AE4" s="64" t="s">
        <v>2031</v>
      </c>
      <c r="AF4" s="64" t="s">
        <v>2032</v>
      </c>
    </row>
    <row r="5" spans="1:32">
      <c r="A5" s="66">
        <v>1970</v>
      </c>
      <c r="B5" s="150">
        <v>83221</v>
      </c>
      <c r="C5" s="30">
        <f t="shared" ref="C5:C35" si="0">SUM(D5:F5)</f>
        <v>2977.3999999999996</v>
      </c>
      <c r="D5" s="150">
        <v>712.9</v>
      </c>
      <c r="E5" s="150">
        <v>717.2</v>
      </c>
      <c r="F5" s="150">
        <v>1547.3</v>
      </c>
      <c r="G5" s="151" t="s">
        <v>22</v>
      </c>
      <c r="H5" s="28">
        <f>I5*(D5/C5)+J5*(E5/C5)+K5*(F5/C5)</f>
        <v>20.520759961098037</v>
      </c>
      <c r="I5" s="151">
        <f>(AD5/AD$30)*100</f>
        <v>24.541576359270785</v>
      </c>
      <c r="J5" s="151">
        <f>(AE5/AE$30)*100</f>
        <v>21.743621189632499</v>
      </c>
      <c r="K5" s="151">
        <f>(AF5/AF$30)*100</f>
        <v>18.101399731431993</v>
      </c>
      <c r="L5" s="30" t="str">
        <f>IFERROR(B5*100/G5,"..")</f>
        <v>..</v>
      </c>
      <c r="M5" s="30">
        <f t="shared" ref="M5:M13" si="1">C5*100/H5</f>
        <v>14509.209238080688</v>
      </c>
      <c r="N5" s="30">
        <f t="shared" ref="N5:N13" si="2">D5*100/I5</f>
        <v>2904.8663768115944</v>
      </c>
      <c r="O5" s="30">
        <f t="shared" ref="O5:O13" si="3">E5*100/J5</f>
        <v>3298.438625954198</v>
      </c>
      <c r="P5" s="30">
        <f t="shared" ref="P5:P13" si="4">F5*100/K5</f>
        <v>8547.9577433628328</v>
      </c>
      <c r="R5" s="64">
        <v>1970</v>
      </c>
      <c r="S5" s="97"/>
      <c r="T5" s="64">
        <v>54.3</v>
      </c>
      <c r="U5" s="64">
        <v>28.9</v>
      </c>
      <c r="V5" s="64">
        <v>53.4</v>
      </c>
      <c r="X5" s="97"/>
      <c r="Y5" s="64">
        <f t="shared" ref="Y5:Y36" si="5">D$37*(T5/100)</f>
        <v>3146.7935999999995</v>
      </c>
      <c r="Z5" s="64">
        <f t="shared" ref="Z5:Z36" si="6">E$37*(U5/100)</f>
        <v>3490.9176999999995</v>
      </c>
      <c r="AA5" s="64">
        <f t="shared" ref="AA5:AA36" si="7">F$37*(V5/100)</f>
        <v>6335.8032000000003</v>
      </c>
      <c r="AC5" s="97"/>
      <c r="AD5" s="64">
        <f>D5/Y5</f>
        <v>0.22654806467128955</v>
      </c>
      <c r="AE5" s="64">
        <f>E5/Z5</f>
        <v>0.20544741000339256</v>
      </c>
      <c r="AF5" s="64">
        <f>F5/AA5</f>
        <v>0.24421528749504087</v>
      </c>
    </row>
    <row r="6" spans="1:32">
      <c r="A6" s="66">
        <v>1971</v>
      </c>
      <c r="B6" s="150">
        <v>90792</v>
      </c>
      <c r="C6" s="30">
        <f t="shared" si="0"/>
        <v>3112.6</v>
      </c>
      <c r="D6" s="150">
        <v>731.3</v>
      </c>
      <c r="E6" s="150">
        <v>854</v>
      </c>
      <c r="F6" s="150">
        <v>1527.3</v>
      </c>
      <c r="G6" s="151" t="s">
        <v>22</v>
      </c>
      <c r="H6" s="28">
        <f t="shared" ref="H6:H43" si="8">I6*(D6/C6)+J6*(E6/C6)+K6*(F6/C6)</f>
        <v>21.453821883940673</v>
      </c>
      <c r="I6" s="151">
        <f t="shared" ref="I6:I42" si="9">(AD6/AD$30)*100</f>
        <v>26.087830032485726</v>
      </c>
      <c r="J6" s="151">
        <f t="shared" ref="J6:J42" si="10">(AE6/AE$30)*100</f>
        <v>24.137129029237524</v>
      </c>
      <c r="K6" s="151">
        <f t="shared" ref="K6:K42" si="11">(AF6/AF$30)*100</f>
        <v>17.734582401773121</v>
      </c>
      <c r="L6" s="30" t="str">
        <f t="shared" ref="L6:L43" si="12">IFERROR(B6*100/G6,"..")</f>
        <v>..</v>
      </c>
      <c r="M6" s="30">
        <f t="shared" si="1"/>
        <v>14508.370661592686</v>
      </c>
      <c r="N6" s="30">
        <f t="shared" si="2"/>
        <v>2803.2228019323675</v>
      </c>
      <c r="O6" s="30">
        <f t="shared" si="3"/>
        <v>3538.1175572519087</v>
      </c>
      <c r="P6" s="30">
        <f t="shared" si="4"/>
        <v>8611.9873893805307</v>
      </c>
      <c r="R6" s="64">
        <v>1971</v>
      </c>
      <c r="T6" s="64">
        <v>52.4</v>
      </c>
      <c r="U6" s="64">
        <v>31</v>
      </c>
      <c r="V6" s="64">
        <v>53.8</v>
      </c>
      <c r="Y6" s="64">
        <f t="shared" si="5"/>
        <v>3036.6848</v>
      </c>
      <c r="Z6" s="64">
        <f t="shared" si="6"/>
        <v>3744.5829999999996</v>
      </c>
      <c r="AA6" s="64">
        <f t="shared" si="7"/>
        <v>6383.2623999999987</v>
      </c>
      <c r="AD6" s="64">
        <f t="shared" ref="AD6:AD43" si="13">D6/Y6</f>
        <v>0.24082183307269822</v>
      </c>
      <c r="AE6" s="64">
        <f t="shared" ref="AE6:AE20" si="14">E6/Z6</f>
        <v>0.2280627776176947</v>
      </c>
      <c r="AF6" s="64">
        <f t="shared" ref="AF6:AF20" si="15">F6/AA6</f>
        <v>0.23926636636463516</v>
      </c>
    </row>
    <row r="7" spans="1:32">
      <c r="A7" s="66">
        <v>1972</v>
      </c>
      <c r="B7" s="150">
        <v>101092</v>
      </c>
      <c r="C7" s="30">
        <f t="shared" si="0"/>
        <v>3714.1</v>
      </c>
      <c r="D7" s="150">
        <v>855.8</v>
      </c>
      <c r="E7" s="150">
        <v>1206.2</v>
      </c>
      <c r="F7" s="150">
        <v>1652.1</v>
      </c>
      <c r="G7" s="151" t="s">
        <v>22</v>
      </c>
      <c r="H7" s="28">
        <f>I7*(D7/C7)+J7*(E7/C7)+K7*(F7/C7)</f>
        <v>24.673140433066926</v>
      </c>
      <c r="I7" s="151">
        <f t="shared" si="9"/>
        <v>28.668947745885525</v>
      </c>
      <c r="J7" s="151">
        <f t="shared" si="10"/>
        <v>31.175186562180247</v>
      </c>
      <c r="K7" s="151">
        <f t="shared" si="11"/>
        <v>17.856131814189958</v>
      </c>
      <c r="L7" s="30" t="str">
        <f t="shared" si="12"/>
        <v>..</v>
      </c>
      <c r="M7" s="30">
        <f t="shared" si="1"/>
        <v>15053.211446980482</v>
      </c>
      <c r="N7" s="30">
        <f t="shared" si="2"/>
        <v>2985.1113043478258</v>
      </c>
      <c r="O7" s="30">
        <f t="shared" si="3"/>
        <v>3869.1027480916027</v>
      </c>
      <c r="P7" s="30">
        <f t="shared" si="4"/>
        <v>9252.2838495575215</v>
      </c>
      <c r="R7" s="64">
        <v>1972</v>
      </c>
      <c r="T7" s="64">
        <v>55.8</v>
      </c>
      <c r="U7" s="64">
        <v>33.9</v>
      </c>
      <c r="V7" s="64">
        <v>57.8</v>
      </c>
      <c r="Y7" s="64">
        <f t="shared" si="5"/>
        <v>3233.7215999999994</v>
      </c>
      <c r="Z7" s="64">
        <f t="shared" si="6"/>
        <v>4094.8826999999992</v>
      </c>
      <c r="AA7" s="64">
        <f t="shared" si="7"/>
        <v>6857.8543999999993</v>
      </c>
      <c r="AD7" s="64">
        <f t="shared" si="13"/>
        <v>0.26464863270851768</v>
      </c>
      <c r="AE7" s="64">
        <f t="shared" si="14"/>
        <v>0.29456277221323096</v>
      </c>
      <c r="AF7" s="64">
        <f t="shared" si="15"/>
        <v>0.24090625196125484</v>
      </c>
    </row>
    <row r="8" spans="1:32">
      <c r="A8" s="66">
        <v>1973</v>
      </c>
      <c r="B8" s="150">
        <v>118843</v>
      </c>
      <c r="C8" s="30">
        <f t="shared" si="0"/>
        <v>4980.1000000000004</v>
      </c>
      <c r="D8" s="150">
        <v>1199.4000000000001</v>
      </c>
      <c r="E8" s="150">
        <v>1713.7</v>
      </c>
      <c r="F8" s="150">
        <v>2067</v>
      </c>
      <c r="G8" s="151" t="s">
        <v>22</v>
      </c>
      <c r="H8" s="28">
        <f t="shared" si="8"/>
        <v>30.5448165006324</v>
      </c>
      <c r="I8" s="151">
        <f t="shared" si="9"/>
        <v>33.068006969172394</v>
      </c>
      <c r="J8" s="151">
        <f t="shared" si="10"/>
        <v>40.254589301867099</v>
      </c>
      <c r="K8" s="151">
        <f t="shared" si="11"/>
        <v>21.030567687162257</v>
      </c>
      <c r="L8" s="30" t="str">
        <f t="shared" si="12"/>
        <v>..</v>
      </c>
      <c r="M8" s="30">
        <f t="shared" si="1"/>
        <v>16304.239378543631</v>
      </c>
      <c r="N8" s="30">
        <f t="shared" si="2"/>
        <v>3627.0707246376815</v>
      </c>
      <c r="O8" s="30">
        <f t="shared" si="3"/>
        <v>4257.1543511450373</v>
      </c>
      <c r="P8" s="30">
        <f t="shared" si="4"/>
        <v>9828.5506637168146</v>
      </c>
      <c r="R8" s="64">
        <v>1973</v>
      </c>
      <c r="T8" s="64">
        <v>67.8</v>
      </c>
      <c r="U8" s="64">
        <v>37.299999999999997</v>
      </c>
      <c r="V8" s="64">
        <v>61.4</v>
      </c>
      <c r="Y8" s="64">
        <f t="shared" si="5"/>
        <v>3929.1455999999994</v>
      </c>
      <c r="Z8" s="64">
        <f t="shared" si="6"/>
        <v>4505.5788999999995</v>
      </c>
      <c r="AA8" s="64">
        <f t="shared" si="7"/>
        <v>7284.9871999999996</v>
      </c>
      <c r="AD8" s="64">
        <f t="shared" si="13"/>
        <v>0.30525720400893269</v>
      </c>
      <c r="AE8" s="64">
        <f t="shared" si="14"/>
        <v>0.38035068035319508</v>
      </c>
      <c r="AF8" s="64">
        <f t="shared" si="15"/>
        <v>0.28373419791320981</v>
      </c>
    </row>
    <row r="9" spans="1:32">
      <c r="A9" s="66">
        <v>1974</v>
      </c>
      <c r="B9" s="150">
        <v>142090</v>
      </c>
      <c r="C9" s="30">
        <f t="shared" si="0"/>
        <v>6146.8</v>
      </c>
      <c r="D9" s="150">
        <v>1283.7</v>
      </c>
      <c r="E9" s="150">
        <v>1561.9</v>
      </c>
      <c r="F9" s="150">
        <v>3301.2</v>
      </c>
      <c r="G9" s="151" t="s">
        <v>22</v>
      </c>
      <c r="H9" s="28">
        <f t="shared" si="8"/>
        <v>33.231530650992788</v>
      </c>
      <c r="I9" s="151">
        <f t="shared" si="9"/>
        <v>34.82715422831086</v>
      </c>
      <c r="J9" s="151">
        <f t="shared" si="10"/>
        <v>37.390525996395901</v>
      </c>
      <c r="K9" s="151">
        <f t="shared" si="11"/>
        <v>30.643309150875155</v>
      </c>
      <c r="L9" s="30" t="str">
        <f t="shared" si="12"/>
        <v>..</v>
      </c>
      <c r="M9" s="30">
        <f t="shared" si="1"/>
        <v>18496.8909935431</v>
      </c>
      <c r="N9" s="30">
        <f t="shared" si="2"/>
        <v>3685.9170048309179</v>
      </c>
      <c r="O9" s="30">
        <f t="shared" si="3"/>
        <v>4177.2613740458019</v>
      </c>
      <c r="P9" s="30">
        <f t="shared" si="4"/>
        <v>10772.987942477876</v>
      </c>
      <c r="R9" s="64">
        <v>1974</v>
      </c>
      <c r="T9" s="64">
        <v>68.900000000000006</v>
      </c>
      <c r="U9" s="64">
        <v>36.6</v>
      </c>
      <c r="V9" s="64">
        <v>67.3</v>
      </c>
      <c r="Y9" s="64">
        <f t="shared" si="5"/>
        <v>3992.8928000000001</v>
      </c>
      <c r="Z9" s="64">
        <f t="shared" si="6"/>
        <v>4421.0237999999999</v>
      </c>
      <c r="AA9" s="64">
        <f t="shared" si="7"/>
        <v>7985.0103999999983</v>
      </c>
      <c r="AD9" s="64">
        <f t="shared" si="13"/>
        <v>0.32149623450947645</v>
      </c>
      <c r="AE9" s="64">
        <f t="shared" si="14"/>
        <v>0.35328920871224445</v>
      </c>
      <c r="AF9" s="64">
        <f t="shared" si="15"/>
        <v>0.41342463373623162</v>
      </c>
    </row>
    <row r="10" spans="1:32">
      <c r="A10" s="66">
        <v>1975</v>
      </c>
      <c r="B10" s="150">
        <v>163439</v>
      </c>
      <c r="C10" s="30">
        <f t="shared" si="0"/>
        <v>5461.1</v>
      </c>
      <c r="D10" s="150">
        <v>1180</v>
      </c>
      <c r="E10" s="150">
        <v>1462.4</v>
      </c>
      <c r="F10" s="150">
        <v>2818.7</v>
      </c>
      <c r="G10" s="151" t="s">
        <v>22</v>
      </c>
      <c r="H10" s="28">
        <f t="shared" si="8"/>
        <v>36.325489371515687</v>
      </c>
      <c r="I10" s="151">
        <f t="shared" si="9"/>
        <v>40.92294801639639</v>
      </c>
      <c r="J10" s="151">
        <f t="shared" si="10"/>
        <v>38.593798928609019</v>
      </c>
      <c r="K10" s="151">
        <f t="shared" si="11"/>
        <v>33.223996804994762</v>
      </c>
      <c r="L10" s="30" t="str">
        <f t="shared" si="12"/>
        <v>..</v>
      </c>
      <c r="M10" s="30">
        <f t="shared" si="1"/>
        <v>15033.796087774866</v>
      </c>
      <c r="N10" s="30">
        <f t="shared" si="2"/>
        <v>2883.4677294685989</v>
      </c>
      <c r="O10" s="30">
        <f t="shared" si="3"/>
        <v>3789.209770992366</v>
      </c>
      <c r="P10" s="30">
        <f t="shared" si="4"/>
        <v>8483.9280973451332</v>
      </c>
      <c r="R10" s="64">
        <v>1975</v>
      </c>
      <c r="T10" s="64">
        <v>53.9</v>
      </c>
      <c r="U10" s="64">
        <v>33.200000000000003</v>
      </c>
      <c r="V10" s="64">
        <v>53</v>
      </c>
      <c r="Y10" s="64">
        <f t="shared" si="5"/>
        <v>3123.6127999999999</v>
      </c>
      <c r="Z10" s="64">
        <f t="shared" si="6"/>
        <v>4010.3276000000001</v>
      </c>
      <c r="AA10" s="64">
        <f t="shared" si="7"/>
        <v>6288.3440000000001</v>
      </c>
      <c r="AD10" s="64">
        <f t="shared" si="13"/>
        <v>0.37776769258981141</v>
      </c>
      <c r="AE10" s="64">
        <f t="shared" si="14"/>
        <v>0.36465848824918945</v>
      </c>
      <c r="AF10" s="64">
        <f t="shared" si="15"/>
        <v>0.44824201729421925</v>
      </c>
    </row>
    <row r="11" spans="1:32">
      <c r="A11" s="66">
        <v>1976</v>
      </c>
      <c r="B11" s="150">
        <v>187347</v>
      </c>
      <c r="C11" s="30">
        <f t="shared" si="0"/>
        <v>6595.2</v>
      </c>
      <c r="D11" s="150">
        <v>1411.6</v>
      </c>
      <c r="E11" s="150">
        <v>1937</v>
      </c>
      <c r="F11" s="150">
        <v>3246.6</v>
      </c>
      <c r="G11" s="151" t="s">
        <v>22</v>
      </c>
      <c r="H11" s="28">
        <f t="shared" si="8"/>
        <v>38.179025349632539</v>
      </c>
      <c r="I11" s="151">
        <f t="shared" si="9"/>
        <v>43.686613555604481</v>
      </c>
      <c r="J11" s="151">
        <f t="shared" si="10"/>
        <v>42.428635445510118</v>
      </c>
      <c r="K11" s="151">
        <f t="shared" si="11"/>
        <v>33.248942719414821</v>
      </c>
      <c r="L11" s="30" t="str">
        <f t="shared" si="12"/>
        <v>..</v>
      </c>
      <c r="M11" s="30">
        <f t="shared" si="1"/>
        <v>17274.406404047913</v>
      </c>
      <c r="N11" s="30">
        <f t="shared" si="2"/>
        <v>3231.1957487922709</v>
      </c>
      <c r="O11" s="30">
        <f t="shared" si="3"/>
        <v>4565.3129770992373</v>
      </c>
      <c r="P11" s="30">
        <f t="shared" si="4"/>
        <v>9764.521017699115</v>
      </c>
      <c r="R11" s="64">
        <v>1976</v>
      </c>
      <c r="T11" s="64">
        <v>60.4</v>
      </c>
      <c r="U11" s="64">
        <v>40</v>
      </c>
      <c r="V11" s="64">
        <v>61</v>
      </c>
      <c r="Y11" s="64">
        <f t="shared" si="5"/>
        <v>3500.3008</v>
      </c>
      <c r="Z11" s="64">
        <f t="shared" si="6"/>
        <v>4831.72</v>
      </c>
      <c r="AA11" s="64">
        <f t="shared" si="7"/>
        <v>7237.5279999999993</v>
      </c>
      <c r="AD11" s="64">
        <f t="shared" si="13"/>
        <v>0.40327962671093864</v>
      </c>
      <c r="AE11" s="64">
        <f t="shared" si="14"/>
        <v>0.40089243581995643</v>
      </c>
      <c r="AF11" s="64">
        <f t="shared" si="15"/>
        <v>0.44857857544730745</v>
      </c>
    </row>
    <row r="12" spans="1:32">
      <c r="A12" s="66">
        <v>1977</v>
      </c>
      <c r="B12" s="150">
        <v>207193</v>
      </c>
      <c r="C12" s="30">
        <f t="shared" si="0"/>
        <v>7504.8</v>
      </c>
      <c r="D12" s="150">
        <v>1629.8</v>
      </c>
      <c r="E12" s="150">
        <v>2464.6999999999998</v>
      </c>
      <c r="F12" s="150">
        <v>3410.3</v>
      </c>
      <c r="G12" s="151" t="s">
        <v>22</v>
      </c>
      <c r="H12" s="28">
        <f t="shared" si="8"/>
        <v>42.798427171950522</v>
      </c>
      <c r="I12" s="151">
        <f t="shared" si="9"/>
        <v>47.454014130853274</v>
      </c>
      <c r="J12" s="151">
        <f t="shared" si="10"/>
        <v>50.692522332608036</v>
      </c>
      <c r="K12" s="151">
        <f t="shared" si="11"/>
        <v>34.868259160898035</v>
      </c>
      <c r="L12" s="30" t="str">
        <f t="shared" si="12"/>
        <v>..</v>
      </c>
      <c r="M12" s="30">
        <f t="shared" si="1"/>
        <v>17535.223829249826</v>
      </c>
      <c r="N12" s="30">
        <f t="shared" si="2"/>
        <v>3434.4828985507247</v>
      </c>
      <c r="O12" s="30">
        <f t="shared" si="3"/>
        <v>4862.0583206106867</v>
      </c>
      <c r="P12" s="30">
        <f t="shared" si="4"/>
        <v>9780.5284292035394</v>
      </c>
      <c r="R12" s="64">
        <v>1977</v>
      </c>
      <c r="T12" s="64">
        <v>64.2</v>
      </c>
      <c r="U12" s="64">
        <v>42.6</v>
      </c>
      <c r="V12" s="64">
        <v>61.1</v>
      </c>
      <c r="Y12" s="64">
        <f t="shared" si="5"/>
        <v>3720.5183999999999</v>
      </c>
      <c r="Z12" s="64">
        <f t="shared" si="6"/>
        <v>5145.7817999999997</v>
      </c>
      <c r="AA12" s="64">
        <f t="shared" si="7"/>
        <v>7249.3927999999996</v>
      </c>
      <c r="AD12" s="64">
        <f t="shared" si="13"/>
        <v>0.43805723417467846</v>
      </c>
      <c r="AE12" s="64">
        <f t="shared" si="14"/>
        <v>0.47897483721521189</v>
      </c>
      <c r="AF12" s="64">
        <f t="shared" si="15"/>
        <v>0.47042560585212051</v>
      </c>
    </row>
    <row r="13" spans="1:32">
      <c r="A13" s="66">
        <v>1978</v>
      </c>
      <c r="B13" s="150">
        <v>230555</v>
      </c>
      <c r="C13" s="30">
        <f t="shared" si="0"/>
        <v>8912.6</v>
      </c>
      <c r="D13" s="150">
        <v>1934.9</v>
      </c>
      <c r="E13" s="150">
        <v>3106.2</v>
      </c>
      <c r="F13" s="150">
        <v>3871.5</v>
      </c>
      <c r="G13" s="151" t="s">
        <v>22</v>
      </c>
      <c r="H13" s="28">
        <f t="shared" si="8"/>
        <v>48.481032649470897</v>
      </c>
      <c r="I13" s="151">
        <f t="shared" si="9"/>
        <v>52.800936200696249</v>
      </c>
      <c r="J13" s="151">
        <f t="shared" si="10"/>
        <v>61.021656354930784</v>
      </c>
      <c r="K13" s="151">
        <f t="shared" si="11"/>
        <v>36.260377416314398</v>
      </c>
      <c r="L13" s="30" t="str">
        <f t="shared" si="12"/>
        <v>..</v>
      </c>
      <c r="M13" s="30">
        <f t="shared" si="1"/>
        <v>18383.684325456026</v>
      </c>
      <c r="N13" s="30">
        <f t="shared" si="2"/>
        <v>3664.5183574879225</v>
      </c>
      <c r="O13" s="30">
        <f t="shared" si="3"/>
        <v>5090.3239694656486</v>
      </c>
      <c r="P13" s="30">
        <f t="shared" si="4"/>
        <v>10676.943473451329</v>
      </c>
      <c r="R13" s="64">
        <v>1978</v>
      </c>
      <c r="T13" s="64">
        <v>68.5</v>
      </c>
      <c r="U13" s="64">
        <v>44.6</v>
      </c>
      <c r="V13" s="64">
        <v>66.7</v>
      </c>
      <c r="Y13" s="64">
        <f t="shared" si="5"/>
        <v>3969.712</v>
      </c>
      <c r="Z13" s="64">
        <f t="shared" si="6"/>
        <v>5387.3678</v>
      </c>
      <c r="AA13" s="64">
        <f t="shared" si="7"/>
        <v>7913.8216000000002</v>
      </c>
      <c r="AD13" s="64">
        <f t="shared" si="13"/>
        <v>0.48741571176951881</v>
      </c>
      <c r="AE13" s="64">
        <f t="shared" si="14"/>
        <v>0.57657099260978617</v>
      </c>
      <c r="AF13" s="64">
        <f t="shared" si="15"/>
        <v>0.48920738875387332</v>
      </c>
    </row>
    <row r="14" spans="1:32">
      <c r="A14" s="66">
        <v>1979</v>
      </c>
      <c r="B14" s="30">
        <v>264550</v>
      </c>
      <c r="C14" s="30">
        <f t="shared" si="0"/>
        <v>10891.3</v>
      </c>
      <c r="D14" s="30">
        <v>2456.8000000000002</v>
      </c>
      <c r="E14" s="30">
        <v>3523.5</v>
      </c>
      <c r="F14" s="30">
        <v>4911</v>
      </c>
      <c r="G14" s="151" t="s">
        <v>22</v>
      </c>
      <c r="H14" s="28">
        <f t="shared" si="8"/>
        <v>56.276550979177813</v>
      </c>
      <c r="I14" s="151">
        <f t="shared" si="9"/>
        <v>63.961557282614066</v>
      </c>
      <c r="J14" s="151">
        <f t="shared" si="10"/>
        <v>67.112880515478849</v>
      </c>
      <c r="K14" s="151">
        <f t="shared" si="11"/>
        <v>44.657261505050563</v>
      </c>
      <c r="L14" s="30" t="str">
        <f t="shared" si="12"/>
        <v>..</v>
      </c>
      <c r="M14" s="30">
        <f t="shared" ref="M14:P29" si="16">C14*100/H14</f>
        <v>19353.176075111201</v>
      </c>
      <c r="N14" s="30">
        <f t="shared" si="16"/>
        <v>3841.0571980676336</v>
      </c>
      <c r="O14" s="30">
        <f t="shared" si="16"/>
        <v>5250.1099236641221</v>
      </c>
      <c r="P14" s="30">
        <f t="shared" si="16"/>
        <v>10997.091703539827</v>
      </c>
      <c r="Q14" s="152"/>
      <c r="R14" s="64">
        <v>1979</v>
      </c>
      <c r="T14" s="64">
        <v>71.8</v>
      </c>
      <c r="U14" s="64">
        <v>46</v>
      </c>
      <c r="V14" s="64">
        <v>68.7</v>
      </c>
      <c r="Y14" s="64">
        <f t="shared" si="5"/>
        <v>4160.9535999999998</v>
      </c>
      <c r="Z14" s="64">
        <f t="shared" si="6"/>
        <v>5556.4780000000001</v>
      </c>
      <c r="AA14" s="64">
        <f t="shared" si="7"/>
        <v>8151.1176000000005</v>
      </c>
      <c r="AD14" s="64">
        <f t="shared" si="13"/>
        <v>0.5904415757003395</v>
      </c>
      <c r="AE14" s="64">
        <f t="shared" si="14"/>
        <v>0.63412470993316272</v>
      </c>
      <c r="AF14" s="64">
        <f t="shared" si="15"/>
        <v>0.60249406780733961</v>
      </c>
    </row>
    <row r="15" spans="1:32">
      <c r="A15" s="66">
        <v>1980</v>
      </c>
      <c r="B15" s="30">
        <v>299782</v>
      </c>
      <c r="C15" s="30">
        <f t="shared" si="0"/>
        <v>11281.5</v>
      </c>
      <c r="D15" s="30">
        <v>2498.6999999999998</v>
      </c>
      <c r="E15" s="30">
        <v>3102</v>
      </c>
      <c r="F15" s="30">
        <v>5680.8</v>
      </c>
      <c r="G15" s="151" t="s">
        <v>22</v>
      </c>
      <c r="H15" s="28">
        <f t="shared" si="8"/>
        <v>56.050569957167916</v>
      </c>
      <c r="I15" s="151">
        <f t="shared" si="9"/>
        <v>64.781727053314654</v>
      </c>
      <c r="J15" s="151">
        <f t="shared" si="10"/>
        <v>59.084477184338112</v>
      </c>
      <c r="K15" s="151">
        <f t="shared" si="11"/>
        <v>50.553505731209633</v>
      </c>
      <c r="L15" s="30" t="str">
        <f t="shared" si="12"/>
        <v>..</v>
      </c>
      <c r="M15" s="30">
        <f t="shared" si="16"/>
        <v>20127.360004761715</v>
      </c>
      <c r="N15" s="30">
        <f t="shared" si="16"/>
        <v>3857.1061835748787</v>
      </c>
      <c r="O15" s="30">
        <f t="shared" si="16"/>
        <v>5250.109923664123</v>
      </c>
      <c r="P15" s="30">
        <f t="shared" si="16"/>
        <v>11237.202876106197</v>
      </c>
      <c r="Q15" s="152"/>
      <c r="R15" s="64">
        <v>1980</v>
      </c>
      <c r="T15" s="64">
        <v>72.099999999999994</v>
      </c>
      <c r="U15" s="64">
        <v>46</v>
      </c>
      <c r="V15" s="64">
        <v>70.2</v>
      </c>
      <c r="Y15" s="64">
        <f t="shared" si="5"/>
        <v>4178.3391999999994</v>
      </c>
      <c r="Z15" s="64">
        <f t="shared" si="6"/>
        <v>5556.4780000000001</v>
      </c>
      <c r="AA15" s="64">
        <f t="shared" si="7"/>
        <v>8329.0896000000012</v>
      </c>
      <c r="AD15" s="64">
        <f t="shared" si="13"/>
        <v>0.59801272237543568</v>
      </c>
      <c r="AE15" s="64">
        <f t="shared" si="14"/>
        <v>0.55826730529662849</v>
      </c>
      <c r="AF15" s="64">
        <f t="shared" si="15"/>
        <v>0.68204332920130906</v>
      </c>
    </row>
    <row r="16" spans="1:32">
      <c r="A16" s="66">
        <v>1981</v>
      </c>
      <c r="B16" s="30">
        <v>338521</v>
      </c>
      <c r="C16" s="30">
        <f t="shared" si="0"/>
        <v>10726.7</v>
      </c>
      <c r="D16" s="30">
        <v>2368.9</v>
      </c>
      <c r="E16" s="30">
        <v>2641.8</v>
      </c>
      <c r="F16" s="30">
        <v>5716</v>
      </c>
      <c r="G16" s="151" t="s">
        <v>22</v>
      </c>
      <c r="H16" s="28">
        <f t="shared" si="8"/>
        <v>55.754697505012018</v>
      </c>
      <c r="I16" s="151">
        <f t="shared" si="9"/>
        <v>63.805912993584613</v>
      </c>
      <c r="J16" s="151">
        <f t="shared" si="10"/>
        <v>56.871536505550715</v>
      </c>
      <c r="K16" s="151">
        <f t="shared" si="11"/>
        <v>51.901830177772212</v>
      </c>
      <c r="L16" s="30" t="str">
        <f t="shared" si="12"/>
        <v>..</v>
      </c>
      <c r="M16" s="30">
        <f t="shared" si="16"/>
        <v>19239.096399071546</v>
      </c>
      <c r="N16" s="30">
        <f t="shared" si="16"/>
        <v>3712.6653140096623</v>
      </c>
      <c r="O16" s="30">
        <f t="shared" si="16"/>
        <v>4645.2059541984727</v>
      </c>
      <c r="P16" s="30">
        <f t="shared" si="16"/>
        <v>11013.099115044248</v>
      </c>
      <c r="Q16" s="152"/>
      <c r="R16" s="64">
        <v>1981</v>
      </c>
      <c r="T16" s="64">
        <v>69.400000000000006</v>
      </c>
      <c r="U16" s="64">
        <v>40.700000000000003</v>
      </c>
      <c r="V16" s="64">
        <v>68.8</v>
      </c>
      <c r="Y16" s="64">
        <f>D$37*(T16/100)</f>
        <v>4021.8688000000002</v>
      </c>
      <c r="Z16" s="64">
        <f t="shared" si="6"/>
        <v>4916.2750999999998</v>
      </c>
      <c r="AA16" s="64">
        <f t="shared" si="7"/>
        <v>8162.982399999999</v>
      </c>
      <c r="AC16" s="64" t="e">
        <f t="shared" ref="AC16:AC36" si="17">B16/X16</f>
        <v>#DIV/0!</v>
      </c>
      <c r="AD16" s="64">
        <f t="shared" si="13"/>
        <v>0.58900479299573372</v>
      </c>
      <c r="AE16" s="64">
        <f t="shared" si="14"/>
        <v>0.53735804979668456</v>
      </c>
      <c r="AF16" s="64">
        <f t="shared" si="15"/>
        <v>0.70023426731876826</v>
      </c>
    </row>
    <row r="17" spans="1:32">
      <c r="A17" s="66">
        <v>1982</v>
      </c>
      <c r="B17" s="30">
        <v>357273</v>
      </c>
      <c r="C17" s="30">
        <f t="shared" si="0"/>
        <v>8845.2999999999993</v>
      </c>
      <c r="D17" s="30">
        <v>2055.9</v>
      </c>
      <c r="E17" s="30">
        <v>2006</v>
      </c>
      <c r="F17" s="30">
        <v>4783.3999999999996</v>
      </c>
      <c r="G17" s="151" t="s">
        <v>22</v>
      </c>
      <c r="H17" s="28">
        <f t="shared" si="8"/>
        <v>51.977182624358242</v>
      </c>
      <c r="I17" s="151">
        <f t="shared" si="9"/>
        <v>63.104214296435025</v>
      </c>
      <c r="J17" s="151">
        <f t="shared" si="10"/>
        <v>50.505784335115514</v>
      </c>
      <c r="K17" s="151">
        <f t="shared" si="11"/>
        <v>47.811852640162527</v>
      </c>
      <c r="L17" s="30" t="str">
        <f t="shared" si="12"/>
        <v>..</v>
      </c>
      <c r="M17" s="30">
        <f t="shared" si="16"/>
        <v>17017.659583293374</v>
      </c>
      <c r="N17" s="30">
        <f t="shared" si="16"/>
        <v>3257.944057971014</v>
      </c>
      <c r="O17" s="30">
        <f t="shared" si="16"/>
        <v>3971.8222900763353</v>
      </c>
      <c r="P17" s="30">
        <f t="shared" si="16"/>
        <v>10004.632190265487</v>
      </c>
      <c r="Q17" s="152"/>
      <c r="R17" s="64">
        <v>1982</v>
      </c>
      <c r="T17" s="64">
        <v>60.9</v>
      </c>
      <c r="U17" s="64">
        <v>34.799999999999997</v>
      </c>
      <c r="V17" s="64">
        <v>62.5</v>
      </c>
      <c r="Y17" s="64">
        <f t="shared" si="5"/>
        <v>3529.2767999999996</v>
      </c>
      <c r="Z17" s="64">
        <f t="shared" si="6"/>
        <v>4203.5963999999994</v>
      </c>
      <c r="AA17" s="64">
        <f t="shared" si="7"/>
        <v>7415.5</v>
      </c>
      <c r="AC17" s="64" t="e">
        <f t="shared" si="17"/>
        <v>#DIV/0!</v>
      </c>
      <c r="AD17" s="64">
        <f t="shared" si="13"/>
        <v>0.58252727584302832</v>
      </c>
      <c r="AE17" s="64">
        <f t="shared" si="14"/>
        <v>0.47721041915441748</v>
      </c>
      <c r="AF17" s="64">
        <f t="shared" si="15"/>
        <v>0.64505427820106531</v>
      </c>
    </row>
    <row r="18" spans="1:32">
      <c r="A18" s="66">
        <v>1983</v>
      </c>
      <c r="B18" s="30">
        <v>388967</v>
      </c>
      <c r="C18" s="30">
        <f t="shared" si="0"/>
        <v>10700.7</v>
      </c>
      <c r="D18" s="30">
        <v>2647.7</v>
      </c>
      <c r="E18" s="30">
        <v>3079.3</v>
      </c>
      <c r="F18" s="30">
        <v>4973.7</v>
      </c>
      <c r="G18" s="151" t="s">
        <v>22</v>
      </c>
      <c r="H18" s="28">
        <f t="shared" si="8"/>
        <v>56.400278761939688</v>
      </c>
      <c r="I18" s="151">
        <f t="shared" si="9"/>
        <v>67.428948206442357</v>
      </c>
      <c r="J18" s="151">
        <f t="shared" si="10"/>
        <v>63.333259227816754</v>
      </c>
      <c r="K18" s="151">
        <f t="shared" si="11"/>
        <v>46.236952699494239</v>
      </c>
      <c r="L18" s="30" t="str">
        <f t="shared" si="12"/>
        <v>..</v>
      </c>
      <c r="M18" s="30">
        <f t="shared" si="16"/>
        <v>18972.778565805776</v>
      </c>
      <c r="N18" s="30">
        <f t="shared" si="16"/>
        <v>3926.6517874396136</v>
      </c>
      <c r="O18" s="30">
        <f t="shared" si="16"/>
        <v>4862.0583206106867</v>
      </c>
      <c r="P18" s="30">
        <f t="shared" si="16"/>
        <v>10756.980530973453</v>
      </c>
      <c r="Q18" s="152"/>
      <c r="R18" s="64">
        <v>1983</v>
      </c>
      <c r="T18" s="64">
        <v>73.400000000000006</v>
      </c>
      <c r="U18" s="64">
        <v>42.6</v>
      </c>
      <c r="V18" s="64">
        <v>67.2</v>
      </c>
      <c r="Y18" s="64">
        <f t="shared" si="5"/>
        <v>4253.6768000000002</v>
      </c>
      <c r="Z18" s="64">
        <f t="shared" si="6"/>
        <v>5145.7817999999997</v>
      </c>
      <c r="AA18" s="64">
        <f t="shared" si="7"/>
        <v>7973.1455999999998</v>
      </c>
      <c r="AC18" s="64" t="e">
        <f t="shared" si="17"/>
        <v>#DIV/0!</v>
      </c>
      <c r="AD18" s="64">
        <f t="shared" si="13"/>
        <v>0.62244973572040074</v>
      </c>
      <c r="AE18" s="64">
        <f t="shared" si="14"/>
        <v>0.59841247057930058</v>
      </c>
      <c r="AF18" s="64">
        <f t="shared" si="15"/>
        <v>0.62380649363784346</v>
      </c>
    </row>
    <row r="19" spans="1:32">
      <c r="A19" s="66">
        <v>1984</v>
      </c>
      <c r="B19" s="30">
        <v>425296</v>
      </c>
      <c r="C19" s="30">
        <f t="shared" si="0"/>
        <v>12112.5</v>
      </c>
      <c r="D19" s="30">
        <v>2764.7</v>
      </c>
      <c r="E19" s="30">
        <v>3206.2</v>
      </c>
      <c r="F19" s="30">
        <v>6141.6</v>
      </c>
      <c r="G19" s="151" t="s">
        <v>22</v>
      </c>
      <c r="H19" s="28">
        <f t="shared" si="8"/>
        <v>58.111013148486236</v>
      </c>
      <c r="I19" s="151">
        <f t="shared" si="9"/>
        <v>63.881213981816686</v>
      </c>
      <c r="J19" s="151">
        <f t="shared" si="10"/>
        <v>60.936726389017402</v>
      </c>
      <c r="K19" s="151">
        <f t="shared" si="11"/>
        <v>54.038348690413471</v>
      </c>
      <c r="L19" s="30" t="str">
        <f t="shared" si="12"/>
        <v>..</v>
      </c>
      <c r="M19" s="30">
        <f t="shared" si="16"/>
        <v>20843.725386528604</v>
      </c>
      <c r="N19" s="30">
        <f t="shared" si="16"/>
        <v>4327.876425120774</v>
      </c>
      <c r="O19" s="30">
        <f t="shared" si="16"/>
        <v>5261.5232061068709</v>
      </c>
      <c r="P19" s="30">
        <f t="shared" si="16"/>
        <v>11365.262168141593</v>
      </c>
      <c r="Q19" s="152"/>
      <c r="R19" s="64">
        <v>1984</v>
      </c>
      <c r="T19" s="64">
        <v>80.900000000000006</v>
      </c>
      <c r="U19" s="64">
        <v>46.1</v>
      </c>
      <c r="V19" s="64">
        <v>71</v>
      </c>
      <c r="Y19" s="64">
        <f t="shared" si="5"/>
        <v>4688.3168000000005</v>
      </c>
      <c r="Z19" s="64">
        <f t="shared" si="6"/>
        <v>5568.5572999999995</v>
      </c>
      <c r="AA19" s="64">
        <f t="shared" si="7"/>
        <v>8424.0079999999998</v>
      </c>
      <c r="AC19" s="64" t="e">
        <f t="shared" si="17"/>
        <v>#DIV/0!</v>
      </c>
      <c r="AD19" s="64">
        <f t="shared" si="13"/>
        <v>0.58969991106403041</v>
      </c>
      <c r="AE19" s="64">
        <f t="shared" si="14"/>
        <v>0.57576852086984898</v>
      </c>
      <c r="AF19" s="64">
        <f t="shared" si="15"/>
        <v>0.72905913669597666</v>
      </c>
    </row>
    <row r="20" spans="1:32">
      <c r="A20" s="66">
        <v>1985</v>
      </c>
      <c r="B20" s="30">
        <v>458468</v>
      </c>
      <c r="C20" s="30">
        <f t="shared" si="0"/>
        <v>12544.3</v>
      </c>
      <c r="D20" s="30">
        <v>2651.9</v>
      </c>
      <c r="E20" s="30">
        <v>3675.6</v>
      </c>
      <c r="F20" s="30">
        <v>6216.8</v>
      </c>
      <c r="G20" s="151" t="s">
        <v>22</v>
      </c>
      <c r="H20" s="28">
        <f t="shared" si="8"/>
        <v>58.586455559363728</v>
      </c>
      <c r="I20" s="151">
        <f t="shared" si="9"/>
        <v>61.579326234638764</v>
      </c>
      <c r="J20" s="151">
        <f t="shared" si="10"/>
        <v>64.538242181220255</v>
      </c>
      <c r="K20" s="151">
        <f t="shared" si="11"/>
        <v>53.790872518079183</v>
      </c>
      <c r="L20" s="30" t="str">
        <f t="shared" si="12"/>
        <v>..</v>
      </c>
      <c r="M20" s="30">
        <f t="shared" si="16"/>
        <v>21411.604235537467</v>
      </c>
      <c r="N20" s="30">
        <f t="shared" si="16"/>
        <v>4306.4777777777781</v>
      </c>
      <c r="O20" s="30">
        <f t="shared" si="16"/>
        <v>5695.227938931298</v>
      </c>
      <c r="P20" s="30">
        <f t="shared" si="16"/>
        <v>11557.35110619469</v>
      </c>
      <c r="Q20" s="152"/>
      <c r="R20" s="64">
        <v>1985</v>
      </c>
      <c r="T20" s="64">
        <v>80.5</v>
      </c>
      <c r="U20" s="64">
        <v>49.9</v>
      </c>
      <c r="V20" s="64">
        <v>72.2</v>
      </c>
      <c r="Y20" s="64">
        <f t="shared" si="5"/>
        <v>4665.1360000000004</v>
      </c>
      <c r="Z20" s="64">
        <f t="shared" si="6"/>
        <v>6027.5706999999993</v>
      </c>
      <c r="AA20" s="64">
        <f t="shared" si="7"/>
        <v>8566.3855999999996</v>
      </c>
      <c r="AC20" s="64" t="e">
        <f t="shared" si="17"/>
        <v>#DIV/0!</v>
      </c>
      <c r="AD20" s="64">
        <f t="shared" si="13"/>
        <v>0.56845073755620412</v>
      </c>
      <c r="AE20" s="64">
        <f t="shared" si="14"/>
        <v>0.60979790747207663</v>
      </c>
      <c r="AF20" s="64">
        <f t="shared" si="15"/>
        <v>0.72572030845774682</v>
      </c>
    </row>
    <row r="21" spans="1:32">
      <c r="A21" s="66">
        <v>1986</v>
      </c>
      <c r="B21" s="30">
        <v>479533</v>
      </c>
      <c r="C21" s="30">
        <f t="shared" si="0"/>
        <v>14232.5</v>
      </c>
      <c r="D21" s="30">
        <v>2696.1</v>
      </c>
      <c r="E21" s="30">
        <v>4238.2</v>
      </c>
      <c r="F21" s="30">
        <v>7298.2</v>
      </c>
      <c r="G21" s="151" t="s">
        <v>22</v>
      </c>
      <c r="H21" s="28">
        <f t="shared" si="8"/>
        <v>63.852254454573909</v>
      </c>
      <c r="I21" s="151">
        <f t="shared" si="9"/>
        <v>62.605687039937244</v>
      </c>
      <c r="J21" s="151">
        <f t="shared" si="10"/>
        <v>72.10471312164681</v>
      </c>
      <c r="K21" s="151">
        <f t="shared" si="11"/>
        <v>59.520405517002118</v>
      </c>
      <c r="L21" s="30" t="str">
        <f t="shared" si="12"/>
        <v>..</v>
      </c>
      <c r="M21" s="30">
        <f t="shared" si="16"/>
        <v>22289.73764759607</v>
      </c>
      <c r="N21" s="30">
        <f t="shared" si="16"/>
        <v>4306.4777777777781</v>
      </c>
      <c r="O21" s="30">
        <f t="shared" si="16"/>
        <v>5877.8404580152683</v>
      </c>
      <c r="P21" s="30">
        <f t="shared" si="16"/>
        <v>12261.677212389381</v>
      </c>
      <c r="Q21" s="152"/>
      <c r="R21" s="64">
        <v>1986</v>
      </c>
      <c r="T21" s="64">
        <v>80.5</v>
      </c>
      <c r="U21" s="64">
        <v>51.5</v>
      </c>
      <c r="V21" s="64">
        <v>76.599999999999994</v>
      </c>
      <c r="Y21" s="64">
        <f t="shared" si="5"/>
        <v>4665.1360000000004</v>
      </c>
      <c r="Z21" s="64">
        <f t="shared" si="6"/>
        <v>6220.8395</v>
      </c>
      <c r="AA21" s="64">
        <f t="shared" si="7"/>
        <v>9088.4367999999977</v>
      </c>
      <c r="AC21" s="64" t="e">
        <f t="shared" si="17"/>
        <v>#DIV/0!</v>
      </c>
      <c r="AD21" s="64">
        <f t="shared" si="13"/>
        <v>0.57792527377551262</v>
      </c>
      <c r="AE21" s="64">
        <f t="shared" ref="AE21:AE43" si="18">E21/Z21</f>
        <v>0.68129068432001816</v>
      </c>
      <c r="AF21" s="64">
        <f t="shared" ref="AF21:AF43" si="19">F21/AA21</f>
        <v>0.80302038299919754</v>
      </c>
    </row>
    <row r="22" spans="1:32">
      <c r="A22" s="66">
        <v>1987</v>
      </c>
      <c r="B22" s="30">
        <v>520897</v>
      </c>
      <c r="C22" s="30">
        <f t="shared" si="0"/>
        <v>17567.900000000001</v>
      </c>
      <c r="D22" s="30">
        <v>3462.4</v>
      </c>
      <c r="E22" s="30">
        <v>5075.2</v>
      </c>
      <c r="F22" s="30">
        <v>9030.2999999999993</v>
      </c>
      <c r="G22" s="151" t="s">
        <v>22</v>
      </c>
      <c r="H22" s="28">
        <f t="shared" si="8"/>
        <v>71.876068777707843</v>
      </c>
      <c r="I22" s="151">
        <f t="shared" si="9"/>
        <v>70.045290005917792</v>
      </c>
      <c r="J22" s="151">
        <f t="shared" si="10"/>
        <v>76.012799990487707</v>
      </c>
      <c r="K22" s="151">
        <f t="shared" si="11"/>
        <v>70.253104996697886</v>
      </c>
      <c r="L22" s="30" t="str">
        <f t="shared" si="12"/>
        <v>..</v>
      </c>
      <c r="M22" s="30">
        <f t="shared" si="16"/>
        <v>24441.932201846626</v>
      </c>
      <c r="N22" s="30">
        <f t="shared" si="16"/>
        <v>4943.0875362318839</v>
      </c>
      <c r="O22" s="30">
        <f t="shared" si="16"/>
        <v>6676.7702290076331</v>
      </c>
      <c r="P22" s="30">
        <f t="shared" si="16"/>
        <v>12853.951438053095</v>
      </c>
      <c r="Q22" s="152"/>
      <c r="R22" s="64">
        <v>1987</v>
      </c>
      <c r="T22" s="64">
        <v>92.4</v>
      </c>
      <c r="U22" s="64">
        <v>58.5</v>
      </c>
      <c r="V22" s="64">
        <v>80.3</v>
      </c>
      <c r="Y22" s="64">
        <f t="shared" si="5"/>
        <v>5354.7647999999999</v>
      </c>
      <c r="Z22" s="64">
        <f t="shared" si="6"/>
        <v>7066.3904999999995</v>
      </c>
      <c r="AA22" s="64">
        <f t="shared" si="7"/>
        <v>9527.4343999999983</v>
      </c>
      <c r="AC22" s="64" t="e">
        <f t="shared" si="17"/>
        <v>#DIV/0!</v>
      </c>
      <c r="AD22" s="64">
        <f t="shared" si="13"/>
        <v>0.64660169574581505</v>
      </c>
      <c r="AE22" s="64">
        <f t="shared" si="18"/>
        <v>0.71821674729127982</v>
      </c>
      <c r="AF22" s="64">
        <f t="shared" si="19"/>
        <v>0.9478207480494435</v>
      </c>
    </row>
    <row r="23" spans="1:32">
      <c r="A23" s="66">
        <v>1988</v>
      </c>
      <c r="B23" s="30">
        <v>568887</v>
      </c>
      <c r="C23" s="30">
        <f t="shared" si="0"/>
        <v>18947.2</v>
      </c>
      <c r="D23" s="30">
        <v>3869.3</v>
      </c>
      <c r="E23" s="30">
        <v>4730.8</v>
      </c>
      <c r="F23" s="30">
        <v>10347.1</v>
      </c>
      <c r="G23" s="151" t="s">
        <v>22</v>
      </c>
      <c r="H23" s="28">
        <f t="shared" si="8"/>
        <v>75.733645090588482</v>
      </c>
      <c r="I23" s="151">
        <f t="shared" si="9"/>
        <v>77.605081770163608</v>
      </c>
      <c r="J23" s="151">
        <f t="shared" si="10"/>
        <v>68.06231720055959</v>
      </c>
      <c r="K23" s="151">
        <f t="shared" si="11"/>
        <v>78.541230601298594</v>
      </c>
      <c r="L23" s="30" t="str">
        <f t="shared" si="12"/>
        <v>..</v>
      </c>
      <c r="M23" s="30">
        <f t="shared" si="16"/>
        <v>25018.206871379803</v>
      </c>
      <c r="N23" s="30">
        <f t="shared" si="16"/>
        <v>4985.8848309178748</v>
      </c>
      <c r="O23" s="30">
        <f t="shared" si="16"/>
        <v>6950.6890076335876</v>
      </c>
      <c r="P23" s="30">
        <f t="shared" si="16"/>
        <v>13174.099668141591</v>
      </c>
      <c r="Q23" s="152"/>
      <c r="R23" s="64">
        <v>1988</v>
      </c>
      <c r="T23" s="64">
        <v>93.2</v>
      </c>
      <c r="U23" s="64">
        <v>60.9</v>
      </c>
      <c r="V23" s="64">
        <v>82.3</v>
      </c>
      <c r="Y23" s="64">
        <f t="shared" si="5"/>
        <v>5401.1264000000001</v>
      </c>
      <c r="Z23" s="64">
        <f t="shared" si="6"/>
        <v>7356.2936999999993</v>
      </c>
      <c r="AA23" s="64">
        <f t="shared" si="7"/>
        <v>9764.7303999999986</v>
      </c>
      <c r="AC23" s="64" t="e">
        <f t="shared" si="17"/>
        <v>#DIV/0!</v>
      </c>
      <c r="AD23" s="64">
        <f t="shared" si="13"/>
        <v>0.71638760388944056</v>
      </c>
      <c r="AE23" s="64">
        <f t="shared" si="18"/>
        <v>0.6430955849410962</v>
      </c>
      <c r="AF23" s="64">
        <f t="shared" si="19"/>
        <v>1.0596401104939879</v>
      </c>
    </row>
    <row r="24" spans="1:32">
      <c r="A24" s="66">
        <v>1989</v>
      </c>
      <c r="B24" s="30">
        <v>607671</v>
      </c>
      <c r="C24" s="30">
        <f t="shared" si="0"/>
        <v>18653.5</v>
      </c>
      <c r="D24" s="30">
        <v>3949.9</v>
      </c>
      <c r="E24" s="30">
        <v>4847.8</v>
      </c>
      <c r="F24" s="30">
        <v>9855.7999999999993</v>
      </c>
      <c r="G24" s="151" t="s">
        <v>22</v>
      </c>
      <c r="H24" s="28">
        <f t="shared" si="8"/>
        <v>75.192221672086902</v>
      </c>
      <c r="I24" s="151">
        <f t="shared" si="9"/>
        <v>79.821160538168243</v>
      </c>
      <c r="J24" s="151">
        <f t="shared" si="10"/>
        <v>70.322967828568096</v>
      </c>
      <c r="K24" s="151">
        <f t="shared" si="11"/>
        <v>75.732139604215789</v>
      </c>
      <c r="L24" s="30" t="str">
        <f t="shared" si="12"/>
        <v>..</v>
      </c>
      <c r="M24" s="30">
        <f t="shared" si="16"/>
        <v>24807.75216530756</v>
      </c>
      <c r="N24" s="30">
        <f t="shared" si="16"/>
        <v>4948.4371980676333</v>
      </c>
      <c r="O24" s="30">
        <f t="shared" si="16"/>
        <v>6893.6225954198471</v>
      </c>
      <c r="P24" s="30">
        <f t="shared" si="16"/>
        <v>13014.025553097346</v>
      </c>
      <c r="Q24" s="152"/>
      <c r="R24" s="64">
        <v>1989</v>
      </c>
      <c r="T24" s="64">
        <v>92.5</v>
      </c>
      <c r="U24" s="64">
        <v>60.4</v>
      </c>
      <c r="V24" s="64">
        <v>81.3</v>
      </c>
      <c r="Y24" s="64">
        <f t="shared" si="5"/>
        <v>5360.56</v>
      </c>
      <c r="Z24" s="64">
        <f t="shared" si="6"/>
        <v>7295.8971999999994</v>
      </c>
      <c r="AA24" s="64">
        <f t="shared" si="7"/>
        <v>9646.0823999999993</v>
      </c>
      <c r="AC24" s="64" t="e">
        <f t="shared" si="17"/>
        <v>#DIV/0!</v>
      </c>
      <c r="AD24" s="64">
        <f t="shared" si="13"/>
        <v>0.73684465802080379</v>
      </c>
      <c r="AE24" s="64">
        <f t="shared" si="18"/>
        <v>0.66445563405142283</v>
      </c>
      <c r="AF24" s="64">
        <f t="shared" si="19"/>
        <v>1.0217412200418274</v>
      </c>
    </row>
    <row r="25" spans="1:32">
      <c r="A25" s="66">
        <v>1990</v>
      </c>
      <c r="B25" s="30">
        <v>631401</v>
      </c>
      <c r="C25" s="30">
        <f t="shared" si="0"/>
        <v>16169.1</v>
      </c>
      <c r="D25" s="30">
        <v>3430.3</v>
      </c>
      <c r="E25" s="30">
        <v>4243.7</v>
      </c>
      <c r="F25" s="30">
        <v>8495.1</v>
      </c>
      <c r="G25" s="151" t="s">
        <v>22</v>
      </c>
      <c r="H25" s="28">
        <f t="shared" si="8"/>
        <v>68.952558814788745</v>
      </c>
      <c r="I25" s="151">
        <f t="shared" si="9"/>
        <v>76.609092040750255</v>
      </c>
      <c r="J25" s="151">
        <f t="shared" si="10"/>
        <v>65.46147310713944</v>
      </c>
      <c r="K25" s="151">
        <f t="shared" si="11"/>
        <v>67.604830652970222</v>
      </c>
      <c r="L25" s="30" t="str">
        <f t="shared" si="12"/>
        <v>..</v>
      </c>
      <c r="M25" s="30">
        <f t="shared" si="16"/>
        <v>23449.601114051911</v>
      </c>
      <c r="N25" s="30">
        <f t="shared" si="16"/>
        <v>4477.6669565217389</v>
      </c>
      <c r="O25" s="30">
        <f t="shared" si="16"/>
        <v>6482.744427480915</v>
      </c>
      <c r="P25" s="30">
        <f t="shared" si="16"/>
        <v>12565.818030973453</v>
      </c>
      <c r="Q25" s="152"/>
      <c r="R25" s="64">
        <v>1990</v>
      </c>
      <c r="T25" s="64">
        <v>83.7</v>
      </c>
      <c r="U25" s="64">
        <v>56.8</v>
      </c>
      <c r="V25" s="64">
        <v>78.5</v>
      </c>
      <c r="Y25" s="64">
        <f t="shared" si="5"/>
        <v>4850.5824000000002</v>
      </c>
      <c r="Z25" s="64">
        <f t="shared" si="6"/>
        <v>6861.0423999999994</v>
      </c>
      <c r="AA25" s="64">
        <f t="shared" si="7"/>
        <v>9313.8680000000004</v>
      </c>
      <c r="AC25" s="64" t="e">
        <f t="shared" si="17"/>
        <v>#DIV/0!</v>
      </c>
      <c r="AD25" s="64">
        <f t="shared" si="13"/>
        <v>0.70719342897875526</v>
      </c>
      <c r="AE25" s="64">
        <f t="shared" si="18"/>
        <v>0.61852117398370843</v>
      </c>
      <c r="AF25" s="64">
        <f t="shared" si="19"/>
        <v>0.91209151772389296</v>
      </c>
    </row>
    <row r="26" spans="1:32">
      <c r="A26" s="66">
        <v>1991</v>
      </c>
      <c r="B26" s="30">
        <v>636082</v>
      </c>
      <c r="C26" s="30">
        <f t="shared" si="0"/>
        <v>13257.4</v>
      </c>
      <c r="D26" s="30">
        <v>3032</v>
      </c>
      <c r="E26" s="30">
        <v>3674.4</v>
      </c>
      <c r="F26" s="30">
        <v>6551</v>
      </c>
      <c r="G26" s="151" t="s">
        <v>22</v>
      </c>
      <c r="H26" s="28">
        <f t="shared" si="8"/>
        <v>60.829664608470296</v>
      </c>
      <c r="I26" s="151">
        <f t="shared" si="9"/>
        <v>74.183873846281571</v>
      </c>
      <c r="J26" s="151">
        <f t="shared" si="10"/>
        <v>62.634375063923073</v>
      </c>
      <c r="K26" s="151">
        <f t="shared" si="11"/>
        <v>53.636687886357713</v>
      </c>
      <c r="L26" s="30" t="str">
        <f t="shared" si="12"/>
        <v>..</v>
      </c>
      <c r="M26" s="30">
        <f t="shared" si="16"/>
        <v>21794.300667825741</v>
      </c>
      <c r="N26" s="30">
        <f t="shared" si="16"/>
        <v>4087.1416425120774</v>
      </c>
      <c r="O26" s="30">
        <f t="shared" si="16"/>
        <v>5866.4271755725185</v>
      </c>
      <c r="P26" s="30">
        <f t="shared" si="16"/>
        <v>12213.654977876107</v>
      </c>
      <c r="Q26" s="152"/>
      <c r="R26" s="64">
        <v>1991</v>
      </c>
      <c r="T26" s="64">
        <v>76.400000000000006</v>
      </c>
      <c r="U26" s="64">
        <v>51.4</v>
      </c>
      <c r="V26" s="64">
        <v>76.3</v>
      </c>
      <c r="Y26" s="64">
        <f t="shared" si="5"/>
        <v>4427.5328</v>
      </c>
      <c r="Z26" s="64">
        <f t="shared" si="6"/>
        <v>6208.7601999999997</v>
      </c>
      <c r="AA26" s="64">
        <f t="shared" si="7"/>
        <v>9052.8423999999995</v>
      </c>
      <c r="AC26" s="64" t="e">
        <f t="shared" si="17"/>
        <v>#DIV/0!</v>
      </c>
      <c r="AD26" s="64">
        <f t="shared" si="13"/>
        <v>0.68480576812440552</v>
      </c>
      <c r="AE26" s="64">
        <f t="shared" si="18"/>
        <v>0.59180897339214367</v>
      </c>
      <c r="AF26" s="64">
        <f t="shared" si="19"/>
        <v>0.72364012434370895</v>
      </c>
    </row>
    <row r="27" spans="1:32">
      <c r="A27" s="66">
        <v>1992</v>
      </c>
      <c r="B27" s="30">
        <v>649098</v>
      </c>
      <c r="C27" s="30">
        <f t="shared" si="0"/>
        <v>13813.3</v>
      </c>
      <c r="D27" s="30">
        <v>3424.4</v>
      </c>
      <c r="E27" s="30">
        <v>4468.2</v>
      </c>
      <c r="F27" s="30">
        <v>5920.7</v>
      </c>
      <c r="G27" s="151" t="s">
        <v>22</v>
      </c>
      <c r="H27" s="28">
        <f t="shared" si="8"/>
        <v>63.503493146696442</v>
      </c>
      <c r="I27" s="151">
        <f t="shared" si="9"/>
        <v>79.914510228718825</v>
      </c>
      <c r="J27" s="151">
        <f t="shared" si="10"/>
        <v>71.833253502817001</v>
      </c>
      <c r="K27" s="151">
        <f t="shared" si="11"/>
        <v>47.725473297878672</v>
      </c>
      <c r="L27" s="30" t="str">
        <f t="shared" si="12"/>
        <v>..</v>
      </c>
      <c r="M27" s="30">
        <f t="shared" si="16"/>
        <v>21752.031763182764</v>
      </c>
      <c r="N27" s="30">
        <f t="shared" si="16"/>
        <v>4285.0791304347822</v>
      </c>
      <c r="O27" s="30">
        <f t="shared" si="16"/>
        <v>6220.2389312977111</v>
      </c>
      <c r="P27" s="30">
        <f t="shared" si="16"/>
        <v>12405.743915929204</v>
      </c>
      <c r="Q27" s="152"/>
      <c r="R27" s="64">
        <v>1992</v>
      </c>
      <c r="T27" s="64">
        <v>80.099999999999994</v>
      </c>
      <c r="U27" s="64">
        <v>54.5</v>
      </c>
      <c r="V27" s="64">
        <v>77.5</v>
      </c>
      <c r="Y27" s="64">
        <f t="shared" si="5"/>
        <v>4641.9551999999994</v>
      </c>
      <c r="Z27" s="64">
        <f t="shared" si="6"/>
        <v>6583.2184999999999</v>
      </c>
      <c r="AA27" s="64">
        <f t="shared" si="7"/>
        <v>9195.2199999999993</v>
      </c>
      <c r="AC27" s="64" t="e">
        <f t="shared" si="17"/>
        <v>#DIV/0!</v>
      </c>
      <c r="AD27" s="64">
        <f t="shared" si="13"/>
        <v>0.73770638717064752</v>
      </c>
      <c r="AE27" s="64">
        <f t="shared" si="18"/>
        <v>0.67872576308989285</v>
      </c>
      <c r="AF27" s="64">
        <f t="shared" si="19"/>
        <v>0.64388889009724626</v>
      </c>
    </row>
    <row r="28" spans="1:32">
      <c r="A28" s="66">
        <v>1993</v>
      </c>
      <c r="B28" s="30">
        <v>672837</v>
      </c>
      <c r="C28" s="30">
        <f t="shared" si="0"/>
        <v>17122.599999999999</v>
      </c>
      <c r="D28" s="30">
        <v>4329</v>
      </c>
      <c r="E28" s="30">
        <v>6473</v>
      </c>
      <c r="F28" s="30">
        <v>6320.6</v>
      </c>
      <c r="G28" s="151" t="s">
        <v>22</v>
      </c>
      <c r="H28" s="28">
        <f t="shared" si="8"/>
        <v>79.097536780847264</v>
      </c>
      <c r="I28" s="151">
        <f t="shared" si="9"/>
        <v>95.31331298840729</v>
      </c>
      <c r="J28" s="151">
        <f t="shared" si="10"/>
        <v>98.122183463811453</v>
      </c>
      <c r="K28" s="151">
        <f t="shared" si="11"/>
        <v>48.507935606693778</v>
      </c>
      <c r="L28" s="30" t="str">
        <f t="shared" si="12"/>
        <v>..</v>
      </c>
      <c r="M28" s="30">
        <f t="shared" si="16"/>
        <v>21647.450346577767</v>
      </c>
      <c r="N28" s="30">
        <f t="shared" si="16"/>
        <v>4541.8628985507248</v>
      </c>
      <c r="O28" s="30">
        <f t="shared" si="16"/>
        <v>6596.8772519083968</v>
      </c>
      <c r="P28" s="30">
        <f t="shared" si="16"/>
        <v>13030.032964601773</v>
      </c>
      <c r="Q28" s="152"/>
      <c r="R28" s="64">
        <v>1993</v>
      </c>
      <c r="T28" s="64">
        <v>84.9</v>
      </c>
      <c r="U28" s="64">
        <v>57.8</v>
      </c>
      <c r="V28" s="64">
        <v>81.400000000000006</v>
      </c>
      <c r="Y28" s="64">
        <f t="shared" si="5"/>
        <v>4920.1248000000005</v>
      </c>
      <c r="Z28" s="64">
        <f t="shared" si="6"/>
        <v>6981.835399999999</v>
      </c>
      <c r="AA28" s="64">
        <f t="shared" si="7"/>
        <v>9657.9472000000005</v>
      </c>
      <c r="AC28" s="64" t="e">
        <f t="shared" si="17"/>
        <v>#DIV/0!</v>
      </c>
      <c r="AD28" s="64">
        <f t="shared" si="13"/>
        <v>0.87985573048878751</v>
      </c>
      <c r="AE28" s="64">
        <f t="shared" si="18"/>
        <v>0.92712010941993861</v>
      </c>
      <c r="AF28" s="64">
        <f t="shared" si="19"/>
        <v>0.6544454912737564</v>
      </c>
    </row>
    <row r="29" spans="1:32">
      <c r="A29" s="66">
        <v>1994</v>
      </c>
      <c r="B29" s="30">
        <v>714150</v>
      </c>
      <c r="C29" s="30">
        <f t="shared" si="0"/>
        <v>21309.300000000003</v>
      </c>
      <c r="D29" s="30">
        <v>4692.2</v>
      </c>
      <c r="E29" s="30">
        <v>8537</v>
      </c>
      <c r="F29" s="30">
        <v>8080.1</v>
      </c>
      <c r="G29" s="151" t="s">
        <v>22</v>
      </c>
      <c r="H29" s="28">
        <f t="shared" si="8"/>
        <v>90.4338074209506</v>
      </c>
      <c r="I29" s="151">
        <f t="shared" si="9"/>
        <v>92.423832358670509</v>
      </c>
      <c r="J29" s="151">
        <f t="shared" si="10"/>
        <v>120.64324972049225</v>
      </c>
      <c r="K29" s="151">
        <f t="shared" si="11"/>
        <v>57.360503387095051</v>
      </c>
      <c r="L29" s="30" t="str">
        <f t="shared" si="12"/>
        <v>..</v>
      </c>
      <c r="M29" s="30">
        <f t="shared" si="16"/>
        <v>23563.422361296409</v>
      </c>
      <c r="N29" s="30">
        <f t="shared" si="16"/>
        <v>5076.8290821256051</v>
      </c>
      <c r="O29" s="30">
        <f t="shared" si="16"/>
        <v>7076.2351145038165</v>
      </c>
      <c r="P29" s="30">
        <f t="shared" si="16"/>
        <v>14086.522123893805</v>
      </c>
      <c r="Q29" s="152"/>
      <c r="R29" s="64">
        <v>1994</v>
      </c>
      <c r="T29" s="64">
        <v>94.9</v>
      </c>
      <c r="U29" s="64">
        <v>62</v>
      </c>
      <c r="V29" s="64">
        <v>88</v>
      </c>
      <c r="Y29" s="64">
        <f t="shared" si="5"/>
        <v>5499.6448</v>
      </c>
      <c r="Z29" s="64">
        <f t="shared" si="6"/>
        <v>7489.1659999999993</v>
      </c>
      <c r="AA29" s="64">
        <f t="shared" si="7"/>
        <v>10441.023999999999</v>
      </c>
      <c r="AC29" s="64" t="e">
        <f t="shared" si="17"/>
        <v>#DIV/0!</v>
      </c>
      <c r="AD29" s="64">
        <f t="shared" si="13"/>
        <v>0.8531823727961485</v>
      </c>
      <c r="AE29" s="64">
        <f t="shared" si="18"/>
        <v>1.1399133094392622</v>
      </c>
      <c r="AF29" s="64">
        <f t="shared" si="19"/>
        <v>0.77388003322279508</v>
      </c>
    </row>
    <row r="30" spans="1:32">
      <c r="A30" s="66">
        <v>1995</v>
      </c>
      <c r="B30" s="30">
        <v>750665</v>
      </c>
      <c r="C30" s="30">
        <f t="shared" si="0"/>
        <v>27483.3</v>
      </c>
      <c r="D30" s="30">
        <v>5536.9</v>
      </c>
      <c r="E30" s="30">
        <v>7475.7</v>
      </c>
      <c r="F30" s="30">
        <v>14470.7</v>
      </c>
      <c r="G30" s="151">
        <v>99.99897007746749</v>
      </c>
      <c r="H30" s="28">
        <f t="shared" si="8"/>
        <v>100</v>
      </c>
      <c r="I30" s="151">
        <f t="shared" si="9"/>
        <v>100</v>
      </c>
      <c r="J30" s="151">
        <f t="shared" si="10"/>
        <v>100</v>
      </c>
      <c r="K30" s="151">
        <f t="shared" si="11"/>
        <v>100</v>
      </c>
      <c r="L30" s="30">
        <f t="shared" si="12"/>
        <v>750672.73134760559</v>
      </c>
      <c r="M30" s="30">
        <f t="shared" ref="M30:P38" si="20">C30*100/H30</f>
        <v>27483.3</v>
      </c>
      <c r="N30" s="30">
        <f t="shared" si="20"/>
        <v>5536.9</v>
      </c>
      <c r="O30" s="30">
        <f t="shared" si="20"/>
        <v>7475.7</v>
      </c>
      <c r="P30" s="30">
        <f t="shared" si="20"/>
        <v>14470.7</v>
      </c>
      <c r="Q30" s="152"/>
      <c r="R30" s="64">
        <v>1995</v>
      </c>
      <c r="T30" s="64">
        <v>103.5</v>
      </c>
      <c r="U30" s="64">
        <v>65.5</v>
      </c>
      <c r="V30" s="64">
        <v>90.4</v>
      </c>
      <c r="Y30" s="64">
        <f t="shared" si="5"/>
        <v>5998.0319999999992</v>
      </c>
      <c r="Z30" s="64">
        <f t="shared" si="6"/>
        <v>7911.9414999999999</v>
      </c>
      <c r="AA30" s="64">
        <f t="shared" si="7"/>
        <v>10725.779199999999</v>
      </c>
      <c r="AC30" s="64" t="e">
        <f t="shared" si="17"/>
        <v>#DIV/0!</v>
      </c>
      <c r="AD30" s="64">
        <f t="shared" si="13"/>
        <v>0.9231194498462163</v>
      </c>
      <c r="AE30" s="64">
        <f t="shared" si="18"/>
        <v>0.94486290122342287</v>
      </c>
      <c r="AF30" s="64">
        <f t="shared" si="19"/>
        <v>1.3491513977837621</v>
      </c>
    </row>
    <row r="31" spans="1:32">
      <c r="A31" s="66">
        <v>1996</v>
      </c>
      <c r="B31" s="30">
        <v>775816</v>
      </c>
      <c r="C31" s="30">
        <f t="shared" si="0"/>
        <v>25658.6</v>
      </c>
      <c r="D31" s="30">
        <v>5473.8</v>
      </c>
      <c r="E31" s="30">
        <v>7960</v>
      </c>
      <c r="F31" s="30">
        <v>12224.8</v>
      </c>
      <c r="G31" s="151">
        <v>101.93488164395306</v>
      </c>
      <c r="H31" s="28">
        <f t="shared" si="8"/>
        <v>93.28637367140152</v>
      </c>
      <c r="I31" s="151">
        <f t="shared" si="9"/>
        <v>99.243924532138578</v>
      </c>
      <c r="J31" s="151">
        <f t="shared" si="10"/>
        <v>102.71472994199785</v>
      </c>
      <c r="K31" s="151">
        <f t="shared" si="11"/>
        <v>84.479672717974935</v>
      </c>
      <c r="L31" s="30">
        <f t="shared" si="12"/>
        <v>761089.81291589362</v>
      </c>
      <c r="M31" s="30">
        <f t="shared" si="20"/>
        <v>27505.196086174019</v>
      </c>
      <c r="N31" s="30">
        <f t="shared" si="20"/>
        <v>5515.5013526570046</v>
      </c>
      <c r="O31" s="30">
        <f t="shared" si="20"/>
        <v>7749.6187786259534</v>
      </c>
      <c r="P31" s="30">
        <f t="shared" si="20"/>
        <v>14470.7</v>
      </c>
      <c r="Q31" s="152"/>
      <c r="R31" s="64">
        <v>1996</v>
      </c>
      <c r="T31" s="64">
        <v>103.1</v>
      </c>
      <c r="U31" s="64">
        <v>67.900000000000006</v>
      </c>
      <c r="V31" s="64">
        <v>90.4</v>
      </c>
      <c r="Y31" s="64">
        <f t="shared" si="5"/>
        <v>5974.8511999999992</v>
      </c>
      <c r="Z31" s="64">
        <f t="shared" si="6"/>
        <v>8201.8446999999996</v>
      </c>
      <c r="AA31" s="64">
        <f t="shared" si="7"/>
        <v>10725.779199999999</v>
      </c>
      <c r="AC31" s="64" t="e">
        <f t="shared" si="17"/>
        <v>#DIV/0!</v>
      </c>
      <c r="AD31" s="64">
        <f t="shared" si="13"/>
        <v>0.91613997014687176</v>
      </c>
      <c r="AE31" s="64">
        <f t="shared" si="18"/>
        <v>0.97051337731376464</v>
      </c>
      <c r="AF31" s="64">
        <f t="shared" si="19"/>
        <v>1.1397586853177064</v>
      </c>
    </row>
    <row r="32" spans="1:32">
      <c r="A32" s="66">
        <v>1997</v>
      </c>
      <c r="B32" s="30">
        <v>816756</v>
      </c>
      <c r="C32" s="30">
        <f t="shared" si="0"/>
        <v>25507.699999999997</v>
      </c>
      <c r="D32" s="30">
        <v>5473.1</v>
      </c>
      <c r="E32" s="30">
        <v>9197.7999999999993</v>
      </c>
      <c r="F32" s="30">
        <v>10836.8</v>
      </c>
      <c r="G32" s="151">
        <v>103.33703999558485</v>
      </c>
      <c r="H32" s="28">
        <f t="shared" si="8"/>
        <v>89.606579748248947</v>
      </c>
      <c r="I32" s="151">
        <f t="shared" si="9"/>
        <v>96.973840050624588</v>
      </c>
      <c r="J32" s="151">
        <f t="shared" si="10"/>
        <v>104.66046788130339</v>
      </c>
      <c r="K32" s="151">
        <f t="shared" si="11"/>
        <v>73.10868326301896</v>
      </c>
      <c r="L32" s="30">
        <f t="shared" si="12"/>
        <v>790380.68057193875</v>
      </c>
      <c r="M32" s="30">
        <f t="shared" si="20"/>
        <v>28466.324762829099</v>
      </c>
      <c r="N32" s="30">
        <f t="shared" si="20"/>
        <v>5643.8932367149764</v>
      </c>
      <c r="O32" s="30">
        <f t="shared" si="20"/>
        <v>8788.2274809160299</v>
      </c>
      <c r="P32" s="30">
        <f t="shared" si="20"/>
        <v>14822.863053097344</v>
      </c>
      <c r="Q32" s="152"/>
      <c r="R32" s="64">
        <v>1997</v>
      </c>
      <c r="T32" s="64">
        <v>105.5</v>
      </c>
      <c r="U32" s="64">
        <v>77</v>
      </c>
      <c r="V32" s="64">
        <v>92.6</v>
      </c>
      <c r="X32" s="64">
        <v>888158</v>
      </c>
      <c r="Y32" s="64">
        <f t="shared" si="5"/>
        <v>6113.9359999999997</v>
      </c>
      <c r="Z32" s="64">
        <f t="shared" si="6"/>
        <v>9301.0609999999997</v>
      </c>
      <c r="AA32" s="64">
        <f t="shared" si="7"/>
        <v>10986.804799999998</v>
      </c>
      <c r="AC32" s="64">
        <f>B32/X32</f>
        <v>0.91960664656513813</v>
      </c>
      <c r="AD32" s="64">
        <f t="shared" si="13"/>
        <v>0.89518437877007551</v>
      </c>
      <c r="AE32" s="64">
        <f t="shared" si="18"/>
        <v>0.98889793325729181</v>
      </c>
      <c r="AF32" s="64">
        <f t="shared" si="19"/>
        <v>0.98634682214432368</v>
      </c>
    </row>
    <row r="33" spans="1:32">
      <c r="A33" s="66">
        <v>1998</v>
      </c>
      <c r="B33" s="30">
        <v>846534</v>
      </c>
      <c r="C33" s="30">
        <f t="shared" si="0"/>
        <v>26273</v>
      </c>
      <c r="D33" s="30">
        <v>5708.9</v>
      </c>
      <c r="E33" s="30">
        <v>9132.7999999999993</v>
      </c>
      <c r="F33" s="30">
        <v>11431.3</v>
      </c>
      <c r="G33" s="151">
        <v>103.10800953077263</v>
      </c>
      <c r="H33" s="28">
        <f t="shared" si="8"/>
        <v>92.861382896675366</v>
      </c>
      <c r="I33" s="151">
        <f t="shared" si="9"/>
        <v>103.80851799174312</v>
      </c>
      <c r="J33" s="151">
        <f t="shared" si="10"/>
        <v>100.90674449360526</v>
      </c>
      <c r="K33" s="151">
        <f t="shared" si="11"/>
        <v>80.96660470550961</v>
      </c>
      <c r="L33" s="30">
        <f t="shared" si="12"/>
        <v>821016.7220300684</v>
      </c>
      <c r="M33" s="30">
        <f t="shared" si="20"/>
        <v>28292.708099375752</v>
      </c>
      <c r="N33" s="30">
        <f t="shared" si="20"/>
        <v>5499.4523671497591</v>
      </c>
      <c r="O33" s="30">
        <f t="shared" si="20"/>
        <v>9050.7329770992365</v>
      </c>
      <c r="P33" s="30">
        <f t="shared" si="20"/>
        <v>14118.536946902657</v>
      </c>
      <c r="Q33" s="152"/>
      <c r="R33" s="64">
        <v>1998</v>
      </c>
      <c r="T33" s="64">
        <v>102.8</v>
      </c>
      <c r="U33" s="64">
        <v>79.3</v>
      </c>
      <c r="V33" s="64">
        <v>88.2</v>
      </c>
      <c r="X33" s="64">
        <v>922584</v>
      </c>
      <c r="Y33" s="64">
        <f t="shared" si="5"/>
        <v>5957.4655999999995</v>
      </c>
      <c r="Z33" s="64">
        <f t="shared" si="6"/>
        <v>9578.8848999999991</v>
      </c>
      <c r="AA33" s="64">
        <f t="shared" si="7"/>
        <v>10464.7536</v>
      </c>
      <c r="AC33" s="64">
        <f t="shared" si="17"/>
        <v>0.91756848156915793</v>
      </c>
      <c r="AD33" s="64">
        <f t="shared" si="13"/>
        <v>0.95827662017888948</v>
      </c>
      <c r="AE33" s="64">
        <f t="shared" si="18"/>
        <v>0.95343039355238524</v>
      </c>
      <c r="AF33" s="64">
        <f t="shared" si="19"/>
        <v>1.0923620791224362</v>
      </c>
    </row>
    <row r="34" spans="1:32">
      <c r="A34" s="66">
        <v>1999</v>
      </c>
      <c r="B34" s="30">
        <v>909694</v>
      </c>
      <c r="C34" s="30">
        <f t="shared" si="0"/>
        <v>28847.699999999997</v>
      </c>
      <c r="D34" s="30">
        <v>5488.9</v>
      </c>
      <c r="E34" s="30">
        <v>11976.8</v>
      </c>
      <c r="F34" s="30">
        <v>11382</v>
      </c>
      <c r="G34" s="151">
        <v>104.90827411028009</v>
      </c>
      <c r="H34" s="28">
        <f t="shared" si="8"/>
        <v>97.649763230303165</v>
      </c>
      <c r="I34" s="151">
        <f t="shared" si="9"/>
        <v>90.879315345002908</v>
      </c>
      <c r="J34" s="151">
        <f t="shared" si="10"/>
        <v>123.60115876342368</v>
      </c>
      <c r="K34" s="151">
        <f t="shared" si="11"/>
        <v>73.607208088548347</v>
      </c>
      <c r="L34" s="30">
        <f t="shared" si="12"/>
        <v>867132.74783619563</v>
      </c>
      <c r="M34" s="30">
        <f t="shared" si="20"/>
        <v>29542.007113692449</v>
      </c>
      <c r="N34" s="30">
        <f t="shared" si="20"/>
        <v>6039.7682125603878</v>
      </c>
      <c r="O34" s="30">
        <f t="shared" si="20"/>
        <v>9689.8767938931323</v>
      </c>
      <c r="P34" s="30">
        <f t="shared" si="20"/>
        <v>15463.159513274335</v>
      </c>
      <c r="Q34" s="152"/>
      <c r="R34" s="64">
        <v>1999</v>
      </c>
      <c r="T34" s="64">
        <v>112.9</v>
      </c>
      <c r="U34" s="64">
        <v>84.9</v>
      </c>
      <c r="V34" s="64">
        <v>96.6</v>
      </c>
      <c r="X34" s="64">
        <v>974405</v>
      </c>
      <c r="Y34" s="64">
        <f t="shared" si="5"/>
        <v>6542.7807999999995</v>
      </c>
      <c r="Z34" s="64">
        <f t="shared" si="6"/>
        <v>10255.325700000001</v>
      </c>
      <c r="AA34" s="64">
        <f t="shared" si="7"/>
        <v>11461.396799999999</v>
      </c>
      <c r="AC34" s="64">
        <f t="shared" si="17"/>
        <v>0.93358921598308708</v>
      </c>
      <c r="AD34" s="64">
        <f t="shared" si="13"/>
        <v>0.83892463583679888</v>
      </c>
      <c r="AE34" s="64">
        <f t="shared" si="18"/>
        <v>1.167861494637854</v>
      </c>
      <c r="AF34" s="64">
        <f t="shared" si="19"/>
        <v>0.99307267679625244</v>
      </c>
    </row>
    <row r="35" spans="1:32">
      <c r="A35" s="66">
        <v>2000</v>
      </c>
      <c r="B35" s="30">
        <v>999930</v>
      </c>
      <c r="C35" s="30">
        <f t="shared" si="0"/>
        <v>32272.9</v>
      </c>
      <c r="D35" s="30">
        <v>5579.1</v>
      </c>
      <c r="E35" s="30">
        <v>12159.2</v>
      </c>
      <c r="F35" s="30">
        <v>14534.6</v>
      </c>
      <c r="G35" s="151">
        <v>109.48981691361655</v>
      </c>
      <c r="H35" s="28">
        <f t="shared" si="8"/>
        <v>98.497915852585066</v>
      </c>
      <c r="I35" s="151">
        <f t="shared" si="9"/>
        <v>97.193695160875862</v>
      </c>
      <c r="J35" s="151">
        <f t="shared" si="10"/>
        <v>109.26720180221525</v>
      </c>
      <c r="K35" s="151">
        <f t="shared" si="11"/>
        <v>89.989286508975439</v>
      </c>
      <c r="L35" s="30">
        <f t="shared" si="12"/>
        <v>913263.01220222889</v>
      </c>
      <c r="M35" s="30">
        <f t="shared" si="20"/>
        <v>32765.058753426409</v>
      </c>
      <c r="N35" s="30">
        <f t="shared" si="20"/>
        <v>5740.1871497584534</v>
      </c>
      <c r="O35" s="30">
        <f t="shared" si="20"/>
        <v>11127.950381679388</v>
      </c>
      <c r="P35" s="30">
        <f t="shared" si="20"/>
        <v>16151.478207964605</v>
      </c>
      <c r="Q35" s="152"/>
      <c r="R35" s="64">
        <v>2000</v>
      </c>
      <c r="T35" s="64">
        <v>107.3</v>
      </c>
      <c r="U35" s="64">
        <v>97.5</v>
      </c>
      <c r="V35" s="64">
        <v>100.9</v>
      </c>
      <c r="X35" s="64">
        <v>1026242</v>
      </c>
      <c r="Y35" s="64">
        <f t="shared" si="5"/>
        <v>6218.2495999999992</v>
      </c>
      <c r="Z35" s="64">
        <f t="shared" si="6"/>
        <v>11777.317499999999</v>
      </c>
      <c r="AA35" s="64">
        <f t="shared" si="7"/>
        <v>11971.583200000001</v>
      </c>
      <c r="AC35" s="64">
        <f t="shared" si="17"/>
        <v>0.9743608232756017</v>
      </c>
      <c r="AD35" s="64">
        <f t="shared" si="13"/>
        <v>0.8972139040542858</v>
      </c>
      <c r="AE35" s="64">
        <f t="shared" si="18"/>
        <v>1.0324252530340632</v>
      </c>
      <c r="AF35" s="64">
        <f t="shared" si="19"/>
        <v>1.2140917167914766</v>
      </c>
    </row>
    <row r="36" spans="1:32">
      <c r="A36" s="66">
        <v>2001</v>
      </c>
      <c r="B36" s="30">
        <v>1032172</v>
      </c>
      <c r="C36" s="30">
        <f t="shared" ref="C36:C43" si="21">SUM(D36:F36)</f>
        <v>29983.200000000001</v>
      </c>
      <c r="D36" s="30">
        <v>5129.2</v>
      </c>
      <c r="E36" s="30">
        <v>11299.7</v>
      </c>
      <c r="F36" s="30">
        <v>13554.3</v>
      </c>
      <c r="G36" s="151">
        <v>111.4240757844652</v>
      </c>
      <c r="H36" s="28">
        <f t="shared" si="8"/>
        <v>96.183341061086708</v>
      </c>
      <c r="I36" s="151">
        <f t="shared" si="9"/>
        <v>98.946292610337821</v>
      </c>
      <c r="J36" s="151">
        <f t="shared" si="10"/>
        <v>106.34245144026764</v>
      </c>
      <c r="K36" s="151">
        <f t="shared" si="11"/>
        <v>86.66852800264401</v>
      </c>
      <c r="L36" s="30">
        <f t="shared" si="12"/>
        <v>926345.57902602397</v>
      </c>
      <c r="M36" s="30">
        <f t="shared" si="20"/>
        <v>31172.965785163837</v>
      </c>
      <c r="N36" s="30">
        <f t="shared" si="20"/>
        <v>5183.8223188405809</v>
      </c>
      <c r="O36" s="30">
        <f t="shared" si="20"/>
        <v>10625.76595419847</v>
      </c>
      <c r="P36" s="30">
        <f t="shared" si="20"/>
        <v>15639.241039823011</v>
      </c>
      <c r="Q36" s="152"/>
      <c r="R36" s="64">
        <v>2001</v>
      </c>
      <c r="T36" s="64">
        <v>96.9</v>
      </c>
      <c r="U36" s="64">
        <v>93.1</v>
      </c>
      <c r="V36" s="64">
        <v>97.7</v>
      </c>
      <c r="X36" s="64">
        <v>1040943</v>
      </c>
      <c r="Y36" s="64">
        <f t="shared" si="5"/>
        <v>5615.5488000000005</v>
      </c>
      <c r="Z36" s="64">
        <f t="shared" si="6"/>
        <v>11245.828299999999</v>
      </c>
      <c r="AA36" s="64">
        <f t="shared" si="7"/>
        <v>11591.909599999999</v>
      </c>
      <c r="AC36" s="64">
        <f t="shared" si="17"/>
        <v>0.99157398627974824</v>
      </c>
      <c r="AD36" s="64">
        <f t="shared" si="13"/>
        <v>0.91339247198777784</v>
      </c>
      <c r="AE36" s="64">
        <f t="shared" si="18"/>
        <v>1.0047903719106224</v>
      </c>
      <c r="AF36" s="64">
        <f t="shared" si="19"/>
        <v>1.169289656986283</v>
      </c>
    </row>
    <row r="37" spans="1:32">
      <c r="A37" s="66">
        <v>2002</v>
      </c>
      <c r="B37" s="30">
        <v>1068765</v>
      </c>
      <c r="C37" s="30">
        <f t="shared" si="21"/>
        <v>29739.3</v>
      </c>
      <c r="D37" s="30">
        <v>5795.2</v>
      </c>
      <c r="E37" s="30">
        <v>12079.3</v>
      </c>
      <c r="F37" s="30">
        <v>11864.8</v>
      </c>
      <c r="G37" s="151">
        <v>112.37091465308937</v>
      </c>
      <c r="H37" s="28">
        <f t="shared" si="8"/>
        <v>93.668296238126715</v>
      </c>
      <c r="I37" s="151">
        <f t="shared" si="9"/>
        <v>108.3283425743647</v>
      </c>
      <c r="J37" s="151">
        <f t="shared" si="10"/>
        <v>105.83546022446058</v>
      </c>
      <c r="K37" s="151">
        <f t="shared" si="11"/>
        <v>74.120665897295908</v>
      </c>
      <c r="L37" s="30">
        <f t="shared" si="12"/>
        <v>951104.65488287888</v>
      </c>
      <c r="M37" s="30">
        <f t="shared" si="20"/>
        <v>31749.589983355461</v>
      </c>
      <c r="N37" s="30">
        <f t="shared" si="20"/>
        <v>5349.6618357487932</v>
      </c>
      <c r="O37" s="30">
        <f t="shared" si="20"/>
        <v>11413.282442748092</v>
      </c>
      <c r="P37" s="30">
        <f t="shared" si="20"/>
        <v>16007.411504424781</v>
      </c>
      <c r="Q37" s="152"/>
      <c r="R37" s="64">
        <v>2002</v>
      </c>
      <c r="T37" s="64">
        <v>100</v>
      </c>
      <c r="U37" s="64">
        <v>100</v>
      </c>
      <c r="V37" s="64">
        <v>100</v>
      </c>
      <c r="X37" s="64">
        <v>1068765</v>
      </c>
      <c r="Y37" s="64">
        <f>D$37*(T37/100)</f>
        <v>5795.2</v>
      </c>
      <c r="Z37" s="64">
        <f>E$37*(U37/100)</f>
        <v>12079.3</v>
      </c>
      <c r="AA37" s="64">
        <f>F$37*(V37/100)</f>
        <v>11864.8</v>
      </c>
      <c r="AC37" s="64">
        <f>B37/X37</f>
        <v>1</v>
      </c>
      <c r="AD37" s="64">
        <f>D37/Y37</f>
        <v>1</v>
      </c>
      <c r="AE37" s="64">
        <f t="shared" si="18"/>
        <v>1</v>
      </c>
      <c r="AF37" s="64">
        <f t="shared" si="19"/>
        <v>1</v>
      </c>
    </row>
    <row r="38" spans="1:32">
      <c r="A38" s="66">
        <v>2003</v>
      </c>
      <c r="B38" s="30">
        <v>1128796</v>
      </c>
      <c r="C38" s="30">
        <f t="shared" si="21"/>
        <v>27628.6</v>
      </c>
      <c r="D38" s="30">
        <v>5324.1</v>
      </c>
      <c r="E38" s="30">
        <v>11598.5</v>
      </c>
      <c r="F38" s="30">
        <v>10706</v>
      </c>
      <c r="G38" s="151">
        <v>116.22356230082394</v>
      </c>
      <c r="H38" s="28">
        <f t="shared" si="8"/>
        <v>87.024466977670528</v>
      </c>
      <c r="I38" s="151">
        <f t="shared" si="9"/>
        <v>100.12291597114699</v>
      </c>
      <c r="J38" s="151">
        <f t="shared" si="10"/>
        <v>100.51713612109832</v>
      </c>
      <c r="K38" s="151">
        <f t="shared" si="11"/>
        <v>65.893122372195549</v>
      </c>
      <c r="L38" s="30">
        <f t="shared" si="12"/>
        <v>971228.18958027894</v>
      </c>
      <c r="M38" s="30">
        <f t="shared" si="20"/>
        <v>31748.08299267053</v>
      </c>
      <c r="N38" s="30">
        <f t="shared" si="20"/>
        <v>5317.5638647343003</v>
      </c>
      <c r="O38" s="30">
        <f t="shared" si="20"/>
        <v>11538.828549618318</v>
      </c>
      <c r="P38" s="30">
        <f t="shared" si="20"/>
        <v>16247.52267699115</v>
      </c>
      <c r="Q38" s="152"/>
      <c r="R38" s="64">
        <v>2003</v>
      </c>
      <c r="T38" s="64">
        <v>99.4</v>
      </c>
      <c r="U38" s="64">
        <v>101.1</v>
      </c>
      <c r="V38" s="64">
        <v>101.5</v>
      </c>
      <c r="X38" s="64">
        <v>1091378</v>
      </c>
      <c r="Y38" s="64">
        <f t="shared" ref="Y38:Y43" si="22">D$37*(T38/100)</f>
        <v>5760.4288000000006</v>
      </c>
      <c r="Z38" s="64">
        <f t="shared" ref="Z38:AA43" si="23">E$37*(U38/100)</f>
        <v>12212.172299999998</v>
      </c>
      <c r="AA38" s="64">
        <f t="shared" si="23"/>
        <v>12042.771999999997</v>
      </c>
      <c r="AC38" s="64">
        <f t="shared" ref="AC38:AC43" si="24">B38/X38</f>
        <v>1.0342850964560399</v>
      </c>
      <c r="AD38" s="64">
        <f t="shared" si="13"/>
        <v>0.92425411108284161</v>
      </c>
      <c r="AE38" s="64">
        <f t="shared" si="18"/>
        <v>0.94974912858050664</v>
      </c>
      <c r="AF38" s="64">
        <f t="shared" si="19"/>
        <v>0.88899798152784115</v>
      </c>
    </row>
    <row r="39" spans="1:32">
      <c r="A39" s="66">
        <v>2004</v>
      </c>
      <c r="B39" s="30">
        <v>1201306</v>
      </c>
      <c r="C39" s="30">
        <f t="shared" si="21"/>
        <v>31113.999999999996</v>
      </c>
      <c r="D39" s="30">
        <v>5939.9</v>
      </c>
      <c r="E39" s="30">
        <v>14139.8</v>
      </c>
      <c r="F39" s="30">
        <v>11034.3</v>
      </c>
      <c r="G39" s="151">
        <v>119.99286576987546</v>
      </c>
      <c r="H39" s="28">
        <f t="shared" si="8"/>
        <v>97.240133776913765</v>
      </c>
      <c r="I39" s="151">
        <f t="shared" si="9"/>
        <v>102.42913878234845</v>
      </c>
      <c r="J39" s="151">
        <f t="shared" si="10"/>
        <v>118.1019894990433</v>
      </c>
      <c r="K39" s="151">
        <f t="shared" si="11"/>
        <v>67.713599391266371</v>
      </c>
      <c r="L39" s="30">
        <f t="shared" si="12"/>
        <v>1001147.8534931293</v>
      </c>
      <c r="M39" s="30">
        <f t="shared" ref="M39:M42" si="25">C39*100/H39</f>
        <v>31997.076506888676</v>
      </c>
      <c r="N39" s="30">
        <f t="shared" ref="N39:N42" si="26">D39*100/I39</f>
        <v>5799.0334299516926</v>
      </c>
      <c r="O39" s="30">
        <f t="shared" ref="O39:O42" si="27">E39*100/J39</f>
        <v>11972.53328244275</v>
      </c>
      <c r="P39" s="30">
        <f t="shared" ref="P39:P42" si="28">F39*100/K39</f>
        <v>16295.544911504427</v>
      </c>
      <c r="Q39" s="152"/>
      <c r="R39" s="64">
        <v>2004</v>
      </c>
      <c r="T39" s="64">
        <v>108.4</v>
      </c>
      <c r="U39" s="64">
        <v>104.9</v>
      </c>
      <c r="V39" s="64">
        <v>101.8</v>
      </c>
      <c r="X39" s="64">
        <v>1124999</v>
      </c>
      <c r="Y39" s="64">
        <f t="shared" si="22"/>
        <v>6281.9967999999999</v>
      </c>
      <c r="Z39" s="64">
        <f t="shared" si="23"/>
        <v>12671.185700000002</v>
      </c>
      <c r="AA39" s="64">
        <f t="shared" si="23"/>
        <v>12078.366399999999</v>
      </c>
      <c r="AC39" s="64">
        <f t="shared" si="24"/>
        <v>1.0678285047364486</v>
      </c>
      <c r="AD39" s="64">
        <f t="shared" si="13"/>
        <v>0.94554330240983242</v>
      </c>
      <c r="AE39" s="64">
        <f t="shared" si="18"/>
        <v>1.1159018843832427</v>
      </c>
      <c r="AF39" s="64">
        <f t="shared" si="19"/>
        <v>0.91355897267696728</v>
      </c>
    </row>
    <row r="40" spans="1:32">
      <c r="A40" s="66">
        <v>2005</v>
      </c>
      <c r="B40" s="30">
        <v>1280550</v>
      </c>
      <c r="C40" s="30">
        <f t="shared" si="21"/>
        <v>29822.5</v>
      </c>
      <c r="D40" s="30">
        <v>5939.4</v>
      </c>
      <c r="E40" s="30">
        <v>12773.5</v>
      </c>
      <c r="F40" s="30">
        <v>11109.6</v>
      </c>
      <c r="G40" s="151">
        <v>124.19009110281834</v>
      </c>
      <c r="H40" s="28">
        <f t="shared" si="8"/>
        <v>91.219792424187858</v>
      </c>
      <c r="I40" s="151">
        <f t="shared" si="9"/>
        <v>101.39163475333733</v>
      </c>
      <c r="J40" s="151">
        <f t="shared" si="10"/>
        <v>103.34057909337551</v>
      </c>
      <c r="K40" s="151">
        <f t="shared" si="11"/>
        <v>71.845601737878823</v>
      </c>
      <c r="L40" s="30">
        <f t="shared" si="12"/>
        <v>1031120.9120056274</v>
      </c>
      <c r="M40" s="30">
        <f t="shared" si="25"/>
        <v>32693.014539344927</v>
      </c>
      <c r="N40" s="30">
        <f t="shared" si="26"/>
        <v>5857.8797101449272</v>
      </c>
      <c r="O40" s="30">
        <f t="shared" si="27"/>
        <v>12360.584885496181</v>
      </c>
      <c r="P40" s="30">
        <f t="shared" si="28"/>
        <v>15463.159513274335</v>
      </c>
      <c r="Q40" s="152"/>
      <c r="R40" s="64">
        <v>2005</v>
      </c>
      <c r="T40" s="64">
        <v>109.5</v>
      </c>
      <c r="U40" s="64">
        <v>108.3</v>
      </c>
      <c r="V40" s="64">
        <v>96.6</v>
      </c>
      <c r="X40" s="64">
        <v>1158680</v>
      </c>
      <c r="Y40" s="64">
        <f t="shared" si="22"/>
        <v>6345.7439999999997</v>
      </c>
      <c r="Z40" s="64">
        <f t="shared" si="23"/>
        <v>13081.881899999998</v>
      </c>
      <c r="AA40" s="64">
        <f t="shared" si="23"/>
        <v>11461.396799999999</v>
      </c>
      <c r="AC40" s="64">
        <f t="shared" si="24"/>
        <v>1.1051800324507197</v>
      </c>
      <c r="AD40" s="64">
        <f t="shared" si="13"/>
        <v>0.93596590092509246</v>
      </c>
      <c r="AE40" s="64">
        <f t="shared" si="18"/>
        <v>0.97642679376275376</v>
      </c>
      <c r="AF40" s="64">
        <f t="shared" si="19"/>
        <v>0.96930594009274695</v>
      </c>
    </row>
    <row r="41" spans="1:32">
      <c r="A41" s="66">
        <v>2006</v>
      </c>
      <c r="B41" s="30">
        <v>1354353</v>
      </c>
      <c r="C41" s="30">
        <f t="shared" si="21"/>
        <v>27393.599999999999</v>
      </c>
      <c r="D41" s="30">
        <v>5657.4</v>
      </c>
      <c r="E41" s="30">
        <v>11104.1</v>
      </c>
      <c r="F41" s="30">
        <v>10632.1</v>
      </c>
      <c r="G41" s="151">
        <v>127.74005552542302</v>
      </c>
      <c r="H41" s="28">
        <f t="shared" si="8"/>
        <v>86.536033169818509</v>
      </c>
      <c r="I41" s="151">
        <f t="shared" si="9"/>
        <v>100.5251699846869</v>
      </c>
      <c r="J41" s="151">
        <f t="shared" si="10"/>
        <v>91.524957293112919</v>
      </c>
      <c r="K41" s="151">
        <f t="shared" si="11"/>
        <v>73.881933323700622</v>
      </c>
      <c r="L41" s="30">
        <f t="shared" si="12"/>
        <v>1060241.436743743</v>
      </c>
      <c r="M41" s="30">
        <f t="shared" si="25"/>
        <v>31655.714962393453</v>
      </c>
      <c r="N41" s="30">
        <f t="shared" si="26"/>
        <v>5627.8442512077299</v>
      </c>
      <c r="O41" s="30">
        <f t="shared" si="27"/>
        <v>12132.31923664122</v>
      </c>
      <c r="P41" s="30">
        <f t="shared" si="28"/>
        <v>14390.662942477878</v>
      </c>
      <c r="Q41" s="152"/>
      <c r="R41" s="64">
        <v>2006</v>
      </c>
      <c r="T41" s="64">
        <v>105.2</v>
      </c>
      <c r="U41" s="64">
        <v>106.3</v>
      </c>
      <c r="V41" s="64">
        <v>89.9</v>
      </c>
      <c r="X41" s="64">
        <v>1191403</v>
      </c>
      <c r="Y41" s="64">
        <f t="shared" si="22"/>
        <v>6096.5504000000001</v>
      </c>
      <c r="Z41" s="64">
        <f t="shared" si="23"/>
        <v>12840.295899999999</v>
      </c>
      <c r="AA41" s="64">
        <f t="shared" si="23"/>
        <v>10666.4552</v>
      </c>
      <c r="AC41" s="64">
        <f t="shared" si="24"/>
        <v>1.1367715206357547</v>
      </c>
      <c r="AD41" s="64">
        <f t="shared" si="13"/>
        <v>0.92796739611961543</v>
      </c>
      <c r="AE41" s="64">
        <f t="shared" si="18"/>
        <v>0.8647853668232055</v>
      </c>
      <c r="AF41" s="64">
        <f t="shared" si="19"/>
        <v>0.99677913614637415</v>
      </c>
    </row>
    <row r="42" spans="1:32">
      <c r="A42" s="66">
        <v>2007</v>
      </c>
      <c r="B42" s="30">
        <v>1430770</v>
      </c>
      <c r="C42" s="30">
        <f t="shared" si="21"/>
        <v>24565.9</v>
      </c>
      <c r="D42" s="30">
        <v>5258.9</v>
      </c>
      <c r="E42" s="30">
        <v>9457.2999999999993</v>
      </c>
      <c r="F42" s="30">
        <v>9849.7000000000007</v>
      </c>
      <c r="G42" s="151">
        <v>131.89453613977631</v>
      </c>
      <c r="H42" s="28">
        <f t="shared" si="8"/>
        <v>83.669331533103446</v>
      </c>
      <c r="I42" s="151">
        <f t="shared" si="9"/>
        <v>104.24539750824731</v>
      </c>
      <c r="J42" s="151">
        <f t="shared" si="10"/>
        <v>87.684896241954448</v>
      </c>
      <c r="K42" s="151">
        <f t="shared" si="11"/>
        <v>68.827877125588458</v>
      </c>
      <c r="L42" s="30">
        <f t="shared" si="12"/>
        <v>1084783.3745620288</v>
      </c>
      <c r="M42" s="30">
        <f t="shared" si="25"/>
        <v>29360.698298731593</v>
      </c>
      <c r="N42" s="30">
        <f t="shared" si="26"/>
        <v>5044.7311111111121</v>
      </c>
      <c r="O42" s="30">
        <f t="shared" si="27"/>
        <v>10785.551908396945</v>
      </c>
      <c r="P42" s="30">
        <f t="shared" si="28"/>
        <v>14310.625884955753</v>
      </c>
      <c r="Q42" s="152"/>
      <c r="R42" s="64">
        <v>2007</v>
      </c>
      <c r="T42" s="64">
        <v>94.3</v>
      </c>
      <c r="U42" s="64">
        <v>94.5</v>
      </c>
      <c r="V42" s="64">
        <v>89.4</v>
      </c>
      <c r="X42" s="64">
        <v>1218981</v>
      </c>
      <c r="Y42" s="64">
        <f t="shared" si="22"/>
        <v>5464.8735999999999</v>
      </c>
      <c r="Z42" s="64">
        <f t="shared" si="23"/>
        <v>11414.938499999998</v>
      </c>
      <c r="AA42" s="64">
        <f t="shared" si="23"/>
        <v>10607.1312</v>
      </c>
      <c r="AC42" s="64">
        <f t="shared" si="24"/>
        <v>1.1737426588273321</v>
      </c>
      <c r="AD42" s="64">
        <f t="shared" si="13"/>
        <v>0.96230953996813384</v>
      </c>
      <c r="AE42" s="64">
        <f t="shared" si="18"/>
        <v>0.82850205456647885</v>
      </c>
      <c r="AF42" s="64">
        <f t="shared" si="19"/>
        <v>0.92859226630476688</v>
      </c>
    </row>
    <row r="43" spans="1:32">
      <c r="A43" s="66">
        <v>2008</v>
      </c>
      <c r="B43" s="30">
        <v>1509227</v>
      </c>
      <c r="C43" s="30">
        <f t="shared" si="21"/>
        <v>21866.5</v>
      </c>
      <c r="D43" s="30">
        <v>4527.8999999999996</v>
      </c>
      <c r="E43" s="30">
        <v>7996.5</v>
      </c>
      <c r="F43" s="30">
        <v>9342.1</v>
      </c>
      <c r="G43" s="151">
        <v>137.90465854151705</v>
      </c>
      <c r="H43" s="28">
        <f t="shared" si="8"/>
        <v>83.012314535321039</v>
      </c>
      <c r="I43" s="151">
        <f t="shared" ref="I43" si="29">(AD43/AD$30)*100</f>
        <v>103.34431592716915</v>
      </c>
      <c r="J43" s="151">
        <f t="shared" ref="J43" si="30">(AE43/AE$30)*100</f>
        <v>84.822160361314019</v>
      </c>
      <c r="K43" s="151">
        <f t="shared" ref="K43" si="31">(AF43/AF$30)*100</f>
        <v>71.608700653035257</v>
      </c>
      <c r="L43" s="30">
        <f t="shared" si="12"/>
        <v>1094398.8520486695</v>
      </c>
      <c r="M43" s="30">
        <f t="shared" ref="M43" si="32">C43*100/H43</f>
        <v>26341.272523724161</v>
      </c>
      <c r="N43" s="30">
        <f t="shared" ref="N43" si="33">D43*100/I43</f>
        <v>4381.3730434782601</v>
      </c>
      <c r="O43" s="30">
        <f t="shared" ref="O43" si="34">E43*100/J43</f>
        <v>9427.3712977099221</v>
      </c>
      <c r="P43" s="30">
        <f t="shared" ref="P43" si="35">F43*100/K43</f>
        <v>13046.040376106195</v>
      </c>
      <c r="Q43" s="152"/>
      <c r="R43" s="64">
        <v>2008</v>
      </c>
      <c r="T43" s="64">
        <v>81.900000000000006</v>
      </c>
      <c r="U43" s="64">
        <v>82.6</v>
      </c>
      <c r="V43" s="64">
        <v>81.5</v>
      </c>
      <c r="X43" s="64">
        <v>1229786</v>
      </c>
      <c r="Y43" s="64">
        <f t="shared" si="22"/>
        <v>4746.2687999999998</v>
      </c>
      <c r="Z43" s="64">
        <f t="shared" si="23"/>
        <v>9977.5017999999982</v>
      </c>
      <c r="AA43" s="64">
        <f t="shared" si="23"/>
        <v>9669.8119999999981</v>
      </c>
      <c r="AC43" s="64">
        <f t="shared" si="24"/>
        <v>1.2272273387402362</v>
      </c>
      <c r="AD43" s="64">
        <f t="shared" si="13"/>
        <v>0.95399148063421946</v>
      </c>
      <c r="AE43" s="64">
        <f t="shared" si="18"/>
        <v>0.80145312527029577</v>
      </c>
      <c r="AF43" s="64">
        <f t="shared" si="19"/>
        <v>0.96610978579521523</v>
      </c>
    </row>
    <row r="44" spans="1:32">
      <c r="B44" s="135"/>
      <c r="C44" s="135"/>
      <c r="D44" s="135"/>
      <c r="E44" s="135"/>
      <c r="F44" s="135"/>
      <c r="G44" s="135"/>
      <c r="H44" s="135"/>
      <c r="I44" s="135"/>
      <c r="J44" s="135"/>
      <c r="K44" s="135"/>
      <c r="L44" s="135"/>
      <c r="M44" s="135"/>
      <c r="N44" s="135"/>
      <c r="O44" s="135"/>
      <c r="P44" s="135"/>
      <c r="X44" s="64">
        <v>1193211</v>
      </c>
    </row>
    <row r="45" spans="1:32">
      <c r="A45" s="66" t="s">
        <v>23</v>
      </c>
      <c r="B45" s="30"/>
      <c r="C45" s="30"/>
      <c r="D45" s="30"/>
      <c r="E45" s="30"/>
      <c r="F45" s="30"/>
      <c r="G45" s="30"/>
      <c r="H45" s="30"/>
      <c r="I45" s="30"/>
      <c r="J45" s="30"/>
      <c r="K45" s="30"/>
      <c r="L45" s="135"/>
      <c r="M45" s="135"/>
      <c r="N45" s="135"/>
      <c r="O45" s="135"/>
      <c r="P45" s="135"/>
      <c r="X45" s="64">
        <v>1233930</v>
      </c>
    </row>
    <row r="46" spans="1:32">
      <c r="A46" s="66" t="s">
        <v>1946</v>
      </c>
      <c r="B46" s="50">
        <f>((B42/B5)^(1/37)-1)*100</f>
        <v>7.9909803276173808</v>
      </c>
      <c r="C46" s="50">
        <f t="shared" ref="C46:P46" si="36">((C42/C5)^(1/37)-1)*100</f>
        <v>5.8693260749133724</v>
      </c>
      <c r="D46" s="50">
        <f t="shared" si="36"/>
        <v>5.5494187147358653</v>
      </c>
      <c r="E46" s="50">
        <f t="shared" si="36"/>
        <v>7.2194807321802168</v>
      </c>
      <c r="F46" s="50">
        <f t="shared" si="36"/>
        <v>5.1297506949195881</v>
      </c>
      <c r="G46" s="50" t="s">
        <v>22</v>
      </c>
      <c r="H46" s="50">
        <f t="shared" si="36"/>
        <v>3.8715383819051929</v>
      </c>
      <c r="I46" s="50">
        <f t="shared" si="36"/>
        <v>3.9865445378777897</v>
      </c>
      <c r="J46" s="50">
        <f t="shared" si="36"/>
        <v>3.8406447926347065</v>
      </c>
      <c r="K46" s="50">
        <f t="shared" si="36"/>
        <v>3.6757263994694034</v>
      </c>
      <c r="L46" s="50" t="s">
        <v>22</v>
      </c>
      <c r="M46" s="50">
        <f t="shared" si="36"/>
        <v>1.9233254114932707</v>
      </c>
      <c r="N46" s="50">
        <f t="shared" si="36"/>
        <v>1.5029580834747147</v>
      </c>
      <c r="O46" s="50">
        <f t="shared" si="36"/>
        <v>3.2538664857993949</v>
      </c>
      <c r="P46" s="50">
        <f t="shared" si="36"/>
        <v>1.4024732171614929</v>
      </c>
      <c r="X46" s="64">
        <v>1266590</v>
      </c>
    </row>
    <row r="47" spans="1:32">
      <c r="A47" s="66" t="s">
        <v>2140</v>
      </c>
      <c r="B47" s="50">
        <f>((B25/B5)^(1/20)-1)*100</f>
        <v>10.663299988181452</v>
      </c>
      <c r="C47" s="50">
        <f t="shared" ref="C47:P47" si="37">((C25/C5)^(1/20)-1)*100</f>
        <v>8.8284473473662537</v>
      </c>
      <c r="D47" s="50">
        <f t="shared" si="37"/>
        <v>8.1720784453284345</v>
      </c>
      <c r="E47" s="50">
        <f t="shared" si="37"/>
        <v>9.2962395084903005</v>
      </c>
      <c r="F47" s="50">
        <f t="shared" si="37"/>
        <v>8.8879191470851104</v>
      </c>
      <c r="G47" s="50" t="s">
        <v>22</v>
      </c>
      <c r="H47" s="50">
        <f t="shared" si="37"/>
        <v>6.2472865351756113</v>
      </c>
      <c r="I47" s="50">
        <f t="shared" si="37"/>
        <v>5.8568320936281726</v>
      </c>
      <c r="J47" s="50">
        <f t="shared" si="37"/>
        <v>5.6653741199841345</v>
      </c>
      <c r="K47" s="50">
        <f t="shared" si="37"/>
        <v>6.8103353256028898</v>
      </c>
      <c r="L47" s="50" t="s">
        <v>22</v>
      </c>
      <c r="M47" s="50">
        <f t="shared" si="37"/>
        <v>2.4293898661930546</v>
      </c>
      <c r="N47" s="50">
        <f t="shared" si="37"/>
        <v>2.1871487233364961</v>
      </c>
      <c r="O47" s="50">
        <f t="shared" si="37"/>
        <v>3.4361922424873903</v>
      </c>
      <c r="P47" s="50">
        <f t="shared" si="37"/>
        <v>1.9451149695849823</v>
      </c>
    </row>
    <row r="48" spans="1:32">
      <c r="A48" s="66" t="s">
        <v>660</v>
      </c>
      <c r="B48" s="50">
        <f t="shared" ref="B48:K48" si="38">((B35/B25)^(1/10)-1)*100</f>
        <v>4.7047618406554248</v>
      </c>
      <c r="C48" s="50">
        <f t="shared" si="38"/>
        <v>7.1556844159258892</v>
      </c>
      <c r="D48" s="50">
        <f t="shared" si="38"/>
        <v>4.9840213757212259</v>
      </c>
      <c r="E48" s="50">
        <f t="shared" si="38"/>
        <v>11.100504929562005</v>
      </c>
      <c r="F48" s="50">
        <f t="shared" si="38"/>
        <v>5.5172487385972024</v>
      </c>
      <c r="G48" s="50" t="s">
        <v>22</v>
      </c>
      <c r="H48" s="50">
        <f t="shared" si="38"/>
        <v>3.6305171388426594</v>
      </c>
      <c r="I48" s="50">
        <f t="shared" si="38"/>
        <v>2.4084464420292218</v>
      </c>
      <c r="J48" s="50">
        <f t="shared" si="38"/>
        <v>5.2568586992747912</v>
      </c>
      <c r="K48" s="50">
        <f t="shared" si="38"/>
        <v>2.9014057890351275</v>
      </c>
      <c r="L48" s="50" t="s">
        <v>22</v>
      </c>
      <c r="M48" s="50">
        <f>((M35/M25)^(1/10)-1)*100</f>
        <v>3.401669097492066</v>
      </c>
      <c r="N48" s="50">
        <f>((N35/N25)^(1/10)-1)*100</f>
        <v>2.5150024467464061</v>
      </c>
      <c r="O48" s="50">
        <f>((O35/O25)^(1/10)-1)*100</f>
        <v>5.5517961513395164</v>
      </c>
      <c r="P48" s="50">
        <f>((P35/P25)^(1/10)-1)*100</f>
        <v>2.5420866989174007</v>
      </c>
    </row>
    <row r="49" spans="1:23">
      <c r="A49" s="66" t="s">
        <v>588</v>
      </c>
      <c r="B49" s="50">
        <f>((B42/B35)^(1/7)-1)*100</f>
        <v>5.2515751129369237</v>
      </c>
      <c r="C49" s="50">
        <f t="shared" ref="C49:P49" si="39">((C42/C35)^(1/7)-1)*100</f>
        <v>-3.8231232623828437</v>
      </c>
      <c r="D49" s="50">
        <f t="shared" si="39"/>
        <v>-0.84081086922246362</v>
      </c>
      <c r="E49" s="50">
        <f t="shared" si="39"/>
        <v>-3.5263121184091251</v>
      </c>
      <c r="F49" s="50">
        <f t="shared" si="39"/>
        <v>-5.4067845561794119</v>
      </c>
      <c r="G49" s="50">
        <f t="shared" si="39"/>
        <v>2.69526958949724</v>
      </c>
      <c r="H49" s="50">
        <f t="shared" si="39"/>
        <v>-2.3039428073228008</v>
      </c>
      <c r="I49" s="50">
        <f t="shared" si="39"/>
        <v>1.00562081170259</v>
      </c>
      <c r="J49" s="50">
        <f t="shared" si="39"/>
        <v>-3.0946280153860584</v>
      </c>
      <c r="K49" s="50">
        <f t="shared" si="39"/>
        <v>-3.7573323353192856</v>
      </c>
      <c r="L49" s="50">
        <f t="shared" si="39"/>
        <v>2.4892144824761653</v>
      </c>
      <c r="M49" s="50">
        <f t="shared" si="39"/>
        <v>-1.555006925268132</v>
      </c>
      <c r="N49" s="50">
        <f t="shared" si="39"/>
        <v>-1.8280484453110035</v>
      </c>
      <c r="O49" s="50">
        <f t="shared" si="39"/>
        <v>-0.4454697342182512</v>
      </c>
      <c r="P49" s="50">
        <f t="shared" si="39"/>
        <v>-1.7138471541613853</v>
      </c>
    </row>
    <row r="50" spans="1:23">
      <c r="B50" s="30"/>
      <c r="C50" s="30"/>
      <c r="D50" s="30"/>
      <c r="E50" s="30"/>
      <c r="F50" s="30"/>
      <c r="G50" s="30"/>
      <c r="H50" s="30"/>
      <c r="I50" s="30"/>
      <c r="J50" s="30"/>
      <c r="K50" s="30"/>
      <c r="L50" s="30"/>
      <c r="M50" s="30"/>
      <c r="N50" s="30"/>
      <c r="O50" s="30"/>
      <c r="P50" s="30"/>
    </row>
    <row r="51" spans="1:23">
      <c r="A51" s="104" t="s">
        <v>2037</v>
      </c>
      <c r="B51" s="104"/>
      <c r="C51" s="104"/>
      <c r="D51" s="104"/>
      <c r="E51" s="104"/>
      <c r="F51" s="104"/>
      <c r="G51" s="104"/>
      <c r="H51" s="104"/>
      <c r="I51" s="104"/>
      <c r="J51" s="104"/>
      <c r="K51" s="104"/>
    </row>
    <row r="52" spans="1:23">
      <c r="A52" s="157" t="s">
        <v>2038</v>
      </c>
      <c r="B52" s="157"/>
      <c r="C52" s="157"/>
      <c r="D52" s="157"/>
      <c r="E52" s="157"/>
      <c r="F52" s="157"/>
      <c r="G52" s="157"/>
      <c r="H52" s="157"/>
      <c r="I52" s="157"/>
      <c r="J52" s="157"/>
      <c r="K52" s="157"/>
    </row>
    <row r="53" spans="1:23">
      <c r="A53" s="137" t="s">
        <v>2036</v>
      </c>
      <c r="B53" s="137"/>
      <c r="C53" s="137"/>
      <c r="D53" s="137"/>
      <c r="E53" s="137"/>
      <c r="F53" s="137"/>
      <c r="G53" s="137"/>
      <c r="H53" s="137"/>
      <c r="I53" s="137"/>
      <c r="J53" s="137"/>
      <c r="K53" s="137"/>
      <c r="L53" s="137"/>
      <c r="M53" s="137"/>
      <c r="N53" s="137"/>
      <c r="O53" s="137"/>
      <c r="P53" s="137"/>
    </row>
    <row r="57" spans="1:23">
      <c r="U57" s="64" t="s">
        <v>1784</v>
      </c>
      <c r="V57" s="64" t="s">
        <v>2033</v>
      </c>
      <c r="W57" s="64" t="s">
        <v>2034</v>
      </c>
    </row>
    <row r="58" spans="1:23">
      <c r="V58" s="64" t="s">
        <v>7</v>
      </c>
    </row>
    <row r="59" spans="1:23">
      <c r="U59" s="64">
        <v>1981</v>
      </c>
      <c r="V59" s="64">
        <v>603241</v>
      </c>
    </row>
    <row r="60" spans="1:23">
      <c r="U60" s="64">
        <v>1982</v>
      </c>
      <c r="V60" s="64">
        <v>587497</v>
      </c>
    </row>
    <row r="61" spans="1:23">
      <c r="U61" s="64">
        <v>1983</v>
      </c>
      <c r="V61" s="64">
        <v>603247</v>
      </c>
    </row>
    <row r="62" spans="1:23">
      <c r="U62" s="64">
        <v>1984</v>
      </c>
      <c r="V62" s="64">
        <v>636141</v>
      </c>
    </row>
    <row r="63" spans="1:23">
      <c r="U63" s="64">
        <v>1985</v>
      </c>
      <c r="V63" s="64">
        <v>668377</v>
      </c>
    </row>
    <row r="64" spans="1:23">
      <c r="U64" s="64">
        <v>1986</v>
      </c>
      <c r="V64" s="64">
        <v>686789</v>
      </c>
    </row>
    <row r="65" spans="21:22">
      <c r="U65" s="64">
        <v>1987</v>
      </c>
      <c r="V65" s="64">
        <v>713786</v>
      </c>
    </row>
    <row r="66" spans="21:22">
      <c r="U66" s="64">
        <v>1988</v>
      </c>
      <c r="V66" s="64">
        <v>745372</v>
      </c>
    </row>
    <row r="67" spans="21:22">
      <c r="U67" s="64">
        <v>1989</v>
      </c>
      <c r="V67" s="64">
        <v>763135</v>
      </c>
    </row>
    <row r="68" spans="21:22">
      <c r="U68" s="64">
        <v>1990</v>
      </c>
      <c r="V68" s="64">
        <v>767172</v>
      </c>
    </row>
    <row r="69" spans="21:22">
      <c r="U69" s="64">
        <v>1991</v>
      </c>
      <c r="V69" s="64">
        <v>756191</v>
      </c>
    </row>
    <row r="70" spans="21:22">
      <c r="U70" s="64">
        <v>1992</v>
      </c>
      <c r="V70" s="64">
        <v>762635</v>
      </c>
    </row>
    <row r="71" spans="21:22">
      <c r="U71" s="64">
        <v>1993</v>
      </c>
      <c r="V71" s="64">
        <v>781300</v>
      </c>
    </row>
    <row r="72" spans="21:22">
      <c r="U72" s="64">
        <v>1994</v>
      </c>
      <c r="V72" s="64">
        <v>816442</v>
      </c>
    </row>
    <row r="73" spans="21:22">
      <c r="U73" s="64">
        <v>1995</v>
      </c>
      <c r="V73" s="64">
        <v>837825</v>
      </c>
    </row>
    <row r="74" spans="21:22">
      <c r="U74" s="64">
        <v>1996</v>
      </c>
      <c r="V74" s="64">
        <v>849715</v>
      </c>
    </row>
    <row r="75" spans="21:22">
      <c r="U75" s="64">
        <v>1997</v>
      </c>
      <c r="V75" s="64">
        <v>885439</v>
      </c>
    </row>
    <row r="76" spans="21:22">
      <c r="U76" s="64">
        <v>1998</v>
      </c>
      <c r="V76" s="64">
        <v>920346</v>
      </c>
    </row>
    <row r="77" spans="21:22">
      <c r="U77" s="64">
        <v>1999</v>
      </c>
      <c r="V77" s="64">
        <v>971941</v>
      </c>
    </row>
    <row r="78" spans="21:22">
      <c r="U78" s="64">
        <v>2000</v>
      </c>
      <c r="V78" s="64">
        <v>1025570</v>
      </c>
    </row>
    <row r="79" spans="21:22">
      <c r="U79" s="64">
        <v>2001</v>
      </c>
      <c r="V79" s="64">
        <v>1041432</v>
      </c>
    </row>
    <row r="80" spans="21:22">
      <c r="U80" s="64">
        <v>2002</v>
      </c>
      <c r="V80" s="64">
        <v>1068768</v>
      </c>
    </row>
    <row r="81" spans="21:22">
      <c r="U81" s="64">
        <v>2003</v>
      </c>
      <c r="V81" s="64">
        <v>1091478</v>
      </c>
    </row>
    <row r="82" spans="21:22">
      <c r="U82" s="64">
        <v>2004</v>
      </c>
      <c r="V82" s="64">
        <v>1126085</v>
      </c>
    </row>
    <row r="83" spans="21:22">
      <c r="U83" s="64">
        <v>2005</v>
      </c>
      <c r="V83" s="64">
        <v>1162017</v>
      </c>
    </row>
    <row r="84" spans="21:22">
      <c r="U84" s="64">
        <v>2006</v>
      </c>
      <c r="V84" s="64">
        <v>1193935</v>
      </c>
    </row>
    <row r="85" spans="21:22">
      <c r="U85" s="64">
        <v>2007</v>
      </c>
      <c r="V85" s="64">
        <v>1221118</v>
      </c>
    </row>
    <row r="86" spans="21:22">
      <c r="U86" s="64">
        <v>2008</v>
      </c>
      <c r="V86" s="64">
        <v>1230654</v>
      </c>
    </row>
    <row r="87" spans="21:22">
      <c r="U87" s="64">
        <v>2009</v>
      </c>
      <c r="V87" s="64">
        <v>1192006</v>
      </c>
    </row>
    <row r="88" spans="21:22">
      <c r="U88" s="64">
        <v>2010</v>
      </c>
      <c r="V88" s="64">
        <v>1234880</v>
      </c>
    </row>
    <row r="89" spans="21:22">
      <c r="U89" s="64">
        <v>2011</v>
      </c>
      <c r="V89" s="64">
        <v>1267516</v>
      </c>
    </row>
    <row r="90" spans="21:22">
      <c r="U90" s="64">
        <v>2012</v>
      </c>
      <c r="V90" s="64">
        <v>1287503</v>
      </c>
    </row>
  </sheetData>
  <mergeCells count="17">
    <mergeCell ref="A1:P1"/>
    <mergeCell ref="B2:F2"/>
    <mergeCell ref="G2:K2"/>
    <mergeCell ref="L2:P2"/>
    <mergeCell ref="A3:A4"/>
    <mergeCell ref="B3:B4"/>
    <mergeCell ref="C3:F3"/>
    <mergeCell ref="G3:G4"/>
    <mergeCell ref="H3:K3"/>
    <mergeCell ref="L3:L4"/>
    <mergeCell ref="M3:P3"/>
    <mergeCell ref="A52:K52"/>
    <mergeCell ref="S4:S5"/>
    <mergeCell ref="X4:X5"/>
    <mergeCell ref="AC4:AC5"/>
    <mergeCell ref="A53:P53"/>
    <mergeCell ref="A51:K51"/>
  </mergeCells>
  <pageMargins left="0.7" right="0.7" top="0.75" bottom="0.75" header="0.3" footer="0.3"/>
  <pageSetup scale="58" orientation="landscape" horizontalDpi="0" verticalDpi="0" r:id="rId1"/>
  <ignoredErrors>
    <ignoredError sqref="C30:C43" formulaRange="1"/>
  </ignoredErrors>
</worksheet>
</file>

<file path=xl/worksheets/sheet145.xml><?xml version="1.0" encoding="utf-8"?>
<worksheet xmlns="http://schemas.openxmlformats.org/spreadsheetml/2006/main" xmlns:r="http://schemas.openxmlformats.org/officeDocument/2006/relationships">
  <sheetPr codeName="Sheet137"/>
  <dimension ref="A1:R52"/>
  <sheetViews>
    <sheetView view="pageBreakPre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Col="1"/>
  <cols>
    <col min="1" max="1" width="12" style="64" customWidth="1"/>
    <col min="2" max="6" width="12.28515625" style="64" customWidth="1"/>
    <col min="7" max="11" width="13.5703125" style="64" customWidth="1"/>
    <col min="12" max="12" width="9.140625" style="64"/>
    <col min="13" max="17" width="9.140625" style="64" hidden="1" customWidth="1" outlineLevel="1"/>
    <col min="18" max="18" width="9.140625" style="64" collapsed="1"/>
    <col min="19" max="16384" width="9.140625" style="64"/>
  </cols>
  <sheetData>
    <row r="1" spans="1:17">
      <c r="A1" s="66" t="s">
        <v>1931</v>
      </c>
    </row>
    <row r="2" spans="1:17">
      <c r="A2" s="66"/>
      <c r="B2" s="111" t="s">
        <v>528</v>
      </c>
      <c r="C2" s="111"/>
      <c r="D2" s="111"/>
      <c r="E2" s="111"/>
      <c r="F2" s="111"/>
      <c r="G2" s="111" t="s">
        <v>536</v>
      </c>
      <c r="H2" s="111"/>
      <c r="I2" s="111"/>
      <c r="J2" s="111"/>
      <c r="K2" s="111"/>
      <c r="M2" s="111" t="s">
        <v>529</v>
      </c>
      <c r="N2" s="111"/>
      <c r="O2" s="111"/>
      <c r="P2" s="111"/>
      <c r="Q2" s="111"/>
    </row>
    <row r="3" spans="1:17" ht="15" customHeight="1">
      <c r="A3" s="149"/>
      <c r="B3" s="97" t="s">
        <v>523</v>
      </c>
      <c r="C3" s="97" t="s">
        <v>37</v>
      </c>
      <c r="D3" s="97"/>
      <c r="E3" s="97"/>
      <c r="F3" s="97"/>
      <c r="G3" s="97" t="s">
        <v>523</v>
      </c>
      <c r="H3" s="97" t="s">
        <v>37</v>
      </c>
      <c r="I3" s="97"/>
      <c r="J3" s="97"/>
      <c r="K3" s="97"/>
      <c r="M3" s="97" t="s">
        <v>523</v>
      </c>
      <c r="N3" s="97" t="s">
        <v>49</v>
      </c>
      <c r="O3" s="97"/>
      <c r="P3" s="97"/>
      <c r="Q3" s="97"/>
    </row>
    <row r="4" spans="1:17" ht="60">
      <c r="A4" s="149"/>
      <c r="B4" s="97"/>
      <c r="C4" s="73" t="s">
        <v>78</v>
      </c>
      <c r="D4" s="73" t="s">
        <v>522</v>
      </c>
      <c r="E4" s="73" t="s">
        <v>524</v>
      </c>
      <c r="F4" s="73" t="s">
        <v>525</v>
      </c>
      <c r="G4" s="97"/>
      <c r="H4" s="73" t="s">
        <v>78</v>
      </c>
      <c r="I4" s="73" t="s">
        <v>522</v>
      </c>
      <c r="J4" s="73" t="s">
        <v>524</v>
      </c>
      <c r="K4" s="73" t="s">
        <v>525</v>
      </c>
      <c r="M4" s="97"/>
      <c r="N4" s="73" t="s">
        <v>50</v>
      </c>
      <c r="O4" s="73" t="s">
        <v>522</v>
      </c>
      <c r="P4" s="73" t="s">
        <v>524</v>
      </c>
      <c r="Q4" s="73" t="s">
        <v>525</v>
      </c>
    </row>
    <row r="5" spans="1:17">
      <c r="A5" s="66">
        <v>1970</v>
      </c>
      <c r="B5" s="150">
        <v>4528.3999999999996</v>
      </c>
      <c r="C5" s="56">
        <f t="shared" ref="C5:C42" si="0">SUM(D5:F5)</f>
        <v>366.4</v>
      </c>
      <c r="D5" s="150">
        <v>162.4</v>
      </c>
      <c r="E5" s="150">
        <v>101</v>
      </c>
      <c r="F5" s="150">
        <v>103</v>
      </c>
      <c r="G5" s="147">
        <f>'601a'!L5/'601'!B5</f>
        <v>10.125333142719565</v>
      </c>
      <c r="H5" s="147">
        <f>'601a'!M5/'601'!C5</f>
        <v>10.367601049456088</v>
      </c>
      <c r="I5" s="147">
        <f>'601a'!N5/'601'!D5</f>
        <v>10.207497406423068</v>
      </c>
      <c r="J5" s="147">
        <f>'601a'!O5/'601'!E5</f>
        <v>7.2076073042660456</v>
      </c>
      <c r="K5" s="147">
        <f>'601a'!P5/'601'!F5</f>
        <v>13.818597668585198</v>
      </c>
      <c r="M5" s="62"/>
      <c r="N5" s="62"/>
      <c r="O5" s="62"/>
      <c r="P5" s="62"/>
      <c r="Q5" s="62"/>
    </row>
    <row r="6" spans="1:17">
      <c r="A6" s="66">
        <v>1971</v>
      </c>
      <c r="B6" s="150">
        <v>4416.1000000000004</v>
      </c>
      <c r="C6" s="56">
        <f t="shared" si="0"/>
        <v>347.6</v>
      </c>
      <c r="D6" s="150">
        <v>141.30000000000001</v>
      </c>
      <c r="E6" s="150">
        <v>98.8</v>
      </c>
      <c r="F6" s="150">
        <v>107.5</v>
      </c>
      <c r="G6" s="147">
        <f>'601a'!L6/'601'!B6</f>
        <v>10.585125686685885</v>
      </c>
      <c r="H6" s="147">
        <f>'601a'!M6/'601'!C6</f>
        <v>10.127092367677097</v>
      </c>
      <c r="I6" s="147">
        <f>'601a'!N6/'601'!D6</f>
        <v>10.856296238692707</v>
      </c>
      <c r="J6" s="147">
        <f>'601a'!O6/'601'!E6</f>
        <v>7.9096902633141246</v>
      </c>
      <c r="K6" s="147">
        <f>'601a'!P6/'601'!F6</f>
        <v>11.952216569767442</v>
      </c>
      <c r="M6" s="62"/>
      <c r="N6" s="62"/>
      <c r="O6" s="62"/>
      <c r="P6" s="62"/>
      <c r="Q6" s="62"/>
    </row>
    <row r="7" spans="1:17">
      <c r="A7" s="66">
        <v>1972</v>
      </c>
      <c r="B7" s="150">
        <v>4438.3</v>
      </c>
      <c r="C7" s="56">
        <f t="shared" si="0"/>
        <v>320.39999999999998</v>
      </c>
      <c r="D7" s="150">
        <v>116.5</v>
      </c>
      <c r="E7" s="150">
        <v>98.1</v>
      </c>
      <c r="F7" s="150">
        <v>105.8</v>
      </c>
      <c r="G7" s="147">
        <f>'601a'!L7/'601'!B7</f>
        <v>11.271442659586768</v>
      </c>
      <c r="H7" s="147">
        <f>'601a'!M7/'601'!C7</f>
        <v>11.685328737007563</v>
      </c>
      <c r="I7" s="147">
        <f>'601a'!N7/'601'!D7</f>
        <v>12.699384213472664</v>
      </c>
      <c r="J7" s="147">
        <f>'601a'!O7/'601'!E7</f>
        <v>8.775477853426505</v>
      </c>
      <c r="K7" s="147">
        <f>'601a'!P7/'601'!F7</f>
        <v>15.363063950882905</v>
      </c>
      <c r="M7" s="62"/>
      <c r="N7" s="62"/>
      <c r="O7" s="62"/>
      <c r="P7" s="62"/>
      <c r="Q7" s="62"/>
    </row>
    <row r="8" spans="1:17">
      <c r="A8" s="66">
        <v>1973</v>
      </c>
      <c r="B8" s="150">
        <v>4476.5</v>
      </c>
      <c r="C8" s="56">
        <f t="shared" si="0"/>
        <v>321.89999999999998</v>
      </c>
      <c r="D8" s="150">
        <v>112.7</v>
      </c>
      <c r="E8" s="150">
        <v>101.2</v>
      </c>
      <c r="F8" s="150">
        <v>108</v>
      </c>
      <c r="G8" s="147">
        <f>'601a'!L8/'601'!B8</f>
        <v>11.816406696819669</v>
      </c>
      <c r="H8" s="147">
        <f>'601a'!M8/'601'!C8</f>
        <v>12.741756751370318</v>
      </c>
      <c r="I8" s="147">
        <f>'601a'!N8/'601'!D8</f>
        <v>13.324492238563549</v>
      </c>
      <c r="J8" s="147">
        <f>'601a'!O8/'601'!E8</f>
        <v>8.7846935673022628</v>
      </c>
      <c r="K8" s="147">
        <f>'601a'!P8/'601'!F8</f>
        <v>17.902676820122302</v>
      </c>
      <c r="M8" s="62"/>
      <c r="N8" s="62"/>
      <c r="O8" s="62"/>
      <c r="P8" s="62"/>
      <c r="Q8" s="62"/>
    </row>
    <row r="9" spans="1:17">
      <c r="A9" s="66">
        <v>1974</v>
      </c>
      <c r="B9" s="150">
        <v>4483.7</v>
      </c>
      <c r="C9" s="56">
        <f t="shared" si="0"/>
        <v>314.60000000000002</v>
      </c>
      <c r="D9" s="150">
        <v>103.6</v>
      </c>
      <c r="E9" s="150">
        <v>99.4</v>
      </c>
      <c r="F9" s="150">
        <v>111.6</v>
      </c>
      <c r="G9" s="147">
        <f>'601a'!L9/'601'!B9</f>
        <v>12.207382940447522</v>
      </c>
      <c r="H9" s="147">
        <f>'601a'!M9/'601'!C9</f>
        <v>13.142093935451816</v>
      </c>
      <c r="I9" s="147">
        <f>'601a'!N9/'601'!D9</f>
        <v>13.427718622681084</v>
      </c>
      <c r="J9" s="147">
        <f>'601a'!O9/'601'!E9</f>
        <v>8.2271464923997772</v>
      </c>
      <c r="K9" s="147">
        <f>'601a'!P9/'601'!F9</f>
        <v>17.866779428939633</v>
      </c>
      <c r="M9" s="62"/>
      <c r="N9" s="62"/>
      <c r="O9" s="62"/>
      <c r="P9" s="62"/>
      <c r="Q9" s="62"/>
    </row>
    <row r="10" spans="1:17">
      <c r="A10" s="66">
        <v>1975</v>
      </c>
      <c r="B10" s="150">
        <v>4411.8</v>
      </c>
      <c r="C10" s="56">
        <f t="shared" si="0"/>
        <v>280.7</v>
      </c>
      <c r="D10" s="150">
        <v>90.6</v>
      </c>
      <c r="E10" s="150">
        <v>83.6</v>
      </c>
      <c r="F10" s="150">
        <v>106.5</v>
      </c>
      <c r="G10" s="147">
        <f>'601a'!L10/'601'!B10</f>
        <v>12.500124314842179</v>
      </c>
      <c r="H10" s="147">
        <f>'601a'!M10/'601'!C10</f>
        <v>11.285682826253804</v>
      </c>
      <c r="I10" s="147">
        <f>'601a'!N10/'601'!D10</f>
        <v>14.6414293588979</v>
      </c>
      <c r="J10" s="147">
        <f>'601a'!O10/'601'!E10</f>
        <v>7.9360575439542318</v>
      </c>
      <c r="K10" s="147">
        <f>'601a'!P10/'601'!F10</f>
        <v>13.222653149168766</v>
      </c>
      <c r="M10" s="62"/>
      <c r="N10" s="62"/>
      <c r="O10" s="62"/>
      <c r="P10" s="62"/>
      <c r="Q10" s="62"/>
    </row>
    <row r="11" spans="1:17">
      <c r="A11" s="66">
        <v>1976</v>
      </c>
      <c r="B11" s="150">
        <v>4364.5</v>
      </c>
      <c r="C11" s="56">
        <f t="shared" si="0"/>
        <v>268.10000000000002</v>
      </c>
      <c r="D11" s="150">
        <v>79.400000000000006</v>
      </c>
      <c r="E11" s="150">
        <v>84.3</v>
      </c>
      <c r="F11" s="150">
        <v>104.4</v>
      </c>
      <c r="G11" s="147">
        <f>'601a'!L11/'601'!B11</f>
        <v>12.788471254855558</v>
      </c>
      <c r="H11" s="147">
        <f>'601a'!M11/'601'!C11</f>
        <v>12.384865028698261</v>
      </c>
      <c r="I11" s="147">
        <f>'601a'!N11/'601'!D11</f>
        <v>16.647361086550198</v>
      </c>
      <c r="J11" s="147">
        <f>'601a'!O11/'601'!E11</f>
        <v>8.7796801510104991</v>
      </c>
      <c r="K11" s="147">
        <f>'601a'!P11/'601'!F11</f>
        <v>14.576671563967388</v>
      </c>
      <c r="M11" s="62"/>
      <c r="N11" s="62"/>
      <c r="O11" s="62"/>
      <c r="P11" s="62"/>
      <c r="Q11" s="62"/>
    </row>
    <row r="12" spans="1:17">
      <c r="A12" s="66">
        <v>1977</v>
      </c>
      <c r="B12" s="150">
        <v>4266.6000000000004</v>
      </c>
      <c r="C12" s="56">
        <f t="shared" si="0"/>
        <v>257.8</v>
      </c>
      <c r="D12" s="150">
        <v>76.7</v>
      </c>
      <c r="E12" s="150">
        <v>83.4</v>
      </c>
      <c r="F12" s="150">
        <v>97.7</v>
      </c>
      <c r="G12" s="147">
        <f>'601a'!L12/'601'!B12</f>
        <v>13.039130535422057</v>
      </c>
      <c r="H12" s="147">
        <f>'601a'!M12/'601'!C12</f>
        <v>13.826013770967126</v>
      </c>
      <c r="I12" s="147">
        <f>'601a'!N12/'601'!D12</f>
        <v>18.926539479185916</v>
      </c>
      <c r="J12" s="147">
        <f>'601a'!O12/'601'!E12</f>
        <v>9.0444885470933603</v>
      </c>
      <c r="K12" s="147">
        <f>'601a'!P12/'601'!F12</f>
        <v>15.887891874288677</v>
      </c>
      <c r="M12" s="62"/>
      <c r="N12" s="62"/>
      <c r="O12" s="62"/>
      <c r="P12" s="62"/>
      <c r="Q12" s="62"/>
    </row>
    <row r="13" spans="1:17">
      <c r="A13" s="66">
        <v>1978</v>
      </c>
      <c r="B13" s="150">
        <v>4239</v>
      </c>
      <c r="C13" s="56">
        <f t="shared" si="0"/>
        <v>252.2</v>
      </c>
      <c r="D13" s="150">
        <v>72.400000000000006</v>
      </c>
      <c r="E13" s="150">
        <v>84.8</v>
      </c>
      <c r="F13" s="150">
        <v>95</v>
      </c>
      <c r="G13" s="147">
        <f>'601a'!L13/'601'!B13</f>
        <v>13.49374852559566</v>
      </c>
      <c r="H13" s="147">
        <f>'601a'!M13/'601'!C13</f>
        <v>16.003736638712038</v>
      </c>
      <c r="I13" s="147">
        <f>'601a'!N13/'601'!D13</f>
        <v>20.818044586738051</v>
      </c>
      <c r="J13" s="147">
        <f>'601a'!O13/'601'!E13</f>
        <v>9.5498912927797122</v>
      </c>
      <c r="K13" s="147">
        <f>'601a'!P13/'601'!F13</f>
        <v>18.774727250929146</v>
      </c>
      <c r="M13" s="62"/>
      <c r="N13" s="62"/>
      <c r="O13" s="62"/>
      <c r="P13" s="62"/>
      <c r="Q13" s="62"/>
    </row>
    <row r="14" spans="1:17">
      <c r="A14" s="66">
        <v>1979</v>
      </c>
      <c r="B14" s="56">
        <v>4276.6000000000004</v>
      </c>
      <c r="C14" s="56">
        <f t="shared" si="0"/>
        <v>270.2</v>
      </c>
      <c r="D14" s="56">
        <v>80.5</v>
      </c>
      <c r="E14" s="56">
        <v>93.9</v>
      </c>
      <c r="F14" s="56">
        <v>95.8</v>
      </c>
      <c r="G14" s="147">
        <f>'601a'!L14/'601'!B14</f>
        <v>14.319975364294503</v>
      </c>
      <c r="H14" s="147">
        <f>'601a'!M14/'601'!C14</f>
        <v>18.04464098682719</v>
      </c>
      <c r="I14" s="147">
        <f>'601a'!N14/'601'!D14</f>
        <v>23.644285339149725</v>
      </c>
      <c r="J14" s="147">
        <f>'601a'!O14/'601'!E14</f>
        <v>10.030019193313901</v>
      </c>
      <c r="K14" s="147">
        <f>'601a'!P14/'601'!F14</f>
        <v>21.307317473896067</v>
      </c>
      <c r="L14" s="139"/>
      <c r="M14" s="64">
        <v>4258700.8135372605</v>
      </c>
      <c r="N14" s="64">
        <f>SUM(O14:Q14)</f>
        <v>270200</v>
      </c>
      <c r="O14" s="64">
        <v>80500</v>
      </c>
      <c r="P14" s="64">
        <v>93900</v>
      </c>
      <c r="Q14" s="64">
        <v>95800</v>
      </c>
    </row>
    <row r="15" spans="1:17">
      <c r="A15" s="66">
        <v>1980</v>
      </c>
      <c r="B15" s="56">
        <v>4354</v>
      </c>
      <c r="C15" s="56">
        <f t="shared" si="0"/>
        <v>279.20000000000005</v>
      </c>
      <c r="D15" s="56">
        <v>84.9</v>
      </c>
      <c r="E15" s="56">
        <v>97.4</v>
      </c>
      <c r="F15" s="56">
        <v>96.9</v>
      </c>
      <c r="G15" s="147">
        <f>'601a'!L15/'601'!B15</f>
        <v>14.827122569284949</v>
      </c>
      <c r="H15" s="147">
        <f>'601a'!M15/'601'!C15</f>
        <v>18.40282263824589</v>
      </c>
      <c r="I15" s="147">
        <f>'601a'!N15/'601'!D15</f>
        <v>24.317148424523531</v>
      </c>
      <c r="J15" s="147">
        <f>'601a'!O15/'601'!E15</f>
        <v>10.089616135468081</v>
      </c>
      <c r="K15" s="147">
        <f>'601a'!P15/'601'!F15</f>
        <v>21.977279463573268</v>
      </c>
      <c r="L15" s="139"/>
      <c r="M15" s="64">
        <v>4335492.5649425201</v>
      </c>
      <c r="N15" s="64">
        <f t="shared" ref="N15:N38" si="1">SUM(O15:Q15)</f>
        <v>279300</v>
      </c>
      <c r="O15" s="64">
        <v>85000</v>
      </c>
      <c r="P15" s="64">
        <v>97400</v>
      </c>
      <c r="Q15" s="64">
        <v>96900</v>
      </c>
    </row>
    <row r="16" spans="1:17">
      <c r="A16" s="66">
        <v>1981</v>
      </c>
      <c r="B16" s="56">
        <v>4422.1000000000004</v>
      </c>
      <c r="C16" s="56">
        <f t="shared" si="0"/>
        <v>264.8</v>
      </c>
      <c r="D16" s="56">
        <v>80.2</v>
      </c>
      <c r="E16" s="56">
        <v>88.9</v>
      </c>
      <c r="F16" s="56">
        <v>95.7</v>
      </c>
      <c r="G16" s="147">
        <f>'601a'!L16/'601'!B16</f>
        <v>14.787367882272024</v>
      </c>
      <c r="H16" s="147">
        <f>'601a'!M16/'601'!C16</f>
        <v>18.60564376221453</v>
      </c>
      <c r="I16" s="147">
        <f>'601a'!N16/'601'!D16</f>
        <v>23.997611492902994</v>
      </c>
      <c r="J16" s="147">
        <f>'601a'!O16/'601'!E16</f>
        <v>10.021287070167574</v>
      </c>
      <c r="K16" s="147">
        <f>'601a'!P16/'601'!F16</f>
        <v>22.424574148712079</v>
      </c>
      <c r="L16" s="139"/>
      <c r="M16" s="64">
        <v>4404020.3313375693</v>
      </c>
      <c r="N16" s="64">
        <f t="shared" si="1"/>
        <v>264800</v>
      </c>
      <c r="O16" s="64">
        <v>80200</v>
      </c>
      <c r="P16" s="64">
        <v>88900.000000000015</v>
      </c>
      <c r="Q16" s="64">
        <v>95700</v>
      </c>
    </row>
    <row r="17" spans="1:17">
      <c r="A17" s="66">
        <v>1982</v>
      </c>
      <c r="B17" s="56">
        <v>4436.8</v>
      </c>
      <c r="C17" s="56">
        <f t="shared" si="0"/>
        <v>255.2</v>
      </c>
      <c r="D17" s="56">
        <v>86.6</v>
      </c>
      <c r="E17" s="56">
        <v>77.8</v>
      </c>
      <c r="F17" s="56">
        <v>90.8</v>
      </c>
      <c r="G17" s="147">
        <f>'601a'!L17/'601'!B17</f>
        <v>15.126740304720588</v>
      </c>
      <c r="H17" s="147">
        <f>'601a'!M17/'601'!C17</f>
        <v>17.747799619757064</v>
      </c>
      <c r="I17" s="147">
        <f>'601a'!N17/'601'!D17</f>
        <v>20.54307979414255</v>
      </c>
      <c r="J17" s="147">
        <f>'601a'!O17/'601'!E17</f>
        <v>10.921249390930322</v>
      </c>
      <c r="K17" s="147">
        <f>'601a'!P17/'601'!F17</f>
        <v>21.974685989671553</v>
      </c>
      <c r="L17" s="139"/>
      <c r="M17" s="64">
        <v>4418664.1967616808</v>
      </c>
      <c r="N17" s="64">
        <f t="shared" si="1"/>
        <v>255100</v>
      </c>
      <c r="O17" s="64">
        <v>86500</v>
      </c>
      <c r="P17" s="64">
        <v>77800</v>
      </c>
      <c r="Q17" s="64">
        <v>90799.999999999985</v>
      </c>
    </row>
    <row r="18" spans="1:17">
      <c r="A18" s="66">
        <v>1983</v>
      </c>
      <c r="B18" s="56">
        <v>4410.6000000000004</v>
      </c>
      <c r="C18" s="56">
        <f t="shared" si="0"/>
        <v>246.29999999999998</v>
      </c>
      <c r="D18" s="56">
        <v>82</v>
      </c>
      <c r="E18" s="56">
        <v>77.7</v>
      </c>
      <c r="F18" s="56">
        <v>86.6</v>
      </c>
      <c r="G18" s="147">
        <f>'601a'!L18/'601'!B18</f>
        <v>15.73563721940495</v>
      </c>
      <c r="H18" s="147">
        <f>'601a'!M18/'601'!C18</f>
        <v>19.649830294409405</v>
      </c>
      <c r="I18" s="147">
        <f>'601a'!N18/'601'!D18</f>
        <v>22.06639887946103</v>
      </c>
      <c r="J18" s="147">
        <f>'601a'!O18/'601'!E18</f>
        <v>11.993063433946816</v>
      </c>
      <c r="K18" s="147">
        <f>'601a'!P18/'601'!F18</f>
        <v>25.21326449431681</v>
      </c>
      <c r="L18" s="139"/>
      <c r="M18" s="64">
        <v>4392655.8008488258</v>
      </c>
      <c r="N18" s="64">
        <f t="shared" si="1"/>
        <v>246200</v>
      </c>
      <c r="O18" s="64">
        <v>81900</v>
      </c>
      <c r="P18" s="64">
        <v>77700</v>
      </c>
      <c r="Q18" s="64">
        <v>86600</v>
      </c>
    </row>
    <row r="19" spans="1:17">
      <c r="A19" s="66">
        <v>1984</v>
      </c>
      <c r="B19" s="56">
        <v>4415.8999999999996</v>
      </c>
      <c r="C19" s="56">
        <f t="shared" si="0"/>
        <v>240.8</v>
      </c>
      <c r="D19" s="56">
        <v>77.099999999999994</v>
      </c>
      <c r="E19" s="56">
        <v>76.2</v>
      </c>
      <c r="F19" s="56">
        <v>87.5</v>
      </c>
      <c r="G19" s="147">
        <f>'601a'!L19/'601'!B19</f>
        <v>16.098397294430406</v>
      </c>
      <c r="H19" s="147">
        <f>'601a'!M19/'601'!C19</f>
        <v>22.28620757013784</v>
      </c>
      <c r="I19" s="147">
        <f>'601a'!N19/'601'!D19</f>
        <v>26.047150377660795</v>
      </c>
      <c r="J19" s="147">
        <f>'601a'!O19/'601'!E19</f>
        <v>12.08081251820478</v>
      </c>
      <c r="K19" s="147">
        <f>'601a'!P19/'601'!F19</f>
        <v>28.026100528404069</v>
      </c>
      <c r="L19" s="139"/>
      <c r="M19" s="64">
        <v>4397834.9005681975</v>
      </c>
      <c r="N19" s="64">
        <f t="shared" si="1"/>
        <v>240900</v>
      </c>
      <c r="O19" s="64">
        <v>77200.000000000015</v>
      </c>
      <c r="P19" s="64">
        <v>76200</v>
      </c>
      <c r="Q19" s="64">
        <v>87499.999999999985</v>
      </c>
    </row>
    <row r="20" spans="1:17">
      <c r="A20" s="66">
        <v>1985</v>
      </c>
      <c r="B20" s="56">
        <v>4421.8999999999996</v>
      </c>
      <c r="C20" s="56">
        <f t="shared" si="0"/>
        <v>234.4</v>
      </c>
      <c r="D20" s="56">
        <v>77.5</v>
      </c>
      <c r="E20" s="56">
        <v>72.400000000000006</v>
      </c>
      <c r="F20" s="56">
        <v>84.5</v>
      </c>
      <c r="G20" s="147">
        <f>'601a'!L20/'601'!B20</f>
        <v>16.613583750370211</v>
      </c>
      <c r="H20" s="147">
        <f>'601a'!M20/'601'!C20</f>
        <v>22.550155194472094</v>
      </c>
      <c r="I20" s="147">
        <f>'601a'!N20/'601'!D20</f>
        <v>25.20094663454363</v>
      </c>
      <c r="J20" s="147">
        <f>'601a'!O20/'601'!E20</f>
        <v>12.636031741711735</v>
      </c>
      <c r="K20" s="147">
        <f>'601a'!P20/'601'!F20</f>
        <v>29.333749414885315</v>
      </c>
      <c r="L20" s="139"/>
      <c r="M20" s="64">
        <v>4403886.5724381628</v>
      </c>
      <c r="N20" s="64">
        <f t="shared" si="1"/>
        <v>234300</v>
      </c>
      <c r="O20" s="64">
        <v>77400</v>
      </c>
      <c r="P20" s="64">
        <v>72400.000000000015</v>
      </c>
      <c r="Q20" s="64">
        <v>84500</v>
      </c>
    </row>
    <row r="21" spans="1:17">
      <c r="A21" s="66">
        <v>1986</v>
      </c>
      <c r="B21" s="56">
        <v>4357.3999999999996</v>
      </c>
      <c r="C21" s="56">
        <f t="shared" si="0"/>
        <v>214.4</v>
      </c>
      <c r="D21" s="56">
        <v>64.599999999999994</v>
      </c>
      <c r="E21" s="56">
        <v>68.400000000000006</v>
      </c>
      <c r="F21" s="56">
        <v>81.400000000000006</v>
      </c>
      <c r="G21" s="147">
        <f>'601a'!L21/'601'!B21</f>
        <v>17.260009826789762</v>
      </c>
      <c r="H21" s="147">
        <f>'601a'!M21/'601'!C21</f>
        <v>24.597480507853223</v>
      </c>
      <c r="I21" s="147">
        <f>'601a'!N21/'601'!D21</f>
        <v>28.810330143173719</v>
      </c>
      <c r="J21" s="147">
        <f>'601a'!O21/'601'!E21</f>
        <v>13.763531387867458</v>
      </c>
      <c r="K21" s="147">
        <f>'601a'!P21/'601'!F21</f>
        <v>31.627258127330769</v>
      </c>
      <c r="L21" s="139"/>
      <c r="M21" s="64">
        <v>4339353.7002603197</v>
      </c>
      <c r="N21" s="64">
        <f t="shared" si="1"/>
        <v>214400</v>
      </c>
      <c r="O21" s="64">
        <v>64600</v>
      </c>
      <c r="P21" s="64">
        <v>68400</v>
      </c>
      <c r="Q21" s="64">
        <v>81400</v>
      </c>
    </row>
    <row r="22" spans="1:17">
      <c r="A22" s="66">
        <v>1987</v>
      </c>
      <c r="B22" s="56">
        <v>4395.5</v>
      </c>
      <c r="C22" s="56">
        <f t="shared" si="0"/>
        <v>211.7</v>
      </c>
      <c r="D22" s="56">
        <v>65.599999999999994</v>
      </c>
      <c r="E22" s="56">
        <v>65.599999999999994</v>
      </c>
      <c r="F22" s="56">
        <v>80.5</v>
      </c>
      <c r="G22" s="147">
        <f>'601a'!L22/'601'!B22</f>
        <v>17.713463157027984</v>
      </c>
      <c r="H22" s="147">
        <f>'601a'!M22/'601'!C22</f>
        <v>26.394162967446537</v>
      </c>
      <c r="I22" s="147">
        <f>'601a'!N22/'601'!D22</f>
        <v>28.724210725811126</v>
      </c>
      <c r="J22" s="147">
        <f>'601a'!O22/'601'!E22</f>
        <v>15.884907535014905</v>
      </c>
      <c r="K22" s="147">
        <f>'601a'!P22/'601'!F22</f>
        <v>33.971142534751401</v>
      </c>
      <c r="L22" s="139"/>
      <c r="M22" s="64">
        <v>4378042.2430636967</v>
      </c>
      <c r="N22" s="64">
        <f t="shared" si="1"/>
        <v>211500</v>
      </c>
      <c r="O22" s="64">
        <v>65400</v>
      </c>
      <c r="P22" s="64">
        <v>65600</v>
      </c>
      <c r="Q22" s="64">
        <v>80500</v>
      </c>
    </row>
    <row r="23" spans="1:17">
      <c r="A23" s="66">
        <v>1988</v>
      </c>
      <c r="B23" s="56">
        <v>4459.8999999999996</v>
      </c>
      <c r="C23" s="56">
        <f t="shared" si="0"/>
        <v>208</v>
      </c>
      <c r="D23" s="56">
        <v>62.8</v>
      </c>
      <c r="E23" s="56">
        <v>65.900000000000006</v>
      </c>
      <c r="F23" s="56">
        <v>79.3</v>
      </c>
      <c r="G23" s="147">
        <f>'601a'!L23/'601'!B23</f>
        <v>18.373653006053555</v>
      </c>
      <c r="H23" s="147">
        <f>'601a'!M23/'601'!C23</f>
        <v>29.320921173297045</v>
      </c>
      <c r="I23" s="147">
        <f>'601a'!N23/'601'!D23</f>
        <v>30.710538803801239</v>
      </c>
      <c r="J23" s="147">
        <f>'601a'!O23/'601'!E23</f>
        <v>17.538976334353947</v>
      </c>
      <c r="K23" s="147">
        <f>'601a'!P23/'601'!F23</f>
        <v>38.795207615096878</v>
      </c>
      <c r="L23" s="139"/>
      <c r="M23" s="64">
        <v>4441776.3286999185</v>
      </c>
      <c r="N23" s="64">
        <f t="shared" si="1"/>
        <v>208000</v>
      </c>
      <c r="O23" s="64">
        <v>62800</v>
      </c>
      <c r="P23" s="64">
        <v>65900</v>
      </c>
      <c r="Q23" s="64">
        <v>79300</v>
      </c>
    </row>
    <row r="24" spans="1:17">
      <c r="A24" s="66">
        <v>1989</v>
      </c>
      <c r="B24" s="56">
        <v>4492</v>
      </c>
      <c r="C24" s="56">
        <f t="shared" si="0"/>
        <v>207.60000000000002</v>
      </c>
      <c r="D24" s="56">
        <v>61.1</v>
      </c>
      <c r="E24" s="56">
        <v>67.3</v>
      </c>
      <c r="F24" s="56">
        <v>79.2</v>
      </c>
      <c r="G24" s="147">
        <f>'601a'!L24/'601'!B24</f>
        <v>19.139050684587097</v>
      </c>
      <c r="H24" s="147">
        <f>'601a'!M24/'601'!C24</f>
        <v>29.621173957510948</v>
      </c>
      <c r="I24" s="147">
        <f>'601a'!N24/'601'!D24</f>
        <v>31.987845570230526</v>
      </c>
      <c r="J24" s="147">
        <f>'601a'!O24/'601'!E24</f>
        <v>18.046750526931891</v>
      </c>
      <c r="K24" s="147">
        <f>'601a'!P24/'601'!F24</f>
        <v>38.25516459424238</v>
      </c>
      <c r="L24" s="139"/>
      <c r="M24" s="64">
        <v>4474670.0668151453</v>
      </c>
      <c r="N24" s="64">
        <f t="shared" si="1"/>
        <v>207600</v>
      </c>
      <c r="O24" s="64">
        <v>61100</v>
      </c>
      <c r="P24" s="64">
        <v>67300</v>
      </c>
      <c r="Q24" s="64">
        <v>79200.000000000015</v>
      </c>
    </row>
    <row r="25" spans="1:17">
      <c r="A25" s="66">
        <v>1990</v>
      </c>
      <c r="B25" s="56">
        <v>4389</v>
      </c>
      <c r="C25" s="56">
        <f t="shared" si="0"/>
        <v>197.3</v>
      </c>
      <c r="D25" s="56">
        <v>57.7</v>
      </c>
      <c r="E25" s="56">
        <v>64.7</v>
      </c>
      <c r="F25" s="56">
        <v>74.900000000000006</v>
      </c>
      <c r="G25" s="147">
        <f>'601a'!L25/'601'!B25</f>
        <v>19.75564385768168</v>
      </c>
      <c r="H25" s="147">
        <f>'601a'!M25/'601'!C25</f>
        <v>30.199485187715158</v>
      </c>
      <c r="I25" s="147">
        <f>'601a'!N25/'601'!D25</f>
        <v>34.190235746855812</v>
      </c>
      <c r="J25" s="147">
        <f>'601a'!O25/'601'!E25</f>
        <v>16.849445197862579</v>
      </c>
      <c r="K25" s="147">
        <f>'601a'!P25/'601'!F25</f>
        <v>41.218751438699876</v>
      </c>
      <c r="L25" s="139"/>
      <c r="M25" s="64">
        <v>4374816.8067226894</v>
      </c>
      <c r="N25" s="64">
        <f t="shared" si="1"/>
        <v>197300</v>
      </c>
      <c r="O25" s="64">
        <v>57700</v>
      </c>
      <c r="P25" s="64">
        <v>64700.000000000007</v>
      </c>
      <c r="Q25" s="64">
        <v>74900</v>
      </c>
    </row>
    <row r="26" spans="1:17">
      <c r="A26" s="66">
        <v>1991</v>
      </c>
      <c r="B26" s="56">
        <v>4088.9</v>
      </c>
      <c r="C26" s="56">
        <f t="shared" si="0"/>
        <v>171.3</v>
      </c>
      <c r="D26" s="56">
        <v>50</v>
      </c>
      <c r="E26" s="56">
        <v>51.9</v>
      </c>
      <c r="F26" s="56">
        <v>69.400000000000006</v>
      </c>
      <c r="G26" s="147">
        <f>'601a'!L26/'601'!B26</f>
        <v>19.827959178316831</v>
      </c>
      <c r="H26" s="147">
        <f>'601a'!M26/'601'!C26</f>
        <v>30.919211393385662</v>
      </c>
      <c r="I26" s="147">
        <f>'601a'!N26/'601'!D26</f>
        <v>36.023641120046506</v>
      </c>
      <c r="J26" s="147">
        <f>'601a'!O26/'601'!E26</f>
        <v>15.887690025836157</v>
      </c>
      <c r="K26" s="147">
        <f>'601a'!P26/'601'!F26</f>
        <v>44.261006328648349</v>
      </c>
      <c r="L26" s="139"/>
      <c r="M26" s="64">
        <v>4076406.6306483299</v>
      </c>
      <c r="N26" s="64">
        <f t="shared" si="1"/>
        <v>171300</v>
      </c>
      <c r="O26" s="64">
        <v>50000</v>
      </c>
      <c r="P26" s="64">
        <v>51900</v>
      </c>
      <c r="Q26" s="64">
        <v>69400</v>
      </c>
    </row>
    <row r="27" spans="1:17">
      <c r="A27" s="66">
        <v>1992</v>
      </c>
      <c r="B27" s="56">
        <v>3813.8</v>
      </c>
      <c r="C27" s="56">
        <f t="shared" si="0"/>
        <v>155.80000000000001</v>
      </c>
      <c r="D27" s="56">
        <v>45</v>
      </c>
      <c r="E27" s="56">
        <v>45.8</v>
      </c>
      <c r="F27" s="56">
        <v>65</v>
      </c>
      <c r="G27" s="147">
        <f>'601a'!L27/'601'!B27</f>
        <v>20.44813329276435</v>
      </c>
      <c r="H27" s="147">
        <f>'601a'!M27/'601'!C27</f>
        <v>37.201249692315898</v>
      </c>
      <c r="I27" s="147">
        <f>'601a'!N27/'601'!D27</f>
        <v>38.90314387165332</v>
      </c>
      <c r="J27" s="147">
        <f>'601a'!O27/'601'!E27</f>
        <v>19.731165869168674</v>
      </c>
      <c r="K27" s="147">
        <f>'601a'!P27/'601'!F27</f>
        <v>50.329028980541807</v>
      </c>
      <c r="L27" s="139"/>
      <c r="M27" s="64">
        <v>3801478.3183500795</v>
      </c>
      <c r="N27" s="64">
        <f t="shared" si="1"/>
        <v>155800</v>
      </c>
      <c r="O27" s="64">
        <v>45000</v>
      </c>
      <c r="P27" s="64">
        <v>45800</v>
      </c>
      <c r="Q27" s="64">
        <v>65000</v>
      </c>
    </row>
    <row r="28" spans="1:17">
      <c r="A28" s="66">
        <v>1993</v>
      </c>
      <c r="B28" s="56">
        <v>3590.9</v>
      </c>
      <c r="C28" s="56">
        <f t="shared" si="0"/>
        <v>152.69999999999999</v>
      </c>
      <c r="D28" s="56">
        <v>43.8</v>
      </c>
      <c r="E28" s="56">
        <v>45.1</v>
      </c>
      <c r="F28" s="56">
        <v>63.8</v>
      </c>
      <c r="G28" s="147">
        <f>'601a'!L28/'601'!B28</f>
        <v>21.64298840257975</v>
      </c>
      <c r="H28" s="147">
        <f>'601a'!M28/'601'!C28</f>
        <v>42.752747385252718</v>
      </c>
      <c r="I28" s="147">
        <f>'601a'!N28/'601'!D28</f>
        <v>40.296846735840532</v>
      </c>
      <c r="J28" s="147">
        <f>'601a'!O28/'601'!E28</f>
        <v>24.185632970007664</v>
      </c>
      <c r="K28" s="147">
        <f>'601a'!P28/'601'!F28</f>
        <v>58.556615414543764</v>
      </c>
      <c r="L28" s="139"/>
      <c r="M28" s="64">
        <v>3576608.6931818179</v>
      </c>
      <c r="N28" s="64">
        <f t="shared" si="1"/>
        <v>152800</v>
      </c>
      <c r="O28" s="64">
        <v>43900</v>
      </c>
      <c r="P28" s="64">
        <v>45100</v>
      </c>
      <c r="Q28" s="64">
        <v>63800</v>
      </c>
    </row>
    <row r="29" spans="1:17">
      <c r="A29" s="66">
        <v>1994</v>
      </c>
      <c r="B29" s="56">
        <v>3580.8</v>
      </c>
      <c r="C29" s="56">
        <f t="shared" si="0"/>
        <v>149.69999999999999</v>
      </c>
      <c r="D29" s="56">
        <v>36.6</v>
      </c>
      <c r="E29" s="56">
        <v>48.8</v>
      </c>
      <c r="F29" s="56">
        <v>64.3</v>
      </c>
      <c r="G29" s="147">
        <f>'601a'!L29/'601'!B29</f>
        <v>22.581378374677229</v>
      </c>
      <c r="H29" s="147">
        <f>'601a'!M29/'601'!C29</f>
        <v>47.858145539352158</v>
      </c>
      <c r="I29" s="147">
        <f>'601a'!N29/'601'!D29</f>
        <v>48.806298293147954</v>
      </c>
      <c r="J29" s="147">
        <f>'601a'!O29/'601'!E29</f>
        <v>25.332608891927102</v>
      </c>
      <c r="K29" s="147">
        <f>'601a'!P29/'601'!F29</f>
        <v>66.338292474088007</v>
      </c>
      <c r="L29" s="139"/>
      <c r="M29" s="64">
        <v>3567471.595558153</v>
      </c>
      <c r="N29" s="64">
        <f t="shared" si="1"/>
        <v>149700</v>
      </c>
      <c r="O29" s="64">
        <v>36600</v>
      </c>
      <c r="P29" s="64">
        <v>48800</v>
      </c>
      <c r="Q29" s="64">
        <v>64300</v>
      </c>
    </row>
    <row r="30" spans="1:17">
      <c r="A30" s="66">
        <v>1995</v>
      </c>
      <c r="B30" s="56">
        <v>3646.2</v>
      </c>
      <c r="C30" s="56">
        <f t="shared" si="0"/>
        <v>158.19999999999999</v>
      </c>
      <c r="D30" s="56">
        <v>44.7</v>
      </c>
      <c r="E30" s="56">
        <v>49.2</v>
      </c>
      <c r="F30" s="56">
        <v>64.3</v>
      </c>
      <c r="G30" s="147">
        <f>'601a'!L30/'601'!B30</f>
        <v>22.958779002797435</v>
      </c>
      <c r="H30" s="147">
        <f>'601a'!M30/'601'!C30</f>
        <v>44.856005056890019</v>
      </c>
      <c r="I30" s="147">
        <f>'601a'!N30/'601'!D30</f>
        <v>39.17046979865772</v>
      </c>
      <c r="J30" s="147">
        <f>'601a'!O30/'601'!E30</f>
        <v>23.448373983739838</v>
      </c>
      <c r="K30" s="147">
        <f>'601a'!P30/'601'!F30</f>
        <v>65.188802488335938</v>
      </c>
      <c r="L30" s="139"/>
      <c r="M30" s="64">
        <v>3633780.615384616</v>
      </c>
      <c r="N30" s="64">
        <f t="shared" si="1"/>
        <v>158000</v>
      </c>
      <c r="O30" s="64">
        <v>44499.999999999993</v>
      </c>
      <c r="P30" s="64">
        <v>49200.000000000007</v>
      </c>
      <c r="Q30" s="64">
        <v>64299.999999999993</v>
      </c>
    </row>
    <row r="31" spans="1:17">
      <c r="A31" s="66">
        <v>1996</v>
      </c>
      <c r="B31" s="56">
        <v>3693.3</v>
      </c>
      <c r="C31" s="56">
        <f t="shared" si="0"/>
        <v>153.39999999999998</v>
      </c>
      <c r="D31" s="56">
        <v>43.3</v>
      </c>
      <c r="E31" s="56">
        <v>46.8</v>
      </c>
      <c r="F31" s="56">
        <v>63.3</v>
      </c>
      <c r="G31" s="147">
        <f>'601a'!L31/'601'!B31</f>
        <v>23.443929185050731</v>
      </c>
      <c r="H31" s="147">
        <f>'601a'!M31/'601'!C31</f>
        <v>44.94462374810108</v>
      </c>
      <c r="I31" s="147">
        <f>'601a'!N31/'601'!D31</f>
        <v>40.684462798275497</v>
      </c>
      <c r="J31" s="147">
        <f>'601a'!O31/'601'!E31</f>
        <v>25.949089135555493</v>
      </c>
      <c r="K31" s="147">
        <f>'601a'!P31/'601'!F31</f>
        <v>62.655392461030047</v>
      </c>
      <c r="L31" s="139"/>
      <c r="M31" s="64">
        <v>3684446.5798045602</v>
      </c>
      <c r="N31" s="64">
        <f t="shared" si="1"/>
        <v>153300</v>
      </c>
      <c r="O31" s="64">
        <v>43200</v>
      </c>
      <c r="P31" s="64">
        <v>46800</v>
      </c>
      <c r="Q31" s="64">
        <v>63299.999999999993</v>
      </c>
    </row>
    <row r="32" spans="1:17">
      <c r="A32" s="66">
        <v>1997</v>
      </c>
      <c r="B32" s="56">
        <v>3806.2</v>
      </c>
      <c r="C32" s="56">
        <f t="shared" si="0"/>
        <v>157.69999999999999</v>
      </c>
      <c r="D32" s="56">
        <v>43.7</v>
      </c>
      <c r="E32" s="56">
        <v>50.3</v>
      </c>
      <c r="F32" s="56">
        <v>63.7</v>
      </c>
      <c r="G32" s="147">
        <f>'601a'!L32/'601'!B32</f>
        <v>24.132387688188739</v>
      </c>
      <c r="H32" s="147">
        <f>'601a'!M32/'601'!C32</f>
        <v>48.932408347539166</v>
      </c>
      <c r="I32" s="147">
        <f>'601a'!N32/'601'!D32</f>
        <v>45.460859462804173</v>
      </c>
      <c r="J32" s="147">
        <f>'601a'!O32/'601'!E32</f>
        <v>25.915589168841297</v>
      </c>
      <c r="K32" s="147">
        <f>'601a'!P32/'601'!F32</f>
        <v>72.891268928808017</v>
      </c>
      <c r="L32" s="139"/>
      <c r="M32" s="64">
        <v>3799123.2913072328</v>
      </c>
      <c r="N32" s="64">
        <f t="shared" si="1"/>
        <v>157500</v>
      </c>
      <c r="O32" s="64">
        <v>43499.999999999993</v>
      </c>
      <c r="P32" s="64">
        <v>50299.999999999993</v>
      </c>
      <c r="Q32" s="64">
        <v>63700</v>
      </c>
    </row>
    <row r="33" spans="1:17">
      <c r="A33" s="66">
        <v>1998</v>
      </c>
      <c r="B33" s="56">
        <v>3860.2</v>
      </c>
      <c r="C33" s="56">
        <f t="shared" si="0"/>
        <v>156.5</v>
      </c>
      <c r="D33" s="56">
        <v>41.5</v>
      </c>
      <c r="E33" s="56">
        <v>50.5</v>
      </c>
      <c r="F33" s="56">
        <v>64.5</v>
      </c>
      <c r="G33" s="147">
        <f>'601a'!L33/'601'!B33</f>
        <v>24.980271288220415</v>
      </c>
      <c r="H33" s="147">
        <f>'601a'!M33/'601'!C33</f>
        <v>53.649409855216305</v>
      </c>
      <c r="I33" s="147">
        <f>'601a'!N33/'601'!D33</f>
        <v>49.064385515197628</v>
      </c>
      <c r="J33" s="147">
        <f>'601a'!O33/'601'!E33</f>
        <v>28.434312269310237</v>
      </c>
      <c r="K33" s="147">
        <f>'601a'!P33/'601'!F33</f>
        <v>77.632641040184993</v>
      </c>
      <c r="L33" s="139"/>
      <c r="M33" s="64">
        <v>3857681.8181818184</v>
      </c>
      <c r="N33" s="64">
        <f t="shared" si="1"/>
        <v>156400</v>
      </c>
      <c r="O33" s="64">
        <v>41399.999999999993</v>
      </c>
      <c r="P33" s="64">
        <v>50500</v>
      </c>
      <c r="Q33" s="64">
        <v>64500</v>
      </c>
    </row>
    <row r="34" spans="1:17">
      <c r="A34" s="66">
        <v>1999</v>
      </c>
      <c r="B34" s="56">
        <v>3965.2</v>
      </c>
      <c r="C34" s="56">
        <f t="shared" si="0"/>
        <v>155.5</v>
      </c>
      <c r="D34" s="56">
        <v>41.1</v>
      </c>
      <c r="E34" s="56">
        <v>51.1</v>
      </c>
      <c r="F34" s="56">
        <v>63.3</v>
      </c>
      <c r="G34" s="147">
        <f>'601a'!L34/'601'!B34</f>
        <v>25.304565457244895</v>
      </c>
      <c r="H34" s="147">
        <f>'601a'!M34/'601'!C34</f>
        <v>56.393272187884286</v>
      </c>
      <c r="I34" s="147">
        <f>'601a'!N34/'601'!D34</f>
        <v>48.031694275414708</v>
      </c>
      <c r="J34" s="147">
        <f>'601a'!O34/'601'!E34</f>
        <v>30.039249505235109</v>
      </c>
      <c r="K34" s="147">
        <f>'601a'!P34/'601'!F34</f>
        <v>84.859978263661446</v>
      </c>
      <c r="L34" s="139"/>
      <c r="M34" s="64">
        <v>3961883.2147937412</v>
      </c>
      <c r="N34" s="64">
        <f t="shared" si="1"/>
        <v>155400</v>
      </c>
      <c r="O34" s="64">
        <v>41000</v>
      </c>
      <c r="P34" s="64">
        <v>51100</v>
      </c>
      <c r="Q34" s="64">
        <v>63300</v>
      </c>
    </row>
    <row r="35" spans="1:17">
      <c r="A35" s="66">
        <v>2000</v>
      </c>
      <c r="B35" s="56">
        <v>4018.3</v>
      </c>
      <c r="C35" s="56">
        <f t="shared" si="0"/>
        <v>155.4</v>
      </c>
      <c r="D35" s="56">
        <v>41.8</v>
      </c>
      <c r="E35" s="56">
        <v>51.5</v>
      </c>
      <c r="F35" s="56">
        <v>62.1</v>
      </c>
      <c r="G35" s="147">
        <f>'601a'!L35/'601'!B35</f>
        <v>26.219604817610875</v>
      </c>
      <c r="H35" s="147">
        <f>'601a'!M35/'601'!C35</f>
        <v>58.282679980831446</v>
      </c>
      <c r="I35" s="147">
        <f>'601a'!N35/'601'!D35</f>
        <v>51.327576104911259</v>
      </c>
      <c r="J35" s="147">
        <f>'601a'!O35/'601'!E35</f>
        <v>31.11942808513712</v>
      </c>
      <c r="K35" s="147">
        <f>'601a'!P35/'601'!F35</f>
        <v>86.45867302699601</v>
      </c>
      <c r="L35" s="139"/>
      <c r="M35" s="64">
        <v>4019580.5090909088</v>
      </c>
      <c r="N35" s="64">
        <f t="shared" si="1"/>
        <v>155400</v>
      </c>
      <c r="O35" s="64">
        <v>41800.000000000007</v>
      </c>
      <c r="P35" s="64">
        <v>51500</v>
      </c>
      <c r="Q35" s="64">
        <v>62100</v>
      </c>
    </row>
    <row r="36" spans="1:17">
      <c r="A36" s="66">
        <v>2001</v>
      </c>
      <c r="B36" s="56">
        <v>4040.7</v>
      </c>
      <c r="C36" s="56">
        <f t="shared" si="0"/>
        <v>152.60000000000002</v>
      </c>
      <c r="D36" s="56">
        <v>40.299999999999997</v>
      </c>
      <c r="E36" s="56">
        <v>50.1</v>
      </c>
      <c r="F36" s="56">
        <v>62.2</v>
      </c>
      <c r="G36" s="147">
        <f>'601a'!L36/'601'!B36</f>
        <v>26.814506491977085</v>
      </c>
      <c r="H36" s="147">
        <f>'601a'!M36/'601'!C36</f>
        <v>59.285454848773277</v>
      </c>
      <c r="I36" s="147">
        <f>'601a'!N36/'601'!D36</f>
        <v>52.653897973763875</v>
      </c>
      <c r="J36" s="147">
        <f>'601a'!O36/'601'!E36</f>
        <v>36.423147600259234</v>
      </c>
      <c r="K36" s="147">
        <f>'601a'!P36/'601'!F36</f>
        <v>84.045527718815165</v>
      </c>
      <c r="L36" s="139"/>
      <c r="M36" s="64">
        <v>4042371.755725191</v>
      </c>
      <c r="N36" s="64">
        <f t="shared" si="1"/>
        <v>152700</v>
      </c>
      <c r="O36" s="64">
        <v>40400</v>
      </c>
      <c r="P36" s="64">
        <v>50100.000000000007</v>
      </c>
      <c r="Q36" s="64">
        <v>62200</v>
      </c>
    </row>
    <row r="37" spans="1:17">
      <c r="A37" s="66">
        <v>2002</v>
      </c>
      <c r="B37" s="56">
        <v>4065</v>
      </c>
      <c r="C37" s="56">
        <f t="shared" si="0"/>
        <v>150.4</v>
      </c>
      <c r="D37" s="56">
        <v>40.200000000000003</v>
      </c>
      <c r="E37" s="56">
        <v>49.5</v>
      </c>
      <c r="F37" s="56">
        <v>60.7</v>
      </c>
      <c r="G37" s="147">
        <f>'601a'!L37/'601'!B37</f>
        <v>26.978185363776515</v>
      </c>
      <c r="H37" s="147">
        <f>'601a'!M37/'601'!C37</f>
        <v>61.488448805856912</v>
      </c>
      <c r="I37" s="147">
        <f>'601a'!N37/'601'!D37</f>
        <v>53.612229856010948</v>
      </c>
      <c r="J37" s="147">
        <f>'601a'!O37/'601'!E37</f>
        <v>36.450540474761489</v>
      </c>
      <c r="K37" s="147">
        <f>'601a'!P37/'601'!F37</f>
        <v>89.63570160948268</v>
      </c>
      <c r="L37" s="139"/>
      <c r="M37" s="64">
        <v>4065670.8830548925</v>
      </c>
      <c r="N37" s="64">
        <f t="shared" si="1"/>
        <v>150200</v>
      </c>
      <c r="O37" s="64">
        <v>40000</v>
      </c>
      <c r="P37" s="64">
        <v>49500.000000000007</v>
      </c>
      <c r="Q37" s="64">
        <v>60700</v>
      </c>
    </row>
    <row r="38" spans="1:17">
      <c r="A38" s="66">
        <v>2003</v>
      </c>
      <c r="B38" s="56">
        <v>4050.5</v>
      </c>
      <c r="C38" s="56">
        <f t="shared" si="0"/>
        <v>147.1</v>
      </c>
      <c r="D38" s="56">
        <v>39.200000000000003</v>
      </c>
      <c r="E38" s="56">
        <v>48.8</v>
      </c>
      <c r="F38" s="56">
        <v>59.1</v>
      </c>
      <c r="G38" s="147">
        <f>'601a'!L38/'601'!B38</f>
        <v>27.291815383227586</v>
      </c>
      <c r="H38" s="147">
        <f>'601a'!M38/'601'!C38</f>
        <v>62.163825422380235</v>
      </c>
      <c r="I38" s="147">
        <f>'601a'!N38/'601'!D38</f>
        <v>54.52459424501702</v>
      </c>
      <c r="J38" s="147">
        <f>'601a'!O38/'601'!E38</f>
        <v>35.480507443665651</v>
      </c>
      <c r="K38" s="147">
        <f>'601a'!P38/'601'!F38</f>
        <v>94.424101040561723</v>
      </c>
      <c r="L38" s="139"/>
      <c r="M38" s="64">
        <v>4047230.3703703699</v>
      </c>
      <c r="N38" s="64">
        <f t="shared" si="1"/>
        <v>147100</v>
      </c>
      <c r="O38" s="64">
        <v>39200</v>
      </c>
      <c r="P38" s="64">
        <v>48799.999999999993</v>
      </c>
      <c r="Q38" s="64">
        <v>59100.000000000007</v>
      </c>
    </row>
    <row r="39" spans="1:17">
      <c r="A39" s="66">
        <v>2004</v>
      </c>
      <c r="B39" s="56">
        <v>4076.3</v>
      </c>
      <c r="C39" s="56">
        <f t="shared" si="0"/>
        <v>145.89999999999998</v>
      </c>
      <c r="D39" s="56">
        <v>38.799999999999997</v>
      </c>
      <c r="E39" s="56">
        <v>49.9</v>
      </c>
      <c r="F39" s="56">
        <v>57.2</v>
      </c>
      <c r="G39" s="147">
        <f>'601a'!L39/'601'!B39</f>
        <v>28.093149170421288</v>
      </c>
      <c r="H39" s="147">
        <f>'601a'!M39/'601'!C39</f>
        <v>65.08907534378136</v>
      </c>
      <c r="I39" s="147">
        <f>'601a'!N39/'601'!D39</f>
        <v>57.206369411296997</v>
      </c>
      <c r="J39" s="147">
        <f>'601a'!O39/'601'!E39</f>
        <v>34.832415401724539</v>
      </c>
      <c r="K39" s="147">
        <f>'601a'!P39/'601'!F39</f>
        <v>103.38219472834857</v>
      </c>
    </row>
    <row r="40" spans="1:17">
      <c r="A40" s="66">
        <v>2005</v>
      </c>
      <c r="B40" s="56">
        <v>4117.71</v>
      </c>
      <c r="C40" s="56">
        <f t="shared" si="0"/>
        <v>134.05000000000001</v>
      </c>
      <c r="D40" s="56">
        <v>36.35</v>
      </c>
      <c r="E40" s="56">
        <v>47.8</v>
      </c>
      <c r="F40" s="56">
        <v>49.9</v>
      </c>
      <c r="G40" s="147">
        <f>'601a'!L40/'601'!B40</f>
        <v>28.514578754179229</v>
      </c>
      <c r="H40" s="147">
        <f>'601a'!M40/'601'!C40</f>
        <v>65.654283958043209</v>
      </c>
      <c r="I40" s="147">
        <f>'601a'!N40/'601'!D40</f>
        <v>63.599168398310596</v>
      </c>
      <c r="J40" s="147">
        <f>'601a'!O40/'601'!E40</f>
        <v>36.022056582338116</v>
      </c>
      <c r="K40" s="147">
        <f>'601a'!P40/'601'!F40</f>
        <v>101.31021802945475</v>
      </c>
    </row>
    <row r="41" spans="1:17">
      <c r="A41" s="66">
        <v>2006</v>
      </c>
      <c r="B41" s="56">
        <v>4180.16</v>
      </c>
      <c r="C41" s="56">
        <f t="shared" si="0"/>
        <v>134.63</v>
      </c>
      <c r="D41" s="56">
        <v>35.020000000000003</v>
      </c>
      <c r="E41" s="56">
        <v>48.5</v>
      </c>
      <c r="F41" s="56">
        <v>51.11</v>
      </c>
      <c r="G41" s="147">
        <f>'601a'!L41/'601'!B41</f>
        <v>29.490882524046523</v>
      </c>
      <c r="H41" s="147">
        <f>'601a'!M41/'601'!C41</f>
        <v>74.449897830208343</v>
      </c>
      <c r="I41" s="147">
        <f>'601a'!N41/'601'!D41</f>
        <v>72.130802769999349</v>
      </c>
      <c r="J41" s="147">
        <f>'601a'!O41/'601'!E41</f>
        <v>36.219868101879925</v>
      </c>
      <c r="K41" s="147">
        <f>'601a'!P41/'601'!F41</f>
        <v>118.15625064562764</v>
      </c>
    </row>
    <row r="42" spans="1:17">
      <c r="A42" s="66">
        <v>2007</v>
      </c>
      <c r="B42" s="56">
        <v>4263.62</v>
      </c>
      <c r="C42" s="56">
        <f t="shared" si="0"/>
        <v>131.28</v>
      </c>
      <c r="D42" s="56">
        <v>35.56</v>
      </c>
      <c r="E42" s="56">
        <v>48.2</v>
      </c>
      <c r="F42" s="56">
        <v>47.52</v>
      </c>
      <c r="G42" s="147">
        <f>'601a'!L42/'601'!B42</f>
        <v>30.194017606425078</v>
      </c>
      <c r="H42" s="147">
        <f>'601a'!M42/'601'!C42</f>
        <v>76.068835943554703</v>
      </c>
      <c r="I42" s="147">
        <f>'601a'!N42/'601'!D42</f>
        <v>82.758744981319126</v>
      </c>
      <c r="J42" s="147">
        <f>'601a'!O42/'601'!E42</f>
        <v>33.986678314042365</v>
      </c>
      <c r="K42" s="147">
        <f>'601a'!P42/'601'!F42</f>
        <v>130.93619486897057</v>
      </c>
    </row>
    <row r="43" spans="1:17">
      <c r="A43" s="66">
        <v>2008</v>
      </c>
      <c r="B43" s="156" t="s">
        <v>22</v>
      </c>
      <c r="C43" s="156" t="s">
        <v>22</v>
      </c>
      <c r="D43" s="156" t="s">
        <v>22</v>
      </c>
      <c r="E43" s="156" t="s">
        <v>22</v>
      </c>
      <c r="F43" s="156" t="s">
        <v>22</v>
      </c>
      <c r="G43" s="56" t="s">
        <v>22</v>
      </c>
      <c r="H43" s="56" t="s">
        <v>22</v>
      </c>
      <c r="I43" s="56" t="s">
        <v>22</v>
      </c>
      <c r="J43" s="56" t="s">
        <v>22</v>
      </c>
      <c r="K43" s="56" t="s">
        <v>22</v>
      </c>
    </row>
    <row r="44" spans="1:17">
      <c r="A44" s="66"/>
      <c r="B44" s="56"/>
      <c r="C44" s="56"/>
      <c r="D44" s="56"/>
      <c r="E44" s="56"/>
      <c r="F44" s="56"/>
      <c r="G44" s="56"/>
      <c r="H44" s="56"/>
      <c r="I44" s="56"/>
      <c r="J44" s="56"/>
      <c r="K44" s="56"/>
    </row>
    <row r="45" spans="1:17">
      <c r="A45" s="66" t="s">
        <v>23</v>
      </c>
      <c r="B45" s="56"/>
      <c r="C45" s="56"/>
      <c r="D45" s="56"/>
      <c r="E45" s="56"/>
      <c r="F45" s="56"/>
      <c r="G45" s="56"/>
      <c r="H45" s="56"/>
      <c r="I45" s="56"/>
      <c r="J45" s="56"/>
      <c r="K45" s="56"/>
    </row>
    <row r="46" spans="1:17">
      <c r="A46" s="66" t="s">
        <v>1946</v>
      </c>
      <c r="B46" s="147">
        <f>((B42/B5)^(1/37)-1)*100</f>
        <v>-0.16270562990299275</v>
      </c>
      <c r="C46" s="147">
        <f t="shared" ref="C46:K46" si="2">((C42/C5)^(1/37)-1)*100</f>
        <v>-2.7359125982525434</v>
      </c>
      <c r="D46" s="147">
        <f t="shared" si="2"/>
        <v>-4.0218627291730868</v>
      </c>
      <c r="E46" s="147">
        <f t="shared" si="2"/>
        <v>-1.9795008253544744</v>
      </c>
      <c r="F46" s="147">
        <f t="shared" si="2"/>
        <v>-2.0690475009947806</v>
      </c>
      <c r="G46" s="147">
        <f t="shared" si="2"/>
        <v>2.9970147521772184</v>
      </c>
      <c r="H46" s="147">
        <f t="shared" si="2"/>
        <v>5.5340638357542327</v>
      </c>
      <c r="I46" s="147">
        <f t="shared" si="2"/>
        <v>5.8192598146482588</v>
      </c>
      <c r="J46" s="147">
        <f t="shared" si="2"/>
        <v>4.2805176849869397</v>
      </c>
      <c r="K46" s="147">
        <f t="shared" si="2"/>
        <v>6.2660357513688369</v>
      </c>
    </row>
    <row r="47" spans="1:17">
      <c r="A47" s="66" t="s">
        <v>2140</v>
      </c>
      <c r="B47" s="147">
        <f>((B25/B5)^(1/20)-1)*100</f>
        <v>-0.15621418600083592</v>
      </c>
      <c r="C47" s="147">
        <f t="shared" ref="C47:K47" si="3">((C25/C5)^(1/20)-1)*100</f>
        <v>-3.0475962587138694</v>
      </c>
      <c r="D47" s="147">
        <f t="shared" si="3"/>
        <v>-5.0424525025282385</v>
      </c>
      <c r="E47" s="147">
        <f t="shared" si="3"/>
        <v>-2.2021864724959928</v>
      </c>
      <c r="F47" s="147">
        <f t="shared" si="3"/>
        <v>-1.5802563183232143</v>
      </c>
      <c r="G47" s="147">
        <f t="shared" si="3"/>
        <v>3.398465443246379</v>
      </c>
      <c r="H47" s="147">
        <f t="shared" si="3"/>
        <v>5.4911588325561755</v>
      </c>
      <c r="I47" s="147">
        <f t="shared" si="3"/>
        <v>6.2304792716621593</v>
      </c>
      <c r="J47" s="147">
        <f t="shared" si="3"/>
        <v>4.3373313294717608</v>
      </c>
      <c r="K47" s="147">
        <f t="shared" si="3"/>
        <v>5.6164444521953349</v>
      </c>
    </row>
    <row r="48" spans="1:17">
      <c r="A48" s="66" t="s">
        <v>660</v>
      </c>
      <c r="B48" s="147">
        <f t="shared" ref="B48:K48" si="4">((B35/B25)^(1/10)-1)*100</f>
        <v>-0.87854288977117223</v>
      </c>
      <c r="C48" s="147">
        <f t="shared" si="4"/>
        <v>-2.3589608164580778</v>
      </c>
      <c r="D48" s="147">
        <f t="shared" si="4"/>
        <v>-3.1722039258095913</v>
      </c>
      <c r="E48" s="147">
        <f t="shared" si="4"/>
        <v>-2.2559579019469034</v>
      </c>
      <c r="F48" s="147">
        <f t="shared" si="4"/>
        <v>-1.8566273444657999</v>
      </c>
      <c r="G48" s="147">
        <f t="shared" si="4"/>
        <v>2.8711264266119807</v>
      </c>
      <c r="H48" s="147">
        <f t="shared" si="4"/>
        <v>6.7957567279519182</v>
      </c>
      <c r="I48" s="147">
        <f t="shared" si="4"/>
        <v>4.1465447523368448</v>
      </c>
      <c r="J48" s="147">
        <f t="shared" si="4"/>
        <v>6.3272545347886622</v>
      </c>
      <c r="K48" s="147">
        <f t="shared" si="4"/>
        <v>7.6890072422075129</v>
      </c>
    </row>
    <row r="49" spans="1:11">
      <c r="A49" s="66" t="s">
        <v>588</v>
      </c>
      <c r="B49" s="147">
        <f>((B42/B35)^(1/7)-1)*100</f>
        <v>0.85015974927873383</v>
      </c>
      <c r="C49" s="147">
        <f t="shared" ref="C49:K49" si="5">((C42/C35)^(1/7)-1)*100</f>
        <v>-2.3807729025662416</v>
      </c>
      <c r="D49" s="147">
        <f t="shared" si="5"/>
        <v>-2.2831737781236705</v>
      </c>
      <c r="E49" s="147">
        <f t="shared" si="5"/>
        <v>-0.94157893047156493</v>
      </c>
      <c r="F49" s="147">
        <f t="shared" si="5"/>
        <v>-3.7506438298219646</v>
      </c>
      <c r="G49" s="147">
        <f t="shared" si="5"/>
        <v>2.0366976720865182</v>
      </c>
      <c r="H49" s="147">
        <f t="shared" si="5"/>
        <v>3.8780752099943472</v>
      </c>
      <c r="I49" s="147">
        <f t="shared" si="5"/>
        <v>7.0625520610946069</v>
      </c>
      <c r="J49" s="147">
        <f t="shared" si="5"/>
        <v>1.2670500860140654</v>
      </c>
      <c r="K49" s="147">
        <f t="shared" si="5"/>
        <v>6.1084973399540887</v>
      </c>
    </row>
    <row r="50" spans="1:11">
      <c r="A50" s="66"/>
      <c r="B50" s="144"/>
      <c r="C50" s="144"/>
      <c r="D50" s="144"/>
      <c r="E50" s="144"/>
      <c r="F50" s="144"/>
      <c r="G50" s="144"/>
      <c r="H50" s="144"/>
      <c r="I50" s="144"/>
      <c r="J50" s="144"/>
      <c r="K50" s="144"/>
    </row>
    <row r="52" spans="1:11" ht="30" customHeight="1">
      <c r="A52" s="104" t="s">
        <v>2039</v>
      </c>
      <c r="B52" s="104"/>
      <c r="C52" s="104"/>
      <c r="D52" s="104"/>
      <c r="E52" s="104"/>
      <c r="F52" s="104"/>
      <c r="G52" s="104"/>
      <c r="H52" s="104"/>
      <c r="I52" s="104"/>
      <c r="J52" s="104"/>
      <c r="K52" s="104"/>
    </row>
  </sheetData>
  <mergeCells count="11">
    <mergeCell ref="A52:K52"/>
    <mergeCell ref="A3:A4"/>
    <mergeCell ref="B3:B4"/>
    <mergeCell ref="C3:F3"/>
    <mergeCell ref="G3:G4"/>
    <mergeCell ref="H3:K3"/>
    <mergeCell ref="M2:Q2"/>
    <mergeCell ref="M3:M4"/>
    <mergeCell ref="N3:Q3"/>
    <mergeCell ref="B2:F2"/>
    <mergeCell ref="G2:K2"/>
  </mergeCells>
  <pageMargins left="0.7" right="0.7" top="0.75" bottom="0.75" header="0.3" footer="0.3"/>
  <pageSetup scale="62" orientation="landscape" horizontalDpi="0" verticalDpi="0" r:id="rId1"/>
</worksheet>
</file>

<file path=xl/worksheets/sheet146.xml><?xml version="1.0" encoding="utf-8"?>
<worksheet xmlns="http://schemas.openxmlformats.org/spreadsheetml/2006/main" xmlns:r="http://schemas.openxmlformats.org/officeDocument/2006/relationships">
  <sheetPr codeName="Sheet138"/>
  <dimension ref="A1:Q53"/>
  <sheetViews>
    <sheetView view="pageBreakPreview" zoomScale="85" zoomScaleNormal="85" zoomScaleSheetLayoutView="85" workbookViewId="0">
      <selection activeCell="AC38" sqref="AC38"/>
    </sheetView>
  </sheetViews>
  <sheetFormatPr defaultRowHeight="15"/>
  <cols>
    <col min="1" max="1" width="12" style="64" customWidth="1"/>
    <col min="2" max="16" width="12.42578125" style="64" customWidth="1"/>
    <col min="17" max="16384" width="9.140625" style="64"/>
  </cols>
  <sheetData>
    <row r="1" spans="1:17">
      <c r="A1" s="108" t="s">
        <v>1932</v>
      </c>
      <c r="B1" s="108"/>
      <c r="C1" s="108"/>
      <c r="D1" s="108"/>
      <c r="E1" s="108"/>
      <c r="F1" s="108"/>
      <c r="G1" s="108"/>
      <c r="H1" s="108"/>
      <c r="I1" s="108"/>
      <c r="J1" s="108"/>
      <c r="K1" s="108"/>
      <c r="L1" s="108"/>
      <c r="M1" s="108"/>
      <c r="N1" s="108"/>
      <c r="O1" s="108"/>
      <c r="P1" s="108"/>
    </row>
    <row r="2" spans="1:17">
      <c r="A2" s="66"/>
      <c r="B2" s="107" t="s">
        <v>535</v>
      </c>
      <c r="C2" s="107"/>
      <c r="D2" s="107"/>
      <c r="E2" s="107"/>
      <c r="F2" s="107"/>
      <c r="G2" s="107" t="s">
        <v>530</v>
      </c>
      <c r="H2" s="107"/>
      <c r="I2" s="107"/>
      <c r="J2" s="107"/>
      <c r="K2" s="107"/>
      <c r="L2" s="107" t="s">
        <v>534</v>
      </c>
      <c r="M2" s="107"/>
      <c r="N2" s="107"/>
      <c r="O2" s="107"/>
      <c r="P2" s="107"/>
    </row>
    <row r="3" spans="1:17" ht="15" customHeight="1">
      <c r="A3" s="149"/>
      <c r="B3" s="97" t="s">
        <v>523</v>
      </c>
      <c r="C3" s="97" t="s">
        <v>37</v>
      </c>
      <c r="D3" s="97"/>
      <c r="E3" s="97"/>
      <c r="F3" s="97"/>
      <c r="G3" s="97" t="s">
        <v>523</v>
      </c>
      <c r="H3" s="97" t="s">
        <v>37</v>
      </c>
      <c r="I3" s="97"/>
      <c r="J3" s="97"/>
      <c r="K3" s="97"/>
      <c r="L3" s="97" t="s">
        <v>523</v>
      </c>
      <c r="M3" s="97" t="s">
        <v>37</v>
      </c>
      <c r="N3" s="97"/>
      <c r="O3" s="97"/>
      <c r="P3" s="97"/>
    </row>
    <row r="4" spans="1:17" ht="60">
      <c r="A4" s="149"/>
      <c r="B4" s="97"/>
      <c r="C4" s="73" t="s">
        <v>78</v>
      </c>
      <c r="D4" s="73" t="s">
        <v>522</v>
      </c>
      <c r="E4" s="73" t="s">
        <v>524</v>
      </c>
      <c r="F4" s="73" t="s">
        <v>525</v>
      </c>
      <c r="G4" s="97"/>
      <c r="H4" s="73" t="s">
        <v>78</v>
      </c>
      <c r="I4" s="73" t="s">
        <v>522</v>
      </c>
      <c r="J4" s="73" t="s">
        <v>524</v>
      </c>
      <c r="K4" s="73" t="s">
        <v>525</v>
      </c>
      <c r="L4" s="97"/>
      <c r="M4" s="73" t="s">
        <v>78</v>
      </c>
      <c r="N4" s="73" t="s">
        <v>522</v>
      </c>
      <c r="O4" s="73" t="s">
        <v>524</v>
      </c>
      <c r="P4" s="73" t="s">
        <v>525</v>
      </c>
    </row>
    <row r="5" spans="1:17">
      <c r="A5" s="66">
        <v>1970</v>
      </c>
      <c r="B5" s="150">
        <v>7354.59</v>
      </c>
      <c r="C5" s="30">
        <f>SUM(D5:F5)</f>
        <v>794.45</v>
      </c>
      <c r="D5" s="150">
        <v>362.87</v>
      </c>
      <c r="E5" s="150">
        <v>137.94999999999999</v>
      </c>
      <c r="F5" s="150">
        <v>293.63</v>
      </c>
      <c r="G5" s="151">
        <v>16.04</v>
      </c>
      <c r="H5" s="28">
        <f>I5*(D5/C5)+J5*(E5/C5)+K5*(F5/C5)</f>
        <v>20.913794071370127</v>
      </c>
      <c r="I5" s="151">
        <v>21.89</v>
      </c>
      <c r="J5" s="151">
        <v>18.95</v>
      </c>
      <c r="K5" s="151">
        <v>20.63</v>
      </c>
      <c r="L5" s="56">
        <f t="shared" ref="L5:L13" si="0">B5*100/G5</f>
        <v>45851.558603491278</v>
      </c>
      <c r="M5" s="56">
        <f t="shared" ref="M5:M13" si="1">C5*100/H5</f>
        <v>3798.6890245207101</v>
      </c>
      <c r="N5" s="56">
        <f t="shared" ref="N5:N13" si="2">D5*100/I5</f>
        <v>1657.6975788031064</v>
      </c>
      <c r="O5" s="56">
        <f t="shared" ref="O5:O13" si="3">E5*100/J5</f>
        <v>727.96833773087064</v>
      </c>
      <c r="P5" s="56">
        <f t="shared" ref="P5:P13" si="4">F5*100/K5</f>
        <v>1423.3155598642754</v>
      </c>
    </row>
    <row r="6" spans="1:17">
      <c r="A6" s="66">
        <v>1971</v>
      </c>
      <c r="B6" s="150">
        <v>7951.32</v>
      </c>
      <c r="C6" s="30">
        <f t="shared" ref="C6:C13" si="5">SUM(D6:F6)</f>
        <v>806.95999999999992</v>
      </c>
      <c r="D6" s="150">
        <v>402.06</v>
      </c>
      <c r="E6" s="150">
        <v>141.76</v>
      </c>
      <c r="F6" s="150">
        <v>263.14</v>
      </c>
      <c r="G6" s="151">
        <v>17.010000000000002</v>
      </c>
      <c r="H6" s="28">
        <f t="shared" ref="H6:H42" si="6">I6*(D6/C6)+J6*(E6/C6)+K6*(F6/C6)</f>
        <v>22.92384529592545</v>
      </c>
      <c r="I6" s="151">
        <v>26.21</v>
      </c>
      <c r="J6" s="151">
        <v>18.14</v>
      </c>
      <c r="K6" s="151">
        <v>20.48</v>
      </c>
      <c r="L6" s="56">
        <f t="shared" si="0"/>
        <v>46744.973544973538</v>
      </c>
      <c r="M6" s="56">
        <f t="shared" si="1"/>
        <v>3520.1773070045592</v>
      </c>
      <c r="N6" s="56">
        <f t="shared" si="2"/>
        <v>1533.9946585272796</v>
      </c>
      <c r="O6" s="56">
        <f t="shared" si="3"/>
        <v>781.47739801543548</v>
      </c>
      <c r="P6" s="56">
        <f t="shared" si="4"/>
        <v>1284.86328125</v>
      </c>
    </row>
    <row r="7" spans="1:17">
      <c r="A7" s="66">
        <v>1972</v>
      </c>
      <c r="B7" s="150">
        <v>9104.74</v>
      </c>
      <c r="C7" s="30">
        <f t="shared" si="5"/>
        <v>866.82000000000016</v>
      </c>
      <c r="D7" s="150">
        <v>425.35</v>
      </c>
      <c r="E7" s="150">
        <v>155.56</v>
      </c>
      <c r="F7" s="150">
        <v>285.91000000000003</v>
      </c>
      <c r="G7" s="151">
        <v>18.2</v>
      </c>
      <c r="H7" s="28">
        <f t="shared" si="6"/>
        <v>23.152371426593753</v>
      </c>
      <c r="I7" s="151">
        <v>28.75</v>
      </c>
      <c r="J7" s="151">
        <v>18.07</v>
      </c>
      <c r="K7" s="151">
        <v>17.59</v>
      </c>
      <c r="L7" s="56">
        <f t="shared" si="0"/>
        <v>50026.043956043955</v>
      </c>
      <c r="M7" s="56">
        <f t="shared" si="1"/>
        <v>3743.9793273372229</v>
      </c>
      <c r="N7" s="56">
        <f t="shared" si="2"/>
        <v>1479.4782608695652</v>
      </c>
      <c r="O7" s="56">
        <f t="shared" si="3"/>
        <v>860.87437742114003</v>
      </c>
      <c r="P7" s="56">
        <f t="shared" si="4"/>
        <v>1625.4121660034114</v>
      </c>
    </row>
    <row r="8" spans="1:17">
      <c r="A8" s="66">
        <v>1973</v>
      </c>
      <c r="B8" s="150">
        <v>10975.95</v>
      </c>
      <c r="C8" s="30">
        <f t="shared" si="5"/>
        <v>1116.76</v>
      </c>
      <c r="D8" s="150">
        <v>485.49</v>
      </c>
      <c r="E8" s="150">
        <v>258.88</v>
      </c>
      <c r="F8" s="150">
        <v>372.39</v>
      </c>
      <c r="G8" s="151">
        <v>20.75</v>
      </c>
      <c r="H8" s="28">
        <f t="shared" si="6"/>
        <v>27.227612647301122</v>
      </c>
      <c r="I8" s="151">
        <v>32.33</v>
      </c>
      <c r="J8" s="151">
        <v>29.12</v>
      </c>
      <c r="K8" s="151">
        <v>19.260000000000002</v>
      </c>
      <c r="L8" s="56">
        <f t="shared" si="0"/>
        <v>52896.144578313251</v>
      </c>
      <c r="M8" s="56">
        <f t="shared" si="1"/>
        <v>4101.5714982661048</v>
      </c>
      <c r="N8" s="56">
        <f t="shared" si="2"/>
        <v>1501.670275286112</v>
      </c>
      <c r="O8" s="56">
        <f t="shared" si="3"/>
        <v>889.01098901098896</v>
      </c>
      <c r="P8" s="56">
        <f t="shared" si="4"/>
        <v>1933.4890965732086</v>
      </c>
    </row>
    <row r="9" spans="1:17">
      <c r="A9" s="66">
        <v>1974</v>
      </c>
      <c r="B9" s="150">
        <v>14241.85</v>
      </c>
      <c r="C9" s="30">
        <f t="shared" si="5"/>
        <v>1506.9099999999999</v>
      </c>
      <c r="D9" s="150">
        <v>574.39</v>
      </c>
      <c r="E9" s="150">
        <v>311.41000000000003</v>
      </c>
      <c r="F9" s="150">
        <v>621.11</v>
      </c>
      <c r="G9" s="151">
        <v>26.02</v>
      </c>
      <c r="H9" s="28">
        <f t="shared" si="6"/>
        <v>36.447188219601706</v>
      </c>
      <c r="I9" s="151">
        <v>41.29</v>
      </c>
      <c r="J9" s="151">
        <v>38.08</v>
      </c>
      <c r="K9" s="151">
        <v>31.15</v>
      </c>
      <c r="L9" s="56">
        <f t="shared" si="0"/>
        <v>54734.242890084548</v>
      </c>
      <c r="M9" s="56">
        <f t="shared" si="1"/>
        <v>4134.5027520931417</v>
      </c>
      <c r="N9" s="56">
        <f t="shared" si="2"/>
        <v>1391.1116493097602</v>
      </c>
      <c r="O9" s="56">
        <f t="shared" si="3"/>
        <v>817.77836134453798</v>
      </c>
      <c r="P9" s="56">
        <f t="shared" si="4"/>
        <v>1993.932584269663</v>
      </c>
    </row>
    <row r="10" spans="1:17">
      <c r="A10" s="66">
        <v>1975</v>
      </c>
      <c r="B10" s="150">
        <v>16390</v>
      </c>
      <c r="C10" s="30">
        <f t="shared" si="5"/>
        <v>1553</v>
      </c>
      <c r="D10" s="150">
        <v>791</v>
      </c>
      <c r="E10" s="150">
        <v>179</v>
      </c>
      <c r="F10" s="150">
        <v>583</v>
      </c>
      <c r="G10" s="151">
        <v>29.72</v>
      </c>
      <c r="H10" s="28">
        <f t="shared" si="6"/>
        <v>49.023148744365749</v>
      </c>
      <c r="I10" s="151">
        <v>59.63</v>
      </c>
      <c r="J10" s="151">
        <v>26.98</v>
      </c>
      <c r="K10" s="151">
        <v>41.4</v>
      </c>
      <c r="L10" s="56">
        <f t="shared" si="0"/>
        <v>55148.048452220726</v>
      </c>
      <c r="M10" s="56">
        <f t="shared" si="1"/>
        <v>3167.8911693294426</v>
      </c>
      <c r="N10" s="56">
        <f t="shared" si="2"/>
        <v>1326.5134999161496</v>
      </c>
      <c r="O10" s="56">
        <f t="shared" si="3"/>
        <v>663.45441067457375</v>
      </c>
      <c r="P10" s="56">
        <f t="shared" si="4"/>
        <v>1408.2125603864736</v>
      </c>
    </row>
    <row r="11" spans="1:17">
      <c r="A11" s="66">
        <v>1976</v>
      </c>
      <c r="B11" s="150">
        <v>18553</v>
      </c>
      <c r="C11" s="30">
        <f t="shared" si="5"/>
        <v>1561</v>
      </c>
      <c r="D11" s="150">
        <v>787</v>
      </c>
      <c r="E11" s="150">
        <v>268</v>
      </c>
      <c r="F11" s="150">
        <v>506</v>
      </c>
      <c r="G11" s="151">
        <v>33.24</v>
      </c>
      <c r="H11" s="28">
        <f t="shared" si="6"/>
        <v>47.012658552210127</v>
      </c>
      <c r="I11" s="151">
        <v>59.54</v>
      </c>
      <c r="J11" s="151">
        <v>36.21</v>
      </c>
      <c r="K11" s="151">
        <v>33.25</v>
      </c>
      <c r="L11" s="56">
        <f t="shared" si="0"/>
        <v>55815.282791817088</v>
      </c>
      <c r="M11" s="56">
        <f t="shared" si="1"/>
        <v>3320.3823141940043</v>
      </c>
      <c r="N11" s="56">
        <f t="shared" si="2"/>
        <v>1321.8004702720859</v>
      </c>
      <c r="O11" s="56">
        <f t="shared" si="3"/>
        <v>740.12703673018507</v>
      </c>
      <c r="P11" s="56">
        <f t="shared" si="4"/>
        <v>1521.8045112781954</v>
      </c>
    </row>
    <row r="12" spans="1:17">
      <c r="A12" s="66">
        <v>1977</v>
      </c>
      <c r="B12" s="150">
        <v>20178</v>
      </c>
      <c r="C12" s="30">
        <f t="shared" si="5"/>
        <v>1802</v>
      </c>
      <c r="D12" s="150">
        <v>889</v>
      </c>
      <c r="E12" s="150">
        <v>350</v>
      </c>
      <c r="F12" s="150">
        <v>563</v>
      </c>
      <c r="G12" s="151">
        <v>36.270000000000003</v>
      </c>
      <c r="H12" s="28">
        <f t="shared" si="6"/>
        <v>50.55625416204218</v>
      </c>
      <c r="I12" s="151">
        <v>61.24</v>
      </c>
      <c r="J12" s="151">
        <v>46.4</v>
      </c>
      <c r="K12" s="151">
        <v>36.270000000000003</v>
      </c>
      <c r="L12" s="56">
        <f t="shared" si="0"/>
        <v>55632.754342431756</v>
      </c>
      <c r="M12" s="56">
        <f t="shared" si="1"/>
        <v>3564.3463501553251</v>
      </c>
      <c r="N12" s="56">
        <f t="shared" si="2"/>
        <v>1451.6655780535598</v>
      </c>
      <c r="O12" s="56">
        <f t="shared" si="3"/>
        <v>754.31034482758628</v>
      </c>
      <c r="P12" s="56">
        <f t="shared" si="4"/>
        <v>1552.2470361180037</v>
      </c>
    </row>
    <row r="13" spans="1:17">
      <c r="A13" s="66">
        <v>1978</v>
      </c>
      <c r="B13" s="150">
        <v>22165</v>
      </c>
      <c r="C13" s="30">
        <f t="shared" si="5"/>
        <v>2061</v>
      </c>
      <c r="D13" s="150">
        <v>876</v>
      </c>
      <c r="E13" s="150">
        <v>402</v>
      </c>
      <c r="F13" s="150">
        <v>783</v>
      </c>
      <c r="G13" s="151">
        <v>38.75</v>
      </c>
      <c r="H13" s="28">
        <f t="shared" si="6"/>
        <v>51.063609898107714</v>
      </c>
      <c r="I13" s="151">
        <v>58.12</v>
      </c>
      <c r="J13" s="151">
        <v>49.64</v>
      </c>
      <c r="K13" s="151">
        <v>43.9</v>
      </c>
      <c r="L13" s="56">
        <f t="shared" si="0"/>
        <v>57200</v>
      </c>
      <c r="M13" s="56">
        <f t="shared" si="1"/>
        <v>4036.1423802831755</v>
      </c>
      <c r="N13" s="56">
        <f t="shared" si="2"/>
        <v>1507.2264280798349</v>
      </c>
      <c r="O13" s="56">
        <f t="shared" si="3"/>
        <v>809.8307816277196</v>
      </c>
      <c r="P13" s="56">
        <f t="shared" si="4"/>
        <v>1783.5990888382689</v>
      </c>
    </row>
    <row r="14" spans="1:17">
      <c r="A14" s="66">
        <v>1979</v>
      </c>
      <c r="B14" s="30">
        <v>25813</v>
      </c>
      <c r="C14" s="30">
        <f>SUM(D14:F14)</f>
        <v>2734</v>
      </c>
      <c r="D14" s="30">
        <v>1103</v>
      </c>
      <c r="E14" s="30">
        <v>552</v>
      </c>
      <c r="F14" s="30">
        <v>1079</v>
      </c>
      <c r="G14" s="28">
        <v>42.15</v>
      </c>
      <c r="H14" s="28">
        <f t="shared" si="6"/>
        <v>56.074436722750548</v>
      </c>
      <c r="I14" s="28">
        <v>57.95</v>
      </c>
      <c r="J14" s="28">
        <v>58.61</v>
      </c>
      <c r="K14" s="28">
        <v>52.86</v>
      </c>
      <c r="L14" s="56">
        <f>B14*100/G14</f>
        <v>61240.806642941876</v>
      </c>
      <c r="M14" s="56">
        <f t="shared" ref="M14:P29" si="7">C14*100/H14</f>
        <v>4875.6619946407063</v>
      </c>
      <c r="N14" s="56">
        <f t="shared" si="7"/>
        <v>1903.3649698015529</v>
      </c>
      <c r="O14" s="56">
        <f t="shared" si="7"/>
        <v>941.81880225217537</v>
      </c>
      <c r="P14" s="56">
        <f t="shared" si="7"/>
        <v>2041.2410139992433</v>
      </c>
    </row>
    <row r="15" spans="1:17">
      <c r="A15" s="66">
        <v>1980</v>
      </c>
      <c r="B15" s="30">
        <v>29748</v>
      </c>
      <c r="C15" s="30">
        <f t="shared" ref="C15:C42" si="8">SUM(D15:F15)</f>
        <v>3359</v>
      </c>
      <c r="D15" s="30">
        <v>1363</v>
      </c>
      <c r="E15" s="30">
        <v>734</v>
      </c>
      <c r="F15" s="30">
        <v>1262</v>
      </c>
      <c r="G15" s="28">
        <v>46.08</v>
      </c>
      <c r="H15" s="28">
        <f t="shared" si="6"/>
        <v>65.374766299493899</v>
      </c>
      <c r="I15" s="28">
        <v>66.02</v>
      </c>
      <c r="J15" s="28">
        <v>74.69</v>
      </c>
      <c r="K15" s="28">
        <v>59.26</v>
      </c>
      <c r="L15" s="56">
        <f t="shared" ref="L15:P38" si="9">B15*100/G15</f>
        <v>64557.291666666672</v>
      </c>
      <c r="M15" s="56">
        <f t="shared" si="7"/>
        <v>5138.0680805982538</v>
      </c>
      <c r="N15" s="56">
        <f t="shared" si="7"/>
        <v>2064.5259012420479</v>
      </c>
      <c r="O15" s="56">
        <f t="shared" si="7"/>
        <v>982.72861159459103</v>
      </c>
      <c r="P15" s="56">
        <f t="shared" si="7"/>
        <v>2129.5983800202498</v>
      </c>
      <c r="Q15" s="152"/>
    </row>
    <row r="16" spans="1:17">
      <c r="A16" s="66">
        <v>1981</v>
      </c>
      <c r="B16" s="30">
        <v>33513</v>
      </c>
      <c r="C16" s="30">
        <f t="shared" si="8"/>
        <v>3385</v>
      </c>
      <c r="D16" s="30">
        <v>1450</v>
      </c>
      <c r="E16" s="30">
        <v>583</v>
      </c>
      <c r="F16" s="30">
        <v>1352</v>
      </c>
      <c r="G16" s="28">
        <v>51.25</v>
      </c>
      <c r="H16" s="28">
        <f t="shared" si="6"/>
        <v>68.706209748892178</v>
      </c>
      <c r="I16" s="28">
        <v>75.34</v>
      </c>
      <c r="J16" s="28">
        <v>65.44</v>
      </c>
      <c r="K16" s="28">
        <v>63</v>
      </c>
      <c r="L16" s="56">
        <f t="shared" si="9"/>
        <v>65391.219512195123</v>
      </c>
      <c r="M16" s="56">
        <f t="shared" si="7"/>
        <v>4926.7744682344082</v>
      </c>
      <c r="N16" s="56">
        <f t="shared" si="7"/>
        <v>1924.6084417308202</v>
      </c>
      <c r="O16" s="56">
        <f t="shared" si="7"/>
        <v>890.89242053789735</v>
      </c>
      <c r="P16" s="56">
        <f t="shared" si="7"/>
        <v>2146.031746031746</v>
      </c>
      <c r="Q16" s="152"/>
    </row>
    <row r="17" spans="1:17">
      <c r="A17" s="66">
        <v>1982</v>
      </c>
      <c r="B17" s="30">
        <v>37631</v>
      </c>
      <c r="C17" s="30">
        <f t="shared" si="8"/>
        <v>3264</v>
      </c>
      <c r="D17" s="30">
        <v>1483</v>
      </c>
      <c r="E17" s="30">
        <v>507</v>
      </c>
      <c r="F17" s="30">
        <v>1274</v>
      </c>
      <c r="G17" s="28">
        <v>56.07</v>
      </c>
      <c r="H17" s="28">
        <f t="shared" si="6"/>
        <v>72.065094975490197</v>
      </c>
      <c r="I17" s="28">
        <v>83.36</v>
      </c>
      <c r="J17" s="28">
        <v>59.67</v>
      </c>
      <c r="K17" s="28">
        <v>63.85</v>
      </c>
      <c r="L17" s="56">
        <f t="shared" si="9"/>
        <v>67114.321383984308</v>
      </c>
      <c r="M17" s="56">
        <f t="shared" si="7"/>
        <v>4529.2384629620028</v>
      </c>
      <c r="N17" s="56">
        <f t="shared" si="7"/>
        <v>1779.0307101727446</v>
      </c>
      <c r="O17" s="56">
        <f t="shared" si="7"/>
        <v>849.67320261437908</v>
      </c>
      <c r="P17" s="56">
        <f t="shared" si="7"/>
        <v>1995.3014878621768</v>
      </c>
      <c r="Q17" s="152"/>
    </row>
    <row r="18" spans="1:17">
      <c r="A18" s="66">
        <v>1983</v>
      </c>
      <c r="B18" s="30">
        <v>42010</v>
      </c>
      <c r="C18" s="30">
        <f t="shared" si="8"/>
        <v>3588</v>
      </c>
      <c r="D18" s="30">
        <v>1525</v>
      </c>
      <c r="E18" s="30">
        <v>692</v>
      </c>
      <c r="F18" s="30">
        <v>1371</v>
      </c>
      <c r="G18" s="28">
        <v>60.53</v>
      </c>
      <c r="H18" s="28">
        <f t="shared" si="6"/>
        <v>74.136011705685632</v>
      </c>
      <c r="I18" s="28">
        <v>84.28</v>
      </c>
      <c r="J18" s="28">
        <v>74.260000000000005</v>
      </c>
      <c r="K18" s="28">
        <v>62.79</v>
      </c>
      <c r="L18" s="56">
        <f t="shared" si="9"/>
        <v>69403.601519907475</v>
      </c>
      <c r="M18" s="56">
        <f t="shared" si="7"/>
        <v>4839.7532015130364</v>
      </c>
      <c r="N18" s="56">
        <f t="shared" si="7"/>
        <v>1809.4447081158044</v>
      </c>
      <c r="O18" s="56">
        <f t="shared" si="7"/>
        <v>931.8610288176676</v>
      </c>
      <c r="P18" s="56">
        <f t="shared" si="7"/>
        <v>2183.4687052078357</v>
      </c>
      <c r="Q18" s="152"/>
    </row>
    <row r="19" spans="1:17">
      <c r="A19" s="66">
        <v>1984</v>
      </c>
      <c r="B19" s="30">
        <v>46613</v>
      </c>
      <c r="C19" s="30">
        <f t="shared" si="8"/>
        <v>4329</v>
      </c>
      <c r="D19" s="30">
        <v>1707</v>
      </c>
      <c r="E19" s="30">
        <v>759</v>
      </c>
      <c r="F19" s="30">
        <v>1863</v>
      </c>
      <c r="G19" s="28">
        <v>65.569999999999993</v>
      </c>
      <c r="H19" s="28">
        <f t="shared" si="6"/>
        <v>80.666819126819135</v>
      </c>
      <c r="I19" s="28">
        <v>85</v>
      </c>
      <c r="J19" s="28">
        <v>82.45</v>
      </c>
      <c r="K19" s="28">
        <v>75.97</v>
      </c>
      <c r="L19" s="56">
        <f t="shared" si="9"/>
        <v>71088.912612475222</v>
      </c>
      <c r="M19" s="56">
        <f t="shared" si="7"/>
        <v>5366.5187828891922</v>
      </c>
      <c r="N19" s="56">
        <f t="shared" si="7"/>
        <v>2008.2352941176471</v>
      </c>
      <c r="O19" s="56">
        <f t="shared" si="7"/>
        <v>920.55791388720434</v>
      </c>
      <c r="P19" s="56">
        <f t="shared" si="7"/>
        <v>2452.283796235356</v>
      </c>
      <c r="Q19" s="152"/>
    </row>
    <row r="20" spans="1:17">
      <c r="A20" s="66">
        <v>1985</v>
      </c>
      <c r="B20" s="30">
        <v>50565</v>
      </c>
      <c r="C20" s="30">
        <f t="shared" si="8"/>
        <v>4256</v>
      </c>
      <c r="D20" s="30">
        <v>1773</v>
      </c>
      <c r="E20" s="30">
        <v>650</v>
      </c>
      <c r="F20" s="30">
        <v>1833</v>
      </c>
      <c r="G20" s="28">
        <v>68.83</v>
      </c>
      <c r="H20" s="28">
        <f t="shared" si="6"/>
        <v>80.518277725563905</v>
      </c>
      <c r="I20" s="28">
        <v>90.78</v>
      </c>
      <c r="J20" s="28">
        <v>71.05</v>
      </c>
      <c r="K20" s="28">
        <v>73.95</v>
      </c>
      <c r="L20" s="56">
        <f t="shared" si="9"/>
        <v>73463.605985762028</v>
      </c>
      <c r="M20" s="56">
        <f t="shared" si="7"/>
        <v>5285.7563775842591</v>
      </c>
      <c r="N20" s="56">
        <f t="shared" si="7"/>
        <v>1953.0733641771315</v>
      </c>
      <c r="O20" s="56">
        <f t="shared" si="7"/>
        <v>914.84869809992972</v>
      </c>
      <c r="P20" s="56">
        <f t="shared" si="7"/>
        <v>2478.7018255578091</v>
      </c>
      <c r="Q20" s="152"/>
    </row>
    <row r="21" spans="1:17">
      <c r="A21" s="66">
        <v>1986</v>
      </c>
      <c r="B21" s="30">
        <v>54218</v>
      </c>
      <c r="C21" s="30">
        <f t="shared" si="8"/>
        <v>4152</v>
      </c>
      <c r="D21" s="30">
        <v>1713</v>
      </c>
      <c r="E21" s="30">
        <v>667</v>
      </c>
      <c r="F21" s="30">
        <v>1772</v>
      </c>
      <c r="G21" s="28">
        <v>72.09</v>
      </c>
      <c r="H21" s="28">
        <f t="shared" si="6"/>
        <v>78.730305876685932</v>
      </c>
      <c r="I21" s="28">
        <v>92.04</v>
      </c>
      <c r="J21" s="28">
        <v>70.849999999999994</v>
      </c>
      <c r="K21" s="28">
        <v>68.83</v>
      </c>
      <c r="L21" s="56">
        <f>B21*100/G21</f>
        <v>75208.766819253709</v>
      </c>
      <c r="M21" s="56">
        <f t="shared" si="7"/>
        <v>5273.6998208837313</v>
      </c>
      <c r="N21" s="56">
        <f t="shared" si="7"/>
        <v>1861.1473272490221</v>
      </c>
      <c r="O21" s="56">
        <f t="shared" si="7"/>
        <v>941.42554693013415</v>
      </c>
      <c r="P21" s="56">
        <f t="shared" si="7"/>
        <v>2574.4588115647248</v>
      </c>
      <c r="Q21" s="152"/>
    </row>
    <row r="22" spans="1:17">
      <c r="A22" s="66">
        <v>1987</v>
      </c>
      <c r="B22" s="30">
        <v>58309</v>
      </c>
      <c r="C22" s="30">
        <f t="shared" si="8"/>
        <v>4520</v>
      </c>
      <c r="D22" s="30">
        <v>1746</v>
      </c>
      <c r="E22" s="30">
        <v>793</v>
      </c>
      <c r="F22" s="30">
        <v>1981</v>
      </c>
      <c r="G22" s="28">
        <v>74.89</v>
      </c>
      <c r="H22" s="28">
        <f t="shared" si="6"/>
        <v>80.892765486725665</v>
      </c>
      <c r="I22" s="28">
        <v>92.66</v>
      </c>
      <c r="J22" s="28">
        <v>76.099999999999994</v>
      </c>
      <c r="K22" s="28">
        <v>72.44</v>
      </c>
      <c r="L22" s="56">
        <f t="shared" si="9"/>
        <v>77859.527306716511</v>
      </c>
      <c r="M22" s="56">
        <f t="shared" si="7"/>
        <v>5587.6443002084316</v>
      </c>
      <c r="N22" s="56">
        <f t="shared" si="7"/>
        <v>1884.3082236132097</v>
      </c>
      <c r="O22" s="56">
        <f t="shared" si="7"/>
        <v>1042.0499342969777</v>
      </c>
      <c r="P22" s="56">
        <f t="shared" si="7"/>
        <v>2734.6769740474879</v>
      </c>
      <c r="Q22" s="152"/>
    </row>
    <row r="23" spans="1:17">
      <c r="A23" s="66">
        <v>1988</v>
      </c>
      <c r="B23" s="30">
        <v>64851</v>
      </c>
      <c r="C23" s="30">
        <f t="shared" si="8"/>
        <v>5347</v>
      </c>
      <c r="D23" s="30">
        <v>1913</v>
      </c>
      <c r="E23" s="30">
        <v>879</v>
      </c>
      <c r="F23" s="30">
        <v>2555</v>
      </c>
      <c r="G23" s="28">
        <v>79.14</v>
      </c>
      <c r="H23" s="28">
        <f t="shared" si="6"/>
        <v>87.673680568543105</v>
      </c>
      <c r="I23" s="28">
        <v>99.19</v>
      </c>
      <c r="J23" s="28">
        <v>76.05</v>
      </c>
      <c r="K23" s="28">
        <v>83.05</v>
      </c>
      <c r="L23" s="56">
        <f t="shared" si="9"/>
        <v>81944.65504169825</v>
      </c>
      <c r="M23" s="56">
        <f t="shared" si="7"/>
        <v>6098.7516040457849</v>
      </c>
      <c r="N23" s="56">
        <f t="shared" si="7"/>
        <v>1928.6218368787177</v>
      </c>
      <c r="O23" s="56">
        <f t="shared" si="7"/>
        <v>1155.8185404339251</v>
      </c>
      <c r="P23" s="56">
        <f t="shared" si="7"/>
        <v>3076.4599638771824</v>
      </c>
      <c r="Q23" s="152"/>
    </row>
    <row r="24" spans="1:17">
      <c r="A24" s="66">
        <v>1989</v>
      </c>
      <c r="B24" s="30">
        <v>72836</v>
      </c>
      <c r="C24" s="30">
        <f t="shared" si="8"/>
        <v>5651</v>
      </c>
      <c r="D24" s="30">
        <v>2017</v>
      </c>
      <c r="E24" s="30">
        <v>1032</v>
      </c>
      <c r="F24" s="30">
        <v>2602</v>
      </c>
      <c r="G24" s="28">
        <v>84.72</v>
      </c>
      <c r="H24" s="28">
        <f t="shared" si="6"/>
        <v>91.895806052026188</v>
      </c>
      <c r="I24" s="28">
        <v>103.2</v>
      </c>
      <c r="J24" s="28">
        <v>84.97</v>
      </c>
      <c r="K24" s="28">
        <v>85.88</v>
      </c>
      <c r="L24" s="56">
        <f t="shared" si="9"/>
        <v>85972.615675165245</v>
      </c>
      <c r="M24" s="56">
        <f t="shared" si="7"/>
        <v>6149.3557135792735</v>
      </c>
      <c r="N24" s="56">
        <f t="shared" si="7"/>
        <v>1954.4573643410852</v>
      </c>
      <c r="O24" s="56">
        <f t="shared" si="7"/>
        <v>1214.5463104625162</v>
      </c>
      <c r="P24" s="56">
        <f t="shared" si="7"/>
        <v>3029.8090358639965</v>
      </c>
      <c r="Q24" s="152"/>
    </row>
    <row r="25" spans="1:17">
      <c r="A25" s="66">
        <v>1990</v>
      </c>
      <c r="B25" s="30">
        <v>77820</v>
      </c>
      <c r="C25" s="30">
        <f t="shared" si="8"/>
        <v>5547</v>
      </c>
      <c r="D25" s="30">
        <v>2145</v>
      </c>
      <c r="E25" s="30">
        <v>1110</v>
      </c>
      <c r="F25" s="30">
        <v>2292</v>
      </c>
      <c r="G25" s="28">
        <v>89.75</v>
      </c>
      <c r="H25" s="28">
        <f t="shared" si="6"/>
        <v>93.09611141157383</v>
      </c>
      <c r="I25" s="28">
        <v>108.73</v>
      </c>
      <c r="J25" s="28">
        <v>101.82</v>
      </c>
      <c r="K25" s="28">
        <v>74.239999999999995</v>
      </c>
      <c r="L25" s="56">
        <f t="shared" si="9"/>
        <v>86707.520891364897</v>
      </c>
      <c r="M25" s="56">
        <f t="shared" si="7"/>
        <v>5958.3584275362009</v>
      </c>
      <c r="N25" s="56">
        <f t="shared" si="7"/>
        <v>1972.7766025935803</v>
      </c>
      <c r="O25" s="56">
        <f t="shared" si="7"/>
        <v>1090.159104301709</v>
      </c>
      <c r="P25" s="56">
        <f t="shared" si="7"/>
        <v>3087.2844827586209</v>
      </c>
      <c r="Q25" s="152"/>
    </row>
    <row r="26" spans="1:17">
      <c r="A26" s="66">
        <v>1991</v>
      </c>
      <c r="B26" s="30">
        <v>74394</v>
      </c>
      <c r="C26" s="30">
        <f t="shared" si="8"/>
        <v>4373</v>
      </c>
      <c r="D26" s="30">
        <v>1859</v>
      </c>
      <c r="E26" s="30">
        <v>745</v>
      </c>
      <c r="F26" s="30">
        <v>1769</v>
      </c>
      <c r="G26" s="28">
        <v>91.76</v>
      </c>
      <c r="H26" s="28">
        <f t="shared" si="6"/>
        <v>82.564566659044132</v>
      </c>
      <c r="I26" s="28">
        <v>103.21</v>
      </c>
      <c r="J26" s="28">
        <v>90.35</v>
      </c>
      <c r="K26" s="28">
        <v>57.59</v>
      </c>
      <c r="L26" s="56">
        <f t="shared" si="9"/>
        <v>81074.5422842197</v>
      </c>
      <c r="M26" s="56">
        <f t="shared" si="7"/>
        <v>5296.4609116869642</v>
      </c>
      <c r="N26" s="56">
        <f t="shared" si="7"/>
        <v>1801.1820560023255</v>
      </c>
      <c r="O26" s="56">
        <f t="shared" si="7"/>
        <v>824.57111234089655</v>
      </c>
      <c r="P26" s="56">
        <f t="shared" si="7"/>
        <v>3071.7138392081956</v>
      </c>
      <c r="Q26" s="152"/>
    </row>
    <row r="27" spans="1:17">
      <c r="A27" s="66">
        <v>1992</v>
      </c>
      <c r="B27" s="30">
        <v>72183</v>
      </c>
      <c r="C27" s="30">
        <f t="shared" si="8"/>
        <v>4452</v>
      </c>
      <c r="D27" s="30">
        <v>1501</v>
      </c>
      <c r="E27" s="30">
        <v>821</v>
      </c>
      <c r="F27" s="30">
        <v>2130</v>
      </c>
      <c r="G27" s="28">
        <v>92.56</v>
      </c>
      <c r="H27" s="28">
        <f t="shared" si="6"/>
        <v>76.81219451931716</v>
      </c>
      <c r="I27" s="28">
        <v>85.74</v>
      </c>
      <c r="J27" s="28">
        <v>90.85</v>
      </c>
      <c r="K27" s="28">
        <v>65.11</v>
      </c>
      <c r="L27" s="56">
        <f t="shared" si="9"/>
        <v>77985.090751944677</v>
      </c>
      <c r="M27" s="56">
        <f t="shared" si="7"/>
        <v>5795.954702062817</v>
      </c>
      <c r="N27" s="56">
        <f t="shared" si="7"/>
        <v>1750.6414742243994</v>
      </c>
      <c r="O27" s="56">
        <f t="shared" si="7"/>
        <v>903.68739680792521</v>
      </c>
      <c r="P27" s="56">
        <f t="shared" si="7"/>
        <v>3271.3868837352175</v>
      </c>
      <c r="Q27" s="152"/>
    </row>
    <row r="28" spans="1:17">
      <c r="A28" s="66">
        <v>1993</v>
      </c>
      <c r="B28" s="30">
        <v>73148</v>
      </c>
      <c r="C28" s="30">
        <f t="shared" si="8"/>
        <v>5101</v>
      </c>
      <c r="D28" s="30">
        <v>1403</v>
      </c>
      <c r="E28" s="30">
        <v>1013</v>
      </c>
      <c r="F28" s="30">
        <v>2685</v>
      </c>
      <c r="G28" s="28">
        <v>94.12</v>
      </c>
      <c r="H28" s="28">
        <f t="shared" si="6"/>
        <v>78.136194863752209</v>
      </c>
      <c r="I28" s="28">
        <v>79.489999999999995</v>
      </c>
      <c r="J28" s="28">
        <v>92.87</v>
      </c>
      <c r="K28" s="28">
        <v>71.87</v>
      </c>
      <c r="L28" s="56">
        <f t="shared" si="9"/>
        <v>77717.807054823628</v>
      </c>
      <c r="M28" s="56">
        <f t="shared" si="7"/>
        <v>6528.3445257280891</v>
      </c>
      <c r="N28" s="56">
        <f t="shared" si="7"/>
        <v>1765.0018870298152</v>
      </c>
      <c r="O28" s="56">
        <f t="shared" si="7"/>
        <v>1090.7720469473456</v>
      </c>
      <c r="P28" s="56">
        <f t="shared" si="7"/>
        <v>3735.9120634478918</v>
      </c>
      <c r="Q28" s="152"/>
    </row>
    <row r="29" spans="1:17">
      <c r="A29" s="66">
        <v>1994</v>
      </c>
      <c r="B29" s="30">
        <v>76776</v>
      </c>
      <c r="C29" s="30">
        <f t="shared" si="8"/>
        <v>5868</v>
      </c>
      <c r="D29" s="30">
        <v>1498</v>
      </c>
      <c r="E29" s="30">
        <v>1257</v>
      </c>
      <c r="F29" s="30">
        <v>3113</v>
      </c>
      <c r="G29" s="28">
        <v>94.95</v>
      </c>
      <c r="H29" s="28">
        <f t="shared" si="6"/>
        <v>81.905381731424683</v>
      </c>
      <c r="I29" s="28">
        <v>83.86</v>
      </c>
      <c r="J29" s="28">
        <v>101.68</v>
      </c>
      <c r="K29" s="28">
        <v>72.98</v>
      </c>
      <c r="L29" s="56">
        <f t="shared" si="9"/>
        <v>80859.399684044227</v>
      </c>
      <c r="M29" s="56">
        <f t="shared" si="7"/>
        <v>7164.3643872410175</v>
      </c>
      <c r="N29" s="56">
        <f t="shared" si="7"/>
        <v>1786.3105175292153</v>
      </c>
      <c r="O29" s="56">
        <f t="shared" si="7"/>
        <v>1236.2313139260425</v>
      </c>
      <c r="P29" s="56">
        <f t="shared" si="7"/>
        <v>4265.5522060838584</v>
      </c>
      <c r="Q29" s="152"/>
    </row>
    <row r="30" spans="1:17">
      <c r="A30" s="66">
        <v>1995</v>
      </c>
      <c r="B30" s="30">
        <v>83712.3</v>
      </c>
      <c r="C30" s="30">
        <f t="shared" si="8"/>
        <v>7096.22</v>
      </c>
      <c r="D30" s="30">
        <v>1750.92</v>
      </c>
      <c r="E30" s="30">
        <v>1153.6600000000001</v>
      </c>
      <c r="F30" s="30">
        <v>4191.6400000000003</v>
      </c>
      <c r="G30" s="28">
        <v>100</v>
      </c>
      <c r="H30" s="28">
        <f t="shared" si="6"/>
        <v>100</v>
      </c>
      <c r="I30" s="28">
        <v>100</v>
      </c>
      <c r="J30" s="28">
        <v>100</v>
      </c>
      <c r="K30" s="28">
        <v>100</v>
      </c>
      <c r="L30" s="56">
        <f t="shared" si="9"/>
        <v>83712.3</v>
      </c>
      <c r="M30" s="56">
        <f t="shared" si="9"/>
        <v>7096.22</v>
      </c>
      <c r="N30" s="56">
        <f t="shared" si="9"/>
        <v>1750.92</v>
      </c>
      <c r="O30" s="56">
        <f t="shared" si="9"/>
        <v>1153.6600000000001</v>
      </c>
      <c r="P30" s="56">
        <f t="shared" si="9"/>
        <v>4191.6400000000003</v>
      </c>
      <c r="Q30" s="152"/>
    </row>
    <row r="31" spans="1:17">
      <c r="A31" s="66">
        <v>1996</v>
      </c>
      <c r="B31" s="30">
        <v>86369</v>
      </c>
      <c r="C31" s="30">
        <f t="shared" si="8"/>
        <v>6089.51</v>
      </c>
      <c r="D31" s="30">
        <v>1756</v>
      </c>
      <c r="E31" s="30">
        <v>961.94</v>
      </c>
      <c r="F31" s="30">
        <v>3371.57</v>
      </c>
      <c r="G31" s="28">
        <v>99.75</v>
      </c>
      <c r="H31" s="28">
        <f t="shared" si="6"/>
        <v>88.324103762043251</v>
      </c>
      <c r="I31" s="28">
        <v>99.68</v>
      </c>
      <c r="J31" s="28">
        <v>79.209999999999994</v>
      </c>
      <c r="K31" s="28">
        <v>85.01</v>
      </c>
      <c r="L31" s="56">
        <f t="shared" si="9"/>
        <v>86585.463659147863</v>
      </c>
      <c r="M31" s="56">
        <f t="shared" si="9"/>
        <v>6894.5052829587048</v>
      </c>
      <c r="N31" s="56">
        <f t="shared" si="9"/>
        <v>1761.637239165329</v>
      </c>
      <c r="O31" s="56">
        <f t="shared" si="9"/>
        <v>1214.417371543997</v>
      </c>
      <c r="P31" s="56">
        <f t="shared" si="9"/>
        <v>3966.0863427832019</v>
      </c>
      <c r="Q31" s="152"/>
    </row>
    <row r="32" spans="1:17">
      <c r="A32" s="66">
        <v>1997</v>
      </c>
      <c r="B32" s="30">
        <v>92909</v>
      </c>
      <c r="C32" s="30">
        <f t="shared" si="8"/>
        <v>6833.07</v>
      </c>
      <c r="D32" s="30">
        <v>2052</v>
      </c>
      <c r="E32" s="30">
        <v>1346.05</v>
      </c>
      <c r="F32" s="30">
        <v>3435.02</v>
      </c>
      <c r="G32" s="28">
        <v>101.15</v>
      </c>
      <c r="H32" s="28">
        <f t="shared" si="6"/>
        <v>88.549800104491837</v>
      </c>
      <c r="I32" s="28">
        <v>103.29</v>
      </c>
      <c r="J32" s="28">
        <v>103.26</v>
      </c>
      <c r="K32" s="28">
        <v>73.98</v>
      </c>
      <c r="L32" s="56">
        <f t="shared" si="9"/>
        <v>91852.694018783979</v>
      </c>
      <c r="M32" s="56">
        <f t="shared" si="9"/>
        <v>7716.6407964069258</v>
      </c>
      <c r="N32" s="56">
        <f t="shared" si="9"/>
        <v>1986.6395585245425</v>
      </c>
      <c r="O32" s="56">
        <f t="shared" si="9"/>
        <v>1303.5541351927172</v>
      </c>
      <c r="P32" s="56">
        <f t="shared" si="9"/>
        <v>4643.1738307650712</v>
      </c>
      <c r="Q32" s="152"/>
    </row>
    <row r="33" spans="1:17">
      <c r="A33" s="66">
        <v>1998</v>
      </c>
      <c r="B33" s="30">
        <v>101366</v>
      </c>
      <c r="C33" s="30">
        <f t="shared" si="8"/>
        <v>7828.69</v>
      </c>
      <c r="D33" s="30">
        <v>2182.98</v>
      </c>
      <c r="E33" s="30">
        <v>1375.48</v>
      </c>
      <c r="F33" s="30">
        <v>4270.2299999999996</v>
      </c>
      <c r="G33" s="28">
        <v>105.12</v>
      </c>
      <c r="H33" s="28">
        <f t="shared" si="6"/>
        <v>93.241618891538678</v>
      </c>
      <c r="I33" s="28">
        <v>107.21</v>
      </c>
      <c r="J33" s="28">
        <v>95.79</v>
      </c>
      <c r="K33" s="28">
        <v>85.28</v>
      </c>
      <c r="L33" s="56">
        <f t="shared" si="9"/>
        <v>96428.843226788435</v>
      </c>
      <c r="M33" s="56">
        <f t="shared" si="9"/>
        <v>8396.132642341352</v>
      </c>
      <c r="N33" s="56">
        <f t="shared" si="9"/>
        <v>2036.1719988807015</v>
      </c>
      <c r="O33" s="56">
        <f t="shared" si="9"/>
        <v>1435.9327696001669</v>
      </c>
      <c r="P33" s="56">
        <f t="shared" si="9"/>
        <v>5007.3053470919322</v>
      </c>
      <c r="Q33" s="152"/>
    </row>
    <row r="34" spans="1:17">
      <c r="A34" s="66">
        <v>1999</v>
      </c>
      <c r="B34" s="30">
        <v>106217.45</v>
      </c>
      <c r="C34" s="30">
        <f t="shared" si="8"/>
        <v>8008.69</v>
      </c>
      <c r="D34" s="30">
        <v>2150.39</v>
      </c>
      <c r="E34" s="30">
        <v>1358.48</v>
      </c>
      <c r="F34" s="30">
        <v>4499.82</v>
      </c>
      <c r="G34" s="28">
        <v>105.86</v>
      </c>
      <c r="H34" s="28">
        <f t="shared" si="6"/>
        <v>91.327968007252124</v>
      </c>
      <c r="I34" s="28">
        <v>108.93</v>
      </c>
      <c r="J34" s="28">
        <v>88.5</v>
      </c>
      <c r="K34" s="28">
        <v>83.77</v>
      </c>
      <c r="L34" s="56">
        <f t="shared" si="9"/>
        <v>100337.66295106745</v>
      </c>
      <c r="M34" s="56">
        <f t="shared" si="9"/>
        <v>8769.1538252160062</v>
      </c>
      <c r="N34" s="56">
        <f t="shared" si="9"/>
        <v>1974.1026347195445</v>
      </c>
      <c r="O34" s="56">
        <f t="shared" si="9"/>
        <v>1535.0056497175142</v>
      </c>
      <c r="P34" s="56">
        <f t="shared" si="9"/>
        <v>5371.6366240897696</v>
      </c>
      <c r="Q34" s="152"/>
    </row>
    <row r="35" spans="1:17">
      <c r="A35" s="66">
        <v>2000</v>
      </c>
      <c r="B35" s="30">
        <v>115167.09</v>
      </c>
      <c r="C35" s="30">
        <f t="shared" si="8"/>
        <v>9254.58</v>
      </c>
      <c r="D35" s="30">
        <v>2403.81</v>
      </c>
      <c r="E35" s="30">
        <v>1378.6</v>
      </c>
      <c r="F35" s="30">
        <v>5472.17</v>
      </c>
      <c r="G35" s="28">
        <v>109.31</v>
      </c>
      <c r="H35" s="28">
        <f t="shared" si="6"/>
        <v>102.1800676854055</v>
      </c>
      <c r="I35" s="28">
        <v>112.04</v>
      </c>
      <c r="J35" s="28">
        <v>86.02</v>
      </c>
      <c r="K35" s="28">
        <v>101.92</v>
      </c>
      <c r="L35" s="56">
        <f t="shared" si="9"/>
        <v>105358.23803860579</v>
      </c>
      <c r="M35" s="56">
        <f t="shared" si="9"/>
        <v>9057.1284690212069</v>
      </c>
      <c r="N35" s="56">
        <f t="shared" si="9"/>
        <v>2145.4926811852906</v>
      </c>
      <c r="O35" s="56">
        <f t="shared" si="9"/>
        <v>1602.6505463845617</v>
      </c>
      <c r="P35" s="56">
        <f t="shared" si="9"/>
        <v>5369.0835949764523</v>
      </c>
      <c r="Q35" s="152"/>
    </row>
    <row r="36" spans="1:17">
      <c r="A36" s="66">
        <v>2001</v>
      </c>
      <c r="B36" s="30">
        <v>122488.97</v>
      </c>
      <c r="C36" s="30">
        <f t="shared" si="8"/>
        <v>9428.92</v>
      </c>
      <c r="D36" s="30">
        <v>2382.7399999999998</v>
      </c>
      <c r="E36" s="30">
        <v>1434.84</v>
      </c>
      <c r="F36" s="30">
        <v>5611.34</v>
      </c>
      <c r="G36" s="28">
        <v>113.05</v>
      </c>
      <c r="H36" s="28">
        <f t="shared" si="6"/>
        <v>104.22196597277312</v>
      </c>
      <c r="I36" s="28">
        <v>112.29</v>
      </c>
      <c r="J36" s="28">
        <v>78.63</v>
      </c>
      <c r="K36" s="28">
        <v>107.34</v>
      </c>
      <c r="L36" s="56">
        <f t="shared" si="9"/>
        <v>108349.3763821318</v>
      </c>
      <c r="M36" s="56">
        <f t="shared" si="9"/>
        <v>9046.9604099228036</v>
      </c>
      <c r="N36" s="56">
        <f t="shared" si="9"/>
        <v>2121.952088342684</v>
      </c>
      <c r="O36" s="56">
        <f t="shared" si="9"/>
        <v>1824.7996947729876</v>
      </c>
      <c r="P36" s="56">
        <f t="shared" si="9"/>
        <v>5227.6318241103036</v>
      </c>
      <c r="Q36" s="152"/>
    </row>
    <row r="37" spans="1:17">
      <c r="A37" s="66">
        <v>2002</v>
      </c>
      <c r="B37" s="30">
        <v>125699.54</v>
      </c>
      <c r="C37" s="30">
        <f t="shared" si="8"/>
        <v>8707.42</v>
      </c>
      <c r="D37" s="30">
        <v>2444.0100000000002</v>
      </c>
      <c r="E37" s="30">
        <v>1430.27</v>
      </c>
      <c r="F37" s="30">
        <v>4833.1400000000003</v>
      </c>
      <c r="G37" s="28">
        <v>114.62</v>
      </c>
      <c r="H37" s="28">
        <f t="shared" si="6"/>
        <v>94.156025906640537</v>
      </c>
      <c r="I37" s="28">
        <v>113.4</v>
      </c>
      <c r="J37" s="28">
        <v>79.27</v>
      </c>
      <c r="K37" s="28">
        <v>88.83</v>
      </c>
      <c r="L37" s="56">
        <f t="shared" si="9"/>
        <v>109666.32350375153</v>
      </c>
      <c r="M37" s="56">
        <f t="shared" si="9"/>
        <v>9247.8627004008795</v>
      </c>
      <c r="N37" s="56">
        <f t="shared" si="9"/>
        <v>2155.2116402116403</v>
      </c>
      <c r="O37" s="56">
        <f t="shared" si="9"/>
        <v>1804.3017535006938</v>
      </c>
      <c r="P37" s="56">
        <f t="shared" si="9"/>
        <v>5440.8870876955989</v>
      </c>
      <c r="Q37" s="152"/>
    </row>
    <row r="38" spans="1:17">
      <c r="A38" s="66">
        <v>2003</v>
      </c>
      <c r="B38" s="30">
        <v>126585.65</v>
      </c>
      <c r="C38" s="30">
        <f t="shared" si="8"/>
        <v>8021</v>
      </c>
      <c r="D38" s="30">
        <v>2418</v>
      </c>
      <c r="E38" s="30">
        <v>1421</v>
      </c>
      <c r="F38" s="30">
        <v>4182</v>
      </c>
      <c r="G38" s="28">
        <v>114.51</v>
      </c>
      <c r="H38" s="28">
        <f t="shared" si="6"/>
        <v>87.715857125046753</v>
      </c>
      <c r="I38" s="28">
        <v>113.13</v>
      </c>
      <c r="J38" s="28">
        <v>82.07</v>
      </c>
      <c r="K38" s="28">
        <v>74.94</v>
      </c>
      <c r="L38" s="56">
        <f t="shared" si="9"/>
        <v>110545.49820976333</v>
      </c>
      <c r="M38" s="56">
        <f t="shared" si="9"/>
        <v>9144.2987196321319</v>
      </c>
      <c r="N38" s="56">
        <f t="shared" si="9"/>
        <v>2137.3640944046674</v>
      </c>
      <c r="O38" s="56">
        <f t="shared" si="9"/>
        <v>1731.4487632508835</v>
      </c>
      <c r="P38" s="56">
        <f t="shared" si="9"/>
        <v>5580.464371497198</v>
      </c>
      <c r="Q38" s="152"/>
    </row>
    <row r="39" spans="1:17">
      <c r="A39" s="66">
        <v>2004</v>
      </c>
      <c r="B39" s="30">
        <v>132621.1</v>
      </c>
      <c r="C39" s="30">
        <f t="shared" si="8"/>
        <v>8004</v>
      </c>
      <c r="D39" s="30">
        <v>2452</v>
      </c>
      <c r="E39" s="30">
        <v>1370</v>
      </c>
      <c r="F39" s="30">
        <v>4182</v>
      </c>
      <c r="G39" s="28">
        <v>115.81</v>
      </c>
      <c r="H39" s="28">
        <f t="shared" si="6"/>
        <v>84.283718140929523</v>
      </c>
      <c r="I39" s="28">
        <v>110.47</v>
      </c>
      <c r="J39" s="28">
        <v>78.819999999999993</v>
      </c>
      <c r="K39" s="28">
        <v>70.72</v>
      </c>
      <c r="L39" s="56">
        <f t="shared" ref="L39:L42" si="10">B39*100/G39</f>
        <v>114516.1039633883</v>
      </c>
      <c r="M39" s="56">
        <f t="shared" ref="M39:M42" si="11">C39*100/H39</f>
        <v>9496.4960926576987</v>
      </c>
      <c r="N39" s="56">
        <f t="shared" ref="N39:N42" si="12">D39*100/I39</f>
        <v>2219.6071331583234</v>
      </c>
      <c r="O39" s="56">
        <f t="shared" ref="O39:O42" si="13">E39*100/J39</f>
        <v>1738.1375285460545</v>
      </c>
      <c r="P39" s="56">
        <f t="shared" ref="P39:P42" si="14">F39*100/K39</f>
        <v>5913.4615384615381</v>
      </c>
    </row>
    <row r="40" spans="1:17">
      <c r="A40" s="66">
        <v>2005</v>
      </c>
      <c r="B40" s="30">
        <v>136529.89000000001</v>
      </c>
      <c r="C40" s="30">
        <f t="shared" si="8"/>
        <v>7431.34</v>
      </c>
      <c r="D40" s="30">
        <v>2466.2600000000002</v>
      </c>
      <c r="E40" s="30">
        <v>1352</v>
      </c>
      <c r="F40" s="30">
        <v>3613.08</v>
      </c>
      <c r="G40" s="28">
        <v>116.28</v>
      </c>
      <c r="H40" s="28">
        <f t="shared" si="6"/>
        <v>84.437865095662431</v>
      </c>
      <c r="I40" s="28">
        <v>106.68</v>
      </c>
      <c r="J40" s="28">
        <v>78.52</v>
      </c>
      <c r="K40" s="28">
        <v>71.47</v>
      </c>
      <c r="L40" s="56">
        <f t="shared" si="10"/>
        <v>117414.76608187136</v>
      </c>
      <c r="M40" s="56">
        <f t="shared" si="11"/>
        <v>8800.9567645756924</v>
      </c>
      <c r="N40" s="56">
        <f t="shared" si="12"/>
        <v>2311.8297712785902</v>
      </c>
      <c r="O40" s="56">
        <f t="shared" si="13"/>
        <v>1721.8543046357618</v>
      </c>
      <c r="P40" s="56">
        <f t="shared" si="14"/>
        <v>5055.379879669792</v>
      </c>
    </row>
    <row r="41" spans="1:17">
      <c r="A41" s="66">
        <v>2006</v>
      </c>
      <c r="B41" s="30">
        <v>145133.54999999999</v>
      </c>
      <c r="C41" s="30">
        <f t="shared" si="8"/>
        <v>8200.51</v>
      </c>
      <c r="D41" s="30">
        <v>2536.63</v>
      </c>
      <c r="E41" s="30">
        <v>1529</v>
      </c>
      <c r="F41" s="30">
        <v>4134.88</v>
      </c>
      <c r="G41" s="28">
        <v>117.73</v>
      </c>
      <c r="H41" s="28">
        <f t="shared" si="6"/>
        <v>81.815372239043668</v>
      </c>
      <c r="I41" s="28">
        <v>100.42</v>
      </c>
      <c r="J41" s="28">
        <v>87.04</v>
      </c>
      <c r="K41" s="28">
        <v>68.47</v>
      </c>
      <c r="L41" s="56">
        <f t="shared" si="10"/>
        <v>123276.60749171831</v>
      </c>
      <c r="M41" s="56">
        <f t="shared" si="11"/>
        <v>10023.189744880949</v>
      </c>
      <c r="N41" s="56">
        <f t="shared" si="12"/>
        <v>2526.0207130053773</v>
      </c>
      <c r="O41" s="56">
        <f t="shared" si="13"/>
        <v>1756.6636029411764</v>
      </c>
      <c r="P41" s="56">
        <f t="shared" si="14"/>
        <v>6038.9659704980286</v>
      </c>
    </row>
    <row r="42" spans="1:17">
      <c r="A42" s="66">
        <v>2007</v>
      </c>
      <c r="B42" s="30">
        <v>157031.95000000001</v>
      </c>
      <c r="C42" s="30">
        <f t="shared" si="8"/>
        <v>9213.18</v>
      </c>
      <c r="D42" s="30">
        <v>3453.2</v>
      </c>
      <c r="E42" s="30">
        <v>1743</v>
      </c>
      <c r="F42" s="30">
        <v>4016.98</v>
      </c>
      <c r="G42" s="28">
        <v>121.98</v>
      </c>
      <c r="H42" s="28">
        <f t="shared" si="6"/>
        <v>92.258038679370216</v>
      </c>
      <c r="I42" s="28">
        <v>117.34</v>
      </c>
      <c r="J42" s="28">
        <v>106.4</v>
      </c>
      <c r="K42" s="28">
        <v>64.56</v>
      </c>
      <c r="L42" s="56">
        <f t="shared" si="10"/>
        <v>128735.81734710609</v>
      </c>
      <c r="M42" s="56">
        <f t="shared" si="11"/>
        <v>9986.3167826698609</v>
      </c>
      <c r="N42" s="56">
        <f t="shared" si="12"/>
        <v>2942.9009715357083</v>
      </c>
      <c r="O42" s="56">
        <f t="shared" si="13"/>
        <v>1638.1578947368421</v>
      </c>
      <c r="P42" s="56">
        <f t="shared" si="14"/>
        <v>6222.0879801734818</v>
      </c>
    </row>
    <row r="43" spans="1:17">
      <c r="A43" s="66">
        <v>2008</v>
      </c>
      <c r="B43" s="56" t="s">
        <v>22</v>
      </c>
      <c r="C43" s="56" t="s">
        <v>22</v>
      </c>
      <c r="D43" s="56" t="s">
        <v>22</v>
      </c>
      <c r="E43" s="56" t="s">
        <v>22</v>
      </c>
      <c r="F43" s="56" t="s">
        <v>22</v>
      </c>
      <c r="G43" s="56" t="s">
        <v>22</v>
      </c>
      <c r="H43" s="56" t="s">
        <v>22</v>
      </c>
      <c r="I43" s="56" t="s">
        <v>22</v>
      </c>
      <c r="J43" s="56" t="s">
        <v>22</v>
      </c>
      <c r="K43" s="56" t="s">
        <v>22</v>
      </c>
      <c r="L43" s="56" t="s">
        <v>22</v>
      </c>
      <c r="M43" s="56" t="s">
        <v>22</v>
      </c>
      <c r="N43" s="56" t="s">
        <v>22</v>
      </c>
      <c r="O43" s="56" t="s">
        <v>22</v>
      </c>
      <c r="P43" s="56" t="s">
        <v>22</v>
      </c>
    </row>
    <row r="44" spans="1:17">
      <c r="B44" s="57"/>
      <c r="C44" s="57"/>
      <c r="D44" s="57"/>
      <c r="E44" s="57"/>
      <c r="F44" s="57"/>
      <c r="G44" s="57"/>
      <c r="H44" s="57"/>
      <c r="I44" s="57"/>
      <c r="J44" s="57"/>
      <c r="K44" s="57"/>
      <c r="L44" s="57"/>
      <c r="M44" s="57"/>
      <c r="N44" s="57"/>
      <c r="O44" s="57"/>
      <c r="P44" s="57"/>
    </row>
    <row r="45" spans="1:17">
      <c r="A45" s="66" t="s">
        <v>23</v>
      </c>
      <c r="B45" s="56"/>
      <c r="C45" s="56"/>
      <c r="D45" s="56"/>
      <c r="E45" s="56"/>
      <c r="F45" s="56"/>
      <c r="G45" s="56"/>
      <c r="H45" s="56"/>
      <c r="I45" s="56"/>
      <c r="J45" s="56"/>
      <c r="K45" s="56"/>
      <c r="L45" s="57"/>
      <c r="M45" s="57"/>
      <c r="N45" s="57"/>
      <c r="O45" s="57"/>
      <c r="P45" s="57"/>
    </row>
    <row r="46" spans="1:17">
      <c r="A46" s="66" t="s">
        <v>1946</v>
      </c>
      <c r="B46" s="147">
        <f>((B42/B5)^(1/37)-1)*100</f>
        <v>8.6251848640974025</v>
      </c>
      <c r="C46" s="147">
        <f t="shared" ref="C46:P46" si="15">((C42/C5)^(1/37)-1)*100</f>
        <v>6.8479087968586594</v>
      </c>
      <c r="D46" s="147">
        <f t="shared" si="15"/>
        <v>6.2784356317587386</v>
      </c>
      <c r="E46" s="147">
        <f t="shared" si="15"/>
        <v>7.0957695195919657</v>
      </c>
      <c r="F46" s="147">
        <f t="shared" si="15"/>
        <v>7.3261090605580392</v>
      </c>
      <c r="G46" s="147">
        <f t="shared" si="15"/>
        <v>5.6362773722892223</v>
      </c>
      <c r="H46" s="147">
        <f t="shared" si="15"/>
        <v>4.0928377674017913</v>
      </c>
      <c r="I46" s="147">
        <f t="shared" si="15"/>
        <v>4.6425024199926446</v>
      </c>
      <c r="J46" s="147">
        <f t="shared" si="15"/>
        <v>4.7736870809881538</v>
      </c>
      <c r="K46" s="147">
        <f t="shared" si="15"/>
        <v>3.1314032194684538</v>
      </c>
      <c r="L46" s="147">
        <f t="shared" si="15"/>
        <v>2.8294328105433975</v>
      </c>
      <c r="M46" s="147">
        <f t="shared" si="15"/>
        <v>2.646744087823949</v>
      </c>
      <c r="N46" s="147">
        <f t="shared" si="15"/>
        <v>1.5633544438760971</v>
      </c>
      <c r="O46" s="147">
        <f t="shared" si="15"/>
        <v>2.2162839767287057</v>
      </c>
      <c r="P46" s="147">
        <f t="shared" si="15"/>
        <v>4.0673409942489247</v>
      </c>
    </row>
    <row r="47" spans="1:17">
      <c r="A47" s="66" t="s">
        <v>2140</v>
      </c>
      <c r="B47" s="147">
        <f>((B25/B5)^(1/20)-1)*100</f>
        <v>12.519200586367507</v>
      </c>
      <c r="C47" s="147">
        <f t="shared" ref="C47:P47" si="16">((C25/C5)^(1/20)-1)*100</f>
        <v>10.204563774624752</v>
      </c>
      <c r="D47" s="147">
        <f t="shared" si="16"/>
        <v>9.2908519951111259</v>
      </c>
      <c r="E47" s="147">
        <f t="shared" si="16"/>
        <v>10.989032005641807</v>
      </c>
      <c r="F47" s="147">
        <f t="shared" si="16"/>
        <v>10.82065415829172</v>
      </c>
      <c r="G47" s="147">
        <f t="shared" si="16"/>
        <v>8.9912176794163745</v>
      </c>
      <c r="H47" s="147">
        <f t="shared" si="16"/>
        <v>7.7518997082350882</v>
      </c>
      <c r="I47" s="147">
        <f t="shared" si="16"/>
        <v>8.3440787995695551</v>
      </c>
      <c r="J47" s="147">
        <f t="shared" si="16"/>
        <v>8.7705172819408048</v>
      </c>
      <c r="K47" s="147">
        <f t="shared" si="16"/>
        <v>6.6122077129142642</v>
      </c>
      <c r="L47" s="147">
        <f t="shared" si="16"/>
        <v>3.2369423721168467</v>
      </c>
      <c r="M47" s="147">
        <f t="shared" si="16"/>
        <v>2.2762142227012783</v>
      </c>
      <c r="N47" s="147">
        <f t="shared" si="16"/>
        <v>0.87385781118047845</v>
      </c>
      <c r="O47" s="147">
        <f t="shared" si="16"/>
        <v>2.0396287331708063</v>
      </c>
      <c r="P47" s="147">
        <f t="shared" si="16"/>
        <v>3.9474339155511684</v>
      </c>
    </row>
    <row r="48" spans="1:17">
      <c r="A48" s="66" t="s">
        <v>660</v>
      </c>
      <c r="B48" s="147">
        <f t="shared" ref="B48" si="17">((B35/B25)^(1/10)-1)*100</f>
        <v>3.9976957107959787</v>
      </c>
      <c r="C48" s="147">
        <f t="shared" ref="C48:P48" si="18">((C35/C25)^(1/10)-1)*100</f>
        <v>5.2518782798781194</v>
      </c>
      <c r="D48" s="147">
        <f t="shared" si="18"/>
        <v>1.1456673322538746</v>
      </c>
      <c r="E48" s="147">
        <f t="shared" si="18"/>
        <v>2.1907365859766159</v>
      </c>
      <c r="F48" s="147">
        <f t="shared" si="18"/>
        <v>9.0924001375388706</v>
      </c>
      <c r="G48" s="147">
        <f t="shared" si="18"/>
        <v>1.9911629189865332</v>
      </c>
      <c r="H48" s="147">
        <f t="shared" si="18"/>
        <v>0.93538978718785692</v>
      </c>
      <c r="I48" s="147">
        <f t="shared" si="18"/>
        <v>0.30033214986013856</v>
      </c>
      <c r="J48" s="147">
        <f t="shared" si="18"/>
        <v>-1.672129304818859</v>
      </c>
      <c r="K48" s="147">
        <f t="shared" si="18"/>
        <v>3.219593685808575</v>
      </c>
      <c r="L48" s="147">
        <f t="shared" si="18"/>
        <v>1.9673594597634514</v>
      </c>
      <c r="M48" s="147">
        <f t="shared" si="18"/>
        <v>4.2764866730996554</v>
      </c>
      <c r="N48" s="147">
        <f t="shared" si="18"/>
        <v>0.84280397110818583</v>
      </c>
      <c r="O48" s="147">
        <f t="shared" si="18"/>
        <v>3.9285564341878798</v>
      </c>
      <c r="P48" s="147">
        <f t="shared" si="18"/>
        <v>5.689623686764933</v>
      </c>
    </row>
    <row r="49" spans="1:16">
      <c r="A49" s="66" t="s">
        <v>588</v>
      </c>
      <c r="B49" s="147">
        <f>((B42/B35)^(1/7)-1)*100</f>
        <v>4.5290708603801466</v>
      </c>
      <c r="C49" s="147">
        <f t="shared" ref="C49:P49" si="19">((C42/C35)^(1/7)-1)*100</f>
        <v>-6.4029443464264091E-2</v>
      </c>
      <c r="D49" s="147">
        <f t="shared" si="19"/>
        <v>5.3111883689836104</v>
      </c>
      <c r="E49" s="147">
        <f t="shared" si="19"/>
        <v>3.4073245609648417</v>
      </c>
      <c r="F49" s="147">
        <f t="shared" si="19"/>
        <v>-4.3202542359645708</v>
      </c>
      <c r="G49" s="147">
        <f t="shared" si="19"/>
        <v>1.5790402022147321</v>
      </c>
      <c r="H49" s="147">
        <f t="shared" si="19"/>
        <v>-1.4486504232723019</v>
      </c>
      <c r="I49" s="147">
        <f t="shared" si="19"/>
        <v>0.66246685573845276</v>
      </c>
      <c r="J49" s="147">
        <f t="shared" si="19"/>
        <v>3.0841137247919592</v>
      </c>
      <c r="K49" s="147">
        <f t="shared" si="19"/>
        <v>-6.3145784607020472</v>
      </c>
      <c r="L49" s="147">
        <f t="shared" si="19"/>
        <v>2.9041726051878047</v>
      </c>
      <c r="M49" s="147">
        <f t="shared" si="19"/>
        <v>1.4049741436874319</v>
      </c>
      <c r="N49" s="147">
        <f t="shared" si="19"/>
        <v>4.6181279462456981</v>
      </c>
      <c r="O49" s="147">
        <f t="shared" si="19"/>
        <v>0.31354087889408078</v>
      </c>
      <c r="P49" s="147">
        <f t="shared" si="19"/>
        <v>2.1287455315562864</v>
      </c>
    </row>
    <row r="51" spans="1:16">
      <c r="A51" s="137" t="s">
        <v>2039</v>
      </c>
      <c r="B51" s="137"/>
      <c r="C51" s="137"/>
      <c r="D51" s="137"/>
      <c r="E51" s="137"/>
      <c r="F51" s="137"/>
      <c r="G51" s="137"/>
      <c r="H51" s="137"/>
      <c r="I51" s="137"/>
      <c r="J51" s="137"/>
      <c r="K51" s="137"/>
      <c r="L51" s="137"/>
      <c r="M51" s="137"/>
      <c r="N51" s="137"/>
      <c r="O51" s="137"/>
      <c r="P51" s="137"/>
    </row>
    <row r="52" spans="1:16">
      <c r="A52" s="137" t="s">
        <v>193</v>
      </c>
      <c r="B52" s="137"/>
      <c r="C52" s="137"/>
      <c r="D52" s="137"/>
      <c r="E52" s="137"/>
      <c r="F52" s="137"/>
      <c r="G52" s="137"/>
      <c r="H52" s="137"/>
      <c r="I52" s="137"/>
      <c r="J52" s="137"/>
      <c r="K52" s="137"/>
      <c r="L52" s="137"/>
      <c r="M52" s="137"/>
      <c r="N52" s="137"/>
      <c r="O52" s="137"/>
      <c r="P52" s="137"/>
    </row>
    <row r="53" spans="1:16">
      <c r="A53" s="137" t="s">
        <v>527</v>
      </c>
      <c r="B53" s="137"/>
      <c r="C53" s="137"/>
      <c r="D53" s="137"/>
      <c r="E53" s="137"/>
      <c r="F53" s="137"/>
      <c r="G53" s="137"/>
      <c r="H53" s="137"/>
      <c r="I53" s="137"/>
      <c r="J53" s="137"/>
      <c r="K53" s="137"/>
      <c r="L53" s="137"/>
      <c r="M53" s="137"/>
      <c r="N53" s="137"/>
      <c r="O53" s="137"/>
      <c r="P53" s="137"/>
    </row>
  </sheetData>
  <mergeCells count="14">
    <mergeCell ref="A51:P51"/>
    <mergeCell ref="A52:P52"/>
    <mergeCell ref="A53:P53"/>
    <mergeCell ref="A1:P1"/>
    <mergeCell ref="B2:F2"/>
    <mergeCell ref="G2:K2"/>
    <mergeCell ref="L2:P2"/>
    <mergeCell ref="A3:A4"/>
    <mergeCell ref="B3:B4"/>
    <mergeCell ref="C3:F3"/>
    <mergeCell ref="G3:G4"/>
    <mergeCell ref="H3:K3"/>
    <mergeCell ref="L3:L4"/>
    <mergeCell ref="M3:P3"/>
  </mergeCells>
  <pageMargins left="0.7" right="0.7" top="0.75" bottom="0.75" header="0.3" footer="0.3"/>
  <pageSetup scale="62" orientation="landscape" horizontalDpi="0" verticalDpi="0" r:id="rId1"/>
  <ignoredErrors>
    <ignoredError sqref="C5:C42" formulaRange="1"/>
  </ignoredErrors>
</worksheet>
</file>

<file path=xl/worksheets/sheet147.xml><?xml version="1.0" encoding="utf-8"?>
<worksheet xmlns="http://schemas.openxmlformats.org/spreadsheetml/2006/main" xmlns:r="http://schemas.openxmlformats.org/officeDocument/2006/relationships">
  <sheetPr codeName="Sheet139"/>
  <dimension ref="A1:R52"/>
  <sheetViews>
    <sheetView view="pageBreakPreview" zoomScale="85" zoomScaleNormal="85" zoomScaleSheetLayoutView="85" workbookViewId="0">
      <selection activeCell="AC38" sqref="AC38"/>
    </sheetView>
  </sheetViews>
  <sheetFormatPr defaultRowHeight="15" outlineLevelCol="1"/>
  <cols>
    <col min="1" max="6" width="12.28515625" style="64" customWidth="1"/>
    <col min="7" max="11" width="13.5703125" style="64" customWidth="1"/>
    <col min="12" max="12" width="9.140625" style="64"/>
    <col min="13" max="17" width="9.140625" style="64" hidden="1" customWidth="1" outlineLevel="1"/>
    <col min="18" max="18" width="9.140625" style="64" collapsed="1"/>
    <col min="19" max="16384" width="9.140625" style="64"/>
  </cols>
  <sheetData>
    <row r="1" spans="1:17">
      <c r="A1" s="108" t="s">
        <v>1933</v>
      </c>
      <c r="B1" s="108"/>
      <c r="C1" s="108"/>
      <c r="D1" s="108"/>
      <c r="E1" s="108"/>
      <c r="F1" s="108"/>
      <c r="G1" s="108"/>
      <c r="H1" s="108"/>
      <c r="I1" s="108"/>
      <c r="J1" s="108"/>
      <c r="K1" s="108"/>
    </row>
    <row r="2" spans="1:17">
      <c r="A2" s="66"/>
      <c r="B2" s="111" t="s">
        <v>528</v>
      </c>
      <c r="C2" s="111"/>
      <c r="D2" s="111"/>
      <c r="E2" s="111"/>
      <c r="F2" s="111"/>
      <c r="G2" s="111" t="s">
        <v>536</v>
      </c>
      <c r="H2" s="111"/>
      <c r="I2" s="111"/>
      <c r="J2" s="111"/>
      <c r="K2" s="111"/>
      <c r="M2" s="111" t="s">
        <v>529</v>
      </c>
      <c r="N2" s="111"/>
      <c r="O2" s="111"/>
      <c r="P2" s="111"/>
      <c r="Q2" s="111"/>
    </row>
    <row r="3" spans="1:17" ht="15" customHeight="1">
      <c r="A3" s="149"/>
      <c r="B3" s="97" t="s">
        <v>523</v>
      </c>
      <c r="C3" s="97" t="s">
        <v>37</v>
      </c>
      <c r="D3" s="97"/>
      <c r="E3" s="97"/>
      <c r="F3" s="97"/>
      <c r="G3" s="97" t="s">
        <v>523</v>
      </c>
      <c r="H3" s="97" t="s">
        <v>37</v>
      </c>
      <c r="I3" s="97"/>
      <c r="J3" s="97"/>
      <c r="K3" s="97"/>
      <c r="M3" s="97" t="s">
        <v>523</v>
      </c>
      <c r="N3" s="97" t="s">
        <v>49</v>
      </c>
      <c r="O3" s="97"/>
      <c r="P3" s="97"/>
      <c r="Q3" s="97"/>
    </row>
    <row r="4" spans="1:17" ht="60">
      <c r="A4" s="149"/>
      <c r="B4" s="97"/>
      <c r="C4" s="73" t="s">
        <v>78</v>
      </c>
      <c r="D4" s="73" t="s">
        <v>522</v>
      </c>
      <c r="E4" s="73" t="s">
        <v>524</v>
      </c>
      <c r="F4" s="73" t="s">
        <v>525</v>
      </c>
      <c r="G4" s="97"/>
      <c r="H4" s="73" t="s">
        <v>78</v>
      </c>
      <c r="I4" s="73" t="s">
        <v>522</v>
      </c>
      <c r="J4" s="73" t="s">
        <v>524</v>
      </c>
      <c r="K4" s="73" t="s">
        <v>525</v>
      </c>
      <c r="M4" s="97"/>
      <c r="N4" s="73" t="s">
        <v>50</v>
      </c>
      <c r="O4" s="73" t="s">
        <v>522</v>
      </c>
      <c r="P4" s="73" t="s">
        <v>524</v>
      </c>
      <c r="Q4" s="73" t="s">
        <v>525</v>
      </c>
    </row>
    <row r="5" spans="1:17">
      <c r="A5" s="66">
        <v>1970</v>
      </c>
      <c r="B5" s="150">
        <v>42889.55</v>
      </c>
      <c r="C5" s="56">
        <f t="shared" ref="C5:C42" si="0">SUM(D5:F5)</f>
        <v>631.80000000000007</v>
      </c>
      <c r="D5" s="150">
        <v>126.18</v>
      </c>
      <c r="E5" s="150">
        <v>262.04000000000002</v>
      </c>
      <c r="F5" s="150">
        <v>243.58</v>
      </c>
      <c r="G5" s="147">
        <f>'602a'!L5/'602'!B5</f>
        <v>13.081238405276538</v>
      </c>
      <c r="H5" s="147">
        <f>'602a'!M5/'602'!C5</f>
        <v>40.968202917579127</v>
      </c>
      <c r="I5" s="147">
        <f>'602a'!N5/'602'!D5</f>
        <v>382.38453459771415</v>
      </c>
      <c r="J5" s="147">
        <f>'602a'!O5/'602'!E5</f>
        <v>3.8316886356000577</v>
      </c>
      <c r="K5" s="147">
        <f>'602a'!P5/'602'!F5</f>
        <v>29.14376060966551</v>
      </c>
      <c r="M5" s="62"/>
      <c r="N5" s="62"/>
      <c r="O5" s="62"/>
      <c r="P5" s="62"/>
      <c r="Q5" s="62"/>
    </row>
    <row r="6" spans="1:17">
      <c r="A6" s="66">
        <v>1971</v>
      </c>
      <c r="B6" s="150">
        <v>42620.08</v>
      </c>
      <c r="C6" s="56">
        <f t="shared" si="0"/>
        <v>622.81999999999994</v>
      </c>
      <c r="D6" s="150">
        <v>118.6</v>
      </c>
      <c r="E6" s="150">
        <v>261.3</v>
      </c>
      <c r="F6" s="150">
        <v>242.92</v>
      </c>
      <c r="G6" s="147">
        <f>'602a'!L6/'602'!B6</f>
        <v>13.876398945182613</v>
      </c>
      <c r="H6" s="147">
        <f>'602a'!M6/'602'!C6</f>
        <v>41.605499545005308</v>
      </c>
      <c r="I6" s="147">
        <f>'602a'!N6/'602'!D6</f>
        <v>411.55951858439789</v>
      </c>
      <c r="J6" s="147">
        <f>'602a'!O6/'602'!E6</f>
        <v>4.3344137862878647</v>
      </c>
      <c r="K6" s="147">
        <f>'602a'!P6/'602'!F6</f>
        <v>31.659844096189548</v>
      </c>
      <c r="M6" s="62"/>
      <c r="N6" s="62"/>
      <c r="O6" s="62"/>
      <c r="P6" s="62"/>
      <c r="Q6" s="62"/>
    </row>
    <row r="7" spans="1:17">
      <c r="A7" s="66">
        <v>1972</v>
      </c>
      <c r="B7" s="150">
        <v>42474.33</v>
      </c>
      <c r="C7" s="56">
        <f t="shared" si="0"/>
        <v>622.08000000000004</v>
      </c>
      <c r="D7" s="150">
        <v>112.5</v>
      </c>
      <c r="E7" s="150">
        <v>265.05</v>
      </c>
      <c r="F7" s="150">
        <v>244.53</v>
      </c>
      <c r="G7" s="147">
        <f>'602a'!L7/'602'!B7</f>
        <v>14.580156585080372</v>
      </c>
      <c r="H7" s="147">
        <f>'602a'!M7/'602'!C7</f>
        <v>47.57820098488164</v>
      </c>
      <c r="I7" s="147">
        <f>'602a'!N7/'602'!D7</f>
        <v>436.87633396107975</v>
      </c>
      <c r="J7" s="147">
        <f>'602a'!O7/'602'!E7</f>
        <v>4.4666348951042014</v>
      </c>
      <c r="K7" s="147">
        <f>'602a'!P7/'602'!F7</f>
        <v>35.180094695367892</v>
      </c>
      <c r="M7" s="62"/>
      <c r="N7" s="62"/>
      <c r="O7" s="62"/>
      <c r="P7" s="62"/>
      <c r="Q7" s="62"/>
    </row>
    <row r="8" spans="1:17">
      <c r="A8" s="66">
        <v>1973</v>
      </c>
      <c r="B8" s="150">
        <v>42314.76</v>
      </c>
      <c r="C8" s="56">
        <f t="shared" si="0"/>
        <v>622.26</v>
      </c>
      <c r="D8" s="150">
        <v>105.57</v>
      </c>
      <c r="E8" s="150">
        <v>272.7</v>
      </c>
      <c r="F8" s="150">
        <v>243.99</v>
      </c>
      <c r="G8" s="147">
        <f>'602a'!L8/'602'!B8</f>
        <v>15.581876356996704</v>
      </c>
      <c r="H8" s="147">
        <f>'602a'!M8/'602'!C8</f>
        <v>49.405803590408901</v>
      </c>
      <c r="I8" s="147">
        <f>'602a'!N8/'602'!D8</f>
        <v>489.09013339571618</v>
      </c>
      <c r="J8" s="147">
        <f>'602a'!O8/'602'!E8</f>
        <v>4.8724720525233911</v>
      </c>
      <c r="K8" s="147">
        <f>'602a'!P8/'602'!F8</f>
        <v>37.166104736820529</v>
      </c>
      <c r="M8" s="62"/>
      <c r="N8" s="62"/>
      <c r="O8" s="62"/>
      <c r="P8" s="62"/>
      <c r="Q8" s="62"/>
    </row>
    <row r="9" spans="1:17">
      <c r="A9" s="66">
        <v>1974</v>
      </c>
      <c r="B9" s="150">
        <v>42221.81</v>
      </c>
      <c r="C9" s="56">
        <f t="shared" si="0"/>
        <v>622.02</v>
      </c>
      <c r="D9" s="150">
        <v>100.29</v>
      </c>
      <c r="E9" s="150">
        <v>275.31</v>
      </c>
      <c r="F9" s="150">
        <v>246.42</v>
      </c>
      <c r="G9" s="147">
        <f>'602a'!L9/'602'!B9</f>
        <v>16.440295796689607</v>
      </c>
      <c r="H9" s="147">
        <f>'602a'!M9/'602'!C9</f>
        <v>45.273463822067306</v>
      </c>
      <c r="I9" s="147">
        <f>'602a'!N9/'602'!D9</f>
        <v>506.27518819761315</v>
      </c>
      <c r="J9" s="147">
        <f>'602a'!O9/'602'!E9</f>
        <v>5.0927439371375307</v>
      </c>
      <c r="K9" s="147">
        <f>'602a'!P9/'602'!F9</f>
        <v>38.703074567424373</v>
      </c>
      <c r="M9" s="62"/>
      <c r="N9" s="62"/>
      <c r="O9" s="62"/>
      <c r="P9" s="62"/>
      <c r="Q9" s="62"/>
    </row>
    <row r="10" spans="1:17">
      <c r="A10" s="66">
        <v>1975</v>
      </c>
      <c r="B10" s="150">
        <v>41023.550000000003</v>
      </c>
      <c r="C10" s="56">
        <f t="shared" si="0"/>
        <v>583.76</v>
      </c>
      <c r="D10" s="150">
        <v>95.99</v>
      </c>
      <c r="E10" s="150">
        <v>255.32</v>
      </c>
      <c r="F10" s="150">
        <v>232.45</v>
      </c>
      <c r="G10" s="147">
        <f>'602a'!L10/'602'!B10</f>
        <v>16.648280330226797</v>
      </c>
      <c r="H10" s="147">
        <f>'602a'!M10/'602'!C10</f>
        <v>42.144882424494206</v>
      </c>
      <c r="I10" s="147">
        <f>'602a'!N10/'602'!D10</f>
        <v>501.1249617108748</v>
      </c>
      <c r="J10" s="147">
        <f>'602a'!O10/'602'!E10</f>
        <v>5.5740182187218679</v>
      </c>
      <c r="K10" s="147">
        <f>'602a'!P10/'602'!F10</f>
        <v>35.313763978495913</v>
      </c>
      <c r="M10" s="62"/>
      <c r="N10" s="62"/>
      <c r="O10" s="62"/>
      <c r="P10" s="62"/>
      <c r="Q10" s="62"/>
    </row>
    <row r="11" spans="1:17">
      <c r="A11" s="66">
        <v>1976</v>
      </c>
      <c r="B11" s="150">
        <v>41248</v>
      </c>
      <c r="C11" s="56">
        <f t="shared" si="0"/>
        <v>576.80999999999995</v>
      </c>
      <c r="D11" s="150">
        <v>91.7</v>
      </c>
      <c r="E11" s="150">
        <v>256.93</v>
      </c>
      <c r="F11" s="150">
        <v>228.18</v>
      </c>
      <c r="G11" s="147">
        <f>'602a'!L11/'602'!B11</f>
        <v>17.152092261974897</v>
      </c>
      <c r="H11" s="147">
        <f>'602a'!M11/'602'!C11</f>
        <v>42.333242610278027</v>
      </c>
      <c r="I11" s="147">
        <f>'602a'!N11/'602'!D11</f>
        <v>504.59435581522428</v>
      </c>
      <c r="J11" s="147">
        <f>'602a'!O11/'602'!E11</f>
        <v>5.7297155327759128</v>
      </c>
      <c r="K11" s="147">
        <f>'602a'!P11/'602'!F11</f>
        <v>39.302645286225498</v>
      </c>
      <c r="M11" s="62"/>
      <c r="N11" s="62"/>
      <c r="O11" s="62"/>
      <c r="P11" s="62"/>
      <c r="Q11" s="62"/>
    </row>
    <row r="12" spans="1:17">
      <c r="A12" s="66">
        <v>1977</v>
      </c>
      <c r="B12" s="150">
        <v>41174.44</v>
      </c>
      <c r="C12" s="56">
        <f t="shared" si="0"/>
        <v>571.04</v>
      </c>
      <c r="D12" s="150">
        <v>94.69</v>
      </c>
      <c r="E12" s="150">
        <v>252.71</v>
      </c>
      <c r="F12" s="150">
        <v>223.64</v>
      </c>
      <c r="G12" s="147">
        <f>'602a'!L12/'602'!B12</f>
        <v>17.753294876889356</v>
      </c>
      <c r="H12" s="147">
        <f>'602a'!M12/'602'!C12</f>
        <v>43.143464167466462</v>
      </c>
      <c r="I12" s="147">
        <f>'602a'!N12/'602'!D12</f>
        <v>473.2301126048136</v>
      </c>
      <c r="J12" s="147">
        <f>'602a'!O12/'602'!E12</f>
        <v>6.5157206149808058</v>
      </c>
      <c r="K12" s="147">
        <f>'602a'!P12/'602'!F12</f>
        <v>40.673037665265234</v>
      </c>
      <c r="M12" s="62"/>
      <c r="N12" s="62"/>
      <c r="O12" s="62"/>
      <c r="P12" s="62"/>
      <c r="Q12" s="62"/>
    </row>
    <row r="13" spans="1:17">
      <c r="A13" s="66">
        <v>1978</v>
      </c>
      <c r="B13" s="150">
        <v>41040.959999999999</v>
      </c>
      <c r="C13" s="56">
        <f t="shared" si="0"/>
        <v>563.81000000000006</v>
      </c>
      <c r="D13" s="150">
        <v>94.45</v>
      </c>
      <c r="E13" s="150">
        <v>252.28</v>
      </c>
      <c r="F13" s="150">
        <v>217.08</v>
      </c>
      <c r="G13" s="147">
        <f>'602a'!L13/'602'!B13</f>
        <v>18.390410648696118</v>
      </c>
      <c r="H13" s="147">
        <f>'602a'!M13/'602'!C13</f>
        <v>45.481956479536201</v>
      </c>
      <c r="I13" s="147">
        <f>'602a'!N13/'602'!D13</f>
        <v>523.47919920257596</v>
      </c>
      <c r="J13" s="147">
        <f>'602a'!O13/'602'!E13</f>
        <v>6.7367159430138601</v>
      </c>
      <c r="K13" s="147">
        <f>'602a'!P13/'602'!F13</f>
        <v>38.734418001483654</v>
      </c>
      <c r="M13" s="62"/>
      <c r="N13" s="62"/>
      <c r="O13" s="62"/>
      <c r="P13" s="62"/>
      <c r="Q13" s="62"/>
    </row>
    <row r="14" spans="1:17">
      <c r="A14" s="66">
        <v>1979</v>
      </c>
      <c r="B14" s="56">
        <v>40869.980000000003</v>
      </c>
      <c r="C14" s="56">
        <f t="shared" si="0"/>
        <v>552.98</v>
      </c>
      <c r="D14" s="56">
        <v>90.45</v>
      </c>
      <c r="E14" s="56">
        <v>248.76</v>
      </c>
      <c r="F14" s="56">
        <v>213.77</v>
      </c>
      <c r="G14" s="147">
        <f>'602a'!L14/'602'!B14</f>
        <v>18.987938951910035</v>
      </c>
      <c r="H14" s="147">
        <f>'602a'!M14/'602'!C14</f>
        <v>46.155809512320005</v>
      </c>
      <c r="I14" s="147">
        <f>'602a'!N14/'602'!D14</f>
        <v>497.04106513084872</v>
      </c>
      <c r="J14" s="147">
        <f>'602a'!O14/'602'!E14</f>
        <v>7.2229058818018155</v>
      </c>
      <c r="K14" s="147">
        <f>'602a'!P14/'602'!F14</f>
        <v>35.155415502982486</v>
      </c>
      <c r="L14" s="139"/>
      <c r="M14" s="64">
        <v>38020214.160604924</v>
      </c>
      <c r="N14" s="64">
        <f>SUM(O14:Q14)</f>
        <v>521735.42551012716</v>
      </c>
      <c r="O14" s="64">
        <v>47272.372045371492</v>
      </c>
      <c r="P14" s="64">
        <v>251929.42389160857</v>
      </c>
      <c r="Q14" s="64">
        <v>222533.6295731471</v>
      </c>
    </row>
    <row r="15" spans="1:17">
      <c r="A15" s="66">
        <v>1980</v>
      </c>
      <c r="B15" s="56">
        <v>40716.379999999997</v>
      </c>
      <c r="C15" s="56">
        <f t="shared" si="0"/>
        <v>542.18000000000006</v>
      </c>
      <c r="D15" s="56">
        <v>86.97</v>
      </c>
      <c r="E15" s="56">
        <v>244.84</v>
      </c>
      <c r="F15" s="56">
        <v>210.37</v>
      </c>
      <c r="G15" s="147">
        <f>'602a'!L15/'602'!B15</f>
        <v>19.482764430433161</v>
      </c>
      <c r="H15" s="147">
        <f>'602a'!M15/'602'!C15</f>
        <v>39.914509677698817</v>
      </c>
      <c r="I15" s="147">
        <f>'602a'!N15/'602'!D15</f>
        <v>425.62889273343632</v>
      </c>
      <c r="J15" s="147">
        <f>'602a'!O15/'602'!E15</f>
        <v>7.48529583527427</v>
      </c>
      <c r="K15" s="147">
        <f>'602a'!P15/'602'!F15</f>
        <v>31.279080573181439</v>
      </c>
      <c r="L15" s="152"/>
      <c r="M15" s="64">
        <v>37905057.579190396</v>
      </c>
      <c r="N15" s="64">
        <f t="shared" ref="N15:N38" si="1">SUM(O15:Q15)</f>
        <v>513054.07446963503</v>
      </c>
      <c r="O15" s="64">
        <v>47818.358063296313</v>
      </c>
      <c r="P15" s="64">
        <v>249191.00926986206</v>
      </c>
      <c r="Q15" s="64">
        <v>216044.70713647665</v>
      </c>
    </row>
    <row r="16" spans="1:17">
      <c r="A16" s="66">
        <v>1981</v>
      </c>
      <c r="B16" s="56">
        <v>39775.33</v>
      </c>
      <c r="C16" s="56">
        <f t="shared" si="0"/>
        <v>516.30999999999995</v>
      </c>
      <c r="D16" s="56">
        <v>83.08</v>
      </c>
      <c r="E16" s="56">
        <v>233.24</v>
      </c>
      <c r="F16" s="56">
        <v>199.99</v>
      </c>
      <c r="G16" s="147">
        <f>'602a'!L16/'602'!B16</f>
        <v>20.165385426438778</v>
      </c>
      <c r="H16" s="147">
        <f>'602a'!M16/'602'!C16</f>
        <v>41.09728962096613</v>
      </c>
      <c r="I16" s="147">
        <f>'602a'!N16/'602'!D16</f>
        <v>367.31703212718116</v>
      </c>
      <c r="J16" s="147">
        <f>'602a'!O16/'602'!E16</f>
        <v>8.2839154368538797</v>
      </c>
      <c r="K16" s="147">
        <f>'602a'!P16/'602'!F16</f>
        <v>30.236300402163454</v>
      </c>
      <c r="L16" s="152"/>
      <c r="M16" s="64">
        <v>37031386.657011122</v>
      </c>
      <c r="N16" s="64">
        <f t="shared" si="1"/>
        <v>484867.77794043469</v>
      </c>
      <c r="O16" s="64">
        <v>46371.526664982841</v>
      </c>
      <c r="P16" s="64">
        <v>235326.50515799937</v>
      </c>
      <c r="Q16" s="64">
        <v>203169.74611745245</v>
      </c>
    </row>
    <row r="17" spans="1:17">
      <c r="A17" s="66">
        <v>1982</v>
      </c>
      <c r="B17" s="56">
        <v>38620.65</v>
      </c>
      <c r="C17" s="56">
        <f t="shared" si="0"/>
        <v>487.59</v>
      </c>
      <c r="D17" s="56">
        <v>80</v>
      </c>
      <c r="E17" s="56">
        <v>219.41</v>
      </c>
      <c r="F17" s="56">
        <v>188.18</v>
      </c>
      <c r="G17" s="147">
        <f>'602a'!L17/'602'!B17</f>
        <v>21.263731612439486</v>
      </c>
      <c r="H17" s="147">
        <f>'602a'!M17/'602'!C17</f>
        <v>48.236331200929442</v>
      </c>
      <c r="I17" s="147">
        <f>'602a'!N17/'602'!D17</f>
        <v>365.44485294117646</v>
      </c>
      <c r="J17" s="147">
        <f>'602a'!O17/'602'!E17</f>
        <v>10.039394131485741</v>
      </c>
      <c r="K17" s="147">
        <f>'602a'!P17/'602'!F17</f>
        <v>32.403915201814669</v>
      </c>
      <c r="L17" s="152"/>
      <c r="M17" s="64">
        <v>36183459.758469656</v>
      </c>
      <c r="N17" s="64">
        <f t="shared" si="1"/>
        <v>461881.60752070521</v>
      </c>
      <c r="O17" s="64">
        <v>47124.715152737328</v>
      </c>
      <c r="P17" s="64">
        <v>221430.27475583006</v>
      </c>
      <c r="Q17" s="64">
        <v>193326.61761213784</v>
      </c>
    </row>
    <row r="18" spans="1:17">
      <c r="A18" s="66">
        <v>1983</v>
      </c>
      <c r="B18" s="56">
        <v>38382.03</v>
      </c>
      <c r="C18" s="56">
        <f t="shared" si="0"/>
        <v>474.64</v>
      </c>
      <c r="D18" s="56">
        <v>78</v>
      </c>
      <c r="E18" s="56">
        <v>213.52</v>
      </c>
      <c r="F18" s="56">
        <v>183.12</v>
      </c>
      <c r="G18" s="147">
        <f>'602a'!L18/'602'!B18</f>
        <v>21.676730800452948</v>
      </c>
      <c r="H18" s="147">
        <f>'602a'!M18/'602'!C18</f>
        <v>42.667824398229477</v>
      </c>
      <c r="I18" s="147">
        <f>'602a'!N18/'602'!D18</f>
        <v>273.34761139865554</v>
      </c>
      <c r="J18" s="147">
        <f>'602a'!O18/'602'!E18</f>
        <v>10.664717852694391</v>
      </c>
      <c r="K18" s="147">
        <f>'602a'!P18/'602'!F18</f>
        <v>30.982462836063448</v>
      </c>
      <c r="L18" s="152"/>
      <c r="M18" s="64">
        <v>35946737.433136761</v>
      </c>
      <c r="N18" s="64">
        <f t="shared" si="1"/>
        <v>448182.18181887298</v>
      </c>
      <c r="O18" s="64">
        <v>47685.055819758309</v>
      </c>
      <c r="P18" s="64">
        <v>210828.22031941169</v>
      </c>
      <c r="Q18" s="64">
        <v>189668.90567970299</v>
      </c>
    </row>
    <row r="19" spans="1:17">
      <c r="A19" s="66">
        <v>1984</v>
      </c>
      <c r="B19" s="56">
        <v>38014.54</v>
      </c>
      <c r="C19" s="56">
        <f t="shared" si="0"/>
        <v>458.48</v>
      </c>
      <c r="D19" s="56">
        <v>74.760000000000005</v>
      </c>
      <c r="E19" s="56">
        <v>206.7</v>
      </c>
      <c r="F19" s="56">
        <v>177.02</v>
      </c>
      <c r="G19" s="147">
        <f>'602a'!L19/'602'!B19</f>
        <v>22.265739605286623</v>
      </c>
      <c r="H19" s="147">
        <f>'602a'!M19/'602'!C19</f>
        <v>39.143830296705787</v>
      </c>
      <c r="I19" s="147">
        <f>'602a'!N19/'602'!D19</f>
        <v>246.85650507635697</v>
      </c>
      <c r="J19" s="147">
        <f>'602a'!O19/'602'!E19</f>
        <v>11.607717194732027</v>
      </c>
      <c r="K19" s="147">
        <f>'602a'!P19/'602'!F19</f>
        <v>30.918303018876543</v>
      </c>
      <c r="L19" s="152"/>
      <c r="M19" s="64">
        <v>35592614.954587974</v>
      </c>
      <c r="N19" s="64">
        <f t="shared" si="1"/>
        <v>429097.52181007736</v>
      </c>
      <c r="O19" s="64">
        <v>46267.598038270255</v>
      </c>
      <c r="P19" s="64">
        <v>197778.14120420659</v>
      </c>
      <c r="Q19" s="64">
        <v>185051.78256760055</v>
      </c>
    </row>
    <row r="20" spans="1:17">
      <c r="A20" s="66">
        <v>1985</v>
      </c>
      <c r="B20" s="56">
        <v>37317.53</v>
      </c>
      <c r="C20" s="56">
        <f t="shared" si="0"/>
        <v>438.33</v>
      </c>
      <c r="D20" s="56">
        <v>70.760000000000005</v>
      </c>
      <c r="E20" s="56">
        <v>197.95</v>
      </c>
      <c r="F20" s="56">
        <v>169.62</v>
      </c>
      <c r="G20" s="147">
        <f>'602a'!L20/'602'!B20</f>
        <v>23.113921751056072</v>
      </c>
      <c r="H20" s="147">
        <f>'602a'!M20/'602'!C20</f>
        <v>39.017776087216888</v>
      </c>
      <c r="I20" s="147">
        <f>'602a'!N20/'602'!D20</f>
        <v>240.10488169264315</v>
      </c>
      <c r="J20" s="147">
        <f>'602a'!O20/'602'!E20</f>
        <v>12.299145144382837</v>
      </c>
      <c r="K20" s="147">
        <f>'602a'!P20/'602'!F20</f>
        <v>29.906860252280509</v>
      </c>
      <c r="L20" s="152"/>
      <c r="M20" s="64">
        <v>35038317.893471248</v>
      </c>
      <c r="N20" s="64">
        <f t="shared" si="1"/>
        <v>411189.57164004853</v>
      </c>
      <c r="O20" s="64">
        <v>44184.087149556268</v>
      </c>
      <c r="P20" s="64">
        <v>187642.787922683</v>
      </c>
      <c r="Q20" s="64">
        <v>179362.69656780927</v>
      </c>
    </row>
    <row r="21" spans="1:17">
      <c r="A21" s="66">
        <v>1986</v>
      </c>
      <c r="B21" s="56">
        <v>37255.379999999997</v>
      </c>
      <c r="C21" s="56">
        <f t="shared" si="0"/>
        <v>428.70000000000005</v>
      </c>
      <c r="D21" s="56">
        <v>68.25</v>
      </c>
      <c r="E21" s="56">
        <v>194.23</v>
      </c>
      <c r="F21" s="56">
        <v>166.22</v>
      </c>
      <c r="G21" s="147">
        <f>'602a'!L21/'602'!B21</f>
        <v>23.710959669359415</v>
      </c>
      <c r="H21" s="147">
        <f>'602a'!M21/'602'!C21</f>
        <v>37.892926240861428</v>
      </c>
      <c r="I21" s="147">
        <f>'602a'!N21/'602'!D21</f>
        <v>200.48636123792699</v>
      </c>
      <c r="J21" s="147">
        <f>'602a'!O21/'602'!E21</f>
        <v>13.043218518896857</v>
      </c>
      <c r="K21" s="147">
        <f>'602a'!P21/'602'!F21</f>
        <v>28.905549271320087</v>
      </c>
      <c r="L21" s="152"/>
      <c r="M21" s="64">
        <v>35024935.718625858</v>
      </c>
      <c r="N21" s="64">
        <f t="shared" si="1"/>
        <v>404987.40496532025</v>
      </c>
      <c r="O21" s="64">
        <v>45694.598203736277</v>
      </c>
      <c r="P21" s="64">
        <v>183325.10496528423</v>
      </c>
      <c r="Q21" s="64">
        <v>175967.70179629972</v>
      </c>
    </row>
    <row r="22" spans="1:17">
      <c r="A22" s="66">
        <v>1987</v>
      </c>
      <c r="B22" s="56">
        <v>37443.51</v>
      </c>
      <c r="C22" s="56">
        <f t="shared" si="0"/>
        <v>422.82</v>
      </c>
      <c r="D22" s="56">
        <v>66.680000000000007</v>
      </c>
      <c r="E22" s="56">
        <v>192.07</v>
      </c>
      <c r="F22" s="56">
        <v>164.07</v>
      </c>
      <c r="G22" s="147">
        <f>'602a'!L22/'602'!B22</f>
        <v>24.139627265045284</v>
      </c>
      <c r="H22" s="147">
        <f>'602a'!M22/'602'!C22</f>
        <v>36.124140657840343</v>
      </c>
      <c r="I22" s="147">
        <f>'602a'!N22/'602'!D22</f>
        <v>178.92578994521833</v>
      </c>
      <c r="J22" s="147">
        <f>'602a'!O22/'602'!E22</f>
        <v>13.47991937707137</v>
      </c>
      <c r="K22" s="147">
        <f>'602a'!P22/'602'!F22</f>
        <v>27.98509145764195</v>
      </c>
      <c r="L22" s="152"/>
      <c r="M22" s="64">
        <v>35234130.159632511</v>
      </c>
      <c r="N22" s="64">
        <f t="shared" si="1"/>
        <v>395089.5671159855</v>
      </c>
      <c r="O22" s="64">
        <v>44872.153395496942</v>
      </c>
      <c r="P22" s="64">
        <v>181055.20714076838</v>
      </c>
      <c r="Q22" s="64">
        <v>169162.20657972016</v>
      </c>
    </row>
    <row r="23" spans="1:17">
      <c r="A23" s="66">
        <v>1988</v>
      </c>
      <c r="B23" s="56">
        <v>37825.14</v>
      </c>
      <c r="C23" s="56">
        <f t="shared" si="0"/>
        <v>419.37</v>
      </c>
      <c r="D23" s="56">
        <v>63.85</v>
      </c>
      <c r="E23" s="56">
        <v>191.46</v>
      </c>
      <c r="F23" s="56">
        <v>164.06</v>
      </c>
      <c r="G23" s="147">
        <f>'602a'!L23/'602'!B23</f>
        <v>24.908511040431129</v>
      </c>
      <c r="H23" s="147">
        <f>'602a'!M23/'602'!C23</f>
        <v>35.140985105120819</v>
      </c>
      <c r="I23" s="147">
        <f>'602a'!N23/'602'!D23</f>
        <v>154.97269712465774</v>
      </c>
      <c r="J23" s="147">
        <f>'602a'!O23/'602'!E23</f>
        <v>14.434378430161521</v>
      </c>
      <c r="K23" s="147">
        <f>'602a'!P23/'602'!F23</f>
        <v>28.880131825113871</v>
      </c>
      <c r="L23" s="152"/>
      <c r="M23" s="64">
        <v>35668395.710850097</v>
      </c>
      <c r="N23" s="64">
        <f t="shared" si="1"/>
        <v>393901.92342220293</v>
      </c>
      <c r="O23" s="64">
        <v>44165.775487642757</v>
      </c>
      <c r="P23" s="64">
        <v>183464.23914288118</v>
      </c>
      <c r="Q23" s="64">
        <v>166271.90879167899</v>
      </c>
    </row>
    <row r="24" spans="1:17">
      <c r="A24" s="66">
        <v>1989</v>
      </c>
      <c r="B24" s="56">
        <v>37996.870000000003</v>
      </c>
      <c r="C24" s="56">
        <f t="shared" si="0"/>
        <v>421.28999999999996</v>
      </c>
      <c r="D24" s="56">
        <v>61.26</v>
      </c>
      <c r="E24" s="56">
        <v>193.47</v>
      </c>
      <c r="F24" s="56">
        <v>166.56</v>
      </c>
      <c r="G24" s="147">
        <f>'602a'!L24/'602'!B24</f>
        <v>25.827174863152816</v>
      </c>
      <c r="H24" s="147">
        <f>'602a'!M24/'602'!C24</f>
        <v>35.517686054506456</v>
      </c>
      <c r="I24" s="147">
        <f>'602a'!N24/'602'!D24</f>
        <v>139.87360957836549</v>
      </c>
      <c r="J24" s="147">
        <f>'602a'!O24/'602'!E24</f>
        <v>15.240537072467241</v>
      </c>
      <c r="K24" s="147">
        <f>'602a'!P24/'602'!F24</f>
        <v>29.782648448393182</v>
      </c>
      <c r="L24" s="152"/>
      <c r="M24" s="64">
        <v>35957831.451970562</v>
      </c>
      <c r="N24" s="64">
        <f t="shared" si="1"/>
        <v>400823.79333588376</v>
      </c>
      <c r="O24" s="64">
        <v>44988.36639855105</v>
      </c>
      <c r="P24" s="64">
        <v>188648.78009005557</v>
      </c>
      <c r="Q24" s="64">
        <v>167186.64684727709</v>
      </c>
    </row>
    <row r="25" spans="1:17">
      <c r="A25" s="66">
        <v>1990</v>
      </c>
      <c r="B25" s="56">
        <v>38902.1</v>
      </c>
      <c r="C25" s="56">
        <f t="shared" si="0"/>
        <v>415.40999999999997</v>
      </c>
      <c r="D25" s="56">
        <v>53.91</v>
      </c>
      <c r="E25" s="56">
        <v>193.48</v>
      </c>
      <c r="F25" s="56">
        <v>168.02</v>
      </c>
      <c r="G25" s="147">
        <f>'602a'!L25/'602'!B25</f>
        <v>25.912718281244597</v>
      </c>
      <c r="H25" s="147">
        <f>'602a'!M25/'602'!C25</f>
        <v>36.031980619992673</v>
      </c>
      <c r="I25" s="147">
        <f>'602a'!N25/'602'!D25</f>
        <v>146.34809253291036</v>
      </c>
      <c r="J25" s="147">
        <f>'602a'!O25/'602'!E25</f>
        <v>15.703090329922627</v>
      </c>
      <c r="K25" s="147">
        <f>'602a'!P25/'602'!F25</f>
        <v>30.357265880933106</v>
      </c>
      <c r="L25" s="152"/>
      <c r="M25" s="64">
        <v>36378722.019347623</v>
      </c>
      <c r="N25" s="64">
        <f t="shared" si="1"/>
        <v>401622.44205131347</v>
      </c>
      <c r="O25" s="64">
        <v>44078.188805166843</v>
      </c>
      <c r="P25" s="64">
        <v>190412.22232601585</v>
      </c>
      <c r="Q25" s="64">
        <v>167132.03092013075</v>
      </c>
    </row>
    <row r="26" spans="1:17">
      <c r="A26" s="66">
        <v>1991</v>
      </c>
      <c r="B26" s="56">
        <v>38781.9</v>
      </c>
      <c r="C26" s="56">
        <f t="shared" si="0"/>
        <v>410.64</v>
      </c>
      <c r="D26" s="56">
        <v>57.94</v>
      </c>
      <c r="E26" s="56">
        <v>188.29</v>
      </c>
      <c r="F26" s="56">
        <v>164.41</v>
      </c>
      <c r="G26" s="147">
        <f>'602a'!L26/'602'!B26</f>
        <v>26.290459209502728</v>
      </c>
      <c r="H26" s="147">
        <f>'602a'!M26/'602'!C26</f>
        <v>33.086689456342683</v>
      </c>
      <c r="I26" s="147">
        <f>'602a'!N26/'602'!D26</f>
        <v>101.44103276355213</v>
      </c>
      <c r="J26" s="147">
        <f>'602a'!O26/'602'!E26</f>
        <v>16.533580548611415</v>
      </c>
      <c r="K26" s="147">
        <f>'602a'!P26/'602'!F26</f>
        <v>32.105174823168468</v>
      </c>
      <c r="L26" s="152"/>
      <c r="M26" s="64">
        <v>36177632.655855402</v>
      </c>
      <c r="N26" s="64">
        <f t="shared" si="1"/>
        <v>395305.31867203221</v>
      </c>
      <c r="O26" s="64">
        <v>45835.438672032178</v>
      </c>
      <c r="P26" s="64">
        <v>185664.48</v>
      </c>
      <c r="Q26" s="64">
        <v>163805.4</v>
      </c>
    </row>
    <row r="27" spans="1:17">
      <c r="A27" s="66">
        <v>1992</v>
      </c>
      <c r="B27" s="56">
        <v>38560.300000000003</v>
      </c>
      <c r="C27" s="56">
        <f t="shared" si="0"/>
        <v>404.37</v>
      </c>
      <c r="D27" s="56">
        <v>59.47</v>
      </c>
      <c r="E27" s="56">
        <v>183.97</v>
      </c>
      <c r="F27" s="56">
        <v>160.93</v>
      </c>
      <c r="G27" s="147">
        <f>'602a'!L27/'602'!B27</f>
        <v>26.881353344000157</v>
      </c>
      <c r="H27" s="147">
        <f>'602a'!M27/'602'!C27</f>
        <v>32.973002200111004</v>
      </c>
      <c r="I27" s="147">
        <f>'602a'!N27/'602'!D27</f>
        <v>87.106222709860759</v>
      </c>
      <c r="J27" s="147">
        <f>'602a'!O27/'602'!E27</f>
        <v>17.044479740019273</v>
      </c>
      <c r="K27" s="147">
        <f>'602a'!P27/'602'!F27</f>
        <v>34.65502078793012</v>
      </c>
      <c r="L27" s="152"/>
      <c r="M27" s="64">
        <v>36020857.645727627</v>
      </c>
      <c r="N27" s="64">
        <f t="shared" si="1"/>
        <v>388319.3188872622</v>
      </c>
      <c r="O27" s="64">
        <v>46751.6</v>
      </c>
      <c r="P27" s="64">
        <v>181479.72685212304</v>
      </c>
      <c r="Q27" s="64">
        <v>160087.99203513915</v>
      </c>
    </row>
    <row r="28" spans="1:17">
      <c r="A28" s="66">
        <v>1993</v>
      </c>
      <c r="B28" s="56">
        <v>37772.5</v>
      </c>
      <c r="C28" s="56">
        <f t="shared" si="0"/>
        <v>385.58000000000004</v>
      </c>
      <c r="D28" s="56">
        <v>62.08</v>
      </c>
      <c r="E28" s="56">
        <v>171.4</v>
      </c>
      <c r="F28" s="56">
        <v>152.1</v>
      </c>
      <c r="G28" s="147">
        <f>'602a'!L28/'602'!B28</f>
        <v>27.179095017198335</v>
      </c>
      <c r="H28" s="147">
        <f>'602a'!M28/'602'!C28</f>
        <v>32.603550910410775</v>
      </c>
      <c r="I28" s="147">
        <f>'602a'!N28/'602'!D28</f>
        <v>67.574400043309794</v>
      </c>
      <c r="J28" s="147">
        <f>'602a'!O28/'602'!E28</f>
        <v>17.867330858804163</v>
      </c>
      <c r="K28" s="147">
        <f>'602a'!P28/'602'!F28</f>
        <v>38.125976132554612</v>
      </c>
      <c r="L28" s="152"/>
      <c r="M28" s="64">
        <v>35340931.045767583</v>
      </c>
      <c r="N28" s="64">
        <f t="shared" si="1"/>
        <v>370368.36587550701</v>
      </c>
      <c r="O28" s="64">
        <v>48841.54587550697</v>
      </c>
      <c r="P28" s="64">
        <v>170241.54</v>
      </c>
      <c r="Q28" s="64">
        <v>151285.28000000003</v>
      </c>
    </row>
    <row r="29" spans="1:17">
      <c r="A29" s="66">
        <v>1994</v>
      </c>
      <c r="B29" s="56">
        <v>37681</v>
      </c>
      <c r="C29" s="56">
        <f t="shared" si="0"/>
        <v>382.13</v>
      </c>
      <c r="D29" s="56">
        <v>63.73</v>
      </c>
      <c r="E29" s="56">
        <v>168.09</v>
      </c>
      <c r="F29" s="56">
        <v>150.31</v>
      </c>
      <c r="G29" s="147">
        <f>'602a'!L29/'602'!B29</f>
        <v>27.756286296801903</v>
      </c>
      <c r="H29" s="147">
        <f>'602a'!M29/'602'!C29</f>
        <v>33.981547609812459</v>
      </c>
      <c r="I29" s="147">
        <f>'602a'!N29/'602'!D29</f>
        <v>66.609984772665982</v>
      </c>
      <c r="J29" s="147">
        <f>'602a'!O29/'602'!E29</f>
        <v>19.815053093468833</v>
      </c>
      <c r="K29" s="147">
        <f>'602a'!P29/'602'!F29</f>
        <v>36.775795250965743</v>
      </c>
      <c r="L29" s="152"/>
      <c r="M29" s="64">
        <v>35258573.116564721</v>
      </c>
      <c r="N29" s="64">
        <f t="shared" si="1"/>
        <v>366419.37705329154</v>
      </c>
      <c r="O29" s="64">
        <v>51654.15705329155</v>
      </c>
      <c r="P29" s="64">
        <v>165761.22</v>
      </c>
      <c r="Q29" s="64">
        <v>149004</v>
      </c>
    </row>
    <row r="30" spans="1:17">
      <c r="A30" s="66">
        <v>1995</v>
      </c>
      <c r="B30" s="56">
        <v>37457.800000000003</v>
      </c>
      <c r="C30" s="56">
        <f t="shared" si="0"/>
        <v>382.98</v>
      </c>
      <c r="D30" s="56">
        <v>65.88</v>
      </c>
      <c r="E30" s="56">
        <v>167.89</v>
      </c>
      <c r="F30" s="56">
        <v>149.21</v>
      </c>
      <c r="G30" s="147">
        <f>'602a'!L30/'602'!B30</f>
        <v>28.520047893896596</v>
      </c>
      <c r="H30" s="147">
        <f>'602a'!M30/'602'!C30</f>
        <v>31.398819781711836</v>
      </c>
      <c r="I30" s="147">
        <f>'602a'!N30/'602'!D30</f>
        <v>59.505009107468126</v>
      </c>
      <c r="J30" s="147">
        <f>'602a'!O30/'602'!E30</f>
        <v>19.710703436774079</v>
      </c>
      <c r="K30" s="147">
        <f>'602a'!P30/'602'!F30</f>
        <v>32.140607197908984</v>
      </c>
      <c r="L30" s="152"/>
      <c r="M30" s="64">
        <v>35048331.782880142</v>
      </c>
      <c r="N30" s="64">
        <f t="shared" si="1"/>
        <v>366603.44</v>
      </c>
      <c r="O30" s="64">
        <v>52913.06</v>
      </c>
      <c r="P30" s="64">
        <v>165445.28</v>
      </c>
      <c r="Q30" s="64">
        <v>148245.1</v>
      </c>
    </row>
    <row r="31" spans="1:17">
      <c r="A31" s="66">
        <v>1996</v>
      </c>
      <c r="B31" s="56">
        <v>37701.5</v>
      </c>
      <c r="C31" s="56">
        <f t="shared" si="0"/>
        <v>382.78999999999996</v>
      </c>
      <c r="D31" s="56">
        <v>71.489999999999995</v>
      </c>
      <c r="E31" s="56">
        <v>164.01</v>
      </c>
      <c r="F31" s="56">
        <v>147.29</v>
      </c>
      <c r="G31" s="147">
        <f>'602a'!L31/'602'!B31</f>
        <v>28.634208901530361</v>
      </c>
      <c r="H31" s="147">
        <f>'602a'!M31/'602'!C31</f>
        <v>30.770745249026735</v>
      </c>
      <c r="I31" s="147">
        <f>'602a'!N31/'602'!D31</f>
        <v>47.393417232936393</v>
      </c>
      <c r="J31" s="147">
        <f>'602a'!O31/'602'!E31</f>
        <v>20.415718100474066</v>
      </c>
      <c r="K31" s="147">
        <f>'602a'!P31/'602'!F31</f>
        <v>34.353260743375486</v>
      </c>
      <c r="L31" s="152"/>
      <c r="M31" s="64">
        <v>35227691.940877505</v>
      </c>
      <c r="N31" s="64">
        <f t="shared" si="1"/>
        <v>365111.14</v>
      </c>
      <c r="O31" s="64">
        <v>56360.070000000007</v>
      </c>
      <c r="P31" s="64">
        <v>162133.12</v>
      </c>
      <c r="Q31" s="64">
        <v>146617.95000000001</v>
      </c>
    </row>
    <row r="32" spans="1:17">
      <c r="A32" s="66">
        <v>1997</v>
      </c>
      <c r="B32" s="56">
        <v>37720.699999999997</v>
      </c>
      <c r="C32" s="56">
        <f t="shared" si="0"/>
        <v>379.77</v>
      </c>
      <c r="D32" s="56">
        <v>77.569999999999993</v>
      </c>
      <c r="E32" s="56">
        <v>158.22</v>
      </c>
      <c r="F32" s="56">
        <v>143.97999999999999</v>
      </c>
      <c r="G32" s="147">
        <f>'602a'!L32/'602'!B32</f>
        <v>29.259580365209494</v>
      </c>
      <c r="H32" s="147">
        <f>'602a'!M32/'602'!C32</f>
        <v>31.011483397061525</v>
      </c>
      <c r="I32" s="147">
        <f>'602a'!N32/'602'!D32</f>
        <v>40.371778003936768</v>
      </c>
      <c r="J32" s="147">
        <f>'602a'!O32/'602'!E32</f>
        <v>20.961102079650043</v>
      </c>
      <c r="K32" s="147">
        <f>'602a'!P32/'602'!F32</f>
        <v>38.081051320856815</v>
      </c>
      <c r="L32" s="152"/>
      <c r="M32" s="64">
        <v>35208242.9427469</v>
      </c>
      <c r="N32" s="64">
        <f t="shared" si="1"/>
        <v>358789.38448003167</v>
      </c>
      <c r="O32" s="64">
        <v>59027.434480031639</v>
      </c>
      <c r="P32" s="64">
        <v>156143.4</v>
      </c>
      <c r="Q32" s="64">
        <v>143618.55000000002</v>
      </c>
    </row>
    <row r="33" spans="1:17">
      <c r="A33" s="66">
        <v>1998</v>
      </c>
      <c r="B33" s="56">
        <v>38032.400000000001</v>
      </c>
      <c r="C33" s="56">
        <f t="shared" si="0"/>
        <v>380.37</v>
      </c>
      <c r="D33" s="56">
        <v>82.17</v>
      </c>
      <c r="E33" s="56">
        <v>154.47</v>
      </c>
      <c r="F33" s="56">
        <v>143.72999999999999</v>
      </c>
      <c r="G33" s="147">
        <f>'602a'!L33/'602'!B33</f>
        <v>30.021116438414346</v>
      </c>
      <c r="H33" s="147">
        <f>'602a'!M33/'602'!C33</f>
        <v>30.844758439161044</v>
      </c>
      <c r="I33" s="147">
        <f>'602a'!N33/'602'!D33</f>
        <v>35.367864466072604</v>
      </c>
      <c r="J33" s="147">
        <f>'602a'!O33/'602'!E33</f>
        <v>23.193807668369349</v>
      </c>
      <c r="K33" s="147">
        <f>'602a'!P33/'602'!F33</f>
        <v>38.450306721171735</v>
      </c>
      <c r="L33" s="152"/>
      <c r="M33" s="64">
        <v>35484637.874656178</v>
      </c>
      <c r="N33" s="64">
        <f t="shared" si="1"/>
        <v>356859.28</v>
      </c>
      <c r="O33" s="64">
        <v>61280.28</v>
      </c>
      <c r="P33" s="64">
        <v>152646.39999999999</v>
      </c>
      <c r="Q33" s="64">
        <v>142932.6</v>
      </c>
    </row>
    <row r="34" spans="1:17">
      <c r="A34" s="66">
        <v>1999</v>
      </c>
      <c r="B34" s="56">
        <v>38628.5</v>
      </c>
      <c r="C34" s="56">
        <f t="shared" si="0"/>
        <v>373.14</v>
      </c>
      <c r="D34" s="56">
        <v>81.540000000000006</v>
      </c>
      <c r="E34" s="56">
        <v>149.97999999999999</v>
      </c>
      <c r="F34" s="56">
        <v>141.62</v>
      </c>
      <c r="G34" s="147">
        <f>'602a'!L34/'602'!B34</f>
        <v>30.479114598963076</v>
      </c>
      <c r="H34" s="147">
        <f>'602a'!M34/'602'!C34</f>
        <v>31.763400980737568</v>
      </c>
      <c r="I34" s="147">
        <f>'602a'!N34/'602'!D34</f>
        <v>33.867480749537826</v>
      </c>
      <c r="J34" s="147">
        <f>'602a'!O34/'602'!E34</f>
        <v>25.298261699200786</v>
      </c>
      <c r="K34" s="147">
        <f>'602a'!P34/'602'!F34</f>
        <v>40.07767362062809</v>
      </c>
      <c r="L34" s="152"/>
      <c r="M34" s="64">
        <v>36148767.256333955</v>
      </c>
      <c r="N34" s="64">
        <f t="shared" si="1"/>
        <v>351979.41112050525</v>
      </c>
      <c r="O34" s="64">
        <v>62748.021120505255</v>
      </c>
      <c r="P34" s="64">
        <v>148667.63</v>
      </c>
      <c r="Q34" s="64">
        <v>140563.75999999998</v>
      </c>
    </row>
    <row r="35" spans="1:17">
      <c r="A35" s="66">
        <v>2000</v>
      </c>
      <c r="B35" s="56">
        <v>38712.9</v>
      </c>
      <c r="C35" s="56">
        <f t="shared" si="0"/>
        <v>362.33</v>
      </c>
      <c r="D35" s="56">
        <v>80.23</v>
      </c>
      <c r="E35" s="56">
        <v>145.84</v>
      </c>
      <c r="F35" s="56">
        <v>136.26</v>
      </c>
      <c r="G35" s="147">
        <f>'602a'!L35/'602'!B35</f>
        <v>31.516606951107924</v>
      </c>
      <c r="H35" s="147">
        <f>'602a'!M35/'602'!C35</f>
        <v>33.149034394047206</v>
      </c>
      <c r="I35" s="147">
        <f>'602a'!N35/'602'!D35</f>
        <v>35.81588374949466</v>
      </c>
      <c r="J35" s="147">
        <f>'602a'!O35/'602'!E35</f>
        <v>27.77704530973061</v>
      </c>
      <c r="K35" s="147">
        <f>'602a'!P35/'602'!F35</f>
        <v>37.79876415154699</v>
      </c>
      <c r="L35" s="152"/>
      <c r="M35" s="64">
        <v>36228535.700000003</v>
      </c>
      <c r="N35" s="64">
        <f t="shared" si="1"/>
        <v>340471.19368695293</v>
      </c>
      <c r="O35" s="64">
        <v>62044.273686952911</v>
      </c>
      <c r="P35" s="64">
        <v>144380.44</v>
      </c>
      <c r="Q35" s="64">
        <v>134046.47999999998</v>
      </c>
    </row>
    <row r="36" spans="1:17">
      <c r="A36" s="66">
        <v>2001</v>
      </c>
      <c r="B36" s="56">
        <v>39081.800000000003</v>
      </c>
      <c r="C36" s="56">
        <f t="shared" si="0"/>
        <v>351.38</v>
      </c>
      <c r="D36" s="56">
        <v>75.28</v>
      </c>
      <c r="E36" s="56">
        <v>142.41999999999999</v>
      </c>
      <c r="F36" s="56">
        <v>133.68</v>
      </c>
      <c r="G36" s="147">
        <f>'602a'!L36/'602'!B36</f>
        <v>31.7576567863129</v>
      </c>
      <c r="H36" s="147">
        <f>'602a'!M36/'602'!C36</f>
        <v>36.686817792874074</v>
      </c>
      <c r="I36" s="147">
        <f>'602a'!N36/'602'!D36</f>
        <v>45.007335681019661</v>
      </c>
      <c r="J36" s="147">
        <f>'602a'!O36/'602'!E36</f>
        <v>30.90612708174497</v>
      </c>
      <c r="K36" s="147">
        <f>'602a'!P36/'602'!F36</f>
        <v>40.337112457885745</v>
      </c>
      <c r="L36" s="152"/>
      <c r="M36" s="64">
        <v>36688525.3892437</v>
      </c>
      <c r="N36" s="64">
        <f t="shared" si="1"/>
        <v>337783.60344412795</v>
      </c>
      <c r="O36" s="64">
        <v>62698.483444127894</v>
      </c>
      <c r="P36" s="64">
        <v>142326.99000000002</v>
      </c>
      <c r="Q36" s="64">
        <v>132758.13</v>
      </c>
    </row>
    <row r="37" spans="1:17">
      <c r="A37" s="66">
        <v>2002</v>
      </c>
      <c r="B37" s="56">
        <v>38282.400000000001</v>
      </c>
      <c r="C37" s="56">
        <f t="shared" si="0"/>
        <v>334.06</v>
      </c>
      <c r="D37" s="56">
        <v>66.66</v>
      </c>
      <c r="E37" s="56">
        <v>138.80000000000001</v>
      </c>
      <c r="F37" s="56">
        <v>128.6</v>
      </c>
      <c r="G37" s="147">
        <f>'602a'!L37/'602'!B37</f>
        <v>32.712827293177682</v>
      </c>
      <c r="H37" s="147">
        <f>'602a'!M37/'602'!C37</f>
        <v>37.54301249122318</v>
      </c>
      <c r="I37" s="147">
        <f>'602a'!N37/'602'!D37</f>
        <v>46.499977100513796</v>
      </c>
      <c r="J37" s="147">
        <f>'602a'!O37/'602'!E37</f>
        <v>35.450633610990486</v>
      </c>
      <c r="K37" s="147">
        <f>'602a'!P37/'602'!F37</f>
        <v>39.016230333414086</v>
      </c>
      <c r="L37" s="152"/>
      <c r="M37" s="64">
        <v>36019155.308215268</v>
      </c>
      <c r="N37" s="64">
        <f t="shared" si="1"/>
        <v>322424.69</v>
      </c>
      <c r="O37" s="64">
        <v>56632.02</v>
      </c>
      <c r="P37" s="64">
        <v>138327.75</v>
      </c>
      <c r="Q37" s="64">
        <v>127464.92</v>
      </c>
    </row>
    <row r="38" spans="1:17">
      <c r="A38" s="66">
        <v>2003</v>
      </c>
      <c r="B38" s="56">
        <v>38195.300000000003</v>
      </c>
      <c r="C38" s="56">
        <f t="shared" si="0"/>
        <v>326.40999999999997</v>
      </c>
      <c r="D38" s="56">
        <v>61.11</v>
      </c>
      <c r="E38" s="56">
        <v>138.88999999999999</v>
      </c>
      <c r="F38" s="56">
        <v>126.41</v>
      </c>
      <c r="G38" s="147">
        <f>'602a'!L38/'602'!B38</f>
        <v>33.094128666930516</v>
      </c>
      <c r="H38" s="147">
        <f>'602a'!M38/'602'!C38</f>
        <v>38.339622805746878</v>
      </c>
      <c r="I38" s="147">
        <f>'602a'!N38/'602'!D38</f>
        <v>38.786057779506557</v>
      </c>
      <c r="J38" s="147">
        <f>'602a'!O38/'602'!E38</f>
        <v>40.982025942829949</v>
      </c>
      <c r="K38" s="147">
        <f>'602a'!P38/'602'!F38</f>
        <v>39.550134418310314</v>
      </c>
      <c r="L38" s="152"/>
      <c r="M38" s="64">
        <v>35910178.908692084</v>
      </c>
      <c r="N38" s="64">
        <f t="shared" si="1"/>
        <v>319156.7511150387</v>
      </c>
      <c r="O38" s="64">
        <v>53189.29884021185</v>
      </c>
      <c r="P38" s="64">
        <v>137833.73475750579</v>
      </c>
      <c r="Q38" s="64">
        <v>128133.71751732106</v>
      </c>
    </row>
    <row r="39" spans="1:17">
      <c r="A39" s="66">
        <v>2004</v>
      </c>
      <c r="B39" s="56">
        <v>38918.400000000001</v>
      </c>
      <c r="C39" s="56">
        <f t="shared" si="0"/>
        <v>324.63</v>
      </c>
      <c r="D39" s="56">
        <v>59.23</v>
      </c>
      <c r="E39" s="56">
        <v>139.13999999999999</v>
      </c>
      <c r="F39" s="56">
        <v>126.26</v>
      </c>
      <c r="G39" s="147">
        <f>'602a'!L39/'602'!B39</f>
        <v>33.299541258379875</v>
      </c>
      <c r="H39" s="147">
        <f>'602a'!M39/'602'!C39</f>
        <v>37.994633942499341</v>
      </c>
      <c r="I39" s="147">
        <f>'602a'!N39/'602'!D39</f>
        <v>43.085161192321515</v>
      </c>
      <c r="J39" s="147">
        <f>'602a'!O39/'602'!E39</f>
        <v>37.484047857065988</v>
      </c>
      <c r="K39" s="147">
        <f>'602a'!P39/'602'!F39</f>
        <v>40.938583644230832</v>
      </c>
    </row>
    <row r="40" spans="1:17">
      <c r="A40" s="66">
        <v>2005</v>
      </c>
      <c r="B40" s="56">
        <v>39065.4</v>
      </c>
      <c r="C40" s="56">
        <f t="shared" si="0"/>
        <v>312.27</v>
      </c>
      <c r="D40" s="56">
        <v>57.02</v>
      </c>
      <c r="E40" s="56">
        <v>133.76</v>
      </c>
      <c r="F40" s="56">
        <v>121.49</v>
      </c>
      <c r="G40" s="147">
        <f>'602a'!L40/'602'!B40</f>
        <v>33.782535742752607</v>
      </c>
      <c r="H40" s="147">
        <f>'602a'!M40/'602'!C40</f>
        <v>38.351398460065788</v>
      </c>
      <c r="I40" s="147">
        <f>'602a'!N40/'602'!D40</f>
        <v>43.827985313357594</v>
      </c>
      <c r="J40" s="147">
        <f>'602a'!O40/'602'!E40</f>
        <v>35.686307370915443</v>
      </c>
      <c r="K40" s="147">
        <f>'602a'!P40/'602'!F40</f>
        <v>42.92174832915348</v>
      </c>
    </row>
    <row r="41" spans="1:17">
      <c r="A41" s="66">
        <v>2006</v>
      </c>
      <c r="B41" s="56">
        <v>38980.01</v>
      </c>
      <c r="C41" s="56">
        <f t="shared" si="0"/>
        <v>299.71999999999997</v>
      </c>
      <c r="D41" s="56">
        <v>56.26</v>
      </c>
      <c r="E41" s="56">
        <v>130.82</v>
      </c>
      <c r="F41" s="56">
        <v>112.64</v>
      </c>
      <c r="G41" s="147">
        <f>'602a'!L41/'602'!B41</f>
        <v>34.609054232675</v>
      </c>
      <c r="H41" s="147">
        <f>'602a'!M41/'602'!C41</f>
        <v>41.743622711381711</v>
      </c>
      <c r="I41" s="147">
        <f>'602a'!N41/'602'!D41</f>
        <v>53.301055200787211</v>
      </c>
      <c r="J41" s="147">
        <f>'602a'!O41/'602'!E41</f>
        <v>36.727294932212743</v>
      </c>
      <c r="K41" s="147">
        <f>'602a'!P41/'602'!F41</f>
        <v>45.709377103511471</v>
      </c>
    </row>
    <row r="42" spans="1:17">
      <c r="A42" s="66">
        <v>2007</v>
      </c>
      <c r="B42" s="56">
        <v>39896.25</v>
      </c>
      <c r="C42" s="56">
        <f t="shared" si="0"/>
        <v>295.62</v>
      </c>
      <c r="D42" s="56">
        <v>54.67</v>
      </c>
      <c r="E42" s="56">
        <v>129.86000000000001</v>
      </c>
      <c r="F42" s="56">
        <v>111.09</v>
      </c>
      <c r="G42" s="147">
        <f>'602a'!L42/'602'!B42</f>
        <v>34.630703382013891</v>
      </c>
      <c r="H42" s="147">
        <f>'602a'!M42/'602'!C42</f>
        <v>43.959238113250855</v>
      </c>
      <c r="I42" s="147">
        <f>'602a'!N42/'602'!D42</f>
        <v>56.760060208499276</v>
      </c>
      <c r="J42" s="147">
        <f>'602a'!O42/'602'!E42</f>
        <v>38.298965655663309</v>
      </c>
      <c r="K42" s="147">
        <f>'602a'!P42/'602'!F42</f>
        <v>49.604648352790925</v>
      </c>
    </row>
    <row r="43" spans="1:17">
      <c r="A43" s="66">
        <v>2008</v>
      </c>
      <c r="B43" s="56"/>
      <c r="C43" s="56"/>
      <c r="D43" s="56"/>
      <c r="E43" s="56"/>
      <c r="F43" s="56"/>
      <c r="G43" s="56"/>
      <c r="H43" s="56"/>
      <c r="I43" s="56"/>
      <c r="J43" s="56"/>
      <c r="K43" s="56"/>
    </row>
    <row r="44" spans="1:17">
      <c r="B44" s="57"/>
      <c r="C44" s="57"/>
      <c r="D44" s="57"/>
      <c r="E44" s="57"/>
      <c r="F44" s="57"/>
      <c r="G44" s="57"/>
      <c r="H44" s="57"/>
      <c r="I44" s="57"/>
      <c r="J44" s="57"/>
      <c r="K44" s="57"/>
    </row>
    <row r="45" spans="1:17">
      <c r="A45" s="66" t="s">
        <v>23</v>
      </c>
      <c r="B45" s="56"/>
      <c r="C45" s="56"/>
      <c r="D45" s="56"/>
      <c r="E45" s="56"/>
      <c r="F45" s="56"/>
      <c r="G45" s="56"/>
      <c r="H45" s="56"/>
      <c r="I45" s="56"/>
      <c r="J45" s="56"/>
      <c r="K45" s="56"/>
    </row>
    <row r="46" spans="1:17">
      <c r="A46" s="66" t="s">
        <v>1946</v>
      </c>
      <c r="B46" s="147">
        <f>((B42/B5)^(1/37)-1)*100</f>
        <v>-0.19533834961654728</v>
      </c>
      <c r="C46" s="147">
        <f t="shared" ref="C46:K46" si="2">((C42/C5)^(1/37)-1)*100</f>
        <v>-2.0317729952823882</v>
      </c>
      <c r="D46" s="147">
        <f t="shared" si="2"/>
        <v>-2.2351668246563872</v>
      </c>
      <c r="E46" s="147">
        <f t="shared" si="2"/>
        <v>-1.8795185549121962</v>
      </c>
      <c r="F46" s="147">
        <f t="shared" si="2"/>
        <v>-2.0995507129952462</v>
      </c>
      <c r="G46" s="147">
        <f t="shared" si="2"/>
        <v>2.6661706518022577</v>
      </c>
      <c r="H46" s="147">
        <f t="shared" si="2"/>
        <v>0.19063166291015676</v>
      </c>
      <c r="I46" s="147">
        <f t="shared" si="2"/>
        <v>-5.0250097759606538</v>
      </c>
      <c r="J46" s="147">
        <f t="shared" si="2"/>
        <v>6.4195788903582907</v>
      </c>
      <c r="K46" s="147">
        <f t="shared" si="2"/>
        <v>1.4477958993394768</v>
      </c>
    </row>
    <row r="47" spans="1:17">
      <c r="A47" s="66" t="s">
        <v>2140</v>
      </c>
      <c r="B47" s="147">
        <f>((B25/B5)^(1/20)-1)*100</f>
        <v>-0.48671156584012554</v>
      </c>
      <c r="C47" s="147">
        <f t="shared" ref="C47:K47" si="3">((C25/C5)^(1/20)-1)*100</f>
        <v>-2.0747100206789382</v>
      </c>
      <c r="D47" s="147">
        <f t="shared" si="3"/>
        <v>-4.1628389163445352</v>
      </c>
      <c r="E47" s="147">
        <f t="shared" si="3"/>
        <v>-1.5051723932514638</v>
      </c>
      <c r="F47" s="147">
        <f t="shared" si="3"/>
        <v>-1.8396795022353141</v>
      </c>
      <c r="G47" s="147">
        <f t="shared" si="3"/>
        <v>3.4768514312270016</v>
      </c>
      <c r="H47" s="147">
        <f t="shared" si="3"/>
        <v>-0.63989058720642644</v>
      </c>
      <c r="I47" s="147">
        <f t="shared" si="3"/>
        <v>-4.6887122442414109</v>
      </c>
      <c r="J47" s="147">
        <f t="shared" si="3"/>
        <v>7.3074181911811698</v>
      </c>
      <c r="K47" s="147">
        <f t="shared" si="3"/>
        <v>0.20418340213417263</v>
      </c>
    </row>
    <row r="48" spans="1:17">
      <c r="A48" s="66" t="s">
        <v>660</v>
      </c>
      <c r="B48" s="147">
        <f t="shared" ref="B48:K48" si="4">((B35/B25)^(1/10)-1)*100</f>
        <v>-4.8741676556129931E-2</v>
      </c>
      <c r="C48" s="147">
        <f t="shared" si="4"/>
        <v>-1.357803403165847</v>
      </c>
      <c r="D48" s="147">
        <f t="shared" si="4"/>
        <v>4.0559086655989063</v>
      </c>
      <c r="E48" s="147">
        <f t="shared" si="4"/>
        <v>-2.7870644667465916</v>
      </c>
      <c r="F48" s="147">
        <f t="shared" si="4"/>
        <v>-2.0733854994605116</v>
      </c>
      <c r="G48" s="147">
        <f t="shared" si="4"/>
        <v>1.9770978313068621</v>
      </c>
      <c r="H48" s="147">
        <f t="shared" si="4"/>
        <v>-0.83046549235693545</v>
      </c>
      <c r="I48" s="147">
        <f t="shared" si="4"/>
        <v>-13.1301922181568</v>
      </c>
      <c r="J48" s="147">
        <f t="shared" si="4"/>
        <v>5.8693122534713593</v>
      </c>
      <c r="K48" s="147">
        <f t="shared" si="4"/>
        <v>2.2166149622218967</v>
      </c>
    </row>
    <row r="49" spans="1:11">
      <c r="A49" s="66" t="s">
        <v>588</v>
      </c>
      <c r="B49" s="147">
        <f>((B42/B35)^(1/7)-1)*100</f>
        <v>0.431061504377106</v>
      </c>
      <c r="C49" s="147">
        <f t="shared" ref="C49:K49" si="5">((C42/C35)^(1/7)-1)*100</f>
        <v>-2.8650221400253417</v>
      </c>
      <c r="D49" s="147">
        <f t="shared" si="5"/>
        <v>-5.3323155448053665</v>
      </c>
      <c r="E49" s="147">
        <f t="shared" si="5"/>
        <v>-1.6442350488710344</v>
      </c>
      <c r="F49" s="147">
        <f t="shared" si="5"/>
        <v>-2.8753399459228834</v>
      </c>
      <c r="G49" s="147">
        <f t="shared" si="5"/>
        <v>1.3551870734543447</v>
      </c>
      <c r="H49" s="147">
        <f t="shared" si="5"/>
        <v>4.1145256813648334</v>
      </c>
      <c r="I49" s="147">
        <f t="shared" si="5"/>
        <v>6.7988901114510281</v>
      </c>
      <c r="J49" s="147">
        <f t="shared" si="5"/>
        <v>4.695668424674948</v>
      </c>
      <c r="K49" s="147">
        <f t="shared" si="5"/>
        <v>3.9593461225563509</v>
      </c>
    </row>
    <row r="51" spans="1:11" ht="30" customHeight="1">
      <c r="A51" s="104" t="s">
        <v>2039</v>
      </c>
      <c r="B51" s="104"/>
      <c r="C51" s="104"/>
      <c r="D51" s="104"/>
      <c r="E51" s="104"/>
      <c r="F51" s="104"/>
      <c r="G51" s="104"/>
      <c r="H51" s="104"/>
      <c r="I51" s="104"/>
      <c r="J51" s="104"/>
      <c r="K51" s="104"/>
    </row>
    <row r="52" spans="1:11">
      <c r="A52" s="137"/>
      <c r="B52" s="137"/>
      <c r="C52" s="137"/>
      <c r="D52" s="137"/>
      <c r="E52" s="137"/>
      <c r="F52" s="137"/>
      <c r="G52" s="137"/>
      <c r="H52" s="137"/>
      <c r="I52" s="137"/>
      <c r="J52" s="137"/>
      <c r="K52" s="137"/>
    </row>
  </sheetData>
  <mergeCells count="13">
    <mergeCell ref="M2:Q2"/>
    <mergeCell ref="A3:A4"/>
    <mergeCell ref="B3:B4"/>
    <mergeCell ref="C3:F3"/>
    <mergeCell ref="G3:G4"/>
    <mergeCell ref="H3:K3"/>
    <mergeCell ref="M3:M4"/>
    <mergeCell ref="N3:Q3"/>
    <mergeCell ref="A52:K52"/>
    <mergeCell ref="A51:K51"/>
    <mergeCell ref="A1:K1"/>
    <mergeCell ref="B2:F2"/>
    <mergeCell ref="G2:K2"/>
  </mergeCells>
  <pageMargins left="0.7" right="0.7" top="0.75" bottom="0.75" header="0.3" footer="0.3"/>
  <pageSetup scale="63" orientation="landscape" horizontalDpi="0" verticalDpi="0" r:id="rId1"/>
</worksheet>
</file>

<file path=xl/worksheets/sheet148.xml><?xml version="1.0" encoding="utf-8"?>
<worksheet xmlns="http://schemas.openxmlformats.org/spreadsheetml/2006/main" xmlns:r="http://schemas.openxmlformats.org/officeDocument/2006/relationships">
  <sheetPr codeName="Sheet140"/>
  <dimension ref="A1:P53"/>
  <sheetViews>
    <sheetView view="pageBreakPreview" zoomScale="85" zoomScaleNormal="85" zoomScaleSheetLayoutView="85" workbookViewId="0">
      <selection activeCell="AC38" sqref="AC38"/>
    </sheetView>
  </sheetViews>
  <sheetFormatPr defaultRowHeight="15"/>
  <cols>
    <col min="1" max="1" width="12.28515625" style="64" customWidth="1"/>
    <col min="2" max="16" width="12.42578125" style="64" customWidth="1"/>
    <col min="17" max="16384" width="9.140625" style="64"/>
  </cols>
  <sheetData>
    <row r="1" spans="1:16">
      <c r="A1" s="108" t="s">
        <v>1934</v>
      </c>
      <c r="B1" s="108"/>
      <c r="C1" s="108"/>
      <c r="D1" s="108"/>
      <c r="E1" s="108"/>
      <c r="F1" s="108"/>
      <c r="G1" s="108"/>
      <c r="H1" s="108"/>
      <c r="I1" s="108"/>
      <c r="J1" s="108"/>
      <c r="K1" s="108"/>
      <c r="L1" s="108"/>
      <c r="M1" s="108"/>
      <c r="N1" s="108"/>
      <c r="O1" s="108"/>
      <c r="P1" s="108"/>
    </row>
    <row r="2" spans="1:16">
      <c r="A2" s="66"/>
      <c r="B2" s="107" t="s">
        <v>542</v>
      </c>
      <c r="C2" s="107"/>
      <c r="D2" s="107"/>
      <c r="E2" s="107"/>
      <c r="F2" s="107"/>
      <c r="G2" s="107" t="s">
        <v>530</v>
      </c>
      <c r="H2" s="107"/>
      <c r="I2" s="107"/>
      <c r="J2" s="107"/>
      <c r="K2" s="107"/>
      <c r="L2" s="107" t="s">
        <v>534</v>
      </c>
      <c r="M2" s="107"/>
      <c r="N2" s="107"/>
      <c r="O2" s="107"/>
      <c r="P2" s="107"/>
    </row>
    <row r="3" spans="1:16" ht="15" customHeight="1">
      <c r="A3" s="149"/>
      <c r="B3" s="97" t="s">
        <v>523</v>
      </c>
      <c r="C3" s="97" t="s">
        <v>37</v>
      </c>
      <c r="D3" s="97"/>
      <c r="E3" s="97"/>
      <c r="F3" s="97"/>
      <c r="G3" s="97" t="s">
        <v>523</v>
      </c>
      <c r="H3" s="97" t="s">
        <v>37</v>
      </c>
      <c r="I3" s="97"/>
      <c r="J3" s="97"/>
      <c r="K3" s="97"/>
      <c r="L3" s="97" t="s">
        <v>523</v>
      </c>
      <c r="M3" s="97" t="s">
        <v>37</v>
      </c>
      <c r="N3" s="97"/>
      <c r="O3" s="97"/>
      <c r="P3" s="97"/>
    </row>
    <row r="4" spans="1:16" ht="60">
      <c r="A4" s="149"/>
      <c r="B4" s="97"/>
      <c r="C4" s="73" t="s">
        <v>78</v>
      </c>
      <c r="D4" s="73" t="s">
        <v>522</v>
      </c>
      <c r="E4" s="73" t="s">
        <v>524</v>
      </c>
      <c r="F4" s="73" t="s">
        <v>525</v>
      </c>
      <c r="G4" s="97"/>
      <c r="H4" s="73" t="s">
        <v>78</v>
      </c>
      <c r="I4" s="73" t="s">
        <v>522</v>
      </c>
      <c r="J4" s="73" t="s">
        <v>524</v>
      </c>
      <c r="K4" s="73" t="s">
        <v>525</v>
      </c>
      <c r="L4" s="97"/>
      <c r="M4" s="73" t="s">
        <v>78</v>
      </c>
      <c r="N4" s="73" t="s">
        <v>522</v>
      </c>
      <c r="O4" s="73" t="s">
        <v>524</v>
      </c>
      <c r="P4" s="73" t="s">
        <v>525</v>
      </c>
    </row>
    <row r="5" spans="1:16">
      <c r="A5" s="66">
        <v>1970</v>
      </c>
      <c r="B5" s="150">
        <v>108899.5</v>
      </c>
      <c r="C5" s="30">
        <f t="shared" ref="C5:C42" si="0">SUM(D5:F5)</f>
        <v>2161.4699999999998</v>
      </c>
      <c r="D5" s="150">
        <v>1341.33</v>
      </c>
      <c r="E5" s="150">
        <v>331.74</v>
      </c>
      <c r="F5" s="150">
        <v>488.4</v>
      </c>
      <c r="G5" s="151">
        <v>19.41</v>
      </c>
      <c r="H5" s="28">
        <f t="shared" ref="H5:H13" si="1">I5*(D5/C5)+J5*(E5/C5)+K5*(F5/C5)</f>
        <v>8.3506960540743105</v>
      </c>
      <c r="I5" s="151">
        <v>2.78</v>
      </c>
      <c r="J5" s="151">
        <v>33.04</v>
      </c>
      <c r="K5" s="151">
        <v>6.88</v>
      </c>
      <c r="L5" s="56">
        <f t="shared" ref="L5:L40" si="2">B5*100/G5</f>
        <v>561048.42864502838</v>
      </c>
      <c r="M5" s="56">
        <f t="shared" ref="M5:M40" si="3">C5*100/H5</f>
        <v>25883.710603326497</v>
      </c>
      <c r="N5" s="56">
        <f t="shared" ref="N5:N40" si="4">D5*100/I5</f>
        <v>48249.280575539575</v>
      </c>
      <c r="O5" s="56">
        <f t="shared" ref="O5:O40" si="5">E5*100/J5</f>
        <v>1004.0556900726392</v>
      </c>
      <c r="P5" s="56">
        <f t="shared" ref="P5:P40" si="6">F5*100/K5</f>
        <v>7098.8372093023254</v>
      </c>
    </row>
    <row r="6" spans="1:16">
      <c r="A6" s="66">
        <v>1971</v>
      </c>
      <c r="B6" s="150">
        <v>122008.55</v>
      </c>
      <c r="C6" s="30">
        <f t="shared" si="0"/>
        <v>2378.04</v>
      </c>
      <c r="D6" s="150">
        <v>1425.28</v>
      </c>
      <c r="E6" s="150">
        <v>392.1</v>
      </c>
      <c r="F6" s="150">
        <v>560.66</v>
      </c>
      <c r="G6" s="151">
        <v>20.63</v>
      </c>
      <c r="H6" s="28">
        <f t="shared" si="1"/>
        <v>9.1771084590671297</v>
      </c>
      <c r="I6" s="151">
        <v>2.92</v>
      </c>
      <c r="J6" s="151">
        <v>34.619999999999997</v>
      </c>
      <c r="K6" s="151">
        <v>7.29</v>
      </c>
      <c r="L6" s="56">
        <f t="shared" si="2"/>
        <v>591413.23315559863</v>
      </c>
      <c r="M6" s="56">
        <f t="shared" si="3"/>
        <v>25912.737226620204</v>
      </c>
      <c r="N6" s="56">
        <f t="shared" si="4"/>
        <v>48810.95890410959</v>
      </c>
      <c r="O6" s="56">
        <f t="shared" si="5"/>
        <v>1132.5823223570192</v>
      </c>
      <c r="P6" s="56">
        <f t="shared" si="6"/>
        <v>7690.8093278463648</v>
      </c>
    </row>
    <row r="7" spans="1:16">
      <c r="A7" s="66">
        <v>1972</v>
      </c>
      <c r="B7" s="150">
        <v>136737.54999999999</v>
      </c>
      <c r="C7" s="30">
        <f t="shared" si="0"/>
        <v>2803.1699999999996</v>
      </c>
      <c r="D7" s="150">
        <v>1739.86</v>
      </c>
      <c r="E7" s="150">
        <v>431.88</v>
      </c>
      <c r="F7" s="150">
        <v>631.42999999999995</v>
      </c>
      <c r="G7" s="151">
        <v>22.08</v>
      </c>
      <c r="H7" s="28">
        <f t="shared" si="1"/>
        <v>9.4709857054691646</v>
      </c>
      <c r="I7" s="151">
        <v>3.54</v>
      </c>
      <c r="J7" s="151">
        <v>36.479999999999997</v>
      </c>
      <c r="K7" s="151">
        <v>7.34</v>
      </c>
      <c r="L7" s="56">
        <f t="shared" si="2"/>
        <v>619282.38224637683</v>
      </c>
      <c r="M7" s="56">
        <f t="shared" si="3"/>
        <v>29597.447268675172</v>
      </c>
      <c r="N7" s="56">
        <f t="shared" si="4"/>
        <v>49148.587570621472</v>
      </c>
      <c r="O7" s="56">
        <f t="shared" si="5"/>
        <v>1183.8815789473686</v>
      </c>
      <c r="P7" s="56">
        <f t="shared" si="6"/>
        <v>8602.5885558583104</v>
      </c>
    </row>
    <row r="8" spans="1:16">
      <c r="A8" s="66">
        <v>1973</v>
      </c>
      <c r="B8" s="150">
        <v>157846.79999999999</v>
      </c>
      <c r="C8" s="30">
        <f t="shared" si="0"/>
        <v>3159.1</v>
      </c>
      <c r="D8" s="150">
        <v>1956.9</v>
      </c>
      <c r="E8" s="150">
        <v>513.02</v>
      </c>
      <c r="F8" s="150">
        <v>689.18</v>
      </c>
      <c r="G8" s="151">
        <v>23.94</v>
      </c>
      <c r="H8" s="28">
        <f t="shared" si="1"/>
        <v>10.275749802158844</v>
      </c>
      <c r="I8" s="151">
        <v>3.79</v>
      </c>
      <c r="J8" s="151">
        <v>38.61</v>
      </c>
      <c r="K8" s="151">
        <v>7.6</v>
      </c>
      <c r="L8" s="56">
        <f t="shared" si="2"/>
        <v>659343.35839598987</v>
      </c>
      <c r="M8" s="56">
        <f t="shared" si="3"/>
        <v>30743.255342167842</v>
      </c>
      <c r="N8" s="56">
        <f t="shared" si="4"/>
        <v>51633.245382585752</v>
      </c>
      <c r="O8" s="56">
        <f t="shared" si="5"/>
        <v>1328.7231287231286</v>
      </c>
      <c r="P8" s="56">
        <f t="shared" si="6"/>
        <v>9068.1578947368416</v>
      </c>
    </row>
    <row r="9" spans="1:16">
      <c r="A9" s="66">
        <v>1974</v>
      </c>
      <c r="B9" s="150">
        <v>184710.39999999999</v>
      </c>
      <c r="C9" s="30">
        <f t="shared" si="0"/>
        <v>3475.8300000000004</v>
      </c>
      <c r="D9" s="150">
        <v>1919.27</v>
      </c>
      <c r="E9" s="150">
        <v>605.70000000000005</v>
      </c>
      <c r="F9" s="150">
        <v>950.86</v>
      </c>
      <c r="G9" s="151">
        <v>26.61</v>
      </c>
      <c r="H9" s="28">
        <f t="shared" si="1"/>
        <v>12.342708015064026</v>
      </c>
      <c r="I9" s="151">
        <v>3.78</v>
      </c>
      <c r="J9" s="151">
        <v>43.2</v>
      </c>
      <c r="K9" s="151">
        <v>9.9700000000000006</v>
      </c>
      <c r="L9" s="56">
        <f t="shared" si="2"/>
        <v>694139.04547162727</v>
      </c>
      <c r="M9" s="56">
        <f t="shared" si="3"/>
        <v>28160.999966602307</v>
      </c>
      <c r="N9" s="56">
        <f t="shared" si="4"/>
        <v>50774.338624338627</v>
      </c>
      <c r="O9" s="56">
        <f t="shared" si="5"/>
        <v>1402.0833333333335</v>
      </c>
      <c r="P9" s="56">
        <f t="shared" si="6"/>
        <v>9537.2116349047137</v>
      </c>
    </row>
    <row r="10" spans="1:16">
      <c r="A10" s="66">
        <v>1975</v>
      </c>
      <c r="B10" s="150">
        <v>207008.68</v>
      </c>
      <c r="C10" s="30">
        <f t="shared" si="0"/>
        <v>3574.23</v>
      </c>
      <c r="D10" s="150">
        <v>1933.74</v>
      </c>
      <c r="E10" s="150">
        <v>685.82</v>
      </c>
      <c r="F10" s="150">
        <v>954.67</v>
      </c>
      <c r="G10" s="151">
        <v>30.31</v>
      </c>
      <c r="H10" s="28">
        <f t="shared" si="1"/>
        <v>14.527915858800355</v>
      </c>
      <c r="I10" s="151">
        <v>4.0199999999999996</v>
      </c>
      <c r="J10" s="151">
        <v>48.19</v>
      </c>
      <c r="K10" s="151">
        <v>11.63</v>
      </c>
      <c r="L10" s="56">
        <f t="shared" si="2"/>
        <v>682971.56054107554</v>
      </c>
      <c r="M10" s="56">
        <f t="shared" si="3"/>
        <v>24602.496564122739</v>
      </c>
      <c r="N10" s="56">
        <f t="shared" si="4"/>
        <v>48102.985074626871</v>
      </c>
      <c r="O10" s="56">
        <f t="shared" si="5"/>
        <v>1423.1583316040674</v>
      </c>
      <c r="P10" s="56">
        <f t="shared" si="6"/>
        <v>8208.6844368013753</v>
      </c>
    </row>
    <row r="11" spans="1:16">
      <c r="A11" s="66">
        <v>1976</v>
      </c>
      <c r="B11" s="150">
        <v>239909.69</v>
      </c>
      <c r="C11" s="30">
        <f t="shared" si="0"/>
        <v>3889.1800000000003</v>
      </c>
      <c r="D11" s="150">
        <v>2096.09</v>
      </c>
      <c r="E11" s="150">
        <v>776.11</v>
      </c>
      <c r="F11" s="150">
        <v>1016.98</v>
      </c>
      <c r="G11" s="151">
        <v>33.909999999999997</v>
      </c>
      <c r="H11" s="28">
        <f t="shared" si="1"/>
        <v>15.927357463527015</v>
      </c>
      <c r="I11" s="151">
        <v>4.53</v>
      </c>
      <c r="J11" s="151">
        <v>52.72</v>
      </c>
      <c r="K11" s="151">
        <v>11.34</v>
      </c>
      <c r="L11" s="56">
        <f t="shared" si="2"/>
        <v>707489.50162194052</v>
      </c>
      <c r="M11" s="56">
        <f t="shared" si="3"/>
        <v>24418.237670034468</v>
      </c>
      <c r="N11" s="56">
        <f t="shared" si="4"/>
        <v>46271.302428256065</v>
      </c>
      <c r="O11" s="56">
        <f t="shared" si="5"/>
        <v>1472.1358118361154</v>
      </c>
      <c r="P11" s="56">
        <f t="shared" si="6"/>
        <v>8968.0776014109342</v>
      </c>
    </row>
    <row r="12" spans="1:16">
      <c r="A12" s="66">
        <v>1977</v>
      </c>
      <c r="B12" s="150">
        <v>271706</v>
      </c>
      <c r="C12" s="30">
        <f t="shared" si="0"/>
        <v>4217.67</v>
      </c>
      <c r="D12" s="150">
        <v>2249.4699999999998</v>
      </c>
      <c r="E12" s="150">
        <v>890.31</v>
      </c>
      <c r="F12" s="150">
        <v>1077.8900000000001</v>
      </c>
      <c r="G12" s="151">
        <v>37.17</v>
      </c>
      <c r="H12" s="28">
        <f t="shared" si="1"/>
        <v>17.119499059907483</v>
      </c>
      <c r="I12" s="151">
        <v>5.0199999999999996</v>
      </c>
      <c r="J12" s="151">
        <v>54.07</v>
      </c>
      <c r="K12" s="151">
        <v>11.85</v>
      </c>
      <c r="L12" s="56">
        <f t="shared" si="2"/>
        <v>730981.97471078823</v>
      </c>
      <c r="M12" s="56">
        <f t="shared" si="3"/>
        <v>24636.643778190046</v>
      </c>
      <c r="N12" s="56">
        <f t="shared" si="4"/>
        <v>44810.159362549799</v>
      </c>
      <c r="O12" s="56">
        <f t="shared" si="5"/>
        <v>1646.5877566117995</v>
      </c>
      <c r="P12" s="56">
        <f t="shared" si="6"/>
        <v>9096.1181434599166</v>
      </c>
    </row>
    <row r="13" spans="1:16">
      <c r="A13" s="66">
        <v>1978</v>
      </c>
      <c r="B13" s="150">
        <v>308017.59999999998</v>
      </c>
      <c r="C13" s="30">
        <f t="shared" si="0"/>
        <v>4772.2699999999995</v>
      </c>
      <c r="D13" s="150">
        <v>2575.96</v>
      </c>
      <c r="E13" s="150">
        <v>994.74</v>
      </c>
      <c r="F13" s="150">
        <v>1201.57</v>
      </c>
      <c r="G13" s="151">
        <v>40.81</v>
      </c>
      <c r="H13" s="28">
        <f t="shared" si="1"/>
        <v>18.610287997116679</v>
      </c>
      <c r="I13" s="151">
        <v>5.21</v>
      </c>
      <c r="J13" s="151">
        <v>58.53</v>
      </c>
      <c r="K13" s="151">
        <v>14.29</v>
      </c>
      <c r="L13" s="56">
        <f t="shared" si="2"/>
        <v>754760.10781671142</v>
      </c>
      <c r="M13" s="56">
        <f t="shared" si="3"/>
        <v>25643.181882727309</v>
      </c>
      <c r="N13" s="56">
        <f t="shared" si="4"/>
        <v>49442.6103646833</v>
      </c>
      <c r="O13" s="56">
        <f t="shared" si="5"/>
        <v>1699.5386981035367</v>
      </c>
      <c r="P13" s="56">
        <f t="shared" si="6"/>
        <v>8408.4674597620724</v>
      </c>
    </row>
    <row r="14" spans="1:16">
      <c r="A14" s="66">
        <v>1979</v>
      </c>
      <c r="B14" s="30">
        <v>348828.49</v>
      </c>
      <c r="C14" s="30">
        <f t="shared" si="0"/>
        <v>5390.46</v>
      </c>
      <c r="D14" s="30">
        <v>2899.75</v>
      </c>
      <c r="E14" s="30">
        <v>1123.7</v>
      </c>
      <c r="F14" s="30">
        <v>1367.01</v>
      </c>
      <c r="G14" s="28">
        <v>44.95</v>
      </c>
      <c r="H14" s="28">
        <f>I14*(D14/C14)+J14*(E14/C14)+K14*(F14/C14)</f>
        <v>21.119811184945256</v>
      </c>
      <c r="I14" s="28">
        <v>6.45</v>
      </c>
      <c r="J14" s="28">
        <v>62.54</v>
      </c>
      <c r="K14" s="28">
        <v>18.190000000000001</v>
      </c>
      <c r="L14" s="56">
        <f t="shared" si="2"/>
        <v>776036.68520578416</v>
      </c>
      <c r="M14" s="56">
        <f t="shared" si="3"/>
        <v>25523.239544122716</v>
      </c>
      <c r="N14" s="56">
        <f t="shared" si="4"/>
        <v>44957.364341085267</v>
      </c>
      <c r="O14" s="56">
        <f t="shared" si="5"/>
        <v>1796.7700671570196</v>
      </c>
      <c r="P14" s="56">
        <f t="shared" si="6"/>
        <v>7515.1731720725666</v>
      </c>
    </row>
    <row r="15" spans="1:16">
      <c r="A15" s="66">
        <v>1980</v>
      </c>
      <c r="B15" s="30">
        <v>396633.82</v>
      </c>
      <c r="C15" s="30">
        <f t="shared" si="0"/>
        <v>5801.9800000000005</v>
      </c>
      <c r="D15" s="30">
        <v>2883.62</v>
      </c>
      <c r="E15" s="30">
        <v>1311.48</v>
      </c>
      <c r="F15" s="30">
        <v>1606.88</v>
      </c>
      <c r="G15" s="28">
        <v>50</v>
      </c>
      <c r="H15" s="28">
        <f t="shared" ref="H15:H42" si="7">I15*(D15/C15)+J15*(E15/C15)+K15*(F15/C15)</f>
        <v>26.810316167928878</v>
      </c>
      <c r="I15" s="28">
        <v>7.79</v>
      </c>
      <c r="J15" s="28">
        <v>71.56</v>
      </c>
      <c r="K15" s="28">
        <v>24.42</v>
      </c>
      <c r="L15" s="56">
        <f t="shared" si="2"/>
        <v>793267.64</v>
      </c>
      <c r="M15" s="56">
        <f t="shared" si="3"/>
        <v>21640.848857054745</v>
      </c>
      <c r="N15" s="56">
        <f t="shared" si="4"/>
        <v>37016.944801026955</v>
      </c>
      <c r="O15" s="56">
        <f t="shared" si="5"/>
        <v>1832.6998323085522</v>
      </c>
      <c r="P15" s="56">
        <f t="shared" si="6"/>
        <v>6580.1801801801794</v>
      </c>
    </row>
    <row r="16" spans="1:16">
      <c r="A16" s="66">
        <v>1981</v>
      </c>
      <c r="B16" s="30">
        <v>446600.85</v>
      </c>
      <c r="C16" s="30">
        <f t="shared" si="0"/>
        <v>6327.619999999999</v>
      </c>
      <c r="D16" s="30">
        <v>3143.22</v>
      </c>
      <c r="E16" s="30">
        <v>1425.34</v>
      </c>
      <c r="F16" s="30">
        <v>1759.06</v>
      </c>
      <c r="G16" s="28">
        <v>55.68</v>
      </c>
      <c r="H16" s="28">
        <f t="shared" si="7"/>
        <v>29.82062026480731</v>
      </c>
      <c r="I16" s="28">
        <v>10.3</v>
      </c>
      <c r="J16" s="28">
        <v>73.77</v>
      </c>
      <c r="K16" s="28">
        <v>29.09</v>
      </c>
      <c r="L16" s="56">
        <f t="shared" si="2"/>
        <v>802084.85991379316</v>
      </c>
      <c r="M16" s="56">
        <f t="shared" si="3"/>
        <v>21218.94160420102</v>
      </c>
      <c r="N16" s="56">
        <f t="shared" si="4"/>
        <v>30516.699029126212</v>
      </c>
      <c r="O16" s="56">
        <f t="shared" si="5"/>
        <v>1932.1404364917989</v>
      </c>
      <c r="P16" s="56">
        <f t="shared" si="6"/>
        <v>6046.9577174286696</v>
      </c>
    </row>
    <row r="17" spans="1:16">
      <c r="A17" s="66">
        <v>1982</v>
      </c>
      <c r="B17" s="30">
        <v>511537.4</v>
      </c>
      <c r="C17" s="30">
        <f t="shared" si="0"/>
        <v>7774.51</v>
      </c>
      <c r="D17" s="30">
        <v>3976.04</v>
      </c>
      <c r="E17" s="30">
        <v>1694.13</v>
      </c>
      <c r="F17" s="30">
        <v>2104.34</v>
      </c>
      <c r="G17" s="28">
        <v>62.29</v>
      </c>
      <c r="H17" s="28">
        <f t="shared" si="7"/>
        <v>33.055518058372805</v>
      </c>
      <c r="I17" s="28">
        <v>13.6</v>
      </c>
      <c r="J17" s="28">
        <v>76.91</v>
      </c>
      <c r="K17" s="28">
        <v>34.51</v>
      </c>
      <c r="L17" s="56">
        <f t="shared" si="2"/>
        <v>821219.13629796111</v>
      </c>
      <c r="M17" s="56">
        <f t="shared" si="3"/>
        <v>23519.552730261184</v>
      </c>
      <c r="N17" s="56">
        <f t="shared" si="4"/>
        <v>29235.588235294119</v>
      </c>
      <c r="O17" s="56">
        <f t="shared" si="5"/>
        <v>2202.7434663892864</v>
      </c>
      <c r="P17" s="56">
        <f t="shared" si="6"/>
        <v>6097.768762677485</v>
      </c>
    </row>
    <row r="18" spans="1:16">
      <c r="A18" s="66">
        <v>1983</v>
      </c>
      <c r="B18" s="30">
        <v>566756.31000000006</v>
      </c>
      <c r="C18" s="30">
        <f t="shared" si="0"/>
        <v>7718.4500000000007</v>
      </c>
      <c r="D18" s="30">
        <v>3675.76</v>
      </c>
      <c r="E18" s="30">
        <v>1798.25</v>
      </c>
      <c r="F18" s="30">
        <v>2244.44</v>
      </c>
      <c r="G18" s="28">
        <v>68.12</v>
      </c>
      <c r="H18" s="28">
        <f t="shared" si="7"/>
        <v>38.112308986907991</v>
      </c>
      <c r="I18" s="28">
        <v>17.239999999999998</v>
      </c>
      <c r="J18" s="28">
        <v>78.97</v>
      </c>
      <c r="K18" s="28">
        <v>39.56</v>
      </c>
      <c r="L18" s="56">
        <f t="shared" si="2"/>
        <v>831996.93188490905</v>
      </c>
      <c r="M18" s="56">
        <f t="shared" si="3"/>
        <v>20251.856172375639</v>
      </c>
      <c r="N18" s="56">
        <f t="shared" si="4"/>
        <v>21321.113689095131</v>
      </c>
      <c r="O18" s="56">
        <f t="shared" si="5"/>
        <v>2277.1305559073066</v>
      </c>
      <c r="P18" s="56">
        <f t="shared" si="6"/>
        <v>5673.5085945399387</v>
      </c>
    </row>
    <row r="19" spans="1:16">
      <c r="A19" s="66">
        <v>1984</v>
      </c>
      <c r="B19" s="30">
        <v>617126.17000000004</v>
      </c>
      <c r="C19" s="30">
        <f t="shared" si="0"/>
        <v>8502.5400000000009</v>
      </c>
      <c r="D19" s="30">
        <v>3604.26</v>
      </c>
      <c r="E19" s="30">
        <v>2172.1</v>
      </c>
      <c r="F19" s="30">
        <v>2726.18</v>
      </c>
      <c r="G19" s="28">
        <v>72.91</v>
      </c>
      <c r="H19" s="28">
        <f t="shared" si="7"/>
        <v>47.376717616147637</v>
      </c>
      <c r="I19" s="28">
        <v>19.53</v>
      </c>
      <c r="J19" s="28">
        <v>90.53</v>
      </c>
      <c r="K19" s="28">
        <v>49.81</v>
      </c>
      <c r="L19" s="56">
        <f t="shared" si="2"/>
        <v>846421.84885475261</v>
      </c>
      <c r="M19" s="56">
        <f t="shared" si="3"/>
        <v>17946.66331443367</v>
      </c>
      <c r="N19" s="56">
        <f t="shared" si="4"/>
        <v>18454.992319508448</v>
      </c>
      <c r="O19" s="56">
        <f t="shared" si="5"/>
        <v>2399.31514415111</v>
      </c>
      <c r="P19" s="56">
        <f t="shared" si="6"/>
        <v>5473.1580004015259</v>
      </c>
    </row>
    <row r="20" spans="1:16">
      <c r="A20" s="66">
        <v>1985</v>
      </c>
      <c r="B20" s="30">
        <v>661148</v>
      </c>
      <c r="C20" s="30">
        <f t="shared" si="0"/>
        <v>9142.7999999999993</v>
      </c>
      <c r="D20" s="30">
        <v>3805.72</v>
      </c>
      <c r="E20" s="30">
        <v>2360.36</v>
      </c>
      <c r="F20" s="30">
        <v>2976.72</v>
      </c>
      <c r="G20" s="28">
        <v>76.650000000000006</v>
      </c>
      <c r="H20" s="28">
        <f t="shared" si="7"/>
        <v>53.458345320908265</v>
      </c>
      <c r="I20" s="28">
        <v>22.4</v>
      </c>
      <c r="J20" s="28">
        <v>96.95</v>
      </c>
      <c r="K20" s="28">
        <v>58.68</v>
      </c>
      <c r="L20" s="56">
        <f t="shared" si="2"/>
        <v>862554.4683626875</v>
      </c>
      <c r="M20" s="56">
        <f t="shared" si="3"/>
        <v>17102.661792309777</v>
      </c>
      <c r="N20" s="56">
        <f t="shared" si="4"/>
        <v>16989.821428571431</v>
      </c>
      <c r="O20" s="56">
        <f t="shared" si="5"/>
        <v>2434.6157813305826</v>
      </c>
      <c r="P20" s="56">
        <f t="shared" si="6"/>
        <v>5072.8016359918201</v>
      </c>
    </row>
    <row r="21" spans="1:16">
      <c r="A21" s="66">
        <v>1986</v>
      </c>
      <c r="B21" s="30">
        <v>715257.25</v>
      </c>
      <c r="C21" s="30">
        <f t="shared" si="0"/>
        <v>9588.3300000000017</v>
      </c>
      <c r="D21" s="30">
        <v>3932.55</v>
      </c>
      <c r="E21" s="30">
        <v>2483.73</v>
      </c>
      <c r="F21" s="30">
        <v>3172.05</v>
      </c>
      <c r="G21" s="28">
        <v>80.97</v>
      </c>
      <c r="H21" s="28">
        <f t="shared" si="7"/>
        <v>59.024367872194624</v>
      </c>
      <c r="I21" s="28">
        <v>28.74</v>
      </c>
      <c r="J21" s="28">
        <v>98.04</v>
      </c>
      <c r="K21" s="28">
        <v>66.02</v>
      </c>
      <c r="L21" s="56">
        <f t="shared" si="2"/>
        <v>883360.81264665932</v>
      </c>
      <c r="M21" s="56">
        <f t="shared" si="3"/>
        <v>16244.697479457296</v>
      </c>
      <c r="N21" s="56">
        <f t="shared" si="4"/>
        <v>13683.194154488518</v>
      </c>
      <c r="O21" s="56">
        <f t="shared" si="5"/>
        <v>2533.3843329253364</v>
      </c>
      <c r="P21" s="56">
        <f t="shared" si="6"/>
        <v>4804.6803998788246</v>
      </c>
    </row>
    <row r="22" spans="1:16">
      <c r="A22" s="66">
        <v>1987</v>
      </c>
      <c r="B22" s="30">
        <v>753196.85</v>
      </c>
      <c r="C22" s="30">
        <f t="shared" si="0"/>
        <v>9541.17</v>
      </c>
      <c r="D22" s="30">
        <v>3757</v>
      </c>
      <c r="E22" s="30">
        <v>2526.9499999999998</v>
      </c>
      <c r="F22" s="30">
        <v>3257.22</v>
      </c>
      <c r="G22" s="28">
        <v>83.33</v>
      </c>
      <c r="H22" s="28">
        <f t="shared" si="7"/>
        <v>62.466703433645961</v>
      </c>
      <c r="I22" s="28">
        <v>31.49</v>
      </c>
      <c r="J22" s="28">
        <v>97.6</v>
      </c>
      <c r="K22" s="28">
        <v>70.94</v>
      </c>
      <c r="L22" s="56">
        <f t="shared" si="2"/>
        <v>903872.37489499582</v>
      </c>
      <c r="M22" s="56">
        <f t="shared" si="3"/>
        <v>15274.009152948054</v>
      </c>
      <c r="N22" s="56">
        <f t="shared" si="4"/>
        <v>11930.771673547159</v>
      </c>
      <c r="O22" s="56">
        <f t="shared" si="5"/>
        <v>2589.0881147540981</v>
      </c>
      <c r="P22" s="56">
        <f t="shared" si="6"/>
        <v>4591.5139554553143</v>
      </c>
    </row>
    <row r="23" spans="1:16">
      <c r="A23" s="66">
        <v>1988</v>
      </c>
      <c r="B23" s="30">
        <v>811112.36</v>
      </c>
      <c r="C23" s="30">
        <f t="shared" si="0"/>
        <v>10002.619999999999</v>
      </c>
      <c r="D23" s="30">
        <v>3685.89</v>
      </c>
      <c r="E23" s="30">
        <v>2739.01</v>
      </c>
      <c r="F23" s="30">
        <v>3577.72</v>
      </c>
      <c r="G23" s="28">
        <v>86.09</v>
      </c>
      <c r="H23" s="28">
        <f t="shared" si="7"/>
        <v>67.87384913152755</v>
      </c>
      <c r="I23" s="28">
        <v>37.25</v>
      </c>
      <c r="J23" s="28">
        <v>99.11</v>
      </c>
      <c r="K23" s="28">
        <v>75.510000000000005</v>
      </c>
      <c r="L23" s="56">
        <f t="shared" si="2"/>
        <v>942167.91729585314</v>
      </c>
      <c r="M23" s="56">
        <f t="shared" si="3"/>
        <v>14737.074923534519</v>
      </c>
      <c r="N23" s="56">
        <f t="shared" si="4"/>
        <v>9895.0067114093963</v>
      </c>
      <c r="O23" s="56">
        <f t="shared" si="5"/>
        <v>2763.6060942387248</v>
      </c>
      <c r="P23" s="56">
        <f t="shared" si="6"/>
        <v>4738.0744272281818</v>
      </c>
    </row>
    <row r="24" spans="1:16">
      <c r="A24" s="66">
        <v>1989</v>
      </c>
      <c r="B24" s="30">
        <v>874973.27</v>
      </c>
      <c r="C24" s="30">
        <f t="shared" si="0"/>
        <v>11371.32</v>
      </c>
      <c r="D24" s="30">
        <v>4218.3500000000004</v>
      </c>
      <c r="E24" s="30">
        <v>3087.76</v>
      </c>
      <c r="F24" s="30">
        <v>4065.21</v>
      </c>
      <c r="G24" s="28">
        <v>89.16</v>
      </c>
      <c r="H24" s="28">
        <f t="shared" si="7"/>
        <v>75.995008248822487</v>
      </c>
      <c r="I24" s="28">
        <v>49.23</v>
      </c>
      <c r="J24" s="28">
        <v>104.72</v>
      </c>
      <c r="K24" s="28">
        <v>81.95</v>
      </c>
      <c r="L24" s="56">
        <f t="shared" si="2"/>
        <v>981351.80574248545</v>
      </c>
      <c r="M24" s="56">
        <f t="shared" si="3"/>
        <v>14963.245957903024</v>
      </c>
      <c r="N24" s="56">
        <f t="shared" si="4"/>
        <v>8568.6573227706704</v>
      </c>
      <c r="O24" s="56">
        <f t="shared" si="5"/>
        <v>2948.5867074102371</v>
      </c>
      <c r="P24" s="56">
        <f t="shared" si="6"/>
        <v>4960.5979255643688</v>
      </c>
    </row>
    <row r="25" spans="1:16">
      <c r="A25" s="66">
        <v>1990</v>
      </c>
      <c r="B25" s="30">
        <v>924087.83</v>
      </c>
      <c r="C25" s="30">
        <f t="shared" si="0"/>
        <v>11976.560000000001</v>
      </c>
      <c r="D25" s="30">
        <v>4426.08</v>
      </c>
      <c r="E25" s="30">
        <v>3244.53</v>
      </c>
      <c r="F25" s="30">
        <v>4305.95</v>
      </c>
      <c r="G25" s="28">
        <v>91.67</v>
      </c>
      <c r="H25" s="28">
        <f t="shared" si="7"/>
        <v>80.014189859191617</v>
      </c>
      <c r="I25" s="28">
        <v>56.1</v>
      </c>
      <c r="J25" s="28">
        <v>106.79</v>
      </c>
      <c r="K25" s="28">
        <v>84.42</v>
      </c>
      <c r="L25" s="56">
        <f t="shared" si="2"/>
        <v>1008059.1578488054</v>
      </c>
      <c r="M25" s="56">
        <f t="shared" si="3"/>
        <v>14968.045069351154</v>
      </c>
      <c r="N25" s="56">
        <f t="shared" si="4"/>
        <v>7889.6256684491973</v>
      </c>
      <c r="O25" s="56">
        <f t="shared" si="5"/>
        <v>3038.2339170334299</v>
      </c>
      <c r="P25" s="56">
        <f t="shared" si="6"/>
        <v>5100.6278133143805</v>
      </c>
    </row>
    <row r="26" spans="1:16">
      <c r="A26" s="66">
        <v>1991</v>
      </c>
      <c r="B26" s="30">
        <v>958826.16</v>
      </c>
      <c r="C26" s="30">
        <f t="shared" si="0"/>
        <v>11364.73</v>
      </c>
      <c r="D26" s="30">
        <v>3582.92</v>
      </c>
      <c r="E26" s="30">
        <v>3341.61</v>
      </c>
      <c r="F26" s="30">
        <v>4440.2</v>
      </c>
      <c r="G26" s="28">
        <v>94.04</v>
      </c>
      <c r="H26" s="28">
        <f t="shared" si="7"/>
        <v>83.645880245285198</v>
      </c>
      <c r="I26" s="28">
        <v>60.96</v>
      </c>
      <c r="J26" s="28">
        <v>107.34</v>
      </c>
      <c r="K26" s="28">
        <v>84.12</v>
      </c>
      <c r="L26" s="56">
        <f t="shared" si="2"/>
        <v>1019593.9600170139</v>
      </c>
      <c r="M26" s="56">
        <f t="shared" si="3"/>
        <v>13586.718158352558</v>
      </c>
      <c r="N26" s="56">
        <f t="shared" si="4"/>
        <v>5877.4934383202099</v>
      </c>
      <c r="O26" s="56">
        <f t="shared" si="5"/>
        <v>3113.1078814980433</v>
      </c>
      <c r="P26" s="56">
        <f t="shared" si="6"/>
        <v>5278.4117926771278</v>
      </c>
    </row>
    <row r="27" spans="1:16">
      <c r="A27" s="66">
        <v>1992</v>
      </c>
      <c r="B27" s="30">
        <v>997682.31</v>
      </c>
      <c r="C27" s="30">
        <f t="shared" si="0"/>
        <v>11417.23</v>
      </c>
      <c r="D27" s="30">
        <v>3402.36</v>
      </c>
      <c r="E27" s="30">
        <v>3466.8</v>
      </c>
      <c r="F27" s="30">
        <v>4548.07</v>
      </c>
      <c r="G27" s="28">
        <v>96.25</v>
      </c>
      <c r="H27" s="28">
        <f t="shared" si="7"/>
        <v>85.629484673602974</v>
      </c>
      <c r="I27" s="28">
        <v>65.680000000000007</v>
      </c>
      <c r="J27" s="28">
        <v>110.56</v>
      </c>
      <c r="K27" s="28">
        <v>81.55</v>
      </c>
      <c r="L27" s="56">
        <f t="shared" si="2"/>
        <v>1036553.0493506494</v>
      </c>
      <c r="M27" s="56">
        <f t="shared" si="3"/>
        <v>13333.292899658887</v>
      </c>
      <c r="N27" s="56">
        <f t="shared" si="4"/>
        <v>5180.2070645554195</v>
      </c>
      <c r="O27" s="56">
        <f t="shared" si="5"/>
        <v>3135.6729377713459</v>
      </c>
      <c r="P27" s="56">
        <f t="shared" si="6"/>
        <v>5577.0324954015941</v>
      </c>
    </row>
    <row r="28" spans="1:16">
      <c r="A28" s="66">
        <v>1993</v>
      </c>
      <c r="B28" s="30">
        <v>1003831.35</v>
      </c>
      <c r="C28" s="30">
        <f t="shared" si="0"/>
        <v>10445.08</v>
      </c>
      <c r="D28" s="30">
        <v>2795.98</v>
      </c>
      <c r="E28" s="30">
        <v>3295.82</v>
      </c>
      <c r="F28" s="30">
        <v>4353.28</v>
      </c>
      <c r="G28" s="28">
        <v>97.78</v>
      </c>
      <c r="H28" s="28">
        <f t="shared" si="7"/>
        <v>83.086864341871959</v>
      </c>
      <c r="I28" s="28">
        <v>66.650000000000006</v>
      </c>
      <c r="J28" s="28">
        <v>107.62</v>
      </c>
      <c r="K28" s="28">
        <v>75.069999999999993</v>
      </c>
      <c r="L28" s="56">
        <f t="shared" si="2"/>
        <v>1026622.3665371242</v>
      </c>
      <c r="M28" s="56">
        <f t="shared" si="3"/>
        <v>12571.277160036187</v>
      </c>
      <c r="N28" s="56">
        <f t="shared" si="4"/>
        <v>4195.0187546886718</v>
      </c>
      <c r="O28" s="56">
        <f t="shared" si="5"/>
        <v>3062.4605091990334</v>
      </c>
      <c r="P28" s="56">
        <f t="shared" si="6"/>
        <v>5798.960969761556</v>
      </c>
    </row>
    <row r="29" spans="1:16">
      <c r="A29" s="66">
        <v>1994</v>
      </c>
      <c r="B29" s="30">
        <v>1033229.42</v>
      </c>
      <c r="C29" s="30">
        <f t="shared" si="0"/>
        <v>11209.36</v>
      </c>
      <c r="D29" s="30">
        <v>3789.56</v>
      </c>
      <c r="E29" s="30">
        <v>3193.82</v>
      </c>
      <c r="F29" s="30">
        <v>4225.9799999999996</v>
      </c>
      <c r="G29" s="28">
        <v>98.79</v>
      </c>
      <c r="H29" s="28">
        <f t="shared" si="7"/>
        <v>86.323000777921294</v>
      </c>
      <c r="I29" s="28">
        <v>89.27</v>
      </c>
      <c r="J29" s="28">
        <v>95.89</v>
      </c>
      <c r="K29" s="28">
        <v>76.45</v>
      </c>
      <c r="L29" s="56">
        <f t="shared" si="2"/>
        <v>1045884.6239497925</v>
      </c>
      <c r="M29" s="56">
        <f t="shared" si="3"/>
        <v>12985.368788137635</v>
      </c>
      <c r="N29" s="56">
        <f t="shared" si="4"/>
        <v>4245.0543295620027</v>
      </c>
      <c r="O29" s="56">
        <f t="shared" si="5"/>
        <v>3330.7122744811763</v>
      </c>
      <c r="P29" s="56">
        <f t="shared" si="6"/>
        <v>5527.7697841726613</v>
      </c>
    </row>
    <row r="30" spans="1:16">
      <c r="A30" s="66">
        <v>1995</v>
      </c>
      <c r="B30" s="30">
        <v>1068298.25</v>
      </c>
      <c r="C30" s="30">
        <f t="shared" si="0"/>
        <v>12025.119999999999</v>
      </c>
      <c r="D30" s="30">
        <v>3920.19</v>
      </c>
      <c r="E30" s="30">
        <v>3309.23</v>
      </c>
      <c r="F30" s="30">
        <v>4795.7</v>
      </c>
      <c r="G30" s="28">
        <v>100</v>
      </c>
      <c r="H30" s="28">
        <f t="shared" si="7"/>
        <v>100.00000000000001</v>
      </c>
      <c r="I30" s="28">
        <v>100</v>
      </c>
      <c r="J30" s="28">
        <v>100</v>
      </c>
      <c r="K30" s="28">
        <v>100</v>
      </c>
      <c r="L30" s="56">
        <f t="shared" si="2"/>
        <v>1068298.25</v>
      </c>
      <c r="M30" s="56">
        <f t="shared" si="3"/>
        <v>12025.119999999999</v>
      </c>
      <c r="N30" s="56">
        <f t="shared" si="4"/>
        <v>3920.19</v>
      </c>
      <c r="O30" s="56">
        <f t="shared" si="5"/>
        <v>3309.23</v>
      </c>
      <c r="P30" s="56">
        <f t="shared" si="6"/>
        <v>4795.7</v>
      </c>
    </row>
    <row r="31" spans="1:16">
      <c r="A31" s="66">
        <v>1996</v>
      </c>
      <c r="B31" s="30">
        <v>1093154.99</v>
      </c>
      <c r="C31" s="30">
        <f t="shared" si="0"/>
        <v>11409.92</v>
      </c>
      <c r="D31" s="30">
        <v>3392.56</v>
      </c>
      <c r="E31" s="30">
        <v>3342.02</v>
      </c>
      <c r="F31" s="30">
        <v>4675.34</v>
      </c>
      <c r="G31" s="28">
        <v>101.26</v>
      </c>
      <c r="H31" s="28">
        <f t="shared" si="7"/>
        <v>96.868818098636979</v>
      </c>
      <c r="I31" s="28">
        <v>100.13</v>
      </c>
      <c r="J31" s="28">
        <v>99.81</v>
      </c>
      <c r="K31" s="28">
        <v>92.4</v>
      </c>
      <c r="L31" s="56">
        <f t="shared" si="2"/>
        <v>1079552.6269010468</v>
      </c>
      <c r="M31" s="56">
        <f t="shared" si="3"/>
        <v>11778.733573874943</v>
      </c>
      <c r="N31" s="56">
        <f t="shared" si="4"/>
        <v>3388.1553979826226</v>
      </c>
      <c r="O31" s="56">
        <f t="shared" si="5"/>
        <v>3348.3819256587517</v>
      </c>
      <c r="P31" s="56">
        <f t="shared" si="6"/>
        <v>5059.8917748917747</v>
      </c>
    </row>
    <row r="32" spans="1:16">
      <c r="A32" s="66">
        <v>1997</v>
      </c>
      <c r="B32" s="30">
        <v>1129849.3500000001</v>
      </c>
      <c r="C32" s="30">
        <f t="shared" si="0"/>
        <v>11415.41</v>
      </c>
      <c r="D32" s="30">
        <v>3523.72</v>
      </c>
      <c r="E32" s="30">
        <v>3188.45</v>
      </c>
      <c r="F32" s="30">
        <v>4703.24</v>
      </c>
      <c r="G32" s="28">
        <v>102.37</v>
      </c>
      <c r="H32" s="28">
        <f t="shared" si="7"/>
        <v>96.927791870813223</v>
      </c>
      <c r="I32" s="28">
        <v>112.52</v>
      </c>
      <c r="J32" s="28">
        <v>96.14</v>
      </c>
      <c r="K32" s="28">
        <v>85.78</v>
      </c>
      <c r="L32" s="56">
        <f t="shared" si="2"/>
        <v>1103691.8530819577</v>
      </c>
      <c r="M32" s="56">
        <f t="shared" si="3"/>
        <v>11777.231049702055</v>
      </c>
      <c r="N32" s="56">
        <f t="shared" si="4"/>
        <v>3131.638819765375</v>
      </c>
      <c r="O32" s="56">
        <f t="shared" si="5"/>
        <v>3316.4655710422298</v>
      </c>
      <c r="P32" s="56">
        <f t="shared" si="6"/>
        <v>5482.9097691769639</v>
      </c>
    </row>
    <row r="33" spans="1:16">
      <c r="A33" s="66">
        <v>1998</v>
      </c>
      <c r="B33" s="30">
        <v>1180252.93</v>
      </c>
      <c r="C33" s="30">
        <f t="shared" si="0"/>
        <v>11988.05</v>
      </c>
      <c r="D33" s="30">
        <v>3678.93</v>
      </c>
      <c r="E33" s="30">
        <v>3434.78</v>
      </c>
      <c r="F33" s="30">
        <v>4874.34</v>
      </c>
      <c r="G33" s="28">
        <v>103.37</v>
      </c>
      <c r="H33" s="28">
        <f t="shared" si="7"/>
        <v>102.17882769090886</v>
      </c>
      <c r="I33" s="28">
        <v>126.59</v>
      </c>
      <c r="J33" s="28">
        <v>95.87</v>
      </c>
      <c r="K33" s="28">
        <v>88.2</v>
      </c>
      <c r="L33" s="56">
        <f t="shared" si="2"/>
        <v>1141775.1088323498</v>
      </c>
      <c r="M33" s="56">
        <f t="shared" si="3"/>
        <v>11732.420767503687</v>
      </c>
      <c r="N33" s="56">
        <f t="shared" si="4"/>
        <v>2906.177423177186</v>
      </c>
      <c r="O33" s="56">
        <f t="shared" si="5"/>
        <v>3582.7474705330133</v>
      </c>
      <c r="P33" s="56">
        <f t="shared" si="6"/>
        <v>5526.4625850340135</v>
      </c>
    </row>
    <row r="34" spans="1:16">
      <c r="A34" s="66">
        <v>1999</v>
      </c>
      <c r="B34" s="30">
        <v>1219983</v>
      </c>
      <c r="C34" s="30">
        <f t="shared" si="0"/>
        <v>12007</v>
      </c>
      <c r="D34" s="30">
        <v>3603</v>
      </c>
      <c r="E34" s="30">
        <v>3474</v>
      </c>
      <c r="F34" s="30">
        <v>4930</v>
      </c>
      <c r="G34" s="28">
        <v>103.62</v>
      </c>
      <c r="H34" s="28">
        <f t="shared" si="7"/>
        <v>101.30612559340385</v>
      </c>
      <c r="I34" s="28">
        <v>130.47</v>
      </c>
      <c r="J34" s="28">
        <v>91.56</v>
      </c>
      <c r="K34" s="28">
        <v>86.86</v>
      </c>
      <c r="L34" s="56">
        <f t="shared" si="2"/>
        <v>1177362.4782860451</v>
      </c>
      <c r="M34" s="56">
        <f t="shared" si="3"/>
        <v>11852.195441952415</v>
      </c>
      <c r="N34" s="56">
        <f t="shared" si="4"/>
        <v>2761.5543803173146</v>
      </c>
      <c r="O34" s="56">
        <f t="shared" si="5"/>
        <v>3794.2332896461335</v>
      </c>
      <c r="P34" s="56">
        <f t="shared" si="6"/>
        <v>5675.8001381533504</v>
      </c>
    </row>
    <row r="35" spans="1:16">
      <c r="A35" s="66">
        <v>2000</v>
      </c>
      <c r="B35" s="30">
        <v>1290743</v>
      </c>
      <c r="C35" s="30">
        <f t="shared" si="0"/>
        <v>11923</v>
      </c>
      <c r="D35" s="30">
        <v>3010</v>
      </c>
      <c r="E35" s="30">
        <v>3590</v>
      </c>
      <c r="F35" s="30">
        <v>5323</v>
      </c>
      <c r="G35" s="28">
        <v>105.79</v>
      </c>
      <c r="H35" s="28">
        <f t="shared" si="7"/>
        <v>99.268250440325417</v>
      </c>
      <c r="I35" s="28">
        <v>104.75</v>
      </c>
      <c r="J35" s="28">
        <v>88.62</v>
      </c>
      <c r="K35" s="28">
        <v>103.35</v>
      </c>
      <c r="L35" s="56">
        <f t="shared" si="2"/>
        <v>1220099.253237546</v>
      </c>
      <c r="M35" s="56">
        <f t="shared" si="3"/>
        <v>12010.889631995124</v>
      </c>
      <c r="N35" s="56">
        <f t="shared" si="4"/>
        <v>2873.5083532219569</v>
      </c>
      <c r="O35" s="56">
        <f t="shared" si="5"/>
        <v>4051.0042879711123</v>
      </c>
      <c r="P35" s="56">
        <f t="shared" si="6"/>
        <v>5150.4596032897925</v>
      </c>
    </row>
    <row r="36" spans="1:16">
      <c r="A36" s="66">
        <v>2001</v>
      </c>
      <c r="B36" s="30">
        <v>1344658</v>
      </c>
      <c r="C36" s="30">
        <f t="shared" si="0"/>
        <v>13311</v>
      </c>
      <c r="D36" s="30">
        <v>3935</v>
      </c>
      <c r="E36" s="30">
        <v>3520</v>
      </c>
      <c r="F36" s="30">
        <v>5856</v>
      </c>
      <c r="G36" s="28">
        <v>108.34</v>
      </c>
      <c r="H36" s="28">
        <f t="shared" si="7"/>
        <v>103.2579746074675</v>
      </c>
      <c r="I36" s="28">
        <v>116.14</v>
      </c>
      <c r="J36" s="28">
        <v>79.97</v>
      </c>
      <c r="K36" s="28">
        <v>108.6</v>
      </c>
      <c r="L36" s="56">
        <f t="shared" si="2"/>
        <v>1241146.3909913236</v>
      </c>
      <c r="M36" s="56">
        <f t="shared" si="3"/>
        <v>12891.014036060091</v>
      </c>
      <c r="N36" s="56">
        <f t="shared" si="4"/>
        <v>3388.1522300671604</v>
      </c>
      <c r="O36" s="56">
        <f t="shared" si="5"/>
        <v>4401.6506189821184</v>
      </c>
      <c r="P36" s="56">
        <f t="shared" si="6"/>
        <v>5392.2651933701663</v>
      </c>
    </row>
    <row r="37" spans="1:16">
      <c r="A37" s="66">
        <v>2002</v>
      </c>
      <c r="B37" s="30">
        <v>1392586</v>
      </c>
      <c r="C37" s="30">
        <f t="shared" si="0"/>
        <v>12769</v>
      </c>
      <c r="D37" s="30">
        <v>3582</v>
      </c>
      <c r="E37" s="30">
        <v>3592</v>
      </c>
      <c r="F37" s="30">
        <v>5595</v>
      </c>
      <c r="G37" s="28">
        <v>111.2</v>
      </c>
      <c r="H37" s="28">
        <f t="shared" si="7"/>
        <v>101.81301354843762</v>
      </c>
      <c r="I37" s="28">
        <v>115.56</v>
      </c>
      <c r="J37" s="28">
        <v>73</v>
      </c>
      <c r="K37" s="28">
        <v>111.51</v>
      </c>
      <c r="L37" s="56">
        <f t="shared" si="2"/>
        <v>1252325.5395683453</v>
      </c>
      <c r="M37" s="56">
        <f t="shared" si="3"/>
        <v>12541.618752818016</v>
      </c>
      <c r="N37" s="56">
        <f t="shared" si="4"/>
        <v>3099.6884735202493</v>
      </c>
      <c r="O37" s="56">
        <f t="shared" si="5"/>
        <v>4920.5479452054797</v>
      </c>
      <c r="P37" s="56">
        <f t="shared" si="6"/>
        <v>5017.4872208770512</v>
      </c>
    </row>
    <row r="38" spans="1:16">
      <c r="A38" s="66">
        <v>2003</v>
      </c>
      <c r="B38" s="30">
        <v>1434812</v>
      </c>
      <c r="C38" s="30">
        <f t="shared" si="0"/>
        <v>11752</v>
      </c>
      <c r="D38" s="30">
        <v>2502</v>
      </c>
      <c r="E38" s="30">
        <v>3903</v>
      </c>
      <c r="F38" s="30">
        <v>5347</v>
      </c>
      <c r="G38" s="28">
        <v>113.51</v>
      </c>
      <c r="H38" s="28">
        <f t="shared" si="7"/>
        <v>93.9075459496256</v>
      </c>
      <c r="I38" s="28">
        <v>105.56</v>
      </c>
      <c r="J38" s="28">
        <v>68.569999999999993</v>
      </c>
      <c r="K38" s="28">
        <v>106.95</v>
      </c>
      <c r="L38" s="56">
        <f t="shared" si="2"/>
        <v>1264040.1726720112</v>
      </c>
      <c r="M38" s="56">
        <f t="shared" si="3"/>
        <v>12514.436280023836</v>
      </c>
      <c r="N38" s="56">
        <f t="shared" si="4"/>
        <v>2370.2159909056459</v>
      </c>
      <c r="O38" s="56">
        <f t="shared" si="5"/>
        <v>5691.9935831996509</v>
      </c>
      <c r="P38" s="56">
        <f t="shared" si="6"/>
        <v>4999.532491818607</v>
      </c>
    </row>
    <row r="39" spans="1:16">
      <c r="A39" s="66">
        <v>2004</v>
      </c>
      <c r="B39" s="30">
        <v>1490230</v>
      </c>
      <c r="C39" s="30">
        <f t="shared" si="0"/>
        <v>11495</v>
      </c>
      <c r="D39" s="30">
        <v>2850</v>
      </c>
      <c r="E39" s="30">
        <v>3412</v>
      </c>
      <c r="F39" s="30">
        <v>5233</v>
      </c>
      <c r="G39" s="28">
        <v>114.99</v>
      </c>
      <c r="H39" s="28">
        <f t="shared" si="7"/>
        <v>93.19616876903001</v>
      </c>
      <c r="I39" s="28">
        <v>111.68</v>
      </c>
      <c r="J39" s="28">
        <v>65.42</v>
      </c>
      <c r="K39" s="28">
        <v>101.24</v>
      </c>
      <c r="L39" s="56">
        <f t="shared" si="2"/>
        <v>1295964.8665101314</v>
      </c>
      <c r="M39" s="56">
        <f t="shared" si="3"/>
        <v>12334.19801675356</v>
      </c>
      <c r="N39" s="56">
        <f t="shared" si="4"/>
        <v>2551.9340974212032</v>
      </c>
      <c r="O39" s="56">
        <f t="shared" si="5"/>
        <v>5215.5304188321616</v>
      </c>
      <c r="P39" s="56">
        <f t="shared" si="6"/>
        <v>5168.905570920585</v>
      </c>
    </row>
    <row r="40" spans="1:16">
      <c r="A40" s="66">
        <v>2005</v>
      </c>
      <c r="B40" s="30">
        <v>1547909.29</v>
      </c>
      <c r="C40" s="30">
        <f t="shared" si="0"/>
        <v>11257.880000000001</v>
      </c>
      <c r="D40" s="30">
        <v>2853.69</v>
      </c>
      <c r="E40" s="30">
        <v>3223</v>
      </c>
      <c r="F40" s="30">
        <v>5181.1899999999996</v>
      </c>
      <c r="G40" s="28">
        <v>117.29</v>
      </c>
      <c r="H40" s="28">
        <f t="shared" si="7"/>
        <v>94.003743111491673</v>
      </c>
      <c r="I40" s="28">
        <v>114.19</v>
      </c>
      <c r="J40" s="28">
        <v>67.52</v>
      </c>
      <c r="K40" s="28">
        <v>99.36</v>
      </c>
      <c r="L40" s="56">
        <f t="shared" si="2"/>
        <v>1319728.2718049278</v>
      </c>
      <c r="M40" s="56">
        <f t="shared" si="3"/>
        <v>11975.991197124744</v>
      </c>
      <c r="N40" s="56">
        <f t="shared" si="4"/>
        <v>2499.0717225676503</v>
      </c>
      <c r="O40" s="56">
        <f t="shared" si="5"/>
        <v>4773.4004739336497</v>
      </c>
      <c r="P40" s="56">
        <f t="shared" si="6"/>
        <v>5214.563204508856</v>
      </c>
    </row>
    <row r="41" spans="1:16">
      <c r="A41" s="66">
        <v>2006</v>
      </c>
      <c r="B41" s="30">
        <v>1614556.54</v>
      </c>
      <c r="C41" s="30">
        <f t="shared" si="0"/>
        <v>11599.09</v>
      </c>
      <c r="D41" s="30">
        <v>3296.49</v>
      </c>
      <c r="E41" s="30">
        <v>3296</v>
      </c>
      <c r="F41" s="30">
        <v>5006.6000000000004</v>
      </c>
      <c r="G41" s="28">
        <v>119.68</v>
      </c>
      <c r="H41" s="28">
        <f t="shared" si="7"/>
        <v>92.708180529679481</v>
      </c>
      <c r="I41" s="28">
        <v>109.93</v>
      </c>
      <c r="J41" s="28">
        <v>68.599999999999994</v>
      </c>
      <c r="K41" s="28">
        <v>97.24</v>
      </c>
      <c r="L41" s="56">
        <f t="shared" ref="L41:L42" si="8">B41*100/G41</f>
        <v>1349061.2800802139</v>
      </c>
      <c r="M41" s="56">
        <f t="shared" ref="M41:M42" si="9">C41*100/H41</f>
        <v>12511.398599055325</v>
      </c>
      <c r="N41" s="56">
        <f t="shared" ref="N41:N42" si="10">D41*100/I41</f>
        <v>2998.7173655962883</v>
      </c>
      <c r="O41" s="56">
        <f t="shared" ref="O41:O42" si="11">E41*100/J41</f>
        <v>4804.6647230320705</v>
      </c>
      <c r="P41" s="56">
        <f t="shared" ref="P41:P42" si="12">F41*100/K41</f>
        <v>5148.7042369395322</v>
      </c>
    </row>
    <row r="42" spans="1:16">
      <c r="A42" s="66">
        <v>2007</v>
      </c>
      <c r="B42" s="30">
        <v>1697615.17</v>
      </c>
      <c r="C42" s="30">
        <f t="shared" si="0"/>
        <v>12662.73</v>
      </c>
      <c r="D42" s="30">
        <v>3878.22</v>
      </c>
      <c r="E42" s="30">
        <v>3581.42</v>
      </c>
      <c r="F42" s="30">
        <v>5203.09</v>
      </c>
      <c r="G42" s="28">
        <v>122.87</v>
      </c>
      <c r="H42" s="28">
        <f t="shared" si="7"/>
        <v>97.441369088656245</v>
      </c>
      <c r="I42" s="28">
        <v>124.98</v>
      </c>
      <c r="J42" s="28">
        <v>72.010000000000005</v>
      </c>
      <c r="K42" s="28">
        <v>94.42</v>
      </c>
      <c r="L42" s="56">
        <f t="shared" si="8"/>
        <v>1381635.1998046716</v>
      </c>
      <c r="M42" s="56">
        <f t="shared" si="9"/>
        <v>12995.229971039218</v>
      </c>
      <c r="N42" s="56">
        <f t="shared" si="10"/>
        <v>3103.0724915986557</v>
      </c>
      <c r="O42" s="56">
        <f t="shared" si="11"/>
        <v>4973.5036800444377</v>
      </c>
      <c r="P42" s="56">
        <f t="shared" si="12"/>
        <v>5510.5803855115437</v>
      </c>
    </row>
    <row r="43" spans="1:16">
      <c r="A43" s="66">
        <v>2008</v>
      </c>
      <c r="B43" s="56" t="s">
        <v>22</v>
      </c>
      <c r="C43" s="56" t="s">
        <v>22</v>
      </c>
      <c r="D43" s="56" t="s">
        <v>22</v>
      </c>
      <c r="E43" s="56" t="s">
        <v>22</v>
      </c>
      <c r="F43" s="56" t="s">
        <v>22</v>
      </c>
      <c r="G43" s="56" t="s">
        <v>22</v>
      </c>
      <c r="H43" s="56" t="s">
        <v>22</v>
      </c>
      <c r="I43" s="56" t="s">
        <v>22</v>
      </c>
      <c r="J43" s="56" t="s">
        <v>22</v>
      </c>
      <c r="K43" s="56" t="s">
        <v>22</v>
      </c>
      <c r="L43" s="56" t="s">
        <v>22</v>
      </c>
      <c r="M43" s="56" t="s">
        <v>22</v>
      </c>
      <c r="N43" s="56" t="s">
        <v>22</v>
      </c>
      <c r="O43" s="56" t="s">
        <v>22</v>
      </c>
      <c r="P43" s="56" t="s">
        <v>22</v>
      </c>
    </row>
    <row r="44" spans="1:16">
      <c r="B44" s="57"/>
      <c r="C44" s="57"/>
      <c r="D44" s="57"/>
      <c r="E44" s="57"/>
      <c r="F44" s="57"/>
      <c r="G44" s="57"/>
      <c r="H44" s="57"/>
      <c r="I44" s="57"/>
      <c r="J44" s="57"/>
      <c r="K44" s="57"/>
      <c r="L44" s="57"/>
      <c r="M44" s="57"/>
      <c r="N44" s="57"/>
      <c r="O44" s="57"/>
      <c r="P44" s="57"/>
    </row>
    <row r="45" spans="1:16">
      <c r="A45" s="66" t="s">
        <v>23</v>
      </c>
      <c r="B45" s="56"/>
      <c r="C45" s="56"/>
      <c r="D45" s="56"/>
      <c r="E45" s="56"/>
      <c r="F45" s="56"/>
      <c r="G45" s="56"/>
      <c r="H45" s="56"/>
      <c r="I45" s="56"/>
      <c r="J45" s="56"/>
      <c r="K45" s="56"/>
      <c r="L45" s="57"/>
      <c r="M45" s="57"/>
      <c r="N45" s="57"/>
      <c r="O45" s="57"/>
      <c r="P45" s="57"/>
    </row>
    <row r="46" spans="1:16">
      <c r="A46" s="66" t="s">
        <v>1946</v>
      </c>
      <c r="B46" s="147">
        <f>((B42/B5)^(1/37)-1)*100</f>
        <v>7.7055788093367772</v>
      </c>
      <c r="C46" s="147">
        <f t="shared" ref="C46:P46" si="13">((C42/C5)^(1/37)-1)*100</f>
        <v>4.8940273885126784</v>
      </c>
      <c r="D46" s="147">
        <f t="shared" si="13"/>
        <v>2.9110657460156286</v>
      </c>
      <c r="E46" s="147">
        <f t="shared" si="13"/>
        <v>6.6414093680784436</v>
      </c>
      <c r="F46" s="147">
        <f t="shared" si="13"/>
        <v>6.6031120857846348</v>
      </c>
      <c r="G46" s="147">
        <f t="shared" si="13"/>
        <v>5.113865844603227</v>
      </c>
      <c r="H46" s="147">
        <f t="shared" si="13"/>
        <v>6.8657153700427465</v>
      </c>
      <c r="I46" s="147">
        <f t="shared" si="13"/>
        <v>10.833272032120188</v>
      </c>
      <c r="J46" s="147">
        <f t="shared" si="13"/>
        <v>2.1279629473070383</v>
      </c>
      <c r="K46" s="147">
        <f t="shared" si="13"/>
        <v>7.3353020196721408</v>
      </c>
      <c r="L46" s="147">
        <f t="shared" si="13"/>
        <v>2.4656242484365043</v>
      </c>
      <c r="M46" s="147">
        <f t="shared" si="13"/>
        <v>-1.8450145350197067</v>
      </c>
      <c r="N46" s="147">
        <f t="shared" si="13"/>
        <v>-7.14785924916902</v>
      </c>
      <c r="O46" s="147">
        <f t="shared" si="13"/>
        <v>4.4194031590546023</v>
      </c>
      <c r="P46" s="147">
        <f t="shared" si="13"/>
        <v>-0.68215202278307796</v>
      </c>
    </row>
    <row r="47" spans="1:16">
      <c r="A47" s="66" t="s">
        <v>2140</v>
      </c>
      <c r="B47" s="147">
        <f>((B25/B5)^(1/20)-1)*100</f>
        <v>11.284420408344364</v>
      </c>
      <c r="C47" s="147">
        <f t="shared" ref="C47:P47" si="14">((C25/C5)^(1/20)-1)*100</f>
        <v>8.9379363750285101</v>
      </c>
      <c r="D47" s="147">
        <f t="shared" si="14"/>
        <v>6.1510223048770962</v>
      </c>
      <c r="E47" s="147">
        <f t="shared" si="14"/>
        <v>12.077309720256935</v>
      </c>
      <c r="F47" s="147">
        <f t="shared" si="14"/>
        <v>11.497381038891263</v>
      </c>
      <c r="G47" s="147">
        <f t="shared" si="14"/>
        <v>8.0712276186981633</v>
      </c>
      <c r="H47" s="147">
        <f t="shared" si="14"/>
        <v>11.96240450029762</v>
      </c>
      <c r="I47" s="147">
        <f t="shared" si="14"/>
        <v>16.210642758661663</v>
      </c>
      <c r="J47" s="147">
        <f t="shared" si="14"/>
        <v>6.0411740383058188</v>
      </c>
      <c r="K47" s="147">
        <f t="shared" si="14"/>
        <v>13.355564879723669</v>
      </c>
      <c r="L47" s="147">
        <f t="shared" si="14"/>
        <v>2.9732176273440158</v>
      </c>
      <c r="M47" s="147">
        <f t="shared" si="14"/>
        <v>-2.7013247337512092</v>
      </c>
      <c r="N47" s="147">
        <f t="shared" si="14"/>
        <v>-8.6563676226072523</v>
      </c>
      <c r="O47" s="147">
        <f t="shared" si="14"/>
        <v>5.6922565566566163</v>
      </c>
      <c r="P47" s="147">
        <f t="shared" si="14"/>
        <v>-1.639252420297177</v>
      </c>
    </row>
    <row r="48" spans="1:16">
      <c r="A48" s="66" t="s">
        <v>660</v>
      </c>
      <c r="B48" s="147">
        <f t="shared" ref="B48:P48" si="15">((B35/B25)^(1/10)-1)*100</f>
        <v>3.3981224637390284</v>
      </c>
      <c r="C48" s="147">
        <f t="shared" si="15"/>
        <v>-4.4810940769046681E-2</v>
      </c>
      <c r="D48" s="147">
        <f t="shared" si="15"/>
        <v>-3.7823548647379468</v>
      </c>
      <c r="E48" s="147">
        <f t="shared" si="15"/>
        <v>1.0169531870683812</v>
      </c>
      <c r="F48" s="147">
        <f t="shared" si="15"/>
        <v>2.1430327318340714</v>
      </c>
      <c r="G48" s="147">
        <f t="shared" si="15"/>
        <v>1.4429192622067433</v>
      </c>
      <c r="H48" s="147">
        <f t="shared" si="15"/>
        <v>2.1796323045206067</v>
      </c>
      <c r="I48" s="147">
        <f t="shared" si="15"/>
        <v>6.4434928333221508</v>
      </c>
      <c r="J48" s="147">
        <f t="shared" si="15"/>
        <v>-1.8477824794190911</v>
      </c>
      <c r="K48" s="147">
        <f t="shared" si="15"/>
        <v>2.043774253056907</v>
      </c>
      <c r="L48" s="147">
        <f t="shared" si="15"/>
        <v>1.9273924841205936</v>
      </c>
      <c r="M48" s="147">
        <f t="shared" si="15"/>
        <v>-2.1769928068054445</v>
      </c>
      <c r="N48" s="147">
        <f t="shared" si="15"/>
        <v>-9.6068321565438985</v>
      </c>
      <c r="O48" s="147">
        <f t="shared" si="15"/>
        <v>2.9186662704658639</v>
      </c>
      <c r="P48" s="147">
        <f t="shared" si="15"/>
        <v>9.7270489555789652E-2</v>
      </c>
    </row>
    <row r="49" spans="1:16">
      <c r="A49" s="66" t="s">
        <v>588</v>
      </c>
      <c r="B49" s="147">
        <f>((B42/B35)^(1/7)-1)*100</f>
        <v>3.99199841932254</v>
      </c>
      <c r="C49" s="147">
        <f t="shared" ref="C49:P49" si="16">((C42/C35)^(1/7)-1)*100</f>
        <v>0.86361821325879884</v>
      </c>
      <c r="D49" s="147">
        <f t="shared" si="16"/>
        <v>3.6868561468528016</v>
      </c>
      <c r="E49" s="147">
        <f t="shared" si="16"/>
        <v>-3.4177482266373183E-2</v>
      </c>
      <c r="F49" s="147">
        <f t="shared" si="16"/>
        <v>-0.32496191381199413</v>
      </c>
      <c r="G49" s="147">
        <f t="shared" si="16"/>
        <v>2.1611778930184622</v>
      </c>
      <c r="H49" s="147">
        <f t="shared" si="16"/>
        <v>-0.26500440955856686</v>
      </c>
      <c r="I49" s="147">
        <f t="shared" si="16"/>
        <v>2.554615967087237</v>
      </c>
      <c r="J49" s="147">
        <f t="shared" si="16"/>
        <v>-2.9215107139586971</v>
      </c>
      <c r="K49" s="147">
        <f t="shared" si="16"/>
        <v>-1.2826793681828041</v>
      </c>
      <c r="L49" s="147">
        <f t="shared" si="16"/>
        <v>1.7920902676173966</v>
      </c>
      <c r="M49" s="147">
        <f t="shared" si="16"/>
        <v>1.1316214696113658</v>
      </c>
      <c r="N49" s="147">
        <f t="shared" si="16"/>
        <v>1.1040362923585345</v>
      </c>
      <c r="O49" s="147">
        <f t="shared" si="16"/>
        <v>2.9742255497866354</v>
      </c>
      <c r="P49" s="147">
        <f t="shared" si="16"/>
        <v>0.97016151597426603</v>
      </c>
    </row>
    <row r="50" spans="1:16">
      <c r="A50" s="66"/>
      <c r="B50" s="147"/>
      <c r="C50" s="147"/>
      <c r="D50" s="147"/>
      <c r="E50" s="147"/>
      <c r="F50" s="147"/>
      <c r="G50" s="147"/>
      <c r="H50" s="147"/>
      <c r="I50" s="147"/>
      <c r="J50" s="147"/>
      <c r="K50" s="147"/>
      <c r="L50" s="147"/>
      <c r="M50" s="147"/>
      <c r="N50" s="147"/>
      <c r="O50" s="147"/>
      <c r="P50" s="147"/>
    </row>
    <row r="51" spans="1:16">
      <c r="A51" s="137" t="s">
        <v>2039</v>
      </c>
      <c r="B51" s="137"/>
      <c r="C51" s="137"/>
      <c r="D51" s="137"/>
      <c r="E51" s="137"/>
      <c r="F51" s="137"/>
      <c r="G51" s="137"/>
      <c r="H51" s="137"/>
      <c r="I51" s="137"/>
      <c r="J51" s="137"/>
      <c r="K51" s="137"/>
      <c r="L51" s="137"/>
      <c r="M51" s="137"/>
      <c r="N51" s="137"/>
      <c r="O51" s="137"/>
      <c r="P51" s="137"/>
    </row>
    <row r="52" spans="1:16">
      <c r="A52" s="137" t="s">
        <v>193</v>
      </c>
      <c r="B52" s="137"/>
      <c r="C52" s="137"/>
      <c r="D52" s="137"/>
      <c r="E52" s="137"/>
      <c r="F52" s="137"/>
      <c r="G52" s="137"/>
      <c r="H52" s="137"/>
      <c r="I52" s="137"/>
      <c r="J52" s="137"/>
      <c r="K52" s="137"/>
      <c r="L52" s="137"/>
      <c r="M52" s="137"/>
      <c r="N52" s="137"/>
      <c r="O52" s="137"/>
      <c r="P52" s="137"/>
    </row>
    <row r="53" spans="1:16">
      <c r="A53" s="137" t="s">
        <v>527</v>
      </c>
      <c r="B53" s="137"/>
      <c r="C53" s="137"/>
      <c r="D53" s="137"/>
      <c r="E53" s="137"/>
      <c r="F53" s="137"/>
      <c r="G53" s="137"/>
      <c r="H53" s="137"/>
      <c r="I53" s="137"/>
      <c r="J53" s="137"/>
      <c r="K53" s="137"/>
      <c r="L53" s="137"/>
      <c r="M53" s="137"/>
      <c r="N53" s="137"/>
      <c r="O53" s="137"/>
      <c r="P53" s="137"/>
    </row>
  </sheetData>
  <mergeCells count="14">
    <mergeCell ref="A51:P51"/>
    <mergeCell ref="A52:P52"/>
    <mergeCell ref="A53:P53"/>
    <mergeCell ref="A1:P1"/>
    <mergeCell ref="B2:F2"/>
    <mergeCell ref="G2:K2"/>
    <mergeCell ref="L2:P2"/>
    <mergeCell ref="A3:A4"/>
    <mergeCell ref="B3:B4"/>
    <mergeCell ref="C3:F3"/>
    <mergeCell ref="G3:G4"/>
    <mergeCell ref="H3:K3"/>
    <mergeCell ref="L3:L4"/>
    <mergeCell ref="M3:P3"/>
  </mergeCells>
  <pageMargins left="0.7" right="0.7" top="0.75" bottom="0.75" header="0.3" footer="0.3"/>
  <pageSetup scale="62" orientation="landscape" horizontalDpi="0" verticalDpi="0" r:id="rId1"/>
  <ignoredErrors>
    <ignoredError sqref="C5:C43" formulaRange="1"/>
  </ignoredErrors>
</worksheet>
</file>

<file path=xl/worksheets/sheet149.xml><?xml version="1.0" encoding="utf-8"?>
<worksheet xmlns="http://schemas.openxmlformats.org/spreadsheetml/2006/main" xmlns:r="http://schemas.openxmlformats.org/officeDocument/2006/relationships">
  <sheetPr codeName="Sheet141"/>
  <dimension ref="A1:R52"/>
  <sheetViews>
    <sheetView view="pageBreakPre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Col="1"/>
  <cols>
    <col min="1" max="1" width="12.5703125" style="64" customWidth="1"/>
    <col min="2" max="6" width="12.28515625" style="64" customWidth="1"/>
    <col min="7" max="11" width="13.5703125" style="64" customWidth="1"/>
    <col min="12" max="12" width="9.140625" style="64"/>
    <col min="13" max="17" width="9.140625" style="64" hidden="1" customWidth="1" outlineLevel="1"/>
    <col min="18" max="18" width="9.140625" style="64" collapsed="1"/>
    <col min="19" max="16384" width="9.140625" style="64"/>
  </cols>
  <sheetData>
    <row r="1" spans="1:17">
      <c r="A1" s="108" t="s">
        <v>1935</v>
      </c>
      <c r="B1" s="108"/>
      <c r="C1" s="108"/>
      <c r="D1" s="108"/>
      <c r="E1" s="108"/>
      <c r="F1" s="108"/>
      <c r="G1" s="108"/>
      <c r="H1" s="108"/>
      <c r="I1" s="108"/>
      <c r="J1" s="108"/>
      <c r="K1" s="108"/>
    </row>
    <row r="2" spans="1:17">
      <c r="A2" s="66"/>
      <c r="B2" s="111" t="s">
        <v>528</v>
      </c>
      <c r="C2" s="111"/>
      <c r="D2" s="111"/>
      <c r="E2" s="111"/>
      <c r="F2" s="111"/>
      <c r="G2" s="111" t="s">
        <v>536</v>
      </c>
      <c r="H2" s="111"/>
      <c r="I2" s="111"/>
      <c r="J2" s="111"/>
      <c r="K2" s="111"/>
      <c r="M2" s="111" t="s">
        <v>529</v>
      </c>
      <c r="N2" s="111"/>
      <c r="O2" s="111"/>
      <c r="P2" s="111"/>
      <c r="Q2" s="111"/>
    </row>
    <row r="3" spans="1:17" ht="15" customHeight="1">
      <c r="A3" s="149"/>
      <c r="B3" s="97" t="s">
        <v>523</v>
      </c>
      <c r="C3" s="97" t="s">
        <v>37</v>
      </c>
      <c r="D3" s="97"/>
      <c r="E3" s="97"/>
      <c r="F3" s="97"/>
      <c r="G3" s="97" t="s">
        <v>523</v>
      </c>
      <c r="H3" s="97" t="s">
        <v>37</v>
      </c>
      <c r="I3" s="97"/>
      <c r="J3" s="97"/>
      <c r="K3" s="97"/>
      <c r="M3" s="97" t="s">
        <v>523</v>
      </c>
      <c r="N3" s="97" t="s">
        <v>49</v>
      </c>
      <c r="O3" s="97"/>
      <c r="P3" s="97"/>
      <c r="Q3" s="97"/>
    </row>
    <row r="4" spans="1:17" ht="60">
      <c r="A4" s="149"/>
      <c r="B4" s="97"/>
      <c r="C4" s="73" t="s">
        <v>78</v>
      </c>
      <c r="D4" s="73" t="s">
        <v>522</v>
      </c>
      <c r="E4" s="73" t="s">
        <v>524</v>
      </c>
      <c r="F4" s="73" t="s">
        <v>525</v>
      </c>
      <c r="G4" s="97"/>
      <c r="H4" s="73" t="s">
        <v>78</v>
      </c>
      <c r="I4" s="73" t="s">
        <v>522</v>
      </c>
      <c r="J4" s="73" t="s">
        <v>524</v>
      </c>
      <c r="K4" s="73" t="s">
        <v>525</v>
      </c>
      <c r="M4" s="97"/>
      <c r="N4" s="73" t="s">
        <v>50</v>
      </c>
      <c r="O4" s="73" t="s">
        <v>522</v>
      </c>
      <c r="P4" s="73" t="s">
        <v>524</v>
      </c>
      <c r="Q4" s="73" t="s">
        <v>525</v>
      </c>
    </row>
    <row r="5" spans="1:17">
      <c r="A5" s="66">
        <v>1970</v>
      </c>
      <c r="B5" s="150">
        <v>64769.14</v>
      </c>
      <c r="C5" s="56">
        <f t="shared" ref="C5:C42" si="0">SUM(D5:F5)</f>
        <v>1325.5300000000002</v>
      </c>
      <c r="D5" s="150">
        <v>121.11</v>
      </c>
      <c r="E5" s="150">
        <v>610.33000000000004</v>
      </c>
      <c r="F5" s="150">
        <v>594.09</v>
      </c>
      <c r="G5" s="50">
        <f>'603a'!L5/'603'!B5</f>
        <v>14.029251447907823</v>
      </c>
      <c r="H5" s="50">
        <f>'603a'!M5/'603'!C5</f>
        <v>9.217342461205094</v>
      </c>
      <c r="I5" s="50">
        <f>'603a'!N5/'603'!D5</f>
        <v>15.617636511909827</v>
      </c>
      <c r="J5" s="50">
        <f>'603a'!O5/'603'!E5</f>
        <v>10.385209943078383</v>
      </c>
      <c r="K5" s="50">
        <f>'603a'!P5/'603'!F5</f>
        <v>11.069911957467609</v>
      </c>
      <c r="M5" s="62"/>
      <c r="N5" s="62"/>
      <c r="O5" s="62"/>
      <c r="P5" s="62"/>
      <c r="Q5" s="62"/>
    </row>
    <row r="6" spans="1:17">
      <c r="A6" s="66">
        <v>1971</v>
      </c>
      <c r="B6" s="150">
        <v>64081.81</v>
      </c>
      <c r="C6" s="56">
        <f t="shared" si="0"/>
        <v>1296.92</v>
      </c>
      <c r="D6" s="150">
        <v>118.16</v>
      </c>
      <c r="E6" s="150">
        <v>595.6</v>
      </c>
      <c r="F6" s="150">
        <v>583.16</v>
      </c>
      <c r="G6" s="50">
        <f>'603a'!L6/'603'!B6</f>
        <v>14.569873117994304</v>
      </c>
      <c r="H6" s="50">
        <f>'603a'!M6/'603'!C6</f>
        <v>9.934452893481577</v>
      </c>
      <c r="I6" s="50">
        <f>'603a'!N6/'603'!D6</f>
        <v>16.092079317585466</v>
      </c>
      <c r="J6" s="50">
        <f>'603a'!O6/'603'!E6</f>
        <v>11.136181656735866</v>
      </c>
      <c r="K6" s="50">
        <f>'603a'!P6/'603'!F6</f>
        <v>11.053162118783685</v>
      </c>
      <c r="M6" s="62"/>
      <c r="N6" s="62"/>
      <c r="O6" s="62"/>
      <c r="P6" s="62"/>
      <c r="Q6" s="62"/>
    </row>
    <row r="7" spans="1:17">
      <c r="A7" s="66">
        <v>1972</v>
      </c>
      <c r="B7" s="150">
        <v>63751.81</v>
      </c>
      <c r="C7" s="56">
        <f t="shared" si="0"/>
        <v>1281.47</v>
      </c>
      <c r="D7" s="150">
        <v>113.46</v>
      </c>
      <c r="E7" s="150">
        <v>582.49</v>
      </c>
      <c r="F7" s="150">
        <v>585.52</v>
      </c>
      <c r="G7" s="50">
        <f>'603a'!L7/'603'!B7</f>
        <v>15.273157884570843</v>
      </c>
      <c r="H7" s="50">
        <f>'603a'!M7/'603'!C7</f>
        <v>10.487163632228915</v>
      </c>
      <c r="I7" s="50">
        <f>'603a'!N7/'603'!D7</f>
        <v>16.669109051114198</v>
      </c>
      <c r="J7" s="50">
        <f>'603a'!O7/'603'!E7</f>
        <v>12.135406796371919</v>
      </c>
      <c r="K7" s="50">
        <f>'603a'!P7/'603'!F7</f>
        <v>11.254113481310169</v>
      </c>
      <c r="M7" s="62"/>
      <c r="N7" s="62"/>
      <c r="O7" s="62"/>
      <c r="P7" s="62"/>
      <c r="Q7" s="62"/>
    </row>
    <row r="8" spans="1:17">
      <c r="A8" s="66">
        <v>1973</v>
      </c>
      <c r="B8" s="150">
        <v>63554.47</v>
      </c>
      <c r="C8" s="56">
        <f t="shared" si="0"/>
        <v>1239.56</v>
      </c>
      <c r="D8" s="150">
        <v>106.83</v>
      </c>
      <c r="E8" s="150">
        <v>568.70000000000005</v>
      </c>
      <c r="F8" s="150">
        <v>564.03</v>
      </c>
      <c r="G8" s="50">
        <f>'603a'!L8/'603'!B8</f>
        <v>16.068558985701554</v>
      </c>
      <c r="H8" s="50">
        <f>'603a'!M8/'603'!C8</f>
        <v>11.433590813466074</v>
      </c>
      <c r="I8" s="50">
        <f>'603a'!N8/'603'!D8</f>
        <v>18.631346067561008</v>
      </c>
      <c r="J8" s="50">
        <f>'603a'!O8/'603'!E8</f>
        <v>12.657235845754627</v>
      </c>
      <c r="K8" s="50">
        <f>'603a'!P8/'603'!F8</f>
        <v>12.545951937132314</v>
      </c>
      <c r="M8" s="62"/>
      <c r="N8" s="62"/>
      <c r="O8" s="62"/>
      <c r="P8" s="62"/>
      <c r="Q8" s="62"/>
    </row>
    <row r="9" spans="1:17">
      <c r="A9" s="66">
        <v>1974</v>
      </c>
      <c r="B9" s="150">
        <v>61565.87</v>
      </c>
      <c r="C9" s="56">
        <f t="shared" si="0"/>
        <v>1161.67</v>
      </c>
      <c r="D9" s="150">
        <v>99.48</v>
      </c>
      <c r="E9" s="150">
        <v>529.48</v>
      </c>
      <c r="F9" s="150">
        <v>532.71</v>
      </c>
      <c r="G9" s="50">
        <f>'603a'!L9/'603'!B9</f>
        <v>16.8075475061734</v>
      </c>
      <c r="H9" s="50">
        <f>'603a'!M9/'603'!C9</f>
        <v>11.596035603355043</v>
      </c>
      <c r="I9" s="50">
        <f>'603a'!N9/'603'!D9</f>
        <v>20.295778891216518</v>
      </c>
      <c r="J9" s="50">
        <f>'603a'!O9/'603'!E9</f>
        <v>14.053554253392315</v>
      </c>
      <c r="K9" s="50">
        <f>'603a'!P9/'603'!F9</f>
        <v>12.324140703926542</v>
      </c>
      <c r="M9" s="62"/>
      <c r="N9" s="62"/>
      <c r="O9" s="62"/>
      <c r="P9" s="62"/>
      <c r="Q9" s="62"/>
    </row>
    <row r="10" spans="1:17">
      <c r="A10" s="66">
        <v>1975</v>
      </c>
      <c r="B10" s="150">
        <v>58845.14</v>
      </c>
      <c r="C10" s="56">
        <f t="shared" si="0"/>
        <v>1075.53</v>
      </c>
      <c r="D10" s="150">
        <v>98.02</v>
      </c>
      <c r="E10" s="150">
        <v>486.65</v>
      </c>
      <c r="F10" s="150">
        <v>490.86</v>
      </c>
      <c r="G10" s="50">
        <f>'603a'!L10/'603'!B10</f>
        <v>17.333484171026427</v>
      </c>
      <c r="H10" s="50">
        <f>'603a'!M10/'603'!C10</f>
        <v>11.975696197014015</v>
      </c>
      <c r="I10" s="50">
        <f>'603a'!N10/'603'!D10</f>
        <v>20.597926082401038</v>
      </c>
      <c r="J10" s="50">
        <f>'603a'!O10/'603'!E10</f>
        <v>13.428680057251491</v>
      </c>
      <c r="K10" s="50">
        <f>'603a'!P10/'603'!F10</f>
        <v>13.2691630769892</v>
      </c>
      <c r="M10" s="62"/>
      <c r="N10" s="62"/>
      <c r="O10" s="62"/>
      <c r="P10" s="62"/>
      <c r="Q10" s="62"/>
    </row>
    <row r="11" spans="1:17">
      <c r="A11" s="66">
        <v>1976</v>
      </c>
      <c r="B11" s="150">
        <v>58966.49</v>
      </c>
      <c r="C11" s="56">
        <f t="shared" si="0"/>
        <v>1064.26</v>
      </c>
      <c r="D11" s="150">
        <v>94.79</v>
      </c>
      <c r="E11" s="150">
        <v>486.2</v>
      </c>
      <c r="F11" s="150">
        <v>483.27</v>
      </c>
      <c r="G11" s="50">
        <f>'603a'!L11/'603'!B11</f>
        <v>18.12767365594123</v>
      </c>
      <c r="H11" s="50">
        <f>'603a'!M11/'603'!C11</f>
        <v>11.30239243184085</v>
      </c>
      <c r="I11" s="50">
        <f>'603a'!N11/'603'!D11</f>
        <v>21.647400173464792</v>
      </c>
      <c r="J11" s="50">
        <f>'603a'!O11/'603'!E11</f>
        <v>13.715175352897877</v>
      </c>
      <c r="K11" s="50">
        <f>'603a'!P11/'603'!F11</f>
        <v>12.856811791299595</v>
      </c>
      <c r="M11" s="62"/>
      <c r="N11" s="62"/>
      <c r="O11" s="62"/>
      <c r="P11" s="62"/>
      <c r="Q11" s="62"/>
    </row>
    <row r="12" spans="1:17">
      <c r="A12" s="66">
        <v>1977</v>
      </c>
      <c r="B12" s="150">
        <v>58608.82</v>
      </c>
      <c r="C12" s="56">
        <f t="shared" si="0"/>
        <v>1058.49</v>
      </c>
      <c r="D12" s="150">
        <v>92.7</v>
      </c>
      <c r="E12" s="150">
        <v>482.41</v>
      </c>
      <c r="F12" s="150">
        <v>483.38</v>
      </c>
      <c r="G12" s="50">
        <f>'603a'!L12/'603'!B12</f>
        <v>18.833287609762447</v>
      </c>
      <c r="H12" s="50">
        <f>'603a'!M12/'603'!C12</f>
        <v>11.808749723425441</v>
      </c>
      <c r="I12" s="50">
        <f>'603a'!N12/'603'!D12</f>
        <v>22.584387524822922</v>
      </c>
      <c r="J12" s="50">
        <f>'603a'!O12/'603'!E12</f>
        <v>15.115658296174319</v>
      </c>
      <c r="K12" s="50">
        <f>'603a'!P12/'603'!F12</f>
        <v>13.996583640394842</v>
      </c>
      <c r="M12" s="62"/>
      <c r="N12" s="62"/>
      <c r="O12" s="62"/>
      <c r="P12" s="62"/>
      <c r="Q12" s="62"/>
    </row>
    <row r="13" spans="1:17">
      <c r="A13" s="66">
        <v>1978</v>
      </c>
      <c r="B13" s="150">
        <v>58567.02</v>
      </c>
      <c r="C13" s="56">
        <f t="shared" si="0"/>
        <v>1048.6100000000001</v>
      </c>
      <c r="D13" s="150">
        <v>93.85</v>
      </c>
      <c r="E13" s="150">
        <v>474.03</v>
      </c>
      <c r="F13" s="150">
        <v>480.73</v>
      </c>
      <c r="G13" s="50">
        <f>'603a'!L13/'603'!B13</f>
        <v>19.400760897076633</v>
      </c>
      <c r="H13" s="50">
        <f>'603a'!M13/'603'!C13</f>
        <v>11.702277362275119</v>
      </c>
      <c r="I13" s="50">
        <f>'603a'!N13/'603'!D13</f>
        <v>22.308132049342472</v>
      </c>
      <c r="J13" s="50">
        <f>'603a'!O13/'603'!E13</f>
        <v>14.4240884086793</v>
      </c>
      <c r="K13" s="50">
        <f>'603a'!P13/'603'!F13</f>
        <v>14.008433166703288</v>
      </c>
      <c r="M13" s="62"/>
      <c r="N13" s="62"/>
      <c r="O13" s="62"/>
      <c r="P13" s="62"/>
      <c r="Q13" s="62"/>
    </row>
    <row r="14" spans="1:17">
      <c r="A14" s="66">
        <v>1979</v>
      </c>
      <c r="B14" s="56">
        <v>59329.75</v>
      </c>
      <c r="C14" s="56">
        <f t="shared" si="0"/>
        <v>1061.5</v>
      </c>
      <c r="D14" s="56">
        <v>91.97</v>
      </c>
      <c r="E14" s="56">
        <v>478.1</v>
      </c>
      <c r="F14" s="56">
        <v>491.43</v>
      </c>
      <c r="G14" s="50">
        <f>'603a'!L14/'603'!B14</f>
        <v>19.951553161053685</v>
      </c>
      <c r="H14" s="50">
        <f>'603a'!M14/'603'!C14</f>
        <v>11.804888737068847</v>
      </c>
      <c r="I14" s="50">
        <f>'603a'!N14/'603'!D14</f>
        <v>23.080308583858571</v>
      </c>
      <c r="J14" s="50">
        <f>'603a'!O14/'603'!E14</f>
        <v>14.263327856693735</v>
      </c>
      <c r="K14" s="50">
        <f>'603a'!P14/'603'!F14</f>
        <v>13.703541839380893</v>
      </c>
      <c r="L14" s="139"/>
      <c r="M14" s="64">
        <v>54207618.48629728</v>
      </c>
      <c r="N14" s="64">
        <f>SUM(O14:Q14)</f>
        <v>821517.55998133949</v>
      </c>
      <c r="O14" s="64">
        <v>73789.552397451494</v>
      </c>
      <c r="P14" s="64">
        <v>449110.64961358299</v>
      </c>
      <c r="Q14" s="64">
        <v>298617.35797030502</v>
      </c>
    </row>
    <row r="15" spans="1:17">
      <c r="A15" s="66">
        <v>1980</v>
      </c>
      <c r="B15" s="56">
        <v>59650.81</v>
      </c>
      <c r="C15" s="56">
        <f t="shared" si="0"/>
        <v>1058.6099999999999</v>
      </c>
      <c r="D15" s="56">
        <v>90.46</v>
      </c>
      <c r="E15" s="56">
        <v>472.45</v>
      </c>
      <c r="F15" s="56">
        <v>495.7</v>
      </c>
      <c r="G15" s="50">
        <f>'603a'!L15/'603'!B15</f>
        <v>20.12356580932645</v>
      </c>
      <c r="H15" s="50">
        <f>'603a'!M15/'603'!C15</f>
        <v>12.108914257701615</v>
      </c>
      <c r="I15" s="50">
        <f>'603a'!N15/'603'!D15</f>
        <v>23.856275498100359</v>
      </c>
      <c r="J15" s="50">
        <f>'603a'!O15/'603'!E15</f>
        <v>14.508981768102792</v>
      </c>
      <c r="K15" s="50">
        <f>'603a'!P15/'603'!F15</f>
        <v>13.615334646273714</v>
      </c>
      <c r="L15" s="152"/>
      <c r="M15" s="64">
        <v>54435258.260757074</v>
      </c>
      <c r="N15" s="64">
        <f t="shared" ref="N15:N38" si="1">SUM(O15:Q15)</f>
        <v>819507.76423607394</v>
      </c>
      <c r="O15" s="64">
        <v>73856.866685596906</v>
      </c>
      <c r="P15" s="64">
        <v>448392.22811849002</v>
      </c>
      <c r="Q15" s="64">
        <v>297258.66943198699</v>
      </c>
    </row>
    <row r="16" spans="1:17">
      <c r="A16" s="66">
        <v>1981</v>
      </c>
      <c r="B16" s="56">
        <v>58925.96</v>
      </c>
      <c r="C16" s="56">
        <f t="shared" si="0"/>
        <v>1027.2</v>
      </c>
      <c r="D16" s="56">
        <v>88.52</v>
      </c>
      <c r="E16" s="56">
        <v>450.38</v>
      </c>
      <c r="F16" s="56">
        <v>488.3</v>
      </c>
      <c r="G16" s="50">
        <f>'603a'!L16/'603'!B16</f>
        <v>20.514189717946113</v>
      </c>
      <c r="H16" s="50">
        <f>'603a'!M16/'603'!C16</f>
        <v>12.257183012504237</v>
      </c>
      <c r="I16" s="50">
        <f>'603a'!N16/'603'!D16</f>
        <v>24.379967799051471</v>
      </c>
      <c r="J16" s="50">
        <f>'603a'!O16/'603'!E16</f>
        <v>14.469814803173149</v>
      </c>
      <c r="K16" s="50">
        <f>'603a'!P16/'603'!F16</f>
        <v>13.205314898997809</v>
      </c>
      <c r="L16" s="152"/>
      <c r="M16" s="64">
        <v>53859614.685514286</v>
      </c>
      <c r="N16" s="64">
        <f>SUM(O16:Q16)</f>
        <v>786000.90413228609</v>
      </c>
      <c r="O16" s="64">
        <v>71583.248533121994</v>
      </c>
      <c r="P16" s="64">
        <v>424658.713960647</v>
      </c>
      <c r="Q16" s="64">
        <v>289758.94163851702</v>
      </c>
    </row>
    <row r="17" spans="1:17">
      <c r="A17" s="66">
        <v>1982</v>
      </c>
      <c r="B17" s="56">
        <v>58008.639999999999</v>
      </c>
      <c r="C17" s="56">
        <f t="shared" si="0"/>
        <v>992.29</v>
      </c>
      <c r="D17" s="56">
        <v>87.85</v>
      </c>
      <c r="E17" s="56">
        <v>424.78</v>
      </c>
      <c r="F17" s="56">
        <v>479.66</v>
      </c>
      <c r="G17" s="50">
        <f>'603a'!L17/'603'!B17</f>
        <v>20.681683684557633</v>
      </c>
      <c r="H17" s="50">
        <f>'603a'!M17/'603'!C17</f>
        <v>13.13331530045995</v>
      </c>
      <c r="I17" s="50">
        <f>'603a'!N17/'603'!D17</f>
        <v>24.832233595990967</v>
      </c>
      <c r="J17" s="50">
        <f>'603a'!O17/'603'!E17</f>
        <v>13.925728670688315</v>
      </c>
      <c r="K17" s="50">
        <f>'603a'!P17/'603'!F17</f>
        <v>13.903469023968109</v>
      </c>
      <c r="L17" s="152"/>
      <c r="M17" s="64">
        <v>53502731.826716237</v>
      </c>
      <c r="N17" s="64">
        <f t="shared" si="1"/>
        <v>752624.44478648086</v>
      </c>
      <c r="O17" s="64">
        <v>71941.779760325895</v>
      </c>
      <c r="P17" s="64">
        <v>400964.68597653601</v>
      </c>
      <c r="Q17" s="64">
        <v>279717.979049619</v>
      </c>
    </row>
    <row r="18" spans="1:17">
      <c r="A18" s="66">
        <v>1983</v>
      </c>
      <c r="B18" s="56">
        <v>57009.84</v>
      </c>
      <c r="C18" s="56">
        <f t="shared" si="0"/>
        <v>975.96</v>
      </c>
      <c r="D18" s="56">
        <v>88.05</v>
      </c>
      <c r="E18" s="56">
        <v>419.57</v>
      </c>
      <c r="F18" s="56">
        <v>468.34</v>
      </c>
      <c r="G18" s="50">
        <f>'603a'!L18/'603'!B18</f>
        <v>21.336053553503394</v>
      </c>
      <c r="H18" s="50">
        <f>'603a'!M18/'603'!C18</f>
        <v>13.87120890820643</v>
      </c>
      <c r="I18" s="50">
        <f>'603a'!N18/'603'!D18</f>
        <v>25.146779705397901</v>
      </c>
      <c r="J18" s="50">
        <f>'603a'!O18/'603'!E18</f>
        <v>13.952745865155871</v>
      </c>
      <c r="K18" s="50">
        <f>'603a'!P18/'603'!F18</f>
        <v>14.650657554320658</v>
      </c>
      <c r="L18" s="152"/>
      <c r="M18" s="64">
        <v>52838695.353012502</v>
      </c>
      <c r="N18" s="64">
        <f t="shared" si="1"/>
        <v>752645.14342796966</v>
      </c>
      <c r="O18" s="64">
        <v>70696.887502189595</v>
      </c>
      <c r="P18" s="64">
        <v>403020.35723266198</v>
      </c>
      <c r="Q18" s="64">
        <v>278927.89869311801</v>
      </c>
    </row>
    <row r="19" spans="1:17">
      <c r="A19" s="66">
        <v>1984</v>
      </c>
      <c r="B19" s="56">
        <v>57010.67</v>
      </c>
      <c r="C19" s="56">
        <f t="shared" si="0"/>
        <v>966.05</v>
      </c>
      <c r="D19" s="56">
        <v>87.93</v>
      </c>
      <c r="E19" s="56">
        <v>414.1</v>
      </c>
      <c r="F19" s="56">
        <v>464.02</v>
      </c>
      <c r="G19" s="50">
        <f>'603a'!L19/'603'!B19</f>
        <v>21.959342993122959</v>
      </c>
      <c r="H19" s="50">
        <f>'603a'!M19/'603'!C19</f>
        <v>14.399517299054024</v>
      </c>
      <c r="I19" s="50">
        <f>'603a'!N19/'603'!D19</f>
        <v>25.261039248476315</v>
      </c>
      <c r="J19" s="50">
        <f>'603a'!O19/'603'!E19</f>
        <v>14.676680096338085</v>
      </c>
      <c r="K19" s="50">
        <f>'603a'!P19/'603'!F19</f>
        <v>15.33527603006215</v>
      </c>
      <c r="L19" s="152"/>
      <c r="M19" s="64">
        <v>52930181.341718882</v>
      </c>
      <c r="N19" s="64">
        <f t="shared" si="1"/>
        <v>746844.21178418025</v>
      </c>
      <c r="O19" s="64">
        <v>70841.305399035205</v>
      </c>
      <c r="P19" s="64">
        <v>404065.80206183798</v>
      </c>
      <c r="Q19" s="64">
        <v>271937.10432330699</v>
      </c>
    </row>
    <row r="20" spans="1:17">
      <c r="A20" s="66">
        <v>1985</v>
      </c>
      <c r="B20" s="56">
        <v>56912.09</v>
      </c>
      <c r="C20" s="56">
        <f t="shared" si="0"/>
        <v>930.67</v>
      </c>
      <c r="D20" s="56">
        <v>86.09</v>
      </c>
      <c r="E20" s="56">
        <v>388.82</v>
      </c>
      <c r="F20" s="56">
        <v>455.76</v>
      </c>
      <c r="G20" s="50">
        <f>'603a'!L20/'603'!B20</f>
        <v>22.55042441567803</v>
      </c>
      <c r="H20" s="50">
        <f>'603a'!M20/'603'!C20</f>
        <v>15.350395873529555</v>
      </c>
      <c r="I20" s="50">
        <f>'603a'!N20/'603'!D20</f>
        <v>26.354804452045514</v>
      </c>
      <c r="J20" s="50">
        <f>'603a'!O20/'603'!E20</f>
        <v>15.088142458883739</v>
      </c>
      <c r="K20" s="50">
        <f>'603a'!P20/'603'!F20</f>
        <v>16.300498565774635</v>
      </c>
      <c r="L20" s="152"/>
      <c r="M20" s="64">
        <v>53006401.671974197</v>
      </c>
      <c r="N20" s="64">
        <f t="shared" si="1"/>
        <v>725930.30248771375</v>
      </c>
      <c r="O20" s="64">
        <v>71631.813854193693</v>
      </c>
      <c r="P20" s="64">
        <v>382738.97917056503</v>
      </c>
      <c r="Q20" s="64">
        <v>271559.509462955</v>
      </c>
    </row>
    <row r="21" spans="1:17">
      <c r="A21" s="66">
        <v>1986</v>
      </c>
      <c r="B21" s="56">
        <v>57251.32</v>
      </c>
      <c r="C21" s="56">
        <f t="shared" si="0"/>
        <v>925.76</v>
      </c>
      <c r="D21" s="56">
        <v>83.94</v>
      </c>
      <c r="E21" s="56">
        <v>383.3</v>
      </c>
      <c r="F21" s="56">
        <v>458.52</v>
      </c>
      <c r="G21" s="50">
        <f>'603a'!L21/'603'!B21</f>
        <v>22.904160045678857</v>
      </c>
      <c r="H21" s="50">
        <f>'603a'!M21/'603'!C21</f>
        <v>15.672995259276009</v>
      </c>
      <c r="I21" s="50">
        <f>'603a'!N21/'603'!D21</f>
        <v>27.029629508380388</v>
      </c>
      <c r="J21" s="50">
        <f>'603a'!O21/'603'!E21</f>
        <v>14.916590240205453</v>
      </c>
      <c r="K21" s="50">
        <f>'603a'!P21/'603'!F21</f>
        <v>16.202094619657451</v>
      </c>
      <c r="L21" s="152"/>
      <c r="M21" s="64">
        <v>53604762.378582485</v>
      </c>
      <c r="N21" s="64">
        <f t="shared" si="1"/>
        <v>720281.99490191042</v>
      </c>
      <c r="O21" s="64">
        <v>71338.383175076393</v>
      </c>
      <c r="P21" s="64">
        <v>379100.907208624</v>
      </c>
      <c r="Q21" s="64">
        <v>269842.70451821003</v>
      </c>
    </row>
    <row r="22" spans="1:17">
      <c r="A22" s="66">
        <v>1987</v>
      </c>
      <c r="B22" s="56">
        <v>57185.79</v>
      </c>
      <c r="C22" s="56">
        <f t="shared" si="0"/>
        <v>925.68</v>
      </c>
      <c r="D22" s="56">
        <v>81.13</v>
      </c>
      <c r="E22" s="56">
        <v>381.28</v>
      </c>
      <c r="F22" s="56">
        <v>463.27</v>
      </c>
      <c r="G22" s="50">
        <f>'603a'!L22/'603'!B22</f>
        <v>23.199781399873999</v>
      </c>
      <c r="H22" s="50">
        <f>'603a'!M22/'603'!C22</f>
        <v>16.14380200768333</v>
      </c>
      <c r="I22" s="50">
        <f>'603a'!N22/'603'!D22</f>
        <v>28.228943332646939</v>
      </c>
      <c r="J22" s="50">
        <f>'603a'!O22/'603'!E22</f>
        <v>15.104326488254646</v>
      </c>
      <c r="K22" s="50">
        <f>'603a'!P22/'603'!F22</f>
        <v>16.548766288168306</v>
      </c>
      <c r="L22" s="152"/>
      <c r="M22" s="64">
        <v>53836539.027363747</v>
      </c>
      <c r="N22" s="64">
        <f t="shared" si="1"/>
        <v>720391.65175781329</v>
      </c>
      <c r="O22" s="64">
        <v>72060.067595848202</v>
      </c>
      <c r="P22" s="64">
        <v>375324.290401162</v>
      </c>
      <c r="Q22" s="64">
        <v>273007.293760803</v>
      </c>
    </row>
    <row r="23" spans="1:17">
      <c r="A23" s="66">
        <v>1988</v>
      </c>
      <c r="B23" s="56">
        <v>57753.14</v>
      </c>
      <c r="C23" s="56">
        <f t="shared" si="0"/>
        <v>926.43999999999994</v>
      </c>
      <c r="D23" s="56">
        <v>80.209999999999994</v>
      </c>
      <c r="E23" s="56">
        <v>382.53</v>
      </c>
      <c r="F23" s="56">
        <v>463.7</v>
      </c>
      <c r="G23" s="50">
        <f>'603a'!L23/'603'!B23</f>
        <v>23.836040466930111</v>
      </c>
      <c r="H23" s="50">
        <f>'603a'!M23/'603'!C23</f>
        <v>16.389731176181193</v>
      </c>
      <c r="I23" s="50">
        <f>'603a'!N23/'603'!D23</f>
        <v>28.915700638874096</v>
      </c>
      <c r="J23" s="50">
        <f>'603a'!O23/'603'!E23</f>
        <v>15.365711130938395</v>
      </c>
      <c r="K23" s="50">
        <f>'603a'!P23/'603'!F23</f>
        <v>16.840580489451661</v>
      </c>
      <c r="L23" s="152"/>
      <c r="M23" s="64">
        <v>54652857.49469617</v>
      </c>
      <c r="N23" s="64">
        <f t="shared" si="1"/>
        <v>725112.79087795387</v>
      </c>
      <c r="O23" s="64">
        <v>71694.014962061905</v>
      </c>
      <c r="P23" s="64">
        <v>379655.59601608902</v>
      </c>
      <c r="Q23" s="64">
        <v>273763.17989980301</v>
      </c>
    </row>
    <row r="24" spans="1:17">
      <c r="A24" s="66">
        <v>1989</v>
      </c>
      <c r="B24" s="56">
        <v>57931.86</v>
      </c>
      <c r="C24" s="56">
        <f t="shared" si="0"/>
        <v>917.45</v>
      </c>
      <c r="D24" s="56">
        <v>78.94</v>
      </c>
      <c r="E24" s="56">
        <v>378.1</v>
      </c>
      <c r="F24" s="56">
        <v>460.41</v>
      </c>
      <c r="G24" s="50">
        <f>'603a'!L24/'603'!B24</f>
        <v>24.734565813795793</v>
      </c>
      <c r="H24" s="50">
        <f>'603a'!M24/'603'!C24</f>
        <v>16.600828307619278</v>
      </c>
      <c r="I24" s="50">
        <f>'603a'!N24/'603'!D24</f>
        <v>30.006744737294991</v>
      </c>
      <c r="J24" s="50">
        <f>'603a'!O24/'603'!E24</f>
        <v>15.510574915578282</v>
      </c>
      <c r="K24" s="50">
        <f>'603a'!P24/'603'!F24</f>
        <v>17.419809027694956</v>
      </c>
      <c r="L24" s="152"/>
      <c r="M24" s="64">
        <v>55130447.93915651</v>
      </c>
      <c r="N24" s="64">
        <f t="shared" si="1"/>
        <v>730148.87246930157</v>
      </c>
      <c r="O24" s="64">
        <v>71805.079839626502</v>
      </c>
      <c r="P24" s="64">
        <v>383053.578707184</v>
      </c>
      <c r="Q24" s="64">
        <v>275290.21392249101</v>
      </c>
    </row>
    <row r="25" spans="1:17">
      <c r="A25" s="66">
        <v>1990</v>
      </c>
      <c r="B25" s="56">
        <v>58895.85</v>
      </c>
      <c r="C25" s="56">
        <f t="shared" si="0"/>
        <v>943.76</v>
      </c>
      <c r="D25" s="56">
        <v>79.19</v>
      </c>
      <c r="E25" s="56">
        <v>392.88</v>
      </c>
      <c r="F25" s="56">
        <v>471.69</v>
      </c>
      <c r="G25" s="50">
        <f>'603a'!L25/'603'!B25</f>
        <v>25.560592264807923</v>
      </c>
      <c r="H25" s="50">
        <f>'603a'!M25/'603'!C25</f>
        <v>18.667990066173516</v>
      </c>
      <c r="I25" s="50">
        <f>'603a'!N25/'603'!D25</f>
        <v>30.914509303970007</v>
      </c>
      <c r="J25" s="50">
        <f>'603a'!O25/'603'!E25</f>
        <v>15.624089715903496</v>
      </c>
      <c r="K25" s="50">
        <f>'603a'!P25/'603'!F25</f>
        <v>19.187142653014931</v>
      </c>
      <c r="L25" s="152"/>
      <c r="M25" s="64">
        <v>55751226.59795998</v>
      </c>
      <c r="N25" s="64">
        <f t="shared" si="1"/>
        <v>759621.95350042754</v>
      </c>
      <c r="O25" s="64">
        <v>74144.325005911494</v>
      </c>
      <c r="P25" s="64">
        <v>390576.01295434701</v>
      </c>
      <c r="Q25" s="64">
        <v>294901.615540169</v>
      </c>
    </row>
    <row r="26" spans="1:17">
      <c r="A26" s="66">
        <v>1991</v>
      </c>
      <c r="B26" s="56">
        <v>59788</v>
      </c>
      <c r="C26" s="56">
        <f t="shared" si="0"/>
        <v>960</v>
      </c>
      <c r="D26" s="56">
        <v>78</v>
      </c>
      <c r="E26" s="56">
        <v>401</v>
      </c>
      <c r="F26" s="56">
        <v>481</v>
      </c>
      <c r="G26" s="50">
        <f>'603a'!L26/'603'!B26</f>
        <v>26.433996276934437</v>
      </c>
      <c r="H26" s="50">
        <f>'603a'!M26/'603'!C26</f>
        <v>19.396431904037684</v>
      </c>
      <c r="I26" s="50">
        <f>'603a'!N26/'603'!D26</f>
        <v>33.338295312170487</v>
      </c>
      <c r="J26" s="50">
        <f>'603a'!O26/'603'!E26</f>
        <v>16.854085158660045</v>
      </c>
      <c r="K26" s="50">
        <f>'603a'!P26/'603'!F26</f>
        <v>19.417211564742793</v>
      </c>
      <c r="L26" s="152"/>
      <c r="M26" s="64">
        <v>56979096.618298389</v>
      </c>
      <c r="N26" s="64">
        <f t="shared" si="1"/>
        <v>773577.69036737189</v>
      </c>
      <c r="O26" s="64">
        <v>74452.380952380903</v>
      </c>
      <c r="P26" s="64">
        <v>400501.56821711099</v>
      </c>
      <c r="Q26" s="64">
        <v>298623.74119788001</v>
      </c>
    </row>
    <row r="27" spans="1:17">
      <c r="A27" s="66">
        <v>1992</v>
      </c>
      <c r="B27" s="56">
        <v>59609</v>
      </c>
      <c r="C27" s="56">
        <f t="shared" si="0"/>
        <v>951</v>
      </c>
      <c r="D27" s="56">
        <v>81</v>
      </c>
      <c r="E27" s="56">
        <v>405</v>
      </c>
      <c r="F27" s="56">
        <v>465</v>
      </c>
      <c r="G27" s="50">
        <f>'603a'!L27/'603'!B27</f>
        <v>27.09728932446906</v>
      </c>
      <c r="H27" s="50">
        <f>'603a'!M27/'603'!C27</f>
        <v>20.841528820515542</v>
      </c>
      <c r="I27" s="50">
        <f>'603a'!N27/'603'!D27</f>
        <v>33.89521164952351</v>
      </c>
      <c r="J27" s="50">
        <f>'603a'!O27/'603'!E27</f>
        <v>18.398500094068492</v>
      </c>
      <c r="K27" s="50">
        <f>'603a'!P27/'603'!F27</f>
        <v>20.767327253847885</v>
      </c>
      <c r="L27" s="152"/>
      <c r="M27" s="64">
        <v>56878219.362395093</v>
      </c>
      <c r="N27" s="64">
        <f t="shared" si="1"/>
        <v>771418.95822992409</v>
      </c>
      <c r="O27" s="64">
        <v>79938.704028021006</v>
      </c>
      <c r="P27" s="64">
        <v>406771.427679063</v>
      </c>
      <c r="Q27" s="64">
        <v>284708.82652284001</v>
      </c>
    </row>
    <row r="28" spans="1:17">
      <c r="A28" s="66">
        <v>1993</v>
      </c>
      <c r="B28" s="56">
        <v>58206</v>
      </c>
      <c r="C28" s="56">
        <f t="shared" si="0"/>
        <v>904</v>
      </c>
      <c r="D28" s="56">
        <v>79</v>
      </c>
      <c r="E28" s="56">
        <v>392</v>
      </c>
      <c r="F28" s="56">
        <v>433</v>
      </c>
      <c r="G28" s="50">
        <f>'603a'!L28/'603'!B28</f>
        <v>27.484810583239067</v>
      </c>
      <c r="H28" s="50">
        <f>'603a'!M28/'603'!C28</f>
        <v>20.841588476110815</v>
      </c>
      <c r="I28" s="50">
        <f>'603a'!N28/'603'!D28</f>
        <v>26.730185507487423</v>
      </c>
      <c r="J28" s="50">
        <f>'603a'!O28/'603'!E28</f>
        <v>19.466721804048198</v>
      </c>
      <c r="K28" s="50">
        <f>'603a'!P28/'603'!F28</f>
        <v>21.040497473145944</v>
      </c>
      <c r="L28" s="152"/>
      <c r="M28" s="64">
        <v>55454733.399481446</v>
      </c>
      <c r="N28" s="64">
        <f t="shared" si="1"/>
        <v>737979.05488948105</v>
      </c>
      <c r="O28" s="64">
        <v>76573.673870333994</v>
      </c>
      <c r="P28" s="64">
        <v>394691.66012205399</v>
      </c>
      <c r="Q28" s="64">
        <v>266713.72089709301</v>
      </c>
    </row>
    <row r="29" spans="1:17">
      <c r="A29" s="66">
        <v>1994</v>
      </c>
      <c r="B29" s="56">
        <v>58043</v>
      </c>
      <c r="C29" s="56">
        <f t="shared" si="0"/>
        <v>888</v>
      </c>
      <c r="D29" s="56">
        <v>77</v>
      </c>
      <c r="E29" s="56">
        <v>401</v>
      </c>
      <c r="F29" s="56">
        <v>410</v>
      </c>
      <c r="G29" s="50">
        <f>'603a'!L29/'603'!B29</f>
        <v>28.217115302127183</v>
      </c>
      <c r="H29" s="50">
        <f>'603a'!M29/'603'!C29</f>
        <v>23.199047592089762</v>
      </c>
      <c r="I29" s="50">
        <f>'603a'!N29/'603'!D29</f>
        <v>31.237199378792297</v>
      </c>
      <c r="J29" s="50">
        <f>'603a'!O29/'603'!E29</f>
        <v>21.341258580964386</v>
      </c>
      <c r="K29" s="50">
        <f>'603a'!P29/'603'!F29</f>
        <v>23.56518643815242</v>
      </c>
      <c r="L29" s="152"/>
      <c r="M29" s="64">
        <v>55189051.208521672</v>
      </c>
      <c r="N29" s="64">
        <f t="shared" si="1"/>
        <v>728889.46911746473</v>
      </c>
      <c r="O29" s="64">
        <v>74674.650698602796</v>
      </c>
      <c r="P29" s="64">
        <v>395544.89169665298</v>
      </c>
      <c r="Q29" s="64">
        <v>258669.926722209</v>
      </c>
    </row>
    <row r="30" spans="1:17">
      <c r="A30" s="66">
        <v>1995</v>
      </c>
      <c r="B30" s="56">
        <v>57662</v>
      </c>
      <c r="C30" s="56">
        <f t="shared" si="0"/>
        <v>875</v>
      </c>
      <c r="D30" s="56">
        <v>77</v>
      </c>
      <c r="E30" s="56">
        <v>421</v>
      </c>
      <c r="F30" s="56">
        <v>377</v>
      </c>
      <c r="G30" s="50">
        <f>'603a'!L30/'603'!B30</f>
        <v>28.99151954493427</v>
      </c>
      <c r="H30" s="50">
        <f>'603a'!M30/'603'!C30</f>
        <v>21.565714285714286</v>
      </c>
      <c r="I30" s="50">
        <f>'603a'!N30/'603'!D30</f>
        <v>29.61038961038961</v>
      </c>
      <c r="J30" s="50">
        <f>'603a'!O30/'603'!E30</f>
        <v>19.952494061757719</v>
      </c>
      <c r="K30" s="50">
        <f>'603a'!P30/'603'!F30</f>
        <v>21.724137931034484</v>
      </c>
      <c r="L30" s="152"/>
      <c r="M30" s="64">
        <v>54630798.864487283</v>
      </c>
      <c r="N30" s="64">
        <f t="shared" si="1"/>
        <v>719085.96166394348</v>
      </c>
      <c r="O30" s="64">
        <v>73816.532258064501</v>
      </c>
      <c r="P30" s="64">
        <v>391981.813373474</v>
      </c>
      <c r="Q30" s="64">
        <v>253287.616032405</v>
      </c>
    </row>
    <row r="31" spans="1:17">
      <c r="A31" s="66">
        <v>1996</v>
      </c>
      <c r="B31" s="56">
        <v>56918</v>
      </c>
      <c r="C31" s="56">
        <f t="shared" si="0"/>
        <v>819</v>
      </c>
      <c r="D31" s="56">
        <v>78</v>
      </c>
      <c r="E31" s="56">
        <v>398</v>
      </c>
      <c r="F31" s="56">
        <v>343</v>
      </c>
      <c r="G31" s="50">
        <f>'603a'!L31/'603'!B31</f>
        <v>29.750114972087047</v>
      </c>
      <c r="H31" s="50">
        <f>'603a'!M31/'603'!C31</f>
        <v>23.52051164674721</v>
      </c>
      <c r="I31" s="50">
        <f>'603a'!N31/'603'!D31</f>
        <v>30.13996706657257</v>
      </c>
      <c r="J31" s="50">
        <f>'603a'!O31/'603'!E31</f>
        <v>20.248977951397332</v>
      </c>
      <c r="K31" s="50">
        <f>'603a'!P31/'603'!F31</f>
        <v>25.890113353670202</v>
      </c>
      <c r="L31" s="152"/>
      <c r="M31" s="64">
        <v>53694184.518230982</v>
      </c>
      <c r="N31" s="64">
        <f t="shared" si="1"/>
        <v>685802.17209397163</v>
      </c>
      <c r="O31" s="64">
        <v>73729.386892177601</v>
      </c>
      <c r="P31" s="64">
        <v>369876.84095330199</v>
      </c>
      <c r="Q31" s="64">
        <v>242195.94424849199</v>
      </c>
    </row>
    <row r="32" spans="1:17">
      <c r="A32" s="66">
        <v>1997</v>
      </c>
      <c r="B32" s="56">
        <v>56518</v>
      </c>
      <c r="C32" s="56">
        <f t="shared" si="0"/>
        <v>774</v>
      </c>
      <c r="D32" s="56">
        <v>66</v>
      </c>
      <c r="E32" s="56">
        <v>384</v>
      </c>
      <c r="F32" s="56">
        <v>324</v>
      </c>
      <c r="G32" s="50">
        <f>'603a'!L32/'603'!B32</f>
        <v>30.476295925010682</v>
      </c>
      <c r="H32" s="50">
        <f>'603a'!M32/'603'!C32</f>
        <v>26.880399315885686</v>
      </c>
      <c r="I32" s="50">
        <f>'603a'!N32/'603'!D32</f>
        <v>37.185634602211564</v>
      </c>
      <c r="J32" s="50">
        <f>'603a'!O32/'603'!E32</f>
        <v>22.473607777661829</v>
      </c>
      <c r="K32" s="50">
        <f>'603a'!P32/'603'!F32</f>
        <v>30.04509483237964</v>
      </c>
      <c r="L32" s="152"/>
      <c r="M32" s="64">
        <v>53141295.060073823</v>
      </c>
      <c r="N32" s="64">
        <f t="shared" si="1"/>
        <v>655939.09398427559</v>
      </c>
      <c r="O32" s="64">
        <v>63575.9493670886</v>
      </c>
      <c r="P32" s="64">
        <v>346666.874996125</v>
      </c>
      <c r="Q32" s="64">
        <v>245696.26962106201</v>
      </c>
    </row>
    <row r="33" spans="1:17">
      <c r="A33" s="66">
        <v>1998</v>
      </c>
      <c r="B33" s="56">
        <v>56989</v>
      </c>
      <c r="C33" s="56">
        <f t="shared" si="0"/>
        <v>757</v>
      </c>
      <c r="D33" s="56">
        <v>66</v>
      </c>
      <c r="E33" s="56">
        <v>376</v>
      </c>
      <c r="F33" s="56">
        <v>315</v>
      </c>
      <c r="G33" s="50">
        <f>'603a'!L33/'603'!B33</f>
        <v>30.708733955150624</v>
      </c>
      <c r="H33" s="50">
        <f>'603a'!M33/'603'!C33</f>
        <v>26.937507890191611</v>
      </c>
      <c r="I33" s="50">
        <f>'603a'!N33/'603'!D33</f>
        <v>35.056861625127311</v>
      </c>
      <c r="J33" s="50">
        <f>'603a'!O33/'603'!E33</f>
        <v>22.119614080054866</v>
      </c>
      <c r="K33" s="50">
        <f>'603a'!P33/'603'!F33</f>
        <v>31.006818489697011</v>
      </c>
      <c r="L33" s="152"/>
      <c r="M33" s="64">
        <v>53532375.575052232</v>
      </c>
      <c r="N33" s="64">
        <f t="shared" si="1"/>
        <v>642659.15234172833</v>
      </c>
      <c r="O33" s="64">
        <v>62695.833333333299</v>
      </c>
      <c r="P33" s="64">
        <v>335527.20590471802</v>
      </c>
      <c r="Q33" s="64">
        <v>244436.11310367699</v>
      </c>
    </row>
    <row r="34" spans="1:17">
      <c r="A34" s="66">
        <v>1999</v>
      </c>
      <c r="B34" s="56">
        <v>57324</v>
      </c>
      <c r="C34" s="56">
        <f t="shared" si="0"/>
        <v>784</v>
      </c>
      <c r="D34" s="56">
        <v>66</v>
      </c>
      <c r="E34" s="56">
        <v>368</v>
      </c>
      <c r="F34" s="56">
        <v>350</v>
      </c>
      <c r="G34" s="50">
        <f>'603a'!L34/'603'!B34</f>
        <v>31.07310849893646</v>
      </c>
      <c r="H34" s="50">
        <f>'603a'!M34/'603'!C34</f>
        <v>26.466382566605187</v>
      </c>
      <c r="I34" s="50">
        <f>'603a'!N34/'603'!D34</f>
        <v>33.842112206677797</v>
      </c>
      <c r="J34" s="50">
        <f>'603a'!O34/'603'!E34</f>
        <v>22.713541359087461</v>
      </c>
      <c r="K34" s="50">
        <f>'603a'!P34/'603'!F34</f>
        <v>29.111322433203476</v>
      </c>
      <c r="L34" s="152"/>
      <c r="M34" s="64">
        <v>53825173.587146237</v>
      </c>
      <c r="N34" s="64">
        <f t="shared" si="1"/>
        <v>633136.02312074788</v>
      </c>
      <c r="O34" s="64">
        <v>60952.380952380903</v>
      </c>
      <c r="P34" s="64">
        <v>326409.91674206202</v>
      </c>
      <c r="Q34" s="64">
        <v>245773.725426305</v>
      </c>
    </row>
    <row r="35" spans="1:17">
      <c r="A35" s="66">
        <v>2000</v>
      </c>
      <c r="B35" s="56">
        <v>57659</v>
      </c>
      <c r="C35" s="56">
        <f t="shared" si="0"/>
        <v>760</v>
      </c>
      <c r="D35" s="56">
        <v>62</v>
      </c>
      <c r="E35" s="56">
        <v>361</v>
      </c>
      <c r="F35" s="56">
        <v>337</v>
      </c>
      <c r="G35" s="50">
        <f>'603a'!L35/'603'!B35</f>
        <v>31.984817946601741</v>
      </c>
      <c r="H35" s="50">
        <f>'603a'!M35/'603'!C35</f>
        <v>27.261850221581316</v>
      </c>
      <c r="I35" s="50">
        <f>'603a'!N35/'603'!D35</f>
        <v>33.890815401784039</v>
      </c>
      <c r="J35" s="50">
        <f>'603a'!O35/'603'!E35</f>
        <v>23.559242855472398</v>
      </c>
      <c r="K35" s="50">
        <f>'603a'!P35/'603'!F35</f>
        <v>30.075206410648274</v>
      </c>
      <c r="L35" s="152"/>
      <c r="M35" s="64">
        <v>54085533.878525451</v>
      </c>
      <c r="N35" s="64">
        <f t="shared" si="1"/>
        <v>618692.11504375865</v>
      </c>
      <c r="O35" s="64">
        <v>59408.898305084702</v>
      </c>
      <c r="P35" s="64">
        <v>318490.320441555</v>
      </c>
      <c r="Q35" s="64">
        <v>240792.896297119</v>
      </c>
    </row>
    <row r="36" spans="1:17">
      <c r="A36" s="66">
        <v>2001</v>
      </c>
      <c r="B36" s="56">
        <v>57334</v>
      </c>
      <c r="C36" s="56">
        <f t="shared" si="0"/>
        <v>722</v>
      </c>
      <c r="D36" s="56">
        <v>60</v>
      </c>
      <c r="E36" s="56">
        <v>332</v>
      </c>
      <c r="F36" s="56">
        <v>330</v>
      </c>
      <c r="G36" s="50">
        <f>'603a'!L36/'603'!B36</f>
        <v>32.614135955777755</v>
      </c>
      <c r="H36" s="50">
        <f>'603a'!M36/'603'!C36</f>
        <v>27.204528981084611</v>
      </c>
      <c r="I36" s="50">
        <f>'603a'!N36/'603'!D36</f>
        <v>35.989516097484646</v>
      </c>
      <c r="J36" s="50">
        <f>'603a'!O36/'603'!E36</f>
        <v>23.613950004443485</v>
      </c>
      <c r="K36" s="50">
        <f>'603a'!P36/'603'!F36</f>
        <v>29.524120433211344</v>
      </c>
      <c r="L36" s="152"/>
      <c r="M36" s="64">
        <v>53879198.233170889</v>
      </c>
      <c r="N36" s="64">
        <f t="shared" si="1"/>
        <v>588983.27249797015</v>
      </c>
      <c r="O36" s="64">
        <v>57082.608695652198</v>
      </c>
      <c r="P36" s="64">
        <v>292312.85767497699</v>
      </c>
      <c r="Q36" s="64">
        <v>239587.806127341</v>
      </c>
    </row>
    <row r="37" spans="1:17">
      <c r="A37" s="66">
        <v>2002</v>
      </c>
      <c r="B37" s="56">
        <v>56512</v>
      </c>
      <c r="C37" s="56">
        <f t="shared" si="0"/>
        <v>682</v>
      </c>
      <c r="D37" s="56">
        <v>62</v>
      </c>
      <c r="E37" s="56">
        <v>300</v>
      </c>
      <c r="F37" s="56">
        <v>320</v>
      </c>
      <c r="G37" s="50">
        <f>'603a'!L37/'603'!B37</f>
        <v>33.141335684064849</v>
      </c>
      <c r="H37" s="50">
        <f>'603a'!M37/'603'!C37</f>
        <v>28.758519529568147</v>
      </c>
      <c r="I37" s="50">
        <f>'603a'!N37/'603'!D37</f>
        <v>38.046579884229693</v>
      </c>
      <c r="J37" s="50">
        <f>'603a'!O37/'603'!E37</f>
        <v>25.989068664712054</v>
      </c>
      <c r="K37" s="50">
        <f>'603a'!P37/'603'!F37</f>
        <v>30.153004962323102</v>
      </c>
      <c r="L37" s="152"/>
      <c r="M37" s="64">
        <v>53174653.813200548</v>
      </c>
      <c r="N37" s="64">
        <f t="shared" si="1"/>
        <v>562671.44565348234</v>
      </c>
      <c r="O37" s="64">
        <v>57685.714285714297</v>
      </c>
      <c r="P37" s="64">
        <v>270429.42831635597</v>
      </c>
      <c r="Q37" s="64">
        <v>234556.30305141199</v>
      </c>
    </row>
    <row r="38" spans="1:17">
      <c r="A38" s="66">
        <v>2003</v>
      </c>
      <c r="B38" s="56">
        <v>55726</v>
      </c>
      <c r="C38" s="56">
        <f t="shared" si="0"/>
        <v>641</v>
      </c>
      <c r="D38" s="56">
        <v>60</v>
      </c>
      <c r="E38" s="56">
        <v>270</v>
      </c>
      <c r="F38" s="56">
        <v>311</v>
      </c>
      <c r="G38" s="50">
        <f>'603a'!L38/'603'!B38</f>
        <v>33.494882281779951</v>
      </c>
      <c r="H38" s="50">
        <f>'603a'!M38/'603'!C38</f>
        <v>29.84125425669599</v>
      </c>
      <c r="I38" s="50">
        <f>'603a'!N38/'603'!D38</f>
        <v>36.896479021716218</v>
      </c>
      <c r="J38" s="50">
        <f>'603a'!O38/'603'!E38</f>
        <v>27.71451638168914</v>
      </c>
      <c r="K38" s="50">
        <f>'603a'!P38/'603'!F38</f>
        <v>30.817777217889056</v>
      </c>
      <c r="L38" s="152"/>
      <c r="M38" s="64">
        <v>52448107.827863388</v>
      </c>
      <c r="N38" s="64">
        <f t="shared" si="1"/>
        <v>546698.22777420992</v>
      </c>
      <c r="O38" s="64">
        <v>55345.620626151001</v>
      </c>
      <c r="P38" s="64">
        <v>263128.63195738598</v>
      </c>
      <c r="Q38" s="64">
        <v>228223.97519067299</v>
      </c>
    </row>
    <row r="39" spans="1:17">
      <c r="A39" s="66">
        <v>2004</v>
      </c>
      <c r="B39" s="56">
        <v>56049.2</v>
      </c>
      <c r="C39" s="56">
        <f t="shared" si="0"/>
        <v>674.37</v>
      </c>
      <c r="D39" s="56">
        <v>59.9</v>
      </c>
      <c r="E39" s="56">
        <v>299</v>
      </c>
      <c r="F39" s="56">
        <v>315.47000000000003</v>
      </c>
      <c r="G39" s="50">
        <f>'603a'!L39/'603'!B39</f>
        <v>33.820599221406873</v>
      </c>
      <c r="H39" s="50">
        <f>'603a'!M39/'603'!C39</f>
        <v>30.501070675553375</v>
      </c>
      <c r="I39" s="50">
        <f>'603a'!N39/'603'!D39</f>
        <v>49.167108187631406</v>
      </c>
      <c r="J39" s="50">
        <f>'603a'!O39/'603'!E39</f>
        <v>26.657867168891276</v>
      </c>
      <c r="K39" s="50">
        <f>'603a'!P39/'603'!F39</f>
        <v>31.492845146780969</v>
      </c>
    </row>
    <row r="40" spans="1:17">
      <c r="A40" s="66">
        <v>2005</v>
      </c>
      <c r="B40" s="56">
        <v>55696.25</v>
      </c>
      <c r="C40" s="56">
        <f t="shared" si="0"/>
        <v>628.69000000000005</v>
      </c>
      <c r="D40" s="56">
        <v>52.63</v>
      </c>
      <c r="E40" s="56">
        <v>266</v>
      </c>
      <c r="F40" s="56">
        <v>310.06</v>
      </c>
      <c r="G40" s="50">
        <f>'603a'!L40/'603'!B40</f>
        <v>34.339438697900896</v>
      </c>
      <c r="H40" s="50">
        <f>'603a'!M40/'603'!C40</f>
        <v>32.74817901792288</v>
      </c>
      <c r="I40" s="50">
        <f>'603a'!N40/'603'!D40</f>
        <v>56.158030235138419</v>
      </c>
      <c r="J40" s="50">
        <f>'603a'!O40/'603'!E40</f>
        <v>28.915281520334201</v>
      </c>
      <c r="K40" s="50">
        <f>'603a'!P40/'603'!F40</f>
        <v>33.250521631390697</v>
      </c>
    </row>
    <row r="41" spans="1:17">
      <c r="A41" s="66">
        <v>2006</v>
      </c>
      <c r="B41" s="56">
        <v>55863.82</v>
      </c>
      <c r="C41" s="56">
        <f t="shared" si="0"/>
        <v>609.69000000000005</v>
      </c>
      <c r="D41" s="56">
        <v>49.39</v>
      </c>
      <c r="E41" s="56">
        <v>252</v>
      </c>
      <c r="F41" s="56">
        <v>308.3</v>
      </c>
      <c r="G41" s="50">
        <f>'603a'!L41/'603'!B41</f>
        <v>35.292615735919988</v>
      </c>
      <c r="H41" s="50">
        <f>'603a'!M41/'603'!C41</f>
        <v>35.478783689196611</v>
      </c>
      <c r="I41" s="50">
        <f>'603a'!N41/'603'!D41</f>
        <v>62.674512342048843</v>
      </c>
      <c r="J41" s="50">
        <f>'603a'!O41/'603'!E41</f>
        <v>31.607062356581899</v>
      </c>
      <c r="K41" s="50">
        <f>'603a'!P41/'603'!F41</f>
        <v>35.222307323104772</v>
      </c>
    </row>
    <row r="42" spans="1:17">
      <c r="A42" s="66">
        <v>2007</v>
      </c>
      <c r="B42" s="56">
        <v>56854.11</v>
      </c>
      <c r="C42" s="56">
        <f t="shared" si="0"/>
        <v>607.58999999999992</v>
      </c>
      <c r="D42" s="56">
        <v>49.19</v>
      </c>
      <c r="E42" s="56">
        <v>251</v>
      </c>
      <c r="F42" s="56">
        <v>307.39999999999998</v>
      </c>
      <c r="G42" s="50">
        <f>'603a'!L42/'603'!B42</f>
        <v>35.65560586084888</v>
      </c>
      <c r="H42" s="50">
        <f>'603a'!M42/'603'!C42</f>
        <v>35.411201613336495</v>
      </c>
      <c r="I42" s="50">
        <f>'603a'!N42/'603'!D42</f>
        <v>66.905605555331732</v>
      </c>
      <c r="J42" s="50">
        <f>'603a'!O42/'603'!E42</f>
        <v>28.584532516229093</v>
      </c>
      <c r="K42" s="50">
        <f>'603a'!P42/'603'!F42</f>
        <v>36.483374135780181</v>
      </c>
    </row>
    <row r="43" spans="1:17">
      <c r="A43" s="66">
        <v>2008</v>
      </c>
      <c r="B43" s="30" t="s">
        <v>22</v>
      </c>
      <c r="C43" s="30" t="s">
        <v>22</v>
      </c>
      <c r="D43" s="30" t="s">
        <v>22</v>
      </c>
      <c r="E43" s="30" t="s">
        <v>22</v>
      </c>
      <c r="F43" s="30" t="s">
        <v>22</v>
      </c>
      <c r="G43" s="30" t="s">
        <v>22</v>
      </c>
      <c r="H43" s="30" t="s">
        <v>22</v>
      </c>
      <c r="I43" s="30" t="s">
        <v>22</v>
      </c>
      <c r="J43" s="30" t="s">
        <v>22</v>
      </c>
      <c r="K43" s="30" t="s">
        <v>22</v>
      </c>
    </row>
    <row r="44" spans="1:17">
      <c r="B44" s="135"/>
      <c r="D44" s="135"/>
      <c r="E44" s="135"/>
      <c r="F44" s="135"/>
      <c r="G44" s="135"/>
      <c r="H44" s="135"/>
      <c r="I44" s="135"/>
      <c r="J44" s="135"/>
      <c r="K44" s="135"/>
    </row>
    <row r="45" spans="1:17">
      <c r="A45" s="66" t="s">
        <v>23</v>
      </c>
      <c r="B45" s="30"/>
      <c r="C45" s="30"/>
      <c r="D45" s="30"/>
      <c r="E45" s="30"/>
      <c r="F45" s="30"/>
      <c r="G45" s="30"/>
      <c r="H45" s="30"/>
      <c r="I45" s="30"/>
      <c r="J45" s="30"/>
      <c r="K45" s="30"/>
    </row>
    <row r="46" spans="1:17">
      <c r="A46" s="66" t="s">
        <v>1946</v>
      </c>
      <c r="B46" s="147">
        <f>((B42/B5)^(1/37)-1)*100</f>
        <v>-0.3516525255365277</v>
      </c>
      <c r="C46" s="147">
        <f t="shared" ref="C46:K46" si="2">((C42/C5)^(1/37)-1)*100</f>
        <v>-2.0862210536672365</v>
      </c>
      <c r="D46" s="147">
        <f t="shared" si="2"/>
        <v>-2.4057483326787477</v>
      </c>
      <c r="E46" s="147">
        <f t="shared" si="2"/>
        <v>-2.3728719515903496</v>
      </c>
      <c r="F46" s="147">
        <f t="shared" si="2"/>
        <v>-1.7649976155012181</v>
      </c>
      <c r="G46" s="147">
        <f t="shared" si="2"/>
        <v>2.5530233211486841</v>
      </c>
      <c r="H46" s="147">
        <f t="shared" si="2"/>
        <v>3.7046527533615148</v>
      </c>
      <c r="I46" s="147">
        <f t="shared" si="2"/>
        <v>4.0104442204518476</v>
      </c>
      <c r="J46" s="147">
        <f t="shared" si="2"/>
        <v>2.7742251512414606</v>
      </c>
      <c r="K46" s="147">
        <f t="shared" si="2"/>
        <v>3.2758245574422196</v>
      </c>
    </row>
    <row r="47" spans="1:17">
      <c r="A47" s="66" t="s">
        <v>2140</v>
      </c>
      <c r="B47" s="147">
        <f>((B25/B5)^(1/20)-1)*100</f>
        <v>-0.47416539751261588</v>
      </c>
      <c r="C47" s="147">
        <f t="shared" ref="C47:K47" si="3">((C25/C5)^(1/20)-1)*100</f>
        <v>-1.6841359763403396</v>
      </c>
      <c r="D47" s="147">
        <f t="shared" si="3"/>
        <v>-2.1018427850876042</v>
      </c>
      <c r="E47" s="147">
        <f t="shared" si="3"/>
        <v>-2.1784004109341337</v>
      </c>
      <c r="F47" s="147">
        <f t="shared" si="3"/>
        <v>-1.1469163531261706</v>
      </c>
      <c r="G47" s="147">
        <f t="shared" si="3"/>
        <v>3.0449755838463766</v>
      </c>
      <c r="H47" s="147">
        <f t="shared" si="3"/>
        <v>3.5916121557928449</v>
      </c>
      <c r="I47" s="147">
        <f t="shared" si="3"/>
        <v>3.4730742251378954</v>
      </c>
      <c r="J47" s="147">
        <f t="shared" si="3"/>
        <v>2.0631509963804362</v>
      </c>
      <c r="K47" s="147">
        <f t="shared" si="3"/>
        <v>2.7882108891056578</v>
      </c>
    </row>
    <row r="48" spans="1:17">
      <c r="A48" s="66" t="s">
        <v>660</v>
      </c>
      <c r="B48" s="147">
        <f t="shared" ref="B48:K48" si="4">((B35/B25)^(1/10)-1)*100</f>
        <v>-0.21201773178437522</v>
      </c>
      <c r="C48" s="147">
        <f t="shared" si="4"/>
        <v>-2.1422552749686963</v>
      </c>
      <c r="D48" s="147">
        <f t="shared" si="4"/>
        <v>-2.4174563214030997</v>
      </c>
      <c r="E48" s="147">
        <f t="shared" si="4"/>
        <v>-0.84269191141568278</v>
      </c>
      <c r="F48" s="147">
        <f t="shared" si="4"/>
        <v>-3.3064905231745656</v>
      </c>
      <c r="G48" s="147">
        <f t="shared" si="4"/>
        <v>2.2674193714284252</v>
      </c>
      <c r="H48" s="147">
        <f t="shared" si="4"/>
        <v>3.8593921804490616</v>
      </c>
      <c r="I48" s="147">
        <f t="shared" si="4"/>
        <v>0.92342162213185919</v>
      </c>
      <c r="J48" s="147">
        <f t="shared" si="4"/>
        <v>4.1925484279130343</v>
      </c>
      <c r="K48" s="147">
        <f t="shared" si="4"/>
        <v>4.5971451637533134</v>
      </c>
    </row>
    <row r="49" spans="1:11">
      <c r="A49" s="66" t="s">
        <v>588</v>
      </c>
      <c r="B49" s="147">
        <f>((B42/B35)^(1/7)-1)*100</f>
        <v>-0.20062470643632535</v>
      </c>
      <c r="C49" s="147">
        <f t="shared" ref="C49:K49" si="5">((C42/C35)^(1/7)-1)*100</f>
        <v>-3.1468253148906111</v>
      </c>
      <c r="D49" s="147">
        <f t="shared" si="5"/>
        <v>-3.2522812785400701</v>
      </c>
      <c r="E49" s="147">
        <f t="shared" si="5"/>
        <v>-5.0593151972994193</v>
      </c>
      <c r="F49" s="147">
        <f t="shared" si="5"/>
        <v>-1.30474344195598</v>
      </c>
      <c r="G49" s="147">
        <f t="shared" si="5"/>
        <v>1.5641790574035364</v>
      </c>
      <c r="H49" s="147">
        <f t="shared" si="5"/>
        <v>3.8069609062632015</v>
      </c>
      <c r="I49" s="147">
        <f t="shared" si="5"/>
        <v>10.203963067865573</v>
      </c>
      <c r="J49" s="147">
        <f t="shared" si="5"/>
        <v>2.8006073997820513</v>
      </c>
      <c r="K49" s="147">
        <f t="shared" si="5"/>
        <v>2.7977877593025724</v>
      </c>
    </row>
    <row r="51" spans="1:11" ht="30" customHeight="1">
      <c r="A51" s="104" t="s">
        <v>2039</v>
      </c>
      <c r="B51" s="104"/>
      <c r="C51" s="104"/>
      <c r="D51" s="104"/>
      <c r="E51" s="104"/>
      <c r="F51" s="104"/>
      <c r="G51" s="104"/>
      <c r="H51" s="104"/>
      <c r="I51" s="104"/>
      <c r="J51" s="104"/>
      <c r="K51" s="104"/>
    </row>
    <row r="52" spans="1:11">
      <c r="A52" s="104" t="s">
        <v>543</v>
      </c>
      <c r="B52" s="104"/>
      <c r="C52" s="104"/>
      <c r="D52" s="104"/>
      <c r="E52" s="104"/>
      <c r="F52" s="104"/>
      <c r="G52" s="104"/>
      <c r="H52" s="104"/>
      <c r="I52" s="104"/>
      <c r="J52" s="104"/>
      <c r="K52" s="104"/>
    </row>
  </sheetData>
  <mergeCells count="13">
    <mergeCell ref="A51:K51"/>
    <mergeCell ref="A52:K52"/>
    <mergeCell ref="A1:K1"/>
    <mergeCell ref="B2:F2"/>
    <mergeCell ref="G2:K2"/>
    <mergeCell ref="M2:Q2"/>
    <mergeCell ref="A3:A4"/>
    <mergeCell ref="B3:B4"/>
    <mergeCell ref="C3:F3"/>
    <mergeCell ref="G3:G4"/>
    <mergeCell ref="H3:K3"/>
    <mergeCell ref="M3:M4"/>
    <mergeCell ref="N3:Q3"/>
  </mergeCells>
  <pageMargins left="0.7" right="0.7" top="0.75" bottom="0.75" header="0.3" footer="0.3"/>
  <pageSetup scale="61" orientation="landscape" horizontalDpi="0" verticalDpi="0" r:id="rId1"/>
</worksheet>
</file>

<file path=xl/worksheets/sheet15.xml><?xml version="1.0" encoding="utf-8"?>
<worksheet xmlns="http://schemas.openxmlformats.org/spreadsheetml/2006/main" xmlns:r="http://schemas.openxmlformats.org/officeDocument/2006/relationships">
  <sheetPr codeName="Sheet15">
    <pageSetUpPr fitToPage="1"/>
  </sheetPr>
  <dimension ref="A1:BQ174"/>
  <sheetViews>
    <sheetView view="pageBreakPreview" zoomScale="85" zoomScaleNormal="100"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2" outlineLevelCol="2"/>
  <cols>
    <col min="1" max="13" width="10.85546875" style="64" customWidth="1"/>
    <col min="14" max="14" width="10.85546875" style="64" hidden="1" customWidth="1" outlineLevel="1"/>
    <col min="15" max="15" width="11" style="64" hidden="1" customWidth="1" outlineLevel="1"/>
    <col min="16" max="27" width="9.140625" style="64" hidden="1" customWidth="1" outlineLevel="1"/>
    <col min="28" max="28" width="10.7109375" style="64" hidden="1" customWidth="1" outlineLevel="2"/>
    <col min="29" max="40" width="9.140625" style="64" hidden="1" customWidth="1" outlineLevel="2"/>
    <col min="41" max="55" width="9.140625" style="64" hidden="1" customWidth="1" outlineLevel="1"/>
    <col min="56" max="56" width="10.7109375" style="64" hidden="1" customWidth="1" outlineLevel="1"/>
    <col min="57" max="68" width="9.140625" style="64" hidden="1" customWidth="1" outlineLevel="1"/>
    <col min="69" max="69" width="9.140625" style="64" collapsed="1"/>
    <col min="70" max="16384" width="9.140625" style="64"/>
  </cols>
  <sheetData>
    <row r="1" spans="1:68">
      <c r="A1" s="282" t="s">
        <v>1952</v>
      </c>
      <c r="B1" s="282"/>
      <c r="C1" s="282"/>
      <c r="D1" s="282"/>
      <c r="E1" s="282"/>
      <c r="F1" s="282"/>
      <c r="G1" s="282"/>
      <c r="H1" s="282"/>
      <c r="I1" s="282"/>
      <c r="J1" s="282"/>
      <c r="K1" s="282"/>
      <c r="L1" s="282"/>
      <c r="M1" s="282"/>
      <c r="N1" s="132"/>
      <c r="O1" s="132"/>
      <c r="P1" s="132"/>
      <c r="Q1" s="132"/>
      <c r="R1" s="132"/>
      <c r="S1" s="132"/>
      <c r="T1" s="132"/>
      <c r="U1" s="132"/>
      <c r="V1" s="132"/>
      <c r="W1" s="132"/>
      <c r="X1" s="132"/>
      <c r="Y1" s="132"/>
      <c r="Z1" s="132"/>
    </row>
    <row r="2" spans="1:68" ht="30" customHeight="1">
      <c r="A2" s="96"/>
      <c r="B2" s="94" t="s">
        <v>1193</v>
      </c>
      <c r="C2" s="94"/>
      <c r="D2" s="94"/>
      <c r="E2" s="94" t="s">
        <v>63</v>
      </c>
      <c r="F2" s="94"/>
      <c r="G2" s="94"/>
      <c r="H2" s="94" t="s">
        <v>670</v>
      </c>
      <c r="I2" s="94"/>
      <c r="J2" s="94"/>
      <c r="K2" s="94" t="s">
        <v>671</v>
      </c>
      <c r="L2" s="94"/>
      <c r="M2" s="94"/>
      <c r="N2" s="72"/>
      <c r="O2" s="94" t="s">
        <v>1193</v>
      </c>
      <c r="P2" s="94"/>
      <c r="Q2" s="94"/>
      <c r="R2" s="94" t="s">
        <v>63</v>
      </c>
      <c r="S2" s="94"/>
      <c r="T2" s="94"/>
      <c r="U2" s="94" t="s">
        <v>670</v>
      </c>
      <c r="V2" s="94"/>
      <c r="W2" s="94"/>
      <c r="X2" s="94" t="s">
        <v>671</v>
      </c>
      <c r="Y2" s="94"/>
      <c r="Z2" s="94"/>
      <c r="AC2" s="97" t="s">
        <v>1193</v>
      </c>
      <c r="AD2" s="97"/>
      <c r="AE2" s="97"/>
      <c r="AF2" s="97" t="s">
        <v>63</v>
      </c>
      <c r="AG2" s="97"/>
      <c r="AH2" s="97"/>
      <c r="AI2" s="97" t="s">
        <v>670</v>
      </c>
      <c r="AJ2" s="97"/>
      <c r="AK2" s="97"/>
      <c r="AL2" s="97" t="s">
        <v>671</v>
      </c>
      <c r="AM2" s="97"/>
      <c r="AN2" s="97"/>
      <c r="AP2" s="94" t="s">
        <v>1193</v>
      </c>
      <c r="AQ2" s="94"/>
      <c r="AR2" s="94"/>
      <c r="AS2" s="94" t="s">
        <v>63</v>
      </c>
      <c r="AT2" s="94"/>
      <c r="AU2" s="94"/>
      <c r="AV2" s="94" t="s">
        <v>670</v>
      </c>
      <c r="AW2" s="94"/>
      <c r="AX2" s="94"/>
      <c r="AY2" s="94" t="s">
        <v>671</v>
      </c>
      <c r="AZ2" s="94"/>
      <c r="BA2" s="94"/>
      <c r="BD2" s="64" t="s">
        <v>1060</v>
      </c>
      <c r="BE2" s="64" t="s">
        <v>1343</v>
      </c>
      <c r="BF2" s="64" t="s">
        <v>1344</v>
      </c>
      <c r="BG2" s="64" t="s">
        <v>1345</v>
      </c>
      <c r="BH2" s="64" t="s">
        <v>1346</v>
      </c>
      <c r="BI2" s="64" t="s">
        <v>1347</v>
      </c>
      <c r="BJ2" s="64" t="s">
        <v>1348</v>
      </c>
      <c r="BK2" s="64" t="s">
        <v>1349</v>
      </c>
      <c r="BL2" s="64" t="s">
        <v>1350</v>
      </c>
      <c r="BM2" s="64" t="s">
        <v>1351</v>
      </c>
      <c r="BN2" s="64" t="s">
        <v>1352</v>
      </c>
      <c r="BO2" s="64" t="s">
        <v>1353</v>
      </c>
      <c r="BP2" s="64" t="s">
        <v>1354</v>
      </c>
    </row>
    <row r="3" spans="1:68" ht="75">
      <c r="A3" s="96"/>
      <c r="B3" s="73" t="s">
        <v>1194</v>
      </c>
      <c r="C3" s="73" t="s">
        <v>1195</v>
      </c>
      <c r="D3" s="73" t="s">
        <v>1196</v>
      </c>
      <c r="E3" s="73" t="s">
        <v>1194</v>
      </c>
      <c r="F3" s="73" t="s">
        <v>1195</v>
      </c>
      <c r="G3" s="73" t="s">
        <v>1196</v>
      </c>
      <c r="H3" s="73" t="s">
        <v>1194</v>
      </c>
      <c r="I3" s="73" t="s">
        <v>1195</v>
      </c>
      <c r="J3" s="73" t="s">
        <v>1196</v>
      </c>
      <c r="K3" s="73" t="s">
        <v>1194</v>
      </c>
      <c r="L3" s="73" t="s">
        <v>1195</v>
      </c>
      <c r="M3" s="73" t="s">
        <v>1196</v>
      </c>
      <c r="N3" s="73"/>
      <c r="O3" s="73" t="s">
        <v>1194</v>
      </c>
      <c r="P3" s="73" t="s">
        <v>1195</v>
      </c>
      <c r="Q3" s="73" t="s">
        <v>1196</v>
      </c>
      <c r="R3" s="73" t="s">
        <v>1194</v>
      </c>
      <c r="S3" s="73" t="s">
        <v>1195</v>
      </c>
      <c r="T3" s="73" t="s">
        <v>1196</v>
      </c>
      <c r="U3" s="73" t="s">
        <v>1194</v>
      </c>
      <c r="V3" s="73" t="s">
        <v>1195</v>
      </c>
      <c r="W3" s="73" t="s">
        <v>1196</v>
      </c>
      <c r="X3" s="73" t="s">
        <v>1194</v>
      </c>
      <c r="Y3" s="73" t="s">
        <v>1195</v>
      </c>
      <c r="Z3" s="73" t="s">
        <v>1196</v>
      </c>
      <c r="AC3" s="73" t="s">
        <v>1194</v>
      </c>
      <c r="AD3" s="73" t="s">
        <v>1195</v>
      </c>
      <c r="AE3" s="73" t="s">
        <v>1196</v>
      </c>
      <c r="AF3" s="73" t="s">
        <v>1194</v>
      </c>
      <c r="AG3" s="73" t="s">
        <v>1195</v>
      </c>
      <c r="AH3" s="73" t="s">
        <v>1196</v>
      </c>
      <c r="AI3" s="73" t="s">
        <v>1194</v>
      </c>
      <c r="AJ3" s="73" t="s">
        <v>1195</v>
      </c>
      <c r="AK3" s="73" t="s">
        <v>1196</v>
      </c>
      <c r="AL3" s="73" t="s">
        <v>1194</v>
      </c>
      <c r="AM3" s="73" t="s">
        <v>1195</v>
      </c>
      <c r="AN3" s="73" t="s">
        <v>1196</v>
      </c>
      <c r="AP3" s="73" t="s">
        <v>1194</v>
      </c>
      <c r="AQ3" s="73" t="s">
        <v>1195</v>
      </c>
      <c r="AR3" s="73" t="s">
        <v>1196</v>
      </c>
      <c r="AS3" s="73" t="s">
        <v>1194</v>
      </c>
      <c r="AT3" s="73" t="s">
        <v>1195</v>
      </c>
      <c r="AU3" s="73" t="s">
        <v>1196</v>
      </c>
      <c r="AV3" s="73" t="s">
        <v>1194</v>
      </c>
      <c r="AW3" s="73" t="s">
        <v>1195</v>
      </c>
      <c r="AX3" s="73" t="s">
        <v>1196</v>
      </c>
      <c r="AY3" s="73" t="s">
        <v>1194</v>
      </c>
      <c r="AZ3" s="73" t="s">
        <v>1195</v>
      </c>
      <c r="BA3" s="73" t="s">
        <v>1196</v>
      </c>
    </row>
    <row r="4" spans="1:68" hidden="1" outlineLevel="1">
      <c r="AC4" s="64" t="s">
        <v>1197</v>
      </c>
      <c r="AD4" s="64" t="s">
        <v>1198</v>
      </c>
      <c r="AE4" s="64" t="s">
        <v>1199</v>
      </c>
      <c r="AF4" s="64" t="s">
        <v>1200</v>
      </c>
      <c r="AG4" s="64" t="s">
        <v>1201</v>
      </c>
      <c r="AH4" s="64" t="s">
        <v>1202</v>
      </c>
      <c r="AI4" s="64" t="s">
        <v>1203</v>
      </c>
      <c r="AJ4" s="64" t="s">
        <v>1204</v>
      </c>
      <c r="AK4" s="64" t="s">
        <v>1205</v>
      </c>
      <c r="AL4" s="64" t="s">
        <v>1206</v>
      </c>
      <c r="AM4" s="64" t="s">
        <v>1207</v>
      </c>
      <c r="AN4" s="64" t="s">
        <v>1208</v>
      </c>
      <c r="AP4" s="283" t="s">
        <v>1355</v>
      </c>
      <c r="AQ4" s="283"/>
      <c r="AR4" s="283"/>
      <c r="AS4" s="283"/>
      <c r="AT4" s="283"/>
      <c r="AU4" s="283"/>
      <c r="AV4" s="283"/>
      <c r="AW4" s="283"/>
      <c r="AX4" s="283"/>
      <c r="AY4" s="283"/>
      <c r="AZ4" s="283"/>
      <c r="BA4" s="283"/>
    </row>
    <row r="5" spans="1:68" hidden="1" outlineLevel="2">
      <c r="A5" s="66">
        <v>1971</v>
      </c>
      <c r="B5" s="115">
        <f>O5/O$23*100</f>
        <v>31.652386780905754</v>
      </c>
      <c r="C5" s="115">
        <f t="shared" ref="C5:L5" si="0">P5/P$23*100</f>
        <v>28.71354284422339</v>
      </c>
      <c r="D5" s="115">
        <f t="shared" si="0"/>
        <v>34.94992092778071</v>
      </c>
      <c r="E5" s="115">
        <f t="shared" si="0"/>
        <v>28.56476079346556</v>
      </c>
      <c r="F5" s="115">
        <f t="shared" si="0"/>
        <v>28.900668356764253</v>
      </c>
      <c r="G5" s="115">
        <f t="shared" si="0"/>
        <v>29.319761668321764</v>
      </c>
      <c r="H5" s="115">
        <f t="shared" si="0"/>
        <v>31.239470517448854</v>
      </c>
      <c r="I5" s="115">
        <f t="shared" si="0"/>
        <v>29.223343571741989</v>
      </c>
      <c r="J5" s="115">
        <f t="shared" si="0"/>
        <v>32.472229398088345</v>
      </c>
      <c r="K5" s="115">
        <f t="shared" si="0"/>
        <v>25.975903614457835</v>
      </c>
      <c r="L5" s="115">
        <f t="shared" si="0"/>
        <v>23.143096936634493</v>
      </c>
      <c r="M5" s="115">
        <f>Z5/Z$23*100</f>
        <v>27.924130663856673</v>
      </c>
      <c r="N5" s="66"/>
      <c r="O5" s="31">
        <f t="shared" ref="O5:O29" si="1">O6*AP5/AP6</f>
        <v>25.927411269300187</v>
      </c>
      <c r="P5" s="31">
        <f t="shared" ref="P5:P30" si="2">P6*AQ5/AQ6</f>
        <v>24.517374517374524</v>
      </c>
      <c r="Q5" s="31">
        <f t="shared" ref="Q5:Q30" si="3">Q6*AR5/AR6</f>
        <v>27.543496779555365</v>
      </c>
      <c r="R5" s="31">
        <f t="shared" ref="R5:R30" si="4">R6*AS5/AS6</f>
        <v>22.509762824048515</v>
      </c>
      <c r="S5" s="31">
        <f t="shared" ref="S5:S30" si="5">S6*AT5/AT6</f>
        <v>22.912479444545973</v>
      </c>
      <c r="T5" s="31">
        <f t="shared" ref="T5:T30" si="6">T6*AU5/AU6</f>
        <v>22.389978203184246</v>
      </c>
      <c r="U5" s="31">
        <f t="shared" ref="U5:U30" si="7">U6*AV5/AV6</f>
        <v>24.476711295493107</v>
      </c>
      <c r="V5" s="31">
        <f t="shared" ref="V5:V30" si="8">V6*AW5/AW6</f>
        <v>23.41360520302338</v>
      </c>
      <c r="W5" s="31">
        <f t="shared" ref="W5:W30" si="9">W6*AX5/AX6</f>
        <v>24.985092426952889</v>
      </c>
      <c r="X5" s="31">
        <f t="shared" ref="X5:X30" si="10">X6*AY5/AY6</f>
        <v>19.797979797979803</v>
      </c>
      <c r="Y5" s="31">
        <f t="shared" ref="Y5:Y30" si="11">Y6*AZ5/AZ6</f>
        <v>18.522250209907639</v>
      </c>
      <c r="Z5" s="31">
        <f t="shared" ref="Z5:Z30" si="12">Z6*BA5/BA6</f>
        <v>20.570541432175418</v>
      </c>
      <c r="AP5" s="31">
        <f>AVERAGE(BE30:BE33)</f>
        <v>32.325000000000003</v>
      </c>
      <c r="AQ5" s="31">
        <f t="shared" ref="AQ5:BA5" si="13">AVERAGE(BF30:BF33)</f>
        <v>31.75</v>
      </c>
      <c r="AR5" s="31">
        <f t="shared" si="13"/>
        <v>33.15</v>
      </c>
      <c r="AS5" s="31">
        <f t="shared" si="13"/>
        <v>30.6</v>
      </c>
      <c r="AT5" s="31">
        <f t="shared" si="13"/>
        <v>31.35</v>
      </c>
      <c r="AU5" s="31">
        <f t="shared" si="13"/>
        <v>29.524999999999999</v>
      </c>
      <c r="AV5" s="31">
        <f t="shared" si="13"/>
        <v>32.449999999999996</v>
      </c>
      <c r="AW5" s="31">
        <f t="shared" si="13"/>
        <v>33.299999999999997</v>
      </c>
      <c r="AX5" s="31">
        <f t="shared" si="13"/>
        <v>31.424999999999997</v>
      </c>
      <c r="AY5" s="31">
        <f t="shared" si="13"/>
        <v>26.95</v>
      </c>
      <c r="AZ5" s="31">
        <f t="shared" si="13"/>
        <v>27.574999999999999</v>
      </c>
      <c r="BA5" s="31">
        <f t="shared" si="13"/>
        <v>26.5</v>
      </c>
      <c r="BD5" s="176"/>
    </row>
    <row r="6" spans="1:68" hidden="1" outlineLevel="2">
      <c r="A6" s="66">
        <v>1972</v>
      </c>
      <c r="B6" s="115">
        <f t="shared" ref="B6:B40" si="14">O6/O$23*100</f>
        <v>32.460220318237454</v>
      </c>
      <c r="C6" s="115">
        <f t="shared" ref="C6:C41" si="15">P6/P$23*100</f>
        <v>29.595297309518433</v>
      </c>
      <c r="D6" s="115">
        <f t="shared" ref="D6:D41" si="16">Q6/Q$23*100</f>
        <v>35.477069056404858</v>
      </c>
      <c r="E6" s="115">
        <f t="shared" ref="E6:E41" si="17">R6/R$23*100</f>
        <v>29.381563593932302</v>
      </c>
      <c r="F6" s="115">
        <f t="shared" ref="F6:F41" si="18">S6/S$23*100</f>
        <v>29.96082046554508</v>
      </c>
      <c r="G6" s="115">
        <f t="shared" ref="G6:G40" si="19">T6/T$23*100</f>
        <v>29.890764647467748</v>
      </c>
      <c r="H6" s="115">
        <f t="shared" ref="H6:H41" si="20">U6/U$23*100</f>
        <v>31.865222623345367</v>
      </c>
      <c r="I6" s="115">
        <f t="shared" ref="I6:I41" si="21">V6/V$23*100</f>
        <v>29.859587538394035</v>
      </c>
      <c r="J6" s="115">
        <f t="shared" ref="J6:J41" si="22">W6/W$23*100</f>
        <v>33.040557995350042</v>
      </c>
      <c r="K6" s="115">
        <f t="shared" ref="K6:K41" si="23">X6/X$23*100</f>
        <v>27.68674698795181</v>
      </c>
      <c r="L6" s="115">
        <f t="shared" ref="L6:L41" si="24">Y6/Y$23*100</f>
        <v>24.737725556021822</v>
      </c>
      <c r="M6" s="115">
        <f t="shared" ref="M6:M41" si="25">Z6/Z$23*100</f>
        <v>29.531085353003139</v>
      </c>
      <c r="N6" s="66"/>
      <c r="O6" s="31">
        <f t="shared" si="1"/>
        <v>26.589131742530583</v>
      </c>
      <c r="P6" s="31">
        <f t="shared" si="2"/>
        <v>25.270270270270274</v>
      </c>
      <c r="Q6" s="31">
        <f t="shared" si="3"/>
        <v>27.958934136713069</v>
      </c>
      <c r="R6" s="31">
        <f t="shared" si="4"/>
        <v>23.153424342710032</v>
      </c>
      <c r="S6" s="31">
        <f t="shared" si="5"/>
        <v>23.752969121140165</v>
      </c>
      <c r="T6" s="31">
        <f t="shared" si="6"/>
        <v>22.826023502653545</v>
      </c>
      <c r="U6" s="31">
        <f t="shared" si="7"/>
        <v>24.966999811427488</v>
      </c>
      <c r="V6" s="31">
        <f t="shared" si="8"/>
        <v>23.923360871857977</v>
      </c>
      <c r="W6" s="31">
        <f t="shared" si="9"/>
        <v>25.422381236334726</v>
      </c>
      <c r="X6" s="31">
        <f t="shared" si="10"/>
        <v>21.101928374655653</v>
      </c>
      <c r="Y6" s="31">
        <f t="shared" si="11"/>
        <v>19.798488664987406</v>
      </c>
      <c r="Z6" s="31">
        <f t="shared" si="12"/>
        <v>21.754317873083625</v>
      </c>
      <c r="AP6" s="31">
        <f>AVERAGE(BE34:BE37)</f>
        <v>33.15</v>
      </c>
      <c r="AQ6" s="31">
        <f t="shared" ref="AQ6:BA6" si="26">AVERAGE(BF34:BF37)</f>
        <v>32.724999999999994</v>
      </c>
      <c r="AR6" s="31">
        <f t="shared" si="26"/>
        <v>33.650000000000006</v>
      </c>
      <c r="AS6" s="31">
        <f t="shared" si="26"/>
        <v>31.475000000000001</v>
      </c>
      <c r="AT6" s="31">
        <f t="shared" si="26"/>
        <v>32.5</v>
      </c>
      <c r="AU6" s="31">
        <f t="shared" si="26"/>
        <v>30.1</v>
      </c>
      <c r="AV6" s="31">
        <f t="shared" si="26"/>
        <v>33.1</v>
      </c>
      <c r="AW6" s="31">
        <f t="shared" si="26"/>
        <v>34.024999999999999</v>
      </c>
      <c r="AX6" s="31">
        <f t="shared" si="26"/>
        <v>31.975000000000001</v>
      </c>
      <c r="AY6" s="31">
        <f t="shared" si="26"/>
        <v>28.725000000000001</v>
      </c>
      <c r="AZ6" s="31">
        <f t="shared" si="26"/>
        <v>29.475000000000001</v>
      </c>
      <c r="BA6" s="31">
        <f t="shared" si="26"/>
        <v>28.024999999999999</v>
      </c>
      <c r="BD6" s="176"/>
    </row>
    <row r="7" spans="1:68" hidden="1" outlineLevel="2">
      <c r="A7" s="66">
        <v>1973</v>
      </c>
      <c r="B7" s="115">
        <f t="shared" si="14"/>
        <v>33.782129742962056</v>
      </c>
      <c r="C7" s="115">
        <f t="shared" si="15"/>
        <v>30.884015374180429</v>
      </c>
      <c r="D7" s="115">
        <f t="shared" si="16"/>
        <v>36.821296784396409</v>
      </c>
      <c r="E7" s="115">
        <f t="shared" si="17"/>
        <v>30.45507584597431</v>
      </c>
      <c r="F7" s="115">
        <f t="shared" si="18"/>
        <v>30.951832219405407</v>
      </c>
      <c r="G7" s="115">
        <f t="shared" si="19"/>
        <v>31.05759682224431</v>
      </c>
      <c r="H7" s="115">
        <f t="shared" si="20"/>
        <v>32.948255114320098</v>
      </c>
      <c r="I7" s="115">
        <f t="shared" si="21"/>
        <v>30.890741553312861</v>
      </c>
      <c r="J7" s="115">
        <f t="shared" si="22"/>
        <v>34.048049599586669</v>
      </c>
      <c r="K7" s="115">
        <f t="shared" si="23"/>
        <v>29.590361445783131</v>
      </c>
      <c r="L7" s="115">
        <f t="shared" si="24"/>
        <v>26.395300041963914</v>
      </c>
      <c r="M7" s="115">
        <f t="shared" si="25"/>
        <v>31.612223393045298</v>
      </c>
      <c r="N7" s="66"/>
      <c r="O7" s="31">
        <f t="shared" si="1"/>
        <v>27.671947062362147</v>
      </c>
      <c r="P7" s="31">
        <f t="shared" si="2"/>
        <v>26.370656370656377</v>
      </c>
      <c r="Q7" s="31">
        <f t="shared" si="3"/>
        <v>29.018299397465189</v>
      </c>
      <c r="R7" s="31">
        <f t="shared" si="4"/>
        <v>23.999379481522311</v>
      </c>
      <c r="S7" s="31">
        <f t="shared" si="5"/>
        <v>24.538644253608641</v>
      </c>
      <c r="T7" s="31">
        <f t="shared" si="6"/>
        <v>23.717072592873407</v>
      </c>
      <c r="U7" s="31">
        <f t="shared" si="7"/>
        <v>25.815576089006218</v>
      </c>
      <c r="V7" s="31">
        <f t="shared" si="8"/>
        <v>24.749516611003699</v>
      </c>
      <c r="W7" s="31">
        <f t="shared" si="9"/>
        <v>26.197575034784339</v>
      </c>
      <c r="X7" s="31">
        <f t="shared" si="10"/>
        <v>22.552800734618916</v>
      </c>
      <c r="Y7" s="31">
        <f t="shared" si="11"/>
        <v>21.125104953820323</v>
      </c>
      <c r="Z7" s="31">
        <f t="shared" si="12"/>
        <v>23.28740539491557</v>
      </c>
      <c r="AP7" s="31">
        <f>AVERAGE(BE38:BE41)</f>
        <v>34.5</v>
      </c>
      <c r="AQ7" s="31">
        <f t="shared" ref="AQ7:BA7" si="27">AVERAGE(BF38:BF41)</f>
        <v>34.15</v>
      </c>
      <c r="AR7" s="31">
        <f t="shared" si="27"/>
        <v>34.924999999999997</v>
      </c>
      <c r="AS7" s="31">
        <f t="shared" si="27"/>
        <v>32.625</v>
      </c>
      <c r="AT7" s="31">
        <f t="shared" si="27"/>
        <v>33.574999999999996</v>
      </c>
      <c r="AU7" s="31">
        <f t="shared" si="27"/>
        <v>31.274999999999999</v>
      </c>
      <c r="AV7" s="31">
        <f t="shared" si="27"/>
        <v>34.225000000000001</v>
      </c>
      <c r="AW7" s="31">
        <f t="shared" si="27"/>
        <v>35.200000000000003</v>
      </c>
      <c r="AX7" s="31">
        <f t="shared" si="27"/>
        <v>32.950000000000003</v>
      </c>
      <c r="AY7" s="31">
        <f t="shared" si="27"/>
        <v>30.699999999999996</v>
      </c>
      <c r="AZ7" s="31">
        <f t="shared" si="27"/>
        <v>31.450000000000003</v>
      </c>
      <c r="BA7" s="31">
        <f t="shared" si="27"/>
        <v>30</v>
      </c>
      <c r="BD7" s="176"/>
    </row>
    <row r="8" spans="1:68" hidden="1" outlineLevel="2">
      <c r="A8" s="66">
        <v>1974</v>
      </c>
      <c r="B8" s="115">
        <f t="shared" si="14"/>
        <v>38.066095471236231</v>
      </c>
      <c r="C8" s="115">
        <f t="shared" si="15"/>
        <v>35.29278770065568</v>
      </c>
      <c r="D8" s="115">
        <f t="shared" si="16"/>
        <v>40.616763310490249</v>
      </c>
      <c r="E8" s="115">
        <f t="shared" si="17"/>
        <v>35.402567094515724</v>
      </c>
      <c r="F8" s="115">
        <f t="shared" si="18"/>
        <v>36.321733118230036</v>
      </c>
      <c r="G8" s="115">
        <f t="shared" si="19"/>
        <v>35.526315789473706</v>
      </c>
      <c r="H8" s="115">
        <f t="shared" si="20"/>
        <v>37.039711191335734</v>
      </c>
      <c r="I8" s="115">
        <f t="shared" si="21"/>
        <v>34.927599824484432</v>
      </c>
      <c r="J8" s="115">
        <f t="shared" si="22"/>
        <v>37.923017308189102</v>
      </c>
      <c r="K8" s="115">
        <f t="shared" si="23"/>
        <v>33.855421686746986</v>
      </c>
      <c r="L8" s="115">
        <f t="shared" si="24"/>
        <v>30.423835501468737</v>
      </c>
      <c r="M8" s="115">
        <f t="shared" si="25"/>
        <v>35.827186512117997</v>
      </c>
      <c r="N8" s="66"/>
      <c r="O8" s="31">
        <f t="shared" si="1"/>
        <v>31.181070784038507</v>
      </c>
      <c r="P8" s="31">
        <f t="shared" si="2"/>
        <v>30.135135135135148</v>
      </c>
      <c r="Q8" s="31">
        <f t="shared" si="3"/>
        <v>32.009448369000616</v>
      </c>
      <c r="R8" s="31">
        <f t="shared" si="4"/>
        <v>27.898129251700645</v>
      </c>
      <c r="S8" s="31">
        <f t="shared" si="5"/>
        <v>28.79590718070531</v>
      </c>
      <c r="T8" s="31">
        <f t="shared" si="6"/>
        <v>27.129601023502676</v>
      </c>
      <c r="U8" s="31">
        <f t="shared" si="7"/>
        <v>29.02130869319252</v>
      </c>
      <c r="V8" s="31">
        <f t="shared" si="8"/>
        <v>27.983828440850775</v>
      </c>
      <c r="W8" s="31">
        <f t="shared" si="9"/>
        <v>29.179089644205927</v>
      </c>
      <c r="X8" s="31">
        <f t="shared" si="10"/>
        <v>25.803489439853077</v>
      </c>
      <c r="Y8" s="31">
        <f t="shared" si="11"/>
        <v>24.349286314021832</v>
      </c>
      <c r="Z8" s="31">
        <f t="shared" si="12"/>
        <v>26.392392780904313</v>
      </c>
      <c r="AP8" s="31">
        <f>AVERAGE(BE47:BE50)</f>
        <v>38.875</v>
      </c>
      <c r="AQ8" s="31">
        <f t="shared" ref="AQ8:BA8" si="28">AVERAGE(BF47:BF50)</f>
        <v>39.025000000000006</v>
      </c>
      <c r="AR8" s="31">
        <f t="shared" si="28"/>
        <v>38.524999999999999</v>
      </c>
      <c r="AS8" s="31">
        <f t="shared" si="28"/>
        <v>37.924999999999997</v>
      </c>
      <c r="AT8" s="31">
        <f t="shared" si="28"/>
        <v>39.400000000000006</v>
      </c>
      <c r="AU8" s="31">
        <f t="shared" si="28"/>
        <v>35.774999999999999</v>
      </c>
      <c r="AV8" s="31">
        <f t="shared" si="28"/>
        <v>38.474999999999994</v>
      </c>
      <c r="AW8" s="31">
        <f t="shared" si="28"/>
        <v>39.800000000000004</v>
      </c>
      <c r="AX8" s="31">
        <f t="shared" si="28"/>
        <v>36.700000000000003</v>
      </c>
      <c r="AY8" s="31">
        <f t="shared" si="28"/>
        <v>35.125</v>
      </c>
      <c r="AZ8" s="31">
        <f t="shared" si="28"/>
        <v>36.25</v>
      </c>
      <c r="BA8" s="31">
        <f t="shared" si="28"/>
        <v>34</v>
      </c>
      <c r="BD8" s="176"/>
    </row>
    <row r="9" spans="1:68" hidden="1" outlineLevel="2">
      <c r="A9" s="66">
        <v>1975</v>
      </c>
      <c r="B9" s="115">
        <f t="shared" si="14"/>
        <v>43.525091799265617</v>
      </c>
      <c r="C9" s="115">
        <f t="shared" si="15"/>
        <v>40.018087271082983</v>
      </c>
      <c r="D9" s="115">
        <f t="shared" si="16"/>
        <v>47.021613073273599</v>
      </c>
      <c r="E9" s="115">
        <f t="shared" si="17"/>
        <v>41.166861143523889</v>
      </c>
      <c r="F9" s="115">
        <f t="shared" si="18"/>
        <v>41.530306522240181</v>
      </c>
      <c r="G9" s="115">
        <f t="shared" si="19"/>
        <v>42.502482621648483</v>
      </c>
      <c r="H9" s="115">
        <f t="shared" si="20"/>
        <v>40.433212996389898</v>
      </c>
      <c r="I9" s="115">
        <f t="shared" si="21"/>
        <v>37.648091268100046</v>
      </c>
      <c r="J9" s="115">
        <f t="shared" si="22"/>
        <v>42.288814259881164</v>
      </c>
      <c r="K9" s="115">
        <f t="shared" si="23"/>
        <v>39.325301204819269</v>
      </c>
      <c r="L9" s="115">
        <f t="shared" si="24"/>
        <v>35.291649181703747</v>
      </c>
      <c r="M9" s="115">
        <f t="shared" si="25"/>
        <v>41.807165437302402</v>
      </c>
      <c r="N9" s="66"/>
      <c r="O9" s="31">
        <f t="shared" si="1"/>
        <v>35.652697012231812</v>
      </c>
      <c r="P9" s="31">
        <f t="shared" si="2"/>
        <v>34.169884169884178</v>
      </c>
      <c r="Q9" s="31">
        <f t="shared" si="3"/>
        <v>37.057012258466649</v>
      </c>
      <c r="R9" s="31">
        <f t="shared" si="4"/>
        <v>32.440540540540503</v>
      </c>
      <c r="S9" s="31">
        <f t="shared" si="5"/>
        <v>32.925269504841985</v>
      </c>
      <c r="T9" s="31">
        <f t="shared" si="6"/>
        <v>32.456937073540587</v>
      </c>
      <c r="U9" s="31">
        <f t="shared" si="7"/>
        <v>31.680181029605876</v>
      </c>
      <c r="V9" s="31">
        <f t="shared" si="8"/>
        <v>30.163473369660757</v>
      </c>
      <c r="W9" s="31">
        <f t="shared" si="9"/>
        <v>32.538262770820907</v>
      </c>
      <c r="X9" s="31">
        <f t="shared" si="10"/>
        <v>29.972451790633606</v>
      </c>
      <c r="Y9" s="31">
        <f t="shared" si="11"/>
        <v>28.245172124265331</v>
      </c>
      <c r="Z9" s="31">
        <f t="shared" si="12"/>
        <v>30.797593634775843</v>
      </c>
      <c r="AP9" s="31">
        <f>AVERAGE(BE51:BE54)</f>
        <v>44.45</v>
      </c>
      <c r="AQ9" s="31">
        <f t="shared" ref="AQ9:BA9" si="29">AVERAGE(BF51:BF54)</f>
        <v>44.25</v>
      </c>
      <c r="AR9" s="31">
        <f t="shared" si="29"/>
        <v>44.6</v>
      </c>
      <c r="AS9" s="31">
        <f t="shared" si="29"/>
        <v>44.1</v>
      </c>
      <c r="AT9" s="31">
        <f t="shared" si="29"/>
        <v>45.050000000000004</v>
      </c>
      <c r="AU9" s="31">
        <f t="shared" si="29"/>
        <v>42.8</v>
      </c>
      <c r="AV9" s="31">
        <f t="shared" si="29"/>
        <v>42</v>
      </c>
      <c r="AW9" s="31">
        <f t="shared" si="29"/>
        <v>42.9</v>
      </c>
      <c r="AX9" s="31">
        <f t="shared" si="29"/>
        <v>40.924999999999997</v>
      </c>
      <c r="AY9" s="31">
        <f t="shared" si="29"/>
        <v>40.799999999999997</v>
      </c>
      <c r="AZ9" s="31">
        <f t="shared" si="29"/>
        <v>42.050000000000004</v>
      </c>
      <c r="BA9" s="31">
        <f t="shared" si="29"/>
        <v>39.674999999999997</v>
      </c>
      <c r="BD9" s="176"/>
    </row>
    <row r="10" spans="1:68" hidden="1" outlineLevel="2">
      <c r="A10" s="66">
        <v>1976</v>
      </c>
      <c r="B10" s="115">
        <f t="shared" si="14"/>
        <v>45.875152998776009</v>
      </c>
      <c r="C10" s="115">
        <f t="shared" si="15"/>
        <v>42.459868867284662</v>
      </c>
      <c r="D10" s="115">
        <f t="shared" si="16"/>
        <v>49.13020558777017</v>
      </c>
      <c r="E10" s="115">
        <f t="shared" si="17"/>
        <v>43.383897316219347</v>
      </c>
      <c r="F10" s="115">
        <f t="shared" si="18"/>
        <v>44.134593224245243</v>
      </c>
      <c r="G10" s="115">
        <f t="shared" si="19"/>
        <v>44.265143992055641</v>
      </c>
      <c r="H10" s="115">
        <f t="shared" si="20"/>
        <v>43.032490974729235</v>
      </c>
      <c r="I10" s="115">
        <f t="shared" si="21"/>
        <v>40.258885476086007</v>
      </c>
      <c r="J10" s="115">
        <f t="shared" si="22"/>
        <v>44.717127357272027</v>
      </c>
      <c r="K10" s="115">
        <f t="shared" si="23"/>
        <v>43.421686746987945</v>
      </c>
      <c r="L10" s="115">
        <f t="shared" si="24"/>
        <v>39.068401174989518</v>
      </c>
      <c r="M10" s="115">
        <f t="shared" si="25"/>
        <v>45.916754478398296</v>
      </c>
      <c r="N10" s="66"/>
      <c r="O10" s="31">
        <f t="shared" si="1"/>
        <v>37.577702025265694</v>
      </c>
      <c r="P10" s="31">
        <f t="shared" si="2"/>
        <v>36.254826254826263</v>
      </c>
      <c r="Q10" s="31">
        <f t="shared" si="3"/>
        <v>38.718761687097441</v>
      </c>
      <c r="R10" s="31">
        <f t="shared" si="4"/>
        <v>34.187621805478912</v>
      </c>
      <c r="S10" s="31">
        <f t="shared" si="5"/>
        <v>34.989950666910318</v>
      </c>
      <c r="T10" s="31">
        <f t="shared" si="6"/>
        <v>33.80298995451102</v>
      </c>
      <c r="U10" s="31">
        <f t="shared" si="7"/>
        <v>33.716764095794822</v>
      </c>
      <c r="V10" s="31">
        <f t="shared" si="8"/>
        <v>32.255229390050985</v>
      </c>
      <c r="W10" s="31">
        <f t="shared" si="9"/>
        <v>34.406678592725108</v>
      </c>
      <c r="X10" s="31">
        <f t="shared" si="10"/>
        <v>33.094582185491277</v>
      </c>
      <c r="Y10" s="31">
        <f t="shared" si="11"/>
        <v>31.267842149454243</v>
      </c>
      <c r="Z10" s="31">
        <f t="shared" si="12"/>
        <v>33.824956336114873</v>
      </c>
      <c r="AP10" s="31">
        <f>AVERAGE(BE55:BE58)</f>
        <v>46.849999999999994</v>
      </c>
      <c r="AQ10" s="31">
        <f t="shared" ref="AQ10:BA10" si="30">AVERAGE(BF55:BF58)</f>
        <v>46.95</v>
      </c>
      <c r="AR10" s="31">
        <f t="shared" si="30"/>
        <v>46.6</v>
      </c>
      <c r="AS10" s="31">
        <f t="shared" si="30"/>
        <v>46.475000000000001</v>
      </c>
      <c r="AT10" s="31">
        <f t="shared" si="30"/>
        <v>47.875</v>
      </c>
      <c r="AU10" s="31">
        <f t="shared" si="30"/>
        <v>44.575000000000003</v>
      </c>
      <c r="AV10" s="31">
        <f t="shared" si="30"/>
        <v>44.699999999999996</v>
      </c>
      <c r="AW10" s="31">
        <f t="shared" si="30"/>
        <v>45.875</v>
      </c>
      <c r="AX10" s="31">
        <f t="shared" si="30"/>
        <v>43.275000000000006</v>
      </c>
      <c r="AY10" s="31">
        <f t="shared" si="30"/>
        <v>45.05</v>
      </c>
      <c r="AZ10" s="31">
        <f t="shared" si="30"/>
        <v>46.55</v>
      </c>
      <c r="BA10" s="31">
        <f t="shared" si="30"/>
        <v>43.575000000000003</v>
      </c>
      <c r="BD10" s="176"/>
    </row>
    <row r="11" spans="1:68" hidden="1" outlineLevel="2">
      <c r="A11" s="66">
        <v>1977</v>
      </c>
      <c r="B11" s="115">
        <f t="shared" si="14"/>
        <v>50.354957160342714</v>
      </c>
      <c r="C11" s="115">
        <f t="shared" si="15"/>
        <v>46.077323083879726</v>
      </c>
      <c r="D11" s="115">
        <f t="shared" si="16"/>
        <v>54.876120189773339</v>
      </c>
      <c r="E11" s="115">
        <f t="shared" si="17"/>
        <v>47.981330221703587</v>
      </c>
      <c r="F11" s="115">
        <f t="shared" si="18"/>
        <v>47.752938465084156</v>
      </c>
      <c r="G11" s="115">
        <f t="shared" si="19"/>
        <v>50.719960278053655</v>
      </c>
      <c r="H11" s="115">
        <f t="shared" si="20"/>
        <v>47.484957882069793</v>
      </c>
      <c r="I11" s="115">
        <f t="shared" si="21"/>
        <v>43.813075910487051</v>
      </c>
      <c r="J11" s="115">
        <f t="shared" si="22"/>
        <v>50.452079566003619</v>
      </c>
      <c r="K11" s="115">
        <f t="shared" si="23"/>
        <v>47.036144578313248</v>
      </c>
      <c r="L11" s="115">
        <f t="shared" si="24"/>
        <v>42.047838858581628</v>
      </c>
      <c r="M11" s="115">
        <f t="shared" si="25"/>
        <v>50.289778714436238</v>
      </c>
      <c r="N11" s="66"/>
      <c r="O11" s="31">
        <f t="shared" si="1"/>
        <v>41.247242831361547</v>
      </c>
      <c r="P11" s="31">
        <f t="shared" si="2"/>
        <v>39.343629343629345</v>
      </c>
      <c r="Q11" s="31">
        <f t="shared" si="3"/>
        <v>43.247028880116346</v>
      </c>
      <c r="R11" s="31">
        <f t="shared" si="4"/>
        <v>37.810516639088029</v>
      </c>
      <c r="S11" s="31">
        <f t="shared" si="5"/>
        <v>37.858578476155706</v>
      </c>
      <c r="T11" s="31">
        <f t="shared" si="6"/>
        <v>38.732197687642184</v>
      </c>
      <c r="U11" s="31">
        <f t="shared" si="7"/>
        <v>37.205355459174044</v>
      </c>
      <c r="V11" s="31">
        <f t="shared" si="8"/>
        <v>35.102830022851123</v>
      </c>
      <c r="W11" s="31">
        <f t="shared" si="9"/>
        <v>38.819320214669055</v>
      </c>
      <c r="X11" s="31">
        <f t="shared" si="10"/>
        <v>35.849403122130397</v>
      </c>
      <c r="Y11" s="31">
        <f t="shared" si="11"/>
        <v>33.65239294710328</v>
      </c>
      <c r="Z11" s="31">
        <f t="shared" si="12"/>
        <v>37.046380749078196</v>
      </c>
      <c r="AP11" s="31">
        <f>AVERAGE(BE59:BE62)</f>
        <v>51.424999999999997</v>
      </c>
      <c r="AQ11" s="31">
        <f t="shared" ref="AQ11:BA11" si="31">AVERAGE(BF59:BF62)</f>
        <v>50.949999999999996</v>
      </c>
      <c r="AR11" s="31">
        <f t="shared" si="31"/>
        <v>52.05</v>
      </c>
      <c r="AS11" s="31">
        <f t="shared" si="31"/>
        <v>51.4</v>
      </c>
      <c r="AT11" s="31">
        <f t="shared" si="31"/>
        <v>51.800000000000004</v>
      </c>
      <c r="AU11" s="31">
        <f t="shared" si="31"/>
        <v>51.075000000000003</v>
      </c>
      <c r="AV11" s="31">
        <f t="shared" si="31"/>
        <v>49.325000000000003</v>
      </c>
      <c r="AW11" s="31">
        <f t="shared" si="31"/>
        <v>49.924999999999997</v>
      </c>
      <c r="AX11" s="31">
        <f t="shared" si="31"/>
        <v>48.825000000000003</v>
      </c>
      <c r="AY11" s="31">
        <f t="shared" si="31"/>
        <v>48.800000000000004</v>
      </c>
      <c r="AZ11" s="31">
        <f t="shared" si="31"/>
        <v>50.1</v>
      </c>
      <c r="BA11" s="31">
        <f t="shared" si="31"/>
        <v>47.725000000000001</v>
      </c>
      <c r="BD11" s="176"/>
    </row>
    <row r="12" spans="1:68" hidden="1" outlineLevel="2">
      <c r="A12" s="66">
        <v>1978</v>
      </c>
      <c r="B12" s="115">
        <f t="shared" si="14"/>
        <v>56.719706242350064</v>
      </c>
      <c r="C12" s="115">
        <f t="shared" si="15"/>
        <v>51.390458964503736</v>
      </c>
      <c r="D12" s="115">
        <f t="shared" si="16"/>
        <v>62.65155508697945</v>
      </c>
      <c r="E12" s="115">
        <f t="shared" si="17"/>
        <v>53.302217036172671</v>
      </c>
      <c r="F12" s="115">
        <f t="shared" si="18"/>
        <v>51.878312975339981</v>
      </c>
      <c r="G12" s="115">
        <f t="shared" si="19"/>
        <v>58.391261171797446</v>
      </c>
      <c r="H12" s="115">
        <f t="shared" si="20"/>
        <v>53.092659446450064</v>
      </c>
      <c r="I12" s="115">
        <f t="shared" si="21"/>
        <v>48.069328652917953</v>
      </c>
      <c r="J12" s="115">
        <f t="shared" si="22"/>
        <v>58.047016274864383</v>
      </c>
      <c r="K12" s="115">
        <f t="shared" si="23"/>
        <v>51.75903614457831</v>
      </c>
      <c r="L12" s="115">
        <f t="shared" si="24"/>
        <v>45.845572807385651</v>
      </c>
      <c r="M12" s="115">
        <f t="shared" si="25"/>
        <v>56.085353003161217</v>
      </c>
      <c r="N12" s="66"/>
      <c r="O12" s="31">
        <f t="shared" si="1"/>
        <v>46.460798074994997</v>
      </c>
      <c r="P12" s="31">
        <f t="shared" si="2"/>
        <v>43.880308880308888</v>
      </c>
      <c r="Q12" s="31">
        <f t="shared" si="3"/>
        <v>49.374729898192392</v>
      </c>
      <c r="R12" s="31">
        <f t="shared" si="4"/>
        <v>42.003511674940206</v>
      </c>
      <c r="S12" s="31">
        <f t="shared" si="5"/>
        <v>41.129179608989624</v>
      </c>
      <c r="T12" s="31">
        <f t="shared" si="6"/>
        <v>44.59037149355575</v>
      </c>
      <c r="U12" s="31">
        <f t="shared" si="7"/>
        <v>41.599094851970577</v>
      </c>
      <c r="V12" s="31">
        <f t="shared" si="8"/>
        <v>38.512919669537716</v>
      </c>
      <c r="W12" s="31">
        <f t="shared" si="9"/>
        <v>44.663088849135363</v>
      </c>
      <c r="X12" s="31">
        <f t="shared" si="10"/>
        <v>39.449035812672179</v>
      </c>
      <c r="Y12" s="31">
        <f t="shared" si="11"/>
        <v>36.691855583543244</v>
      </c>
      <c r="Z12" s="31">
        <f t="shared" si="12"/>
        <v>41.315738404812727</v>
      </c>
      <c r="AP12" s="31">
        <f>AVERAGE(BE63:BE66)</f>
        <v>57.924999999999997</v>
      </c>
      <c r="AQ12" s="31">
        <f t="shared" ref="AQ12:BA12" si="32">AVERAGE(BF63:BF66)</f>
        <v>56.825000000000003</v>
      </c>
      <c r="AR12" s="31">
        <f t="shared" si="32"/>
        <v>59.424999999999997</v>
      </c>
      <c r="AS12" s="31">
        <f t="shared" si="32"/>
        <v>57.1</v>
      </c>
      <c r="AT12" s="31">
        <f t="shared" si="32"/>
        <v>56.275000000000006</v>
      </c>
      <c r="AU12" s="31">
        <f t="shared" si="32"/>
        <v>58.8</v>
      </c>
      <c r="AV12" s="31">
        <f t="shared" si="32"/>
        <v>55.150000000000006</v>
      </c>
      <c r="AW12" s="31">
        <f t="shared" si="32"/>
        <v>54.775000000000006</v>
      </c>
      <c r="AX12" s="31">
        <f t="shared" si="32"/>
        <v>56.174999999999997</v>
      </c>
      <c r="AY12" s="31">
        <f t="shared" si="32"/>
        <v>53.7</v>
      </c>
      <c r="AZ12" s="31">
        <f t="shared" si="32"/>
        <v>54.625</v>
      </c>
      <c r="BA12" s="31">
        <f t="shared" si="32"/>
        <v>53.225000000000009</v>
      </c>
      <c r="BD12" s="176"/>
    </row>
    <row r="13" spans="1:68" hidden="1" outlineLevel="2">
      <c r="A13" s="66">
        <v>1979</v>
      </c>
      <c r="B13" s="115">
        <f t="shared" si="14"/>
        <v>62.937576499388015</v>
      </c>
      <c r="C13" s="115">
        <f t="shared" si="15"/>
        <v>57.20099479990958</v>
      </c>
      <c r="D13" s="115">
        <f t="shared" si="16"/>
        <v>69.267264101212447</v>
      </c>
      <c r="E13" s="115">
        <f t="shared" si="17"/>
        <v>59.836639439906627</v>
      </c>
      <c r="F13" s="115">
        <f t="shared" si="18"/>
        <v>58.354459552892401</v>
      </c>
      <c r="G13" s="115">
        <f t="shared" si="19"/>
        <v>65.342601787487638</v>
      </c>
      <c r="H13" s="115">
        <f t="shared" si="20"/>
        <v>59.663056558363422</v>
      </c>
      <c r="I13" s="115">
        <f t="shared" si="21"/>
        <v>54.234313295304958</v>
      </c>
      <c r="J13" s="115">
        <f t="shared" si="22"/>
        <v>64.866959442004656</v>
      </c>
      <c r="K13" s="115">
        <f t="shared" si="23"/>
        <v>57.614457831325282</v>
      </c>
      <c r="L13" s="115">
        <f t="shared" si="24"/>
        <v>51.091061686949224</v>
      </c>
      <c r="M13" s="115">
        <f t="shared" si="25"/>
        <v>62.302423603793443</v>
      </c>
      <c r="N13" s="66"/>
      <c r="O13" s="31">
        <f t="shared" si="1"/>
        <v>51.554040505313829</v>
      </c>
      <c r="P13" s="31">
        <f t="shared" si="2"/>
        <v>48.84169884169885</v>
      </c>
      <c r="Q13" s="31">
        <f t="shared" si="3"/>
        <v>54.588468730521491</v>
      </c>
      <c r="R13" s="31">
        <f t="shared" si="4"/>
        <v>47.15280382423235</v>
      </c>
      <c r="S13" s="31">
        <f t="shared" si="5"/>
        <v>46.263475242097606</v>
      </c>
      <c r="T13" s="31">
        <f t="shared" si="6"/>
        <v>49.898749052312397</v>
      </c>
      <c r="U13" s="31">
        <f t="shared" si="7"/>
        <v>46.747124269281535</v>
      </c>
      <c r="V13" s="31">
        <f t="shared" si="8"/>
        <v>43.452276322728082</v>
      </c>
      <c r="W13" s="31">
        <f t="shared" si="9"/>
        <v>49.910554561717362</v>
      </c>
      <c r="X13" s="31">
        <f t="shared" si="10"/>
        <v>43.911845730027544</v>
      </c>
      <c r="Y13" s="31">
        <f t="shared" si="11"/>
        <v>40.890008396305625</v>
      </c>
      <c r="Z13" s="31">
        <f t="shared" si="12"/>
        <v>45.89559479914611</v>
      </c>
      <c r="AP13" s="31">
        <f>AVERAGE(BE67:BE70)</f>
        <v>64.274999999999991</v>
      </c>
      <c r="AQ13" s="31">
        <f t="shared" ref="AQ13:BA13" si="33">AVERAGE(BF67:BF70)</f>
        <v>63.25</v>
      </c>
      <c r="AR13" s="31">
        <f t="shared" si="33"/>
        <v>65.699999999999989</v>
      </c>
      <c r="AS13" s="31">
        <f t="shared" si="33"/>
        <v>64.099999999999994</v>
      </c>
      <c r="AT13" s="31">
        <f t="shared" si="33"/>
        <v>63.3</v>
      </c>
      <c r="AU13" s="31">
        <f t="shared" si="33"/>
        <v>65.800000000000011</v>
      </c>
      <c r="AV13" s="31">
        <f t="shared" si="33"/>
        <v>61.975000000000001</v>
      </c>
      <c r="AW13" s="31">
        <f t="shared" si="33"/>
        <v>61.8</v>
      </c>
      <c r="AX13" s="31">
        <f t="shared" si="33"/>
        <v>62.775000000000006</v>
      </c>
      <c r="AY13" s="31">
        <f t="shared" si="33"/>
        <v>59.774999999999999</v>
      </c>
      <c r="AZ13" s="31">
        <f t="shared" si="33"/>
        <v>60.874999999999993</v>
      </c>
      <c r="BA13" s="31">
        <f t="shared" si="33"/>
        <v>59.125</v>
      </c>
      <c r="BD13" s="176"/>
    </row>
    <row r="14" spans="1:68" hidden="1" outlineLevel="2">
      <c r="A14" s="66">
        <v>1980</v>
      </c>
      <c r="B14" s="115">
        <f t="shared" si="14"/>
        <v>69.449204406364757</v>
      </c>
      <c r="C14" s="115">
        <f t="shared" si="15"/>
        <v>63.147185168437723</v>
      </c>
      <c r="D14" s="115">
        <f t="shared" si="16"/>
        <v>76.251976805482343</v>
      </c>
      <c r="E14" s="115">
        <f t="shared" si="17"/>
        <v>66.39439906651107</v>
      </c>
      <c r="F14" s="115">
        <f t="shared" si="18"/>
        <v>64.692325420603851</v>
      </c>
      <c r="G14" s="115">
        <f t="shared" si="19"/>
        <v>72.517378351539264</v>
      </c>
      <c r="H14" s="115">
        <f t="shared" si="20"/>
        <v>66.690734055355009</v>
      </c>
      <c r="I14" s="115">
        <f t="shared" si="21"/>
        <v>60.881965774462486</v>
      </c>
      <c r="J14" s="115">
        <f t="shared" si="22"/>
        <v>72.151898734177223</v>
      </c>
      <c r="K14" s="115">
        <f t="shared" si="23"/>
        <v>65.879518072289144</v>
      </c>
      <c r="L14" s="115">
        <f t="shared" si="24"/>
        <v>58.518673940411247</v>
      </c>
      <c r="M14" s="115">
        <f t="shared" si="25"/>
        <v>71.022128556375108</v>
      </c>
      <c r="N14" s="66"/>
      <c r="O14" s="31">
        <f t="shared" si="1"/>
        <v>56.887908562261899</v>
      </c>
      <c r="P14" s="31">
        <f t="shared" si="2"/>
        <v>53.918918918918926</v>
      </c>
      <c r="Q14" s="31">
        <f t="shared" si="3"/>
        <v>60.093013712860987</v>
      </c>
      <c r="R14" s="31">
        <f t="shared" si="4"/>
        <v>52.320486302629121</v>
      </c>
      <c r="S14" s="31">
        <f t="shared" si="5"/>
        <v>51.288141786954178</v>
      </c>
      <c r="T14" s="31">
        <f t="shared" si="6"/>
        <v>55.377753032600495</v>
      </c>
      <c r="U14" s="31">
        <f t="shared" si="7"/>
        <v>52.253441448236842</v>
      </c>
      <c r="V14" s="31">
        <f t="shared" si="8"/>
        <v>48.778344172965383</v>
      </c>
      <c r="W14" s="31">
        <f t="shared" si="9"/>
        <v>55.515802027429942</v>
      </c>
      <c r="X14" s="31">
        <f t="shared" si="10"/>
        <v>50.211202938475665</v>
      </c>
      <c r="Y14" s="31">
        <f t="shared" si="11"/>
        <v>46.834592779177164</v>
      </c>
      <c r="Z14" s="31">
        <f t="shared" si="12"/>
        <v>52.319037453910326</v>
      </c>
      <c r="AP14" s="31">
        <f>AVERAGE(BE71:BE74)</f>
        <v>70.924999999999997</v>
      </c>
      <c r="AQ14" s="31">
        <f t="shared" ref="AQ14:BA14" si="34">AVERAGE(BF71:BF74)</f>
        <v>69.825000000000003</v>
      </c>
      <c r="AR14" s="31">
        <f t="shared" si="34"/>
        <v>72.324999999999989</v>
      </c>
      <c r="AS14" s="31">
        <f t="shared" si="34"/>
        <v>71.125</v>
      </c>
      <c r="AT14" s="31">
        <f t="shared" si="34"/>
        <v>70.174999999999997</v>
      </c>
      <c r="AU14" s="31">
        <f t="shared" si="34"/>
        <v>73.025000000000006</v>
      </c>
      <c r="AV14" s="31">
        <f t="shared" si="34"/>
        <v>69.275000000000006</v>
      </c>
      <c r="AW14" s="31">
        <f t="shared" si="34"/>
        <v>69.375</v>
      </c>
      <c r="AX14" s="31">
        <f t="shared" si="34"/>
        <v>69.825000000000003</v>
      </c>
      <c r="AY14" s="31">
        <f t="shared" si="34"/>
        <v>68.350000000000009</v>
      </c>
      <c r="AZ14" s="31">
        <f t="shared" si="34"/>
        <v>69.724999999999994</v>
      </c>
      <c r="BA14" s="31">
        <f t="shared" si="34"/>
        <v>67.400000000000006</v>
      </c>
      <c r="BD14" s="176"/>
    </row>
    <row r="15" spans="1:68" hidden="1" outlineLevel="1" collapsed="1">
      <c r="A15" s="66">
        <v>1981</v>
      </c>
      <c r="B15" s="115">
        <f>O15/O$23*100</f>
        <v>76.964504283965738</v>
      </c>
      <c r="C15" s="115">
        <f t="shared" si="15"/>
        <v>70.223829979651839</v>
      </c>
      <c r="D15" s="115">
        <f t="shared" si="16"/>
        <v>84.211913547706928</v>
      </c>
      <c r="E15" s="115">
        <f t="shared" si="17"/>
        <v>74.002333722287034</v>
      </c>
      <c r="F15" s="115">
        <f t="shared" si="18"/>
        <v>72.896980871168509</v>
      </c>
      <c r="G15" s="115">
        <f t="shared" si="19"/>
        <v>79.443892750744823</v>
      </c>
      <c r="H15" s="115">
        <f t="shared" si="20"/>
        <v>74.296028880866444</v>
      </c>
      <c r="I15" s="115">
        <f t="shared" si="21"/>
        <v>68.187801667397991</v>
      </c>
      <c r="J15" s="115">
        <f t="shared" si="22"/>
        <v>79.61766985275122</v>
      </c>
      <c r="K15" s="115">
        <f t="shared" si="23"/>
        <v>74.409638554216826</v>
      </c>
      <c r="L15" s="115">
        <f t="shared" si="24"/>
        <v>66.009232060428047</v>
      </c>
      <c r="M15" s="115">
        <f t="shared" si="25"/>
        <v>80.453108535300274</v>
      </c>
      <c r="N15" s="66"/>
      <c r="O15" s="31">
        <f>O16*AP15/AP16</f>
        <v>63.04391417685985</v>
      </c>
      <c r="P15" s="31">
        <f t="shared" si="2"/>
        <v>59.961389961389976</v>
      </c>
      <c r="Q15" s="31">
        <f t="shared" si="3"/>
        <v>66.366117805942238</v>
      </c>
      <c r="R15" s="31">
        <f t="shared" si="4"/>
        <v>58.315733590733558</v>
      </c>
      <c r="S15" s="31">
        <f t="shared" si="5"/>
        <v>57.792801023204866</v>
      </c>
      <c r="T15" s="31">
        <f t="shared" si="6"/>
        <v>60.667172100075852</v>
      </c>
      <c r="U15" s="31">
        <f t="shared" si="7"/>
        <v>58.212332641900808</v>
      </c>
      <c r="V15" s="31">
        <f t="shared" si="8"/>
        <v>54.631745473721232</v>
      </c>
      <c r="W15" s="31">
        <f t="shared" si="9"/>
        <v>61.26018684158219</v>
      </c>
      <c r="X15" s="31">
        <f t="shared" si="10"/>
        <v>56.712580348943966</v>
      </c>
      <c r="Y15" s="31">
        <f t="shared" si="11"/>
        <v>52.829554995801857</v>
      </c>
      <c r="Z15" s="31">
        <f t="shared" si="12"/>
        <v>59.266446730060132</v>
      </c>
      <c r="AP15" s="31">
        <f>AVERAGE(BE75:BE78)</f>
        <v>78.599999999999994</v>
      </c>
      <c r="AQ15" s="31">
        <f t="shared" ref="AQ15:BA15" si="35">AVERAGE(BF75:BF78)</f>
        <v>77.650000000000006</v>
      </c>
      <c r="AR15" s="31">
        <f t="shared" si="35"/>
        <v>79.875</v>
      </c>
      <c r="AS15" s="31">
        <f t="shared" si="35"/>
        <v>79.275000000000006</v>
      </c>
      <c r="AT15" s="31">
        <f t="shared" si="35"/>
        <v>79.075000000000003</v>
      </c>
      <c r="AU15" s="31">
        <f t="shared" si="35"/>
        <v>80</v>
      </c>
      <c r="AV15" s="31">
        <f t="shared" si="35"/>
        <v>77.175000000000011</v>
      </c>
      <c r="AW15" s="31">
        <f t="shared" si="35"/>
        <v>77.7</v>
      </c>
      <c r="AX15" s="31">
        <f t="shared" si="35"/>
        <v>77.05</v>
      </c>
      <c r="AY15" s="31">
        <f t="shared" si="35"/>
        <v>77.199999999999989</v>
      </c>
      <c r="AZ15" s="31">
        <f t="shared" si="35"/>
        <v>78.650000000000006</v>
      </c>
      <c r="BA15" s="31">
        <f t="shared" si="35"/>
        <v>76.349999999999994</v>
      </c>
      <c r="BD15" s="176"/>
    </row>
    <row r="16" spans="1:68" hidden="1" outlineLevel="1">
      <c r="A16" s="66">
        <v>1982</v>
      </c>
      <c r="B16" s="115">
        <f t="shared" si="14"/>
        <v>82.864137086903312</v>
      </c>
      <c r="C16" s="115">
        <f t="shared" si="15"/>
        <v>76.576983947546921</v>
      </c>
      <c r="D16" s="115">
        <f t="shared" si="16"/>
        <v>89.219820769636286</v>
      </c>
      <c r="E16" s="115">
        <f t="shared" si="17"/>
        <v>79.253208868144682</v>
      </c>
      <c r="F16" s="115">
        <f t="shared" si="18"/>
        <v>78.681723899516058</v>
      </c>
      <c r="G16" s="115">
        <f t="shared" si="19"/>
        <v>83.887785501489603</v>
      </c>
      <c r="H16" s="115">
        <f t="shared" si="20"/>
        <v>79.566787003610102</v>
      </c>
      <c r="I16" s="115">
        <f t="shared" si="21"/>
        <v>73.475208424747692</v>
      </c>
      <c r="J16" s="115">
        <f t="shared" si="22"/>
        <v>84.319297339188822</v>
      </c>
      <c r="K16" s="115">
        <f t="shared" si="23"/>
        <v>81.518072289156606</v>
      </c>
      <c r="L16" s="115">
        <f t="shared" si="24"/>
        <v>72.471674360050358</v>
      </c>
      <c r="M16" s="115">
        <f t="shared" si="25"/>
        <v>87.776606954689115</v>
      </c>
      <c r="N16" s="66"/>
      <c r="O16" s="31">
        <f>O17*AP16/AP17</f>
        <v>67.87647884499701</v>
      </c>
      <c r="P16" s="31">
        <f t="shared" si="2"/>
        <v>65.386100386100381</v>
      </c>
      <c r="Q16" s="31">
        <f t="shared" si="3"/>
        <v>70.312772698940364</v>
      </c>
      <c r="R16" s="31">
        <f t="shared" si="4"/>
        <v>62.453557639271892</v>
      </c>
      <c r="S16" s="31">
        <f t="shared" si="5"/>
        <v>62.378951215055771</v>
      </c>
      <c r="T16" s="31">
        <f t="shared" si="6"/>
        <v>64.060742039423843</v>
      </c>
      <c r="U16" s="31">
        <f t="shared" si="7"/>
        <v>62.342070526117276</v>
      </c>
      <c r="V16" s="31">
        <f t="shared" si="8"/>
        <v>58.867990859553537</v>
      </c>
      <c r="W16" s="31">
        <f t="shared" si="9"/>
        <v>64.877757901013709</v>
      </c>
      <c r="X16" s="31">
        <f t="shared" si="10"/>
        <v>62.130394857667582</v>
      </c>
      <c r="Y16" s="31">
        <f t="shared" si="11"/>
        <v>58.001679261125105</v>
      </c>
      <c r="Z16" s="31">
        <f t="shared" si="12"/>
        <v>64.661362313215577</v>
      </c>
      <c r="AP16" s="31">
        <f>AVERAGE(BE79:BE82)</f>
        <v>84.625</v>
      </c>
      <c r="AQ16" s="31">
        <f t="shared" ref="AQ16:BA16" si="36">AVERAGE(BF79:BF82)</f>
        <v>84.674999999999983</v>
      </c>
      <c r="AR16" s="31">
        <f t="shared" si="36"/>
        <v>84.625</v>
      </c>
      <c r="AS16" s="31">
        <f t="shared" si="36"/>
        <v>84.9</v>
      </c>
      <c r="AT16" s="31">
        <f t="shared" si="36"/>
        <v>85.350000000000009</v>
      </c>
      <c r="AU16" s="31">
        <f t="shared" si="36"/>
        <v>84.475000000000009</v>
      </c>
      <c r="AV16" s="31">
        <f t="shared" si="36"/>
        <v>82.65</v>
      </c>
      <c r="AW16" s="31">
        <f t="shared" si="36"/>
        <v>83.724999999999994</v>
      </c>
      <c r="AX16" s="31">
        <f t="shared" si="36"/>
        <v>81.599999999999994</v>
      </c>
      <c r="AY16" s="31">
        <f t="shared" si="36"/>
        <v>84.575000000000003</v>
      </c>
      <c r="AZ16" s="31">
        <f t="shared" si="36"/>
        <v>86.35</v>
      </c>
      <c r="BA16" s="31">
        <f t="shared" si="36"/>
        <v>83.3</v>
      </c>
      <c r="BD16" s="176"/>
    </row>
    <row r="17" spans="1:68" hidden="1" outlineLevel="1">
      <c r="A17" s="66">
        <v>1983</v>
      </c>
      <c r="B17" s="115">
        <f t="shared" si="14"/>
        <v>85.458996328029386</v>
      </c>
      <c r="C17" s="115">
        <f t="shared" si="15"/>
        <v>79.583992765091594</v>
      </c>
      <c r="D17" s="115">
        <f t="shared" si="16"/>
        <v>91.433842909857702</v>
      </c>
      <c r="E17" s="115">
        <f t="shared" si="17"/>
        <v>81.890315052508754</v>
      </c>
      <c r="F17" s="115">
        <f t="shared" si="18"/>
        <v>82.461396635169422</v>
      </c>
      <c r="G17" s="115">
        <f t="shared" si="19"/>
        <v>85.67527308838136</v>
      </c>
      <c r="H17" s="115">
        <f t="shared" si="20"/>
        <v>82.575210589651022</v>
      </c>
      <c r="I17" s="115">
        <f t="shared" si="21"/>
        <v>76.96358051777095</v>
      </c>
      <c r="J17" s="115">
        <f t="shared" si="22"/>
        <v>86.773443554637041</v>
      </c>
      <c r="K17" s="115">
        <f t="shared" si="23"/>
        <v>84.746987951807213</v>
      </c>
      <c r="L17" s="115">
        <f t="shared" si="24"/>
        <v>75.241292488459933</v>
      </c>
      <c r="M17" s="115">
        <f t="shared" si="25"/>
        <v>91.332982086406716</v>
      </c>
      <c r="N17" s="66"/>
      <c r="O17" s="31">
        <f>O18*AP17/AP18</f>
        <v>70.002005213555265</v>
      </c>
      <c r="P17" s="31">
        <f t="shared" si="2"/>
        <v>67.953667953667974</v>
      </c>
      <c r="Q17" s="31">
        <f t="shared" si="3"/>
        <v>72.057609599002703</v>
      </c>
      <c r="R17" s="31">
        <f t="shared" si="4"/>
        <v>64.531664828093369</v>
      </c>
      <c r="S17" s="31">
        <f t="shared" si="5"/>
        <v>65.375479627261129</v>
      </c>
      <c r="T17" s="31">
        <f t="shared" si="6"/>
        <v>65.425753411675544</v>
      </c>
      <c r="U17" s="31">
        <f t="shared" si="7"/>
        <v>64.699226852724863</v>
      </c>
      <c r="V17" s="31">
        <f t="shared" si="8"/>
        <v>61.662858147301819</v>
      </c>
      <c r="W17" s="31">
        <f t="shared" si="9"/>
        <v>66.766050486980717</v>
      </c>
      <c r="X17" s="31">
        <f t="shared" si="10"/>
        <v>64.591368227731863</v>
      </c>
      <c r="Y17" s="31">
        <f t="shared" si="11"/>
        <v>60.218303946263653</v>
      </c>
      <c r="Z17" s="31">
        <f t="shared" si="12"/>
        <v>67.28119542014359</v>
      </c>
      <c r="AP17" s="31">
        <f>AVERAGE(BE83:BE86)</f>
        <v>87.275000000000006</v>
      </c>
      <c r="AQ17" s="31">
        <f t="shared" ref="AQ17:BA17" si="37">AVERAGE(BF83:BF86)</f>
        <v>88.000000000000014</v>
      </c>
      <c r="AR17" s="31">
        <f t="shared" si="37"/>
        <v>86.725000000000009</v>
      </c>
      <c r="AS17" s="31">
        <f t="shared" si="37"/>
        <v>87.725000000000009</v>
      </c>
      <c r="AT17" s="31">
        <f t="shared" si="37"/>
        <v>89.449999999999989</v>
      </c>
      <c r="AU17" s="31">
        <f t="shared" si="37"/>
        <v>86.275000000000006</v>
      </c>
      <c r="AV17" s="31">
        <f t="shared" si="37"/>
        <v>85.775000000000006</v>
      </c>
      <c r="AW17" s="31">
        <f t="shared" si="37"/>
        <v>87.699999999999989</v>
      </c>
      <c r="AX17" s="31">
        <f t="shared" si="37"/>
        <v>83.974999999999994</v>
      </c>
      <c r="AY17" s="31">
        <f t="shared" si="37"/>
        <v>87.924999999999997</v>
      </c>
      <c r="AZ17" s="31">
        <f t="shared" si="37"/>
        <v>89.65</v>
      </c>
      <c r="BA17" s="31">
        <f t="shared" si="37"/>
        <v>86.674999999999997</v>
      </c>
      <c r="BD17" s="176"/>
    </row>
    <row r="18" spans="1:68" hidden="1" outlineLevel="1">
      <c r="A18" s="66">
        <v>1984</v>
      </c>
      <c r="B18" s="115">
        <f t="shared" si="14"/>
        <v>89.547123623011032</v>
      </c>
      <c r="C18" s="115">
        <f t="shared" si="15"/>
        <v>82.90752882658829</v>
      </c>
      <c r="D18" s="115">
        <f t="shared" si="16"/>
        <v>96.257248286768586</v>
      </c>
      <c r="E18" s="115">
        <f t="shared" si="17"/>
        <v>86.464410735122527</v>
      </c>
      <c r="F18" s="115">
        <f t="shared" si="18"/>
        <v>86.102788660981815</v>
      </c>
      <c r="G18" s="115">
        <f t="shared" si="19"/>
        <v>91.434955312810345</v>
      </c>
      <c r="H18" s="115">
        <f t="shared" si="20"/>
        <v>86.666666666666657</v>
      </c>
      <c r="I18" s="115">
        <f t="shared" si="21"/>
        <v>79.640193067134717</v>
      </c>
      <c r="J18" s="115">
        <f t="shared" si="22"/>
        <v>92.30173081890986</v>
      </c>
      <c r="K18" s="115">
        <f t="shared" si="23"/>
        <v>88.554216867469876</v>
      </c>
      <c r="L18" s="115">
        <f t="shared" si="24"/>
        <v>78.178766261015539</v>
      </c>
      <c r="M18" s="115">
        <f t="shared" si="25"/>
        <v>95.837723919915703</v>
      </c>
      <c r="N18" s="66"/>
      <c r="O18" s="31">
        <f t="shared" si="1"/>
        <v>73.350711850812132</v>
      </c>
      <c r="P18" s="31">
        <f t="shared" si="2"/>
        <v>70.791505791505784</v>
      </c>
      <c r="Q18" s="31">
        <f t="shared" si="3"/>
        <v>75.858861416995623</v>
      </c>
      <c r="R18" s="31">
        <f t="shared" si="4"/>
        <v>68.136169332597873</v>
      </c>
      <c r="S18" s="31">
        <f t="shared" si="5"/>
        <v>68.262378951215084</v>
      </c>
      <c r="T18" s="31">
        <f t="shared" si="6"/>
        <v>69.824123388931028</v>
      </c>
      <c r="U18" s="31">
        <f t="shared" si="7"/>
        <v>67.904959456911158</v>
      </c>
      <c r="V18" s="31">
        <f t="shared" si="8"/>
        <v>63.80734751274391</v>
      </c>
      <c r="W18" s="31">
        <f t="shared" si="9"/>
        <v>71.019677996422189</v>
      </c>
      <c r="X18" s="31">
        <f t="shared" si="10"/>
        <v>67.493112947658403</v>
      </c>
      <c r="Y18" s="31">
        <f t="shared" si="11"/>
        <v>62.56926952141059</v>
      </c>
      <c r="Z18" s="31">
        <f t="shared" si="12"/>
        <v>70.59965068891907</v>
      </c>
      <c r="AP18" s="31">
        <f>AVERAGE(BE87:BE90)</f>
        <v>91.45</v>
      </c>
      <c r="AQ18" s="31">
        <f t="shared" ref="AQ18:BA18" si="38">AVERAGE(BF87:BF90)</f>
        <v>91.674999999999983</v>
      </c>
      <c r="AR18" s="31">
        <f t="shared" si="38"/>
        <v>91.3</v>
      </c>
      <c r="AS18" s="31">
        <f t="shared" si="38"/>
        <v>92.625</v>
      </c>
      <c r="AT18" s="31">
        <f t="shared" si="38"/>
        <v>93.399999999999991</v>
      </c>
      <c r="AU18" s="31">
        <f t="shared" si="38"/>
        <v>92.075000000000003</v>
      </c>
      <c r="AV18" s="31">
        <f t="shared" si="38"/>
        <v>90.024999999999991</v>
      </c>
      <c r="AW18" s="31">
        <f t="shared" si="38"/>
        <v>90.75</v>
      </c>
      <c r="AX18" s="31">
        <f t="shared" si="38"/>
        <v>89.325000000000003</v>
      </c>
      <c r="AY18" s="31">
        <f t="shared" si="38"/>
        <v>91.875</v>
      </c>
      <c r="AZ18" s="31">
        <f t="shared" si="38"/>
        <v>93.15</v>
      </c>
      <c r="BA18" s="31">
        <f t="shared" si="38"/>
        <v>90.95</v>
      </c>
      <c r="BD18" s="176"/>
    </row>
    <row r="19" spans="1:68" hidden="1" outlineLevel="1">
      <c r="A19" s="66">
        <v>1985</v>
      </c>
      <c r="B19" s="115">
        <f t="shared" si="14"/>
        <v>94.149326805385556</v>
      </c>
      <c r="C19" s="115">
        <f t="shared" si="15"/>
        <v>86.63802848745199</v>
      </c>
      <c r="D19" s="115">
        <f t="shared" si="16"/>
        <v>101.76594623089088</v>
      </c>
      <c r="E19" s="115">
        <f t="shared" si="17"/>
        <v>90.851808634772453</v>
      </c>
      <c r="F19" s="115">
        <f t="shared" si="18"/>
        <v>89.582853191979737</v>
      </c>
      <c r="G19" s="115">
        <f t="shared" si="19"/>
        <v>96.847070506454827</v>
      </c>
      <c r="H19" s="115">
        <f t="shared" si="20"/>
        <v>92.081829121540324</v>
      </c>
      <c r="I19" s="115">
        <f t="shared" si="21"/>
        <v>84.006143045195273</v>
      </c>
      <c r="J19" s="115">
        <f t="shared" si="22"/>
        <v>98.760010333247223</v>
      </c>
      <c r="K19" s="115">
        <f t="shared" si="23"/>
        <v>93.156626506024082</v>
      </c>
      <c r="L19" s="115">
        <f t="shared" si="24"/>
        <v>81.284095677717161</v>
      </c>
      <c r="M19" s="115">
        <f t="shared" si="25"/>
        <v>101.73867228661749</v>
      </c>
      <c r="N19" s="66"/>
      <c r="O19" s="31">
        <f t="shared" si="1"/>
        <v>77.12051333467015</v>
      </c>
      <c r="P19" s="31">
        <f t="shared" si="2"/>
        <v>73.976833976834001</v>
      </c>
      <c r="Q19" s="31">
        <f t="shared" si="3"/>
        <v>80.20018179929356</v>
      </c>
      <c r="R19" s="31">
        <f t="shared" si="4"/>
        <v>71.593551204265452</v>
      </c>
      <c r="S19" s="31">
        <f t="shared" si="5"/>
        <v>71.021377672209056</v>
      </c>
      <c r="T19" s="31">
        <f t="shared" si="6"/>
        <v>73.957074488248693</v>
      </c>
      <c r="U19" s="31">
        <f t="shared" si="7"/>
        <v>72.147840844804819</v>
      </c>
      <c r="V19" s="31">
        <f t="shared" si="8"/>
        <v>67.30532606785026</v>
      </c>
      <c r="W19" s="31">
        <f t="shared" si="9"/>
        <v>75.988869012124823</v>
      </c>
      <c r="X19" s="31">
        <f t="shared" si="10"/>
        <v>71.000918273645553</v>
      </c>
      <c r="Y19" s="31">
        <f t="shared" si="11"/>
        <v>65.054575986565908</v>
      </c>
      <c r="Z19" s="31">
        <f t="shared" si="12"/>
        <v>74.946633029303314</v>
      </c>
      <c r="AP19" s="31">
        <f>AVERAGE(BE91:BE94)</f>
        <v>96.149999999999991</v>
      </c>
      <c r="AQ19" s="31">
        <f t="shared" ref="AQ19:BA19" si="39">AVERAGE(BF91:BF94)</f>
        <v>95.800000000000011</v>
      </c>
      <c r="AR19" s="31">
        <f t="shared" si="39"/>
        <v>96.524999999999991</v>
      </c>
      <c r="AS19" s="31">
        <f t="shared" si="39"/>
        <v>97.324999999999989</v>
      </c>
      <c r="AT19" s="31">
        <f t="shared" si="39"/>
        <v>97.174999999999997</v>
      </c>
      <c r="AU19" s="31">
        <f t="shared" si="39"/>
        <v>97.525000000000006</v>
      </c>
      <c r="AV19" s="31">
        <f t="shared" si="39"/>
        <v>95.65</v>
      </c>
      <c r="AW19" s="31">
        <f t="shared" si="39"/>
        <v>95.725000000000009</v>
      </c>
      <c r="AX19" s="31">
        <f t="shared" si="39"/>
        <v>95.575000000000003</v>
      </c>
      <c r="AY19" s="31">
        <f t="shared" si="39"/>
        <v>96.65</v>
      </c>
      <c r="AZ19" s="31">
        <f t="shared" si="39"/>
        <v>96.85</v>
      </c>
      <c r="BA19" s="31">
        <f t="shared" si="39"/>
        <v>96.55</v>
      </c>
      <c r="BD19" s="176"/>
    </row>
    <row r="20" spans="1:68" hidden="1" outlineLevel="1">
      <c r="A20" s="66">
        <v>1986</v>
      </c>
      <c r="B20" s="115">
        <f t="shared" si="14"/>
        <v>97.894736842105274</v>
      </c>
      <c r="C20" s="115">
        <f t="shared" si="15"/>
        <v>90.4363554148768</v>
      </c>
      <c r="D20" s="115">
        <f t="shared" si="16"/>
        <v>105.40326831839748</v>
      </c>
      <c r="E20" s="115">
        <f t="shared" si="17"/>
        <v>93.348891481913682</v>
      </c>
      <c r="F20" s="115">
        <f t="shared" si="18"/>
        <v>92.164093109011318</v>
      </c>
      <c r="G20" s="115">
        <f t="shared" si="19"/>
        <v>99.304865938430979</v>
      </c>
      <c r="H20" s="115">
        <f t="shared" si="20"/>
        <v>96.293622141997588</v>
      </c>
      <c r="I20" s="115">
        <f t="shared" si="21"/>
        <v>87.779727950855644</v>
      </c>
      <c r="J20" s="115">
        <f t="shared" si="22"/>
        <v>103.33247222939805</v>
      </c>
      <c r="K20" s="115">
        <f t="shared" si="23"/>
        <v>96.361445783132524</v>
      </c>
      <c r="L20" s="115">
        <f t="shared" si="24"/>
        <v>83.906840117498945</v>
      </c>
      <c r="M20" s="115">
        <f t="shared" si="25"/>
        <v>105.3740779768177</v>
      </c>
      <c r="N20" s="66"/>
      <c r="O20" s="31">
        <f t="shared" si="1"/>
        <v>80.188490074192913</v>
      </c>
      <c r="P20" s="31">
        <f t="shared" si="2"/>
        <v>77.220077220077229</v>
      </c>
      <c r="Q20" s="31">
        <f t="shared" si="3"/>
        <v>83.066699563681681</v>
      </c>
      <c r="R20" s="31">
        <f t="shared" si="4"/>
        <v>73.561316418459256</v>
      </c>
      <c r="S20" s="31">
        <f t="shared" si="5"/>
        <v>73.067787319568822</v>
      </c>
      <c r="T20" s="31">
        <f t="shared" si="6"/>
        <v>75.833965125094778</v>
      </c>
      <c r="U20" s="31">
        <f t="shared" si="7"/>
        <v>75.447859702055425</v>
      </c>
      <c r="V20" s="31">
        <f t="shared" si="8"/>
        <v>70.328704517489911</v>
      </c>
      <c r="W20" s="31">
        <f t="shared" si="9"/>
        <v>79.507056251242275</v>
      </c>
      <c r="X20" s="31">
        <f t="shared" si="10"/>
        <v>73.443526170798904</v>
      </c>
      <c r="Y20" s="31">
        <f t="shared" si="11"/>
        <v>67.153652392947095</v>
      </c>
      <c r="Z20" s="31">
        <f t="shared" si="12"/>
        <v>77.624684649718603</v>
      </c>
      <c r="AP20" s="31">
        <f>AVERAGE(BE95:BE98)</f>
        <v>99.975000000000009</v>
      </c>
      <c r="AQ20" s="31">
        <f t="shared" ref="AQ20:BA20" si="40">AVERAGE(BF95:BF98)</f>
        <v>100</v>
      </c>
      <c r="AR20" s="31">
        <f t="shared" si="40"/>
        <v>99.974999999999994</v>
      </c>
      <c r="AS20" s="31">
        <f t="shared" si="40"/>
        <v>100</v>
      </c>
      <c r="AT20" s="31">
        <f t="shared" si="40"/>
        <v>99.974999999999994</v>
      </c>
      <c r="AU20" s="31">
        <f t="shared" si="40"/>
        <v>100</v>
      </c>
      <c r="AV20" s="31">
        <f t="shared" si="40"/>
        <v>100.02499999999999</v>
      </c>
      <c r="AW20" s="31">
        <f t="shared" si="40"/>
        <v>100.02500000000001</v>
      </c>
      <c r="AX20" s="31">
        <f t="shared" si="40"/>
        <v>99.999999999999986</v>
      </c>
      <c r="AY20" s="31">
        <f t="shared" si="40"/>
        <v>99.975000000000009</v>
      </c>
      <c r="AZ20" s="31">
        <f t="shared" si="40"/>
        <v>99.974999999999994</v>
      </c>
      <c r="BA20" s="31">
        <f t="shared" si="40"/>
        <v>100</v>
      </c>
      <c r="BD20" s="176"/>
    </row>
    <row r="21" spans="1:68" hidden="1" outlineLevel="1">
      <c r="A21" s="66">
        <v>1987</v>
      </c>
      <c r="B21" s="115">
        <f t="shared" si="14"/>
        <v>97.625458996328007</v>
      </c>
      <c r="C21" s="115">
        <f t="shared" si="15"/>
        <v>92.742482477956173</v>
      </c>
      <c r="D21" s="115">
        <f t="shared" si="16"/>
        <v>102.53031101739589</v>
      </c>
      <c r="E21" s="115">
        <f t="shared" si="17"/>
        <v>93.955659276546115</v>
      </c>
      <c r="F21" s="115">
        <f t="shared" si="18"/>
        <v>93.178151647845127</v>
      </c>
      <c r="G21" s="115">
        <f t="shared" si="19"/>
        <v>98.088381330685209</v>
      </c>
      <c r="H21" s="115">
        <f t="shared" si="20"/>
        <v>96.438026474127554</v>
      </c>
      <c r="I21" s="115">
        <f t="shared" si="21"/>
        <v>90.895129442738039</v>
      </c>
      <c r="J21" s="115">
        <f t="shared" si="22"/>
        <v>101.03332472229398</v>
      </c>
      <c r="K21" s="115">
        <f t="shared" si="23"/>
        <v>95.807228915662648</v>
      </c>
      <c r="L21" s="115">
        <f t="shared" si="24"/>
        <v>86.550566512798994</v>
      </c>
      <c r="M21" s="115">
        <f t="shared" si="25"/>
        <v>102.55532139093782</v>
      </c>
      <c r="N21" s="66"/>
      <c r="O21" s="31">
        <f t="shared" si="1"/>
        <v>79.967916583116093</v>
      </c>
      <c r="P21" s="31">
        <f t="shared" si="2"/>
        <v>79.189189189189207</v>
      </c>
      <c r="Q21" s="31">
        <f t="shared" si="3"/>
        <v>80.802565967172228</v>
      </c>
      <c r="R21" s="31">
        <f t="shared" si="4"/>
        <v>74.039464975179243</v>
      </c>
      <c r="S21" s="31">
        <f t="shared" si="5"/>
        <v>73.871733966745865</v>
      </c>
      <c r="T21" s="31">
        <f t="shared" si="6"/>
        <v>74.904999052312377</v>
      </c>
      <c r="U21" s="31">
        <f t="shared" si="7"/>
        <v>75.56100320573259</v>
      </c>
      <c r="V21" s="31">
        <f t="shared" si="8"/>
        <v>72.824749516611007</v>
      </c>
      <c r="W21" s="31">
        <f t="shared" si="9"/>
        <v>77.738024249652156</v>
      </c>
      <c r="X21" s="31">
        <f t="shared" si="10"/>
        <v>73.021120293847574</v>
      </c>
      <c r="Y21" s="31">
        <f t="shared" si="11"/>
        <v>69.269521410579344</v>
      </c>
      <c r="Z21" s="31">
        <f t="shared" si="12"/>
        <v>75.548224335338631</v>
      </c>
      <c r="AP21" s="31">
        <f>AVERAGE(BE99:BE102)</f>
        <v>99.699999999999989</v>
      </c>
      <c r="AQ21" s="31">
        <f t="shared" ref="AQ21:BA21" si="41">AVERAGE(BF99:BF102)</f>
        <v>102.55000000000001</v>
      </c>
      <c r="AR21" s="31">
        <f t="shared" si="41"/>
        <v>97.25</v>
      </c>
      <c r="AS21" s="31">
        <f t="shared" si="41"/>
        <v>100.65</v>
      </c>
      <c r="AT21" s="31">
        <f t="shared" si="41"/>
        <v>101.07499999999999</v>
      </c>
      <c r="AU21" s="31">
        <f t="shared" si="41"/>
        <v>98.775000000000006</v>
      </c>
      <c r="AV21" s="31">
        <f t="shared" si="41"/>
        <v>100.175</v>
      </c>
      <c r="AW21" s="31">
        <f t="shared" si="41"/>
        <v>103.57499999999999</v>
      </c>
      <c r="AX21" s="31">
        <f t="shared" si="41"/>
        <v>97.775000000000006</v>
      </c>
      <c r="AY21" s="31">
        <f t="shared" si="41"/>
        <v>99.4</v>
      </c>
      <c r="AZ21" s="31">
        <f t="shared" si="41"/>
        <v>103.125</v>
      </c>
      <c r="BA21" s="31">
        <f t="shared" si="41"/>
        <v>97.325000000000003</v>
      </c>
      <c r="BD21" s="176"/>
    </row>
    <row r="22" spans="1:68" hidden="1" outlineLevel="1">
      <c r="A22" s="66">
        <v>1988</v>
      </c>
      <c r="B22" s="115">
        <f t="shared" si="14"/>
        <v>97.576499388004905</v>
      </c>
      <c r="C22" s="115">
        <f t="shared" si="15"/>
        <v>95.432964051548737</v>
      </c>
      <c r="D22" s="115">
        <f t="shared" si="16"/>
        <v>99.736425935687933</v>
      </c>
      <c r="E22" s="115">
        <f t="shared" si="17"/>
        <v>95.682613768961502</v>
      </c>
      <c r="F22" s="115">
        <f t="shared" si="18"/>
        <v>95.252362295459776</v>
      </c>
      <c r="G22" s="115">
        <f t="shared" si="19"/>
        <v>97.914597815292964</v>
      </c>
      <c r="H22" s="115">
        <f t="shared" si="20"/>
        <v>96.630565583634194</v>
      </c>
      <c r="I22" s="115">
        <f t="shared" si="21"/>
        <v>94.207985958753838</v>
      </c>
      <c r="J22" s="115">
        <f t="shared" si="22"/>
        <v>98.682510979075161</v>
      </c>
      <c r="K22" s="115">
        <f t="shared" si="23"/>
        <v>95.060240963855421</v>
      </c>
      <c r="L22" s="115">
        <f t="shared" si="24"/>
        <v>90.411246328157773</v>
      </c>
      <c r="M22" s="115">
        <f t="shared" si="25"/>
        <v>98.393045310853523</v>
      </c>
      <c r="N22" s="66"/>
      <c r="O22" s="31">
        <f t="shared" si="1"/>
        <v>79.927812312011241</v>
      </c>
      <c r="P22" s="31">
        <f t="shared" si="2"/>
        <v>81.486486486486498</v>
      </c>
      <c r="Q22" s="31">
        <f t="shared" si="3"/>
        <v>78.600747974236427</v>
      </c>
      <c r="R22" s="31">
        <f t="shared" si="4"/>
        <v>75.400349328920726</v>
      </c>
      <c r="S22" s="31">
        <f t="shared" si="5"/>
        <v>75.516170290517096</v>
      </c>
      <c r="T22" s="31">
        <f t="shared" si="6"/>
        <v>74.77228961334346</v>
      </c>
      <c r="U22" s="31">
        <f t="shared" si="7"/>
        <v>75.711861210635476</v>
      </c>
      <c r="V22" s="31">
        <f t="shared" si="8"/>
        <v>75.478994550887691</v>
      </c>
      <c r="W22" s="31">
        <f t="shared" si="9"/>
        <v>75.929238719936393</v>
      </c>
      <c r="X22" s="31">
        <f t="shared" si="10"/>
        <v>72.451790633608823</v>
      </c>
      <c r="Y22" s="31">
        <f t="shared" si="11"/>
        <v>72.359361880772454</v>
      </c>
      <c r="Z22" s="31">
        <f t="shared" si="12"/>
        <v>72.482049291674741</v>
      </c>
      <c r="AP22" s="31">
        <f>AVERAGE(BE103:BE106)</f>
        <v>99.65</v>
      </c>
      <c r="AQ22" s="31">
        <f t="shared" ref="AQ22:BA22" si="42">AVERAGE(BF103:BF106)</f>
        <v>105.52500000000001</v>
      </c>
      <c r="AR22" s="31">
        <f t="shared" si="42"/>
        <v>94.6</v>
      </c>
      <c r="AS22" s="31">
        <f t="shared" si="42"/>
        <v>102.5</v>
      </c>
      <c r="AT22" s="31">
        <f t="shared" si="42"/>
        <v>103.32499999999999</v>
      </c>
      <c r="AU22" s="31">
        <f t="shared" si="42"/>
        <v>98.6</v>
      </c>
      <c r="AV22" s="31">
        <f t="shared" si="42"/>
        <v>100.375</v>
      </c>
      <c r="AW22" s="31">
        <f t="shared" si="42"/>
        <v>107.35</v>
      </c>
      <c r="AX22" s="31">
        <f t="shared" si="42"/>
        <v>95.5</v>
      </c>
      <c r="AY22" s="31">
        <f t="shared" si="42"/>
        <v>98.625</v>
      </c>
      <c r="AZ22" s="31">
        <f t="shared" si="42"/>
        <v>107.72499999999999</v>
      </c>
      <c r="BA22" s="31">
        <f t="shared" si="42"/>
        <v>93.375</v>
      </c>
      <c r="BD22" s="176"/>
    </row>
    <row r="23" spans="1:68" hidden="1" outlineLevel="1">
      <c r="A23" s="66">
        <v>1989</v>
      </c>
      <c r="B23" s="115">
        <f t="shared" si="14"/>
        <v>100</v>
      </c>
      <c r="C23" s="115">
        <f t="shared" si="15"/>
        <v>100</v>
      </c>
      <c r="D23" s="115">
        <f t="shared" si="16"/>
        <v>100</v>
      </c>
      <c r="E23" s="115">
        <f t="shared" si="17"/>
        <v>100</v>
      </c>
      <c r="F23" s="115">
        <f t="shared" si="18"/>
        <v>100</v>
      </c>
      <c r="G23" s="115">
        <f t="shared" si="19"/>
        <v>100</v>
      </c>
      <c r="H23" s="115">
        <f t="shared" si="20"/>
        <v>100</v>
      </c>
      <c r="I23" s="115">
        <f t="shared" si="21"/>
        <v>100</v>
      </c>
      <c r="J23" s="115">
        <f t="shared" si="22"/>
        <v>100</v>
      </c>
      <c r="K23" s="115">
        <f t="shared" si="23"/>
        <v>100</v>
      </c>
      <c r="L23" s="115">
        <f t="shared" si="24"/>
        <v>100</v>
      </c>
      <c r="M23" s="115">
        <f t="shared" si="25"/>
        <v>100</v>
      </c>
      <c r="N23" s="66"/>
      <c r="O23" s="31">
        <f t="shared" si="1"/>
        <v>81.912973731702436</v>
      </c>
      <c r="P23" s="31">
        <f>P24*AQ23/AQ24</f>
        <v>85.386100386100381</v>
      </c>
      <c r="Q23" s="31">
        <f t="shared" si="3"/>
        <v>78.80846665281527</v>
      </c>
      <c r="R23" s="31">
        <f t="shared" si="4"/>
        <v>78.802560213274461</v>
      </c>
      <c r="S23" s="31">
        <f t="shared" si="5"/>
        <v>79.280102320482385</v>
      </c>
      <c r="T23" s="31">
        <f t="shared" si="6"/>
        <v>76.364802880970444</v>
      </c>
      <c r="U23" s="31">
        <f t="shared" si="7"/>
        <v>78.351876296435961</v>
      </c>
      <c r="V23" s="31">
        <f t="shared" si="8"/>
        <v>80.119528915450886</v>
      </c>
      <c r="W23" s="31">
        <f t="shared" si="9"/>
        <v>76.942953687139735</v>
      </c>
      <c r="X23" s="31">
        <f t="shared" si="10"/>
        <v>76.216712580348954</v>
      </c>
      <c r="Y23" s="31">
        <f t="shared" si="11"/>
        <v>80.033585222502097</v>
      </c>
      <c r="Z23" s="31">
        <f t="shared" si="12"/>
        <v>73.66582573258296</v>
      </c>
      <c r="AP23" s="31">
        <f>AVERAGE(BE107:BE110)</f>
        <v>102.125</v>
      </c>
      <c r="AQ23" s="31">
        <f t="shared" ref="AQ23:BA23" si="43">AVERAGE(BF107:BF110)</f>
        <v>110.57499999999999</v>
      </c>
      <c r="AR23" s="31">
        <f t="shared" si="43"/>
        <v>94.85</v>
      </c>
      <c r="AS23" s="31">
        <f t="shared" si="43"/>
        <v>107.125</v>
      </c>
      <c r="AT23" s="31">
        <f t="shared" si="43"/>
        <v>108.47499999999999</v>
      </c>
      <c r="AU23" s="31">
        <f t="shared" si="43"/>
        <v>100.69999999999999</v>
      </c>
      <c r="AV23" s="31">
        <f t="shared" si="43"/>
        <v>103.875</v>
      </c>
      <c r="AW23" s="31">
        <f t="shared" si="43"/>
        <v>113.95</v>
      </c>
      <c r="AX23" s="31">
        <f t="shared" si="43"/>
        <v>96.775000000000006</v>
      </c>
      <c r="AY23" s="31">
        <f t="shared" si="43"/>
        <v>103.75</v>
      </c>
      <c r="AZ23" s="31">
        <f t="shared" si="43"/>
        <v>119.15</v>
      </c>
      <c r="BA23" s="31">
        <f t="shared" si="43"/>
        <v>94.9</v>
      </c>
      <c r="BD23" s="176"/>
    </row>
    <row r="24" spans="1:68" hidden="1" outlineLevel="1">
      <c r="A24" s="66">
        <v>1990</v>
      </c>
      <c r="B24" s="115">
        <f t="shared" si="14"/>
        <v>101.78702570379437</v>
      </c>
      <c r="C24" s="115">
        <f t="shared" si="15"/>
        <v>102.98439972869093</v>
      </c>
      <c r="D24" s="115">
        <f>Q24/Q$23*100</f>
        <v>100.60622034791777</v>
      </c>
      <c r="E24" s="115">
        <f t="shared" si="17"/>
        <v>103.12718786464413</v>
      </c>
      <c r="F24" s="115">
        <f t="shared" si="18"/>
        <v>103.59529845586542</v>
      </c>
      <c r="G24" s="115">
        <f t="shared" si="19"/>
        <v>100.96822244289972</v>
      </c>
      <c r="H24" s="115">
        <f t="shared" si="20"/>
        <v>102.55114320096273</v>
      </c>
      <c r="I24" s="115">
        <f t="shared" si="21"/>
        <v>104.01491882404561</v>
      </c>
      <c r="J24" s="115">
        <f t="shared" si="22"/>
        <v>101.36915525703951</v>
      </c>
      <c r="K24" s="115">
        <f t="shared" si="23"/>
        <v>102.67469879518072</v>
      </c>
      <c r="L24" s="115">
        <f t="shared" si="24"/>
        <v>104.42719261435165</v>
      </c>
      <c r="M24" s="115">
        <f t="shared" si="25"/>
        <v>101.44889357218123</v>
      </c>
      <c r="N24" s="66"/>
      <c r="O24" s="31">
        <f t="shared" si="1"/>
        <v>83.376779627030288</v>
      </c>
      <c r="P24" s="31">
        <f t="shared" si="2"/>
        <v>87.934362934362923</v>
      </c>
      <c r="Q24" s="31">
        <f t="shared" si="3"/>
        <v>79.286219613546635</v>
      </c>
      <c r="R24" s="31">
        <f t="shared" si="4"/>
        <v>81.266864313292857</v>
      </c>
      <c r="S24" s="31">
        <f t="shared" si="5"/>
        <v>82.130458615019208</v>
      </c>
      <c r="T24" s="31">
        <f t="shared" si="6"/>
        <v>77.104184040940126</v>
      </c>
      <c r="U24" s="31">
        <f t="shared" si="7"/>
        <v>80.350744861399207</v>
      </c>
      <c r="V24" s="31">
        <f t="shared" si="8"/>
        <v>83.33626296361399</v>
      </c>
      <c r="W24" s="31">
        <f t="shared" si="9"/>
        <v>77.996422182468692</v>
      </c>
      <c r="X24" s="31">
        <f t="shared" si="10"/>
        <v>78.255280073461904</v>
      </c>
      <c r="Y24" s="31">
        <f t="shared" si="11"/>
        <v>83.576826196473547</v>
      </c>
      <c r="Z24" s="31">
        <f t="shared" si="12"/>
        <v>74.733165146516583</v>
      </c>
      <c r="AP24" s="31">
        <f>AVERAGE(BE111:BE114)</f>
        <v>103.95</v>
      </c>
      <c r="AQ24" s="31">
        <f t="shared" ref="AQ24:BA24" si="44">AVERAGE(BF111:BF114)</f>
        <v>113.875</v>
      </c>
      <c r="AR24" s="31">
        <f t="shared" si="44"/>
        <v>95.425000000000011</v>
      </c>
      <c r="AS24" s="31">
        <f t="shared" si="44"/>
        <v>110.47499999999999</v>
      </c>
      <c r="AT24" s="31">
        <f t="shared" si="44"/>
        <v>112.375</v>
      </c>
      <c r="AU24" s="31">
        <f t="shared" si="44"/>
        <v>101.675</v>
      </c>
      <c r="AV24" s="31">
        <f t="shared" si="44"/>
        <v>106.52500000000001</v>
      </c>
      <c r="AW24" s="31">
        <f t="shared" si="44"/>
        <v>118.52499999999999</v>
      </c>
      <c r="AX24" s="31">
        <f t="shared" si="44"/>
        <v>98.1</v>
      </c>
      <c r="AY24" s="31">
        <f t="shared" si="44"/>
        <v>106.52499999999999</v>
      </c>
      <c r="AZ24" s="31">
        <f t="shared" si="44"/>
        <v>124.42500000000001</v>
      </c>
      <c r="BA24" s="31">
        <f t="shared" si="44"/>
        <v>96.275000000000006</v>
      </c>
      <c r="BD24" s="176"/>
    </row>
    <row r="25" spans="1:68" hidden="1" outlineLevel="1">
      <c r="A25" s="66">
        <v>1991</v>
      </c>
      <c r="B25" s="115">
        <f t="shared" si="14"/>
        <v>98.482252141982855</v>
      </c>
      <c r="C25" s="115">
        <f t="shared" si="15"/>
        <v>99.977390911146273</v>
      </c>
      <c r="D25" s="115">
        <f t="shared" si="16"/>
        <v>97.074327886136018</v>
      </c>
      <c r="E25" s="115">
        <f t="shared" si="17"/>
        <v>103.31388564760798</v>
      </c>
      <c r="F25" s="115">
        <f t="shared" si="18"/>
        <v>103.84881309057388</v>
      </c>
      <c r="G25" s="115">
        <f t="shared" si="19"/>
        <v>100.91857000993049</v>
      </c>
      <c r="H25" s="115">
        <f t="shared" si="20"/>
        <v>100.31287605294825</v>
      </c>
      <c r="I25" s="115">
        <f t="shared" si="21"/>
        <v>103.02764370337864</v>
      </c>
      <c r="J25" s="115">
        <f t="shared" si="22"/>
        <v>98.114182381813478</v>
      </c>
      <c r="K25" s="115">
        <f t="shared" si="23"/>
        <v>101.42168674698797</v>
      </c>
      <c r="L25" s="115">
        <f t="shared" si="24"/>
        <v>103.88166177087703</v>
      </c>
      <c r="M25" s="115">
        <f t="shared" si="25"/>
        <v>99.683877766069543</v>
      </c>
      <c r="N25" s="66"/>
      <c r="O25" s="31">
        <f t="shared" si="1"/>
        <v>80.669741327451376</v>
      </c>
      <c r="P25" s="31">
        <f t="shared" si="2"/>
        <v>85.366795366795358</v>
      </c>
      <c r="Q25" s="31">
        <f t="shared" si="3"/>
        <v>76.502789320590054</v>
      </c>
      <c r="R25" s="31">
        <f t="shared" si="4"/>
        <v>81.413986946129796</v>
      </c>
      <c r="S25" s="31">
        <f t="shared" si="5"/>
        <v>82.331445276813469</v>
      </c>
      <c r="T25" s="31">
        <f t="shared" si="6"/>
        <v>77.066267058377576</v>
      </c>
      <c r="U25" s="31">
        <f t="shared" si="7"/>
        <v>78.597020554403144</v>
      </c>
      <c r="V25" s="31">
        <f t="shared" si="8"/>
        <v>82.545262787836165</v>
      </c>
      <c r="W25" s="31">
        <f t="shared" si="9"/>
        <v>75.491949910554553</v>
      </c>
      <c r="X25" s="31">
        <f t="shared" si="10"/>
        <v>77.300275482093681</v>
      </c>
      <c r="Y25" s="31">
        <f t="shared" si="11"/>
        <v>83.140218303946256</v>
      </c>
      <c r="Z25" s="31">
        <f t="shared" si="12"/>
        <v>73.432951678633799</v>
      </c>
      <c r="AP25" s="31">
        <f>AVERAGE(BE115:BE118)</f>
        <v>100.575</v>
      </c>
      <c r="AQ25" s="31">
        <f t="shared" ref="AQ25:BA25" si="45">AVERAGE(BF115:BF118)</f>
        <v>110.55000000000001</v>
      </c>
      <c r="AR25" s="31">
        <f t="shared" si="45"/>
        <v>92.075000000000003</v>
      </c>
      <c r="AS25" s="31">
        <f t="shared" si="45"/>
        <v>110.67500000000001</v>
      </c>
      <c r="AT25" s="31">
        <f t="shared" si="45"/>
        <v>112.65</v>
      </c>
      <c r="AU25" s="31">
        <f t="shared" si="45"/>
        <v>101.625</v>
      </c>
      <c r="AV25" s="31">
        <f t="shared" si="45"/>
        <v>104.19999999999999</v>
      </c>
      <c r="AW25" s="31">
        <f t="shared" si="45"/>
        <v>117.39999999999999</v>
      </c>
      <c r="AX25" s="31">
        <f t="shared" si="45"/>
        <v>94.949999999999989</v>
      </c>
      <c r="AY25" s="31">
        <f t="shared" si="45"/>
        <v>105.22499999999999</v>
      </c>
      <c r="AZ25" s="31">
        <f t="shared" si="45"/>
        <v>123.77499999999999</v>
      </c>
      <c r="BA25" s="31">
        <f t="shared" si="45"/>
        <v>94.6</v>
      </c>
      <c r="BD25" s="176"/>
    </row>
    <row r="26" spans="1:68" hidden="1" outlineLevel="1">
      <c r="A26" s="66">
        <v>1992</v>
      </c>
      <c r="B26" s="115">
        <f t="shared" si="14"/>
        <v>102.03182374541002</v>
      </c>
      <c r="C26" s="115">
        <f t="shared" si="15"/>
        <v>101.8991634637124</v>
      </c>
      <c r="D26" s="115">
        <f t="shared" si="16"/>
        <v>102.161307327359</v>
      </c>
      <c r="E26" s="115">
        <f t="shared" si="17"/>
        <v>106.72112018669782</v>
      </c>
      <c r="F26" s="115">
        <f t="shared" si="18"/>
        <v>106.89098870707537</v>
      </c>
      <c r="G26" s="115">
        <f t="shared" si="19"/>
        <v>105.85898709036744</v>
      </c>
      <c r="H26" s="115">
        <f t="shared" si="20"/>
        <v>104.69314079422385</v>
      </c>
      <c r="I26" s="115">
        <f t="shared" si="21"/>
        <v>105.33128565160158</v>
      </c>
      <c r="J26" s="115">
        <f t="shared" si="22"/>
        <v>104.15913200723328</v>
      </c>
      <c r="K26" s="115">
        <f t="shared" si="23"/>
        <v>106.50602409638554</v>
      </c>
      <c r="L26" s="115">
        <f t="shared" si="24"/>
        <v>106.94502727654216</v>
      </c>
      <c r="M26" s="115">
        <f t="shared" si="25"/>
        <v>106.19072708113806</v>
      </c>
      <c r="N26" s="66"/>
      <c r="O26" s="31">
        <f t="shared" si="1"/>
        <v>83.577300982554632</v>
      </c>
      <c r="P26" s="31">
        <f t="shared" si="2"/>
        <v>87.007722007721995</v>
      </c>
      <c r="Q26" s="31">
        <f t="shared" si="3"/>
        <v>80.511759817161831</v>
      </c>
      <c r="R26" s="31">
        <f t="shared" si="4"/>
        <v>84.098974995403552</v>
      </c>
      <c r="S26" s="31">
        <f t="shared" si="5"/>
        <v>84.74328521834461</v>
      </c>
      <c r="T26" s="31">
        <f t="shared" si="6"/>
        <v>80.839006823351042</v>
      </c>
      <c r="U26" s="31">
        <f t="shared" si="7"/>
        <v>82.029040165943798</v>
      </c>
      <c r="V26" s="31">
        <f t="shared" si="8"/>
        <v>84.390929864651085</v>
      </c>
      <c r="W26" s="31">
        <f t="shared" si="9"/>
        <v>80.143112701252235</v>
      </c>
      <c r="X26" s="31">
        <f t="shared" si="10"/>
        <v>81.175390266299374</v>
      </c>
      <c r="Y26" s="31">
        <f t="shared" si="11"/>
        <v>85.591939546599491</v>
      </c>
      <c r="Z26" s="31">
        <f t="shared" si="12"/>
        <v>78.226275955753934</v>
      </c>
      <c r="AP26" s="31">
        <f>AVERAGE(BE119:BE122)</f>
        <v>104.19999999999999</v>
      </c>
      <c r="AQ26" s="31">
        <f t="shared" ref="AQ26:BA26" si="46">AVERAGE(BF119:BF122)</f>
        <v>112.675</v>
      </c>
      <c r="AR26" s="31">
        <f t="shared" si="46"/>
        <v>96.899999999999991</v>
      </c>
      <c r="AS26" s="31">
        <f t="shared" si="46"/>
        <v>114.32500000000002</v>
      </c>
      <c r="AT26" s="31">
        <f t="shared" si="46"/>
        <v>115.94999999999999</v>
      </c>
      <c r="AU26" s="31">
        <f t="shared" si="46"/>
        <v>106.60000000000001</v>
      </c>
      <c r="AV26" s="31">
        <f t="shared" si="46"/>
        <v>108.75</v>
      </c>
      <c r="AW26" s="31">
        <f t="shared" si="46"/>
        <v>120.02500000000001</v>
      </c>
      <c r="AX26" s="31">
        <f t="shared" si="46"/>
        <v>100.8</v>
      </c>
      <c r="AY26" s="31">
        <f t="shared" si="46"/>
        <v>110.5</v>
      </c>
      <c r="AZ26" s="31">
        <f t="shared" si="46"/>
        <v>127.42499999999998</v>
      </c>
      <c r="BA26" s="31">
        <f t="shared" si="46"/>
        <v>100.77500000000001</v>
      </c>
      <c r="BD26" s="176"/>
    </row>
    <row r="27" spans="1:68" hidden="1" outlineLevel="1">
      <c r="A27" s="66">
        <v>1993</v>
      </c>
      <c r="B27" s="115">
        <f t="shared" si="14"/>
        <v>106.29130966952265</v>
      </c>
      <c r="C27" s="115">
        <f t="shared" si="15"/>
        <v>103.91137237169342</v>
      </c>
      <c r="D27" s="115">
        <f t="shared" si="16"/>
        <v>108.59251449657354</v>
      </c>
      <c r="E27" s="115">
        <f t="shared" si="17"/>
        <v>110.43173862310385</v>
      </c>
      <c r="F27" s="115">
        <f t="shared" si="18"/>
        <v>110.04839824844434</v>
      </c>
      <c r="G27" s="115">
        <f t="shared" si="19"/>
        <v>112.56206554121152</v>
      </c>
      <c r="H27" s="115">
        <f t="shared" si="20"/>
        <v>109.50661853188932</v>
      </c>
      <c r="I27" s="115">
        <f t="shared" si="21"/>
        <v>107.63492759982447</v>
      </c>
      <c r="J27" s="115">
        <f t="shared" si="22"/>
        <v>111.05657452854561</v>
      </c>
      <c r="K27" s="115">
        <f t="shared" si="23"/>
        <v>111.85542168674701</v>
      </c>
      <c r="L27" s="115">
        <f t="shared" si="24"/>
        <v>108.85438522870329</v>
      </c>
      <c r="M27" s="115">
        <f t="shared" si="25"/>
        <v>114.06743940990518</v>
      </c>
      <c r="N27" s="66"/>
      <c r="O27" s="31">
        <f t="shared" si="1"/>
        <v>87.066372568678574</v>
      </c>
      <c r="P27" s="31">
        <f t="shared" si="2"/>
        <v>88.725868725868722</v>
      </c>
      <c r="Q27" s="31">
        <f t="shared" si="3"/>
        <v>85.580095574485753</v>
      </c>
      <c r="R27" s="31">
        <f t="shared" si="4"/>
        <v>87.023037323037286</v>
      </c>
      <c r="S27" s="31">
        <f t="shared" si="5"/>
        <v>87.246482733418617</v>
      </c>
      <c r="T27" s="31">
        <f t="shared" si="6"/>
        <v>85.95779946929494</v>
      </c>
      <c r="U27" s="31">
        <f t="shared" si="7"/>
        <v>85.800490288515931</v>
      </c>
      <c r="V27" s="31">
        <f t="shared" si="8"/>
        <v>86.23659694146599</v>
      </c>
      <c r="W27" s="31">
        <f t="shared" si="9"/>
        <v>85.450208706022664</v>
      </c>
      <c r="X27" s="31">
        <f t="shared" si="10"/>
        <v>85.252525252525274</v>
      </c>
      <c r="Y27" s="31">
        <f t="shared" si="11"/>
        <v>87.120067170444997</v>
      </c>
      <c r="Z27" s="31">
        <f t="shared" si="12"/>
        <v>84.028721133320403</v>
      </c>
      <c r="AP27" s="31">
        <f>AVERAGE(BE123:BE126)</f>
        <v>108.55000000000001</v>
      </c>
      <c r="AQ27" s="31">
        <f t="shared" ref="AQ27:BA27" si="47">AVERAGE(BF123:BF126)</f>
        <v>114.9</v>
      </c>
      <c r="AR27" s="31">
        <f t="shared" si="47"/>
        <v>103.00000000000001</v>
      </c>
      <c r="AS27" s="31">
        <f t="shared" si="47"/>
        <v>118.29999999999998</v>
      </c>
      <c r="AT27" s="31">
        <f t="shared" si="47"/>
        <v>119.375</v>
      </c>
      <c r="AU27" s="31">
        <f t="shared" si="47"/>
        <v>113.35</v>
      </c>
      <c r="AV27" s="31">
        <f t="shared" si="47"/>
        <v>113.75</v>
      </c>
      <c r="AW27" s="31">
        <f t="shared" si="47"/>
        <v>122.65</v>
      </c>
      <c r="AX27" s="31">
        <f t="shared" si="47"/>
        <v>107.47499999999999</v>
      </c>
      <c r="AY27" s="31">
        <f t="shared" si="47"/>
        <v>116.05</v>
      </c>
      <c r="AZ27" s="31">
        <f t="shared" si="47"/>
        <v>129.69999999999999</v>
      </c>
      <c r="BA27" s="31">
        <f t="shared" si="47"/>
        <v>108.25</v>
      </c>
      <c r="BD27" s="176"/>
    </row>
    <row r="28" spans="1:68" hidden="1" outlineLevel="1">
      <c r="A28" s="66">
        <v>1994</v>
      </c>
      <c r="B28" s="115">
        <f t="shared" si="14"/>
        <v>111.48102815177477</v>
      </c>
      <c r="C28" s="115">
        <f t="shared" si="15"/>
        <v>106.78272665611574</v>
      </c>
      <c r="D28" s="115">
        <f t="shared" si="16"/>
        <v>116.05166051660518</v>
      </c>
      <c r="E28" s="115">
        <f t="shared" si="17"/>
        <v>115.12252042007003</v>
      </c>
      <c r="F28" s="115">
        <f t="shared" si="18"/>
        <v>114.05853883383269</v>
      </c>
      <c r="G28" s="115">
        <f t="shared" si="19"/>
        <v>120.30784508440912</v>
      </c>
      <c r="H28" s="115">
        <f t="shared" si="20"/>
        <v>115.78820697954274</v>
      </c>
      <c r="I28" s="115">
        <f t="shared" si="21"/>
        <v>111.49627029398856</v>
      </c>
      <c r="J28" s="115">
        <f t="shared" si="22"/>
        <v>119.29733918884008</v>
      </c>
      <c r="K28" s="115">
        <f t="shared" si="23"/>
        <v>118.69879518072288</v>
      </c>
      <c r="L28" s="115">
        <f t="shared" si="24"/>
        <v>112.61015526647084</v>
      </c>
      <c r="M28" s="115">
        <f t="shared" si="25"/>
        <v>123.05057955742889</v>
      </c>
      <c r="N28" s="66"/>
      <c r="O28" s="31">
        <f t="shared" si="1"/>
        <v>91.317425305795055</v>
      </c>
      <c r="P28" s="31">
        <f t="shared" si="2"/>
        <v>91.177606177606165</v>
      </c>
      <c r="Q28" s="31">
        <f t="shared" si="3"/>
        <v>91.458534178267186</v>
      </c>
      <c r="R28" s="31">
        <f t="shared" si="4"/>
        <v>90.719493473064873</v>
      </c>
      <c r="S28" s="31">
        <f t="shared" si="5"/>
        <v>90.425726292709683</v>
      </c>
      <c r="T28" s="31">
        <f t="shared" si="6"/>
        <v>91.872848749052324</v>
      </c>
      <c r="U28" s="31">
        <f t="shared" si="7"/>
        <v>90.722232698472553</v>
      </c>
      <c r="V28" s="31">
        <f t="shared" si="8"/>
        <v>89.330286517841444</v>
      </c>
      <c r="W28" s="31">
        <f t="shared" si="9"/>
        <v>91.790896442059235</v>
      </c>
      <c r="X28" s="31">
        <f t="shared" si="10"/>
        <v>90.468319559228661</v>
      </c>
      <c r="Y28" s="31">
        <f t="shared" si="11"/>
        <v>90.125944584382879</v>
      </c>
      <c r="Z28" s="31">
        <f t="shared" si="12"/>
        <v>90.646225499708919</v>
      </c>
      <c r="AP28" s="31">
        <f>AVERAGE(BE127:BE130)</f>
        <v>113.85</v>
      </c>
      <c r="AQ28" s="31">
        <f t="shared" ref="AQ28:BA28" si="48">AVERAGE(BF127:BF130)</f>
        <v>118.075</v>
      </c>
      <c r="AR28" s="31">
        <f t="shared" si="48"/>
        <v>110.07500000000002</v>
      </c>
      <c r="AS28" s="31">
        <f t="shared" si="48"/>
        <v>123.325</v>
      </c>
      <c r="AT28" s="31">
        <f t="shared" si="48"/>
        <v>123.72499999999999</v>
      </c>
      <c r="AU28" s="31">
        <f t="shared" si="48"/>
        <v>121.14999999999999</v>
      </c>
      <c r="AV28" s="31">
        <f t="shared" si="48"/>
        <v>120.27499999999999</v>
      </c>
      <c r="AW28" s="31">
        <f t="shared" si="48"/>
        <v>127.05</v>
      </c>
      <c r="AX28" s="31">
        <f t="shared" si="48"/>
        <v>115.45</v>
      </c>
      <c r="AY28" s="31">
        <f t="shared" si="48"/>
        <v>123.14999999999999</v>
      </c>
      <c r="AZ28" s="31">
        <f t="shared" si="48"/>
        <v>134.17500000000001</v>
      </c>
      <c r="BA28" s="31">
        <f t="shared" si="48"/>
        <v>116.77500000000001</v>
      </c>
      <c r="BD28" s="176"/>
    </row>
    <row r="29" spans="1:68" hidden="1" outlineLevel="1">
      <c r="A29" s="66">
        <v>1995</v>
      </c>
      <c r="B29" s="115">
        <f t="shared" si="14"/>
        <v>116.25458996328027</v>
      </c>
      <c r="C29" s="115">
        <f t="shared" si="15"/>
        <v>111.75672620393398</v>
      </c>
      <c r="D29" s="115">
        <f t="shared" si="16"/>
        <v>120.58513442277278</v>
      </c>
      <c r="E29" s="115">
        <f t="shared" si="17"/>
        <v>121.00350058343059</v>
      </c>
      <c r="F29" s="115">
        <f t="shared" si="18"/>
        <v>120.23507720672966</v>
      </c>
      <c r="G29" s="115">
        <f t="shared" si="19"/>
        <v>124.97517378351539</v>
      </c>
      <c r="H29" s="115">
        <f t="shared" si="20"/>
        <v>120.14440433212997</v>
      </c>
      <c r="I29" s="115">
        <f t="shared" si="21"/>
        <v>116.87143483984204</v>
      </c>
      <c r="J29" s="115">
        <f t="shared" si="22"/>
        <v>122.81064324463962</v>
      </c>
      <c r="K29" s="115">
        <f t="shared" si="23"/>
        <v>124.33734939759036</v>
      </c>
      <c r="L29" s="115">
        <f t="shared" si="24"/>
        <v>118.23331934536299</v>
      </c>
      <c r="M29" s="115">
        <f t="shared" si="25"/>
        <v>128.76712328767124</v>
      </c>
      <c r="N29" s="66"/>
      <c r="O29" s="31">
        <f t="shared" si="1"/>
        <v>95.227591738520147</v>
      </c>
      <c r="P29" s="31">
        <f t="shared" si="2"/>
        <v>95.424710424710412</v>
      </c>
      <c r="Q29" s="31">
        <f t="shared" si="3"/>
        <v>95.031295449823361</v>
      </c>
      <c r="R29" s="31">
        <f t="shared" si="4"/>
        <v>95.353856407427813</v>
      </c>
      <c r="S29" s="31">
        <f t="shared" si="5"/>
        <v>95.322492234606258</v>
      </c>
      <c r="T29" s="31">
        <f t="shared" si="6"/>
        <v>95.437045109931773</v>
      </c>
      <c r="U29" s="31">
        <f t="shared" si="7"/>
        <v>94.135395059400324</v>
      </c>
      <c r="V29" s="31">
        <f t="shared" si="8"/>
        <v>93.63684303040958</v>
      </c>
      <c r="W29" s="31">
        <f t="shared" si="9"/>
        <v>94.494136354601466</v>
      </c>
      <c r="X29" s="31">
        <f t="shared" si="10"/>
        <v>94.765840220385684</v>
      </c>
      <c r="Y29" s="31">
        <f t="shared" si="11"/>
        <v>94.626364399664141</v>
      </c>
      <c r="Z29" s="31">
        <f t="shared" si="12"/>
        <v>94.857364641956138</v>
      </c>
      <c r="AP29" s="31">
        <f>AVERAGE(BE131:BE134)</f>
        <v>118.72499999999999</v>
      </c>
      <c r="AQ29" s="31">
        <f t="shared" ref="AQ29:BA29" si="49">AVERAGE(BF131:BF134)</f>
        <v>123.57499999999999</v>
      </c>
      <c r="AR29" s="31">
        <f t="shared" si="49"/>
        <v>114.37499999999999</v>
      </c>
      <c r="AS29" s="31">
        <f t="shared" si="49"/>
        <v>129.625</v>
      </c>
      <c r="AT29" s="31">
        <f t="shared" si="49"/>
        <v>130.42499999999998</v>
      </c>
      <c r="AU29" s="31">
        <f t="shared" si="49"/>
        <v>125.85</v>
      </c>
      <c r="AV29" s="31">
        <f t="shared" si="49"/>
        <v>124.79999999999998</v>
      </c>
      <c r="AW29" s="31">
        <f t="shared" si="49"/>
        <v>133.17500000000001</v>
      </c>
      <c r="AX29" s="31">
        <f t="shared" si="49"/>
        <v>118.85</v>
      </c>
      <c r="AY29" s="31">
        <f t="shared" si="49"/>
        <v>129</v>
      </c>
      <c r="AZ29" s="31">
        <f t="shared" si="49"/>
        <v>140.875</v>
      </c>
      <c r="BA29" s="31">
        <f t="shared" si="49"/>
        <v>122.19999999999999</v>
      </c>
      <c r="BD29" s="176"/>
    </row>
    <row r="30" spans="1:68" hidden="1" outlineLevel="1">
      <c r="A30" s="66">
        <v>1996</v>
      </c>
      <c r="B30" s="115">
        <f t="shared" si="14"/>
        <v>119.11872705018358</v>
      </c>
      <c r="C30" s="115">
        <f t="shared" si="15"/>
        <v>114.67329866606377</v>
      </c>
      <c r="D30" s="115">
        <f t="shared" si="16"/>
        <v>123.43173431734317</v>
      </c>
      <c r="E30" s="115">
        <f t="shared" si="17"/>
        <v>124.2240373395566</v>
      </c>
      <c r="F30" s="115">
        <f t="shared" si="18"/>
        <v>123.53076745793963</v>
      </c>
      <c r="G30" s="115">
        <f t="shared" si="19"/>
        <v>127.83018867924531</v>
      </c>
      <c r="H30" s="115">
        <f t="shared" si="20"/>
        <v>124.90974729241881</v>
      </c>
      <c r="I30" s="115">
        <f t="shared" si="21"/>
        <v>122.071083808688</v>
      </c>
      <c r="J30" s="115">
        <f t="shared" si="22"/>
        <v>127.20227331438905</v>
      </c>
      <c r="K30" s="115">
        <f t="shared" si="23"/>
        <v>127.32530120481927</v>
      </c>
      <c r="L30" s="115">
        <f t="shared" si="24"/>
        <v>121.63239613932019</v>
      </c>
      <c r="M30" s="115">
        <f t="shared" si="25"/>
        <v>131.48050579557432</v>
      </c>
      <c r="N30" s="66"/>
      <c r="O30" s="31">
        <f>O31*AP30/AP31</f>
        <v>97.573691598155207</v>
      </c>
      <c r="P30" s="31">
        <f t="shared" si="2"/>
        <v>97.915057915057915</v>
      </c>
      <c r="Q30" s="31">
        <f t="shared" si="3"/>
        <v>97.274657178474939</v>
      </c>
      <c r="R30" s="31">
        <f t="shared" si="4"/>
        <v>97.891721823864643</v>
      </c>
      <c r="S30" s="31">
        <f t="shared" si="5"/>
        <v>97.935318837931689</v>
      </c>
      <c r="T30" s="31">
        <f t="shared" si="6"/>
        <v>97.617271607278283</v>
      </c>
      <c r="U30" s="31">
        <f t="shared" si="7"/>
        <v>97.86913068074675</v>
      </c>
      <c r="V30" s="31">
        <f t="shared" si="8"/>
        <v>97.802777289506068</v>
      </c>
      <c r="W30" s="31">
        <f t="shared" si="9"/>
        <v>97.873186245279271</v>
      </c>
      <c r="X30" s="31">
        <f t="shared" si="10"/>
        <v>97.043158861340686</v>
      </c>
      <c r="Y30" s="31">
        <f t="shared" si="11"/>
        <v>97.346767422334182</v>
      </c>
      <c r="Z30" s="31">
        <f t="shared" si="12"/>
        <v>96.856200271686404</v>
      </c>
      <c r="AP30" s="31">
        <f>AVERAGE(BE135:BE138)</f>
        <v>121.65</v>
      </c>
      <c r="AQ30" s="31">
        <f t="shared" ref="AQ30:BA30" si="50">AVERAGE(BF135:BF138)</f>
        <v>126.8</v>
      </c>
      <c r="AR30" s="31">
        <f t="shared" si="50"/>
        <v>117.075</v>
      </c>
      <c r="AS30" s="31">
        <f t="shared" si="50"/>
        <v>133.07499999999999</v>
      </c>
      <c r="AT30" s="31">
        <f t="shared" si="50"/>
        <v>134</v>
      </c>
      <c r="AU30" s="31">
        <f t="shared" si="50"/>
        <v>128.72500000000002</v>
      </c>
      <c r="AV30" s="31">
        <f t="shared" si="50"/>
        <v>129.75</v>
      </c>
      <c r="AW30" s="31">
        <f t="shared" si="50"/>
        <v>139.1</v>
      </c>
      <c r="AX30" s="31">
        <f t="shared" si="50"/>
        <v>123.1</v>
      </c>
      <c r="AY30" s="31">
        <f t="shared" si="50"/>
        <v>132.1</v>
      </c>
      <c r="AZ30" s="31">
        <f t="shared" si="50"/>
        <v>144.92500000000001</v>
      </c>
      <c r="BA30" s="31">
        <f t="shared" si="50"/>
        <v>124.77500000000001</v>
      </c>
      <c r="BD30" s="176">
        <v>25965</v>
      </c>
      <c r="BE30" s="64">
        <v>32.1</v>
      </c>
      <c r="BF30" s="64">
        <v>31.5</v>
      </c>
      <c r="BG30" s="64">
        <v>32.9</v>
      </c>
      <c r="BH30" s="64">
        <v>30.4</v>
      </c>
      <c r="BI30" s="64">
        <v>31.2</v>
      </c>
      <c r="BJ30" s="64">
        <v>29.3</v>
      </c>
      <c r="BK30" s="64">
        <v>32.299999999999997</v>
      </c>
      <c r="BL30" s="64">
        <v>33.1</v>
      </c>
      <c r="BM30" s="64">
        <v>31.2</v>
      </c>
      <c r="BN30" s="64">
        <v>26.7</v>
      </c>
      <c r="BO30" s="64">
        <v>27.3</v>
      </c>
      <c r="BP30" s="64">
        <v>26.3</v>
      </c>
    </row>
    <row r="31" spans="1:68" collapsed="1">
      <c r="A31" s="66">
        <v>1997</v>
      </c>
      <c r="B31" s="115">
        <f t="shared" si="14"/>
        <v>122.08078335373315</v>
      </c>
      <c r="C31" s="115">
        <f t="shared" si="15"/>
        <v>117.11508026226545</v>
      </c>
      <c r="D31" s="115">
        <f t="shared" si="16"/>
        <v>126.85819715340014</v>
      </c>
      <c r="E31" s="115">
        <f t="shared" si="17"/>
        <v>126.93115519253213</v>
      </c>
      <c r="F31" s="115">
        <f t="shared" si="18"/>
        <v>126.13505415994469</v>
      </c>
      <c r="G31" s="115">
        <f t="shared" si="19"/>
        <v>130.98311817279045</v>
      </c>
      <c r="H31" s="115">
        <f t="shared" si="20"/>
        <v>127.62936221419979</v>
      </c>
      <c r="I31" s="115">
        <f t="shared" si="21"/>
        <v>124.81351469942953</v>
      </c>
      <c r="J31" s="115">
        <f t="shared" si="22"/>
        <v>129.96641694652544</v>
      </c>
      <c r="K31" s="115">
        <f t="shared" si="23"/>
        <v>131.20481927710844</v>
      </c>
      <c r="L31" s="115">
        <f t="shared" si="24"/>
        <v>124.94754511120436</v>
      </c>
      <c r="M31" s="115">
        <f t="shared" si="25"/>
        <v>135.7481559536354</v>
      </c>
      <c r="N31" s="66"/>
      <c r="O31" s="31">
        <f>AVERAGE(AC31:AC34)</f>
        <v>100</v>
      </c>
      <c r="P31" s="31">
        <f t="shared" ref="P31:Z31" si="51">AVERAGE(AD31:AD34)</f>
        <v>100</v>
      </c>
      <c r="Q31" s="31">
        <f t="shared" si="51"/>
        <v>99.974999999999994</v>
      </c>
      <c r="R31" s="31">
        <f t="shared" si="51"/>
        <v>100.02499999999999</v>
      </c>
      <c r="S31" s="31">
        <f t="shared" si="51"/>
        <v>100.00000000000001</v>
      </c>
      <c r="T31" s="31">
        <f t="shared" si="51"/>
        <v>100.02500000000001</v>
      </c>
      <c r="U31" s="31">
        <f t="shared" si="51"/>
        <v>100</v>
      </c>
      <c r="V31" s="31">
        <f t="shared" si="51"/>
        <v>100</v>
      </c>
      <c r="W31" s="31">
        <f t="shared" si="51"/>
        <v>100</v>
      </c>
      <c r="X31" s="31">
        <f t="shared" si="51"/>
        <v>100.00000000000001</v>
      </c>
      <c r="Y31" s="31">
        <f t="shared" si="51"/>
        <v>100</v>
      </c>
      <c r="Z31" s="31">
        <f t="shared" si="51"/>
        <v>100</v>
      </c>
      <c r="AB31" s="176">
        <v>35490</v>
      </c>
      <c r="AC31" s="64">
        <v>99.1</v>
      </c>
      <c r="AD31" s="64">
        <v>100</v>
      </c>
      <c r="AE31" s="64">
        <v>98.6</v>
      </c>
      <c r="AF31" s="64">
        <v>98.2</v>
      </c>
      <c r="AG31" s="64">
        <v>99.4</v>
      </c>
      <c r="AH31" s="64">
        <v>97.6</v>
      </c>
      <c r="AI31" s="64">
        <v>98.1</v>
      </c>
      <c r="AJ31" s="64">
        <v>100.2</v>
      </c>
      <c r="AK31" s="64">
        <v>97.8</v>
      </c>
      <c r="AL31" s="64">
        <v>98.6</v>
      </c>
      <c r="AM31" s="64">
        <v>101</v>
      </c>
      <c r="AN31" s="64">
        <v>97.4</v>
      </c>
      <c r="AP31" s="31">
        <f>AVERAGE(BE139:BE142)</f>
        <v>124.675</v>
      </c>
      <c r="AQ31" s="31">
        <f t="shared" ref="AQ31:BA31" si="52">AVERAGE(BF139:BF142)</f>
        <v>129.5</v>
      </c>
      <c r="AR31" s="31">
        <f t="shared" si="52"/>
        <v>120.32500000000002</v>
      </c>
      <c r="AS31" s="31">
        <f t="shared" si="52"/>
        <v>135.97500000000002</v>
      </c>
      <c r="AT31" s="31">
        <f t="shared" si="52"/>
        <v>136.82499999999999</v>
      </c>
      <c r="AU31" s="31">
        <f t="shared" si="52"/>
        <v>131.89999999999998</v>
      </c>
      <c r="AV31" s="31">
        <f t="shared" si="52"/>
        <v>132.57499999999999</v>
      </c>
      <c r="AW31" s="31">
        <f t="shared" si="52"/>
        <v>142.22499999999999</v>
      </c>
      <c r="AX31" s="31">
        <f t="shared" si="52"/>
        <v>125.77499999999999</v>
      </c>
      <c r="AY31" s="31">
        <f t="shared" si="52"/>
        <v>136.125</v>
      </c>
      <c r="AZ31" s="31">
        <f t="shared" si="52"/>
        <v>148.875</v>
      </c>
      <c r="BA31" s="31">
        <f t="shared" si="52"/>
        <v>128.82499999999999</v>
      </c>
      <c r="BD31" s="176">
        <v>26054</v>
      </c>
      <c r="BE31" s="64">
        <v>32.299999999999997</v>
      </c>
      <c r="BF31" s="64">
        <v>31.7</v>
      </c>
      <c r="BG31" s="64">
        <v>33.200000000000003</v>
      </c>
      <c r="BH31" s="64">
        <v>30.6</v>
      </c>
      <c r="BI31" s="64">
        <v>31.3</v>
      </c>
      <c r="BJ31" s="64">
        <v>29.5</v>
      </c>
      <c r="BK31" s="64">
        <v>32.4</v>
      </c>
      <c r="BL31" s="64">
        <v>33.299999999999997</v>
      </c>
      <c r="BM31" s="64">
        <v>31.4</v>
      </c>
      <c r="BN31" s="64">
        <v>26.9</v>
      </c>
      <c r="BO31" s="64">
        <v>27.6</v>
      </c>
      <c r="BP31" s="64">
        <v>26.5</v>
      </c>
    </row>
    <row r="32" spans="1:68">
      <c r="A32" s="66">
        <v>1998</v>
      </c>
      <c r="B32" s="115">
        <f t="shared" si="14"/>
        <v>126.65881272949815</v>
      </c>
      <c r="C32" s="115">
        <f t="shared" si="15"/>
        <v>117.4078679629211</v>
      </c>
      <c r="D32" s="115">
        <f t="shared" si="16"/>
        <v>133.7419752935071</v>
      </c>
      <c r="E32" s="115">
        <f t="shared" si="17"/>
        <v>134.672020442964</v>
      </c>
      <c r="F32" s="115">
        <f t="shared" si="18"/>
        <v>130.45517976492275</v>
      </c>
      <c r="G32" s="115">
        <f t="shared" si="19"/>
        <v>140.57523355010301</v>
      </c>
      <c r="H32" s="115">
        <f t="shared" si="20"/>
        <v>137.80780385078225</v>
      </c>
      <c r="I32" s="115">
        <f t="shared" si="21"/>
        <v>127.80903905221585</v>
      </c>
      <c r="J32" s="115">
        <f t="shared" si="22"/>
        <v>141.43595324205631</v>
      </c>
      <c r="K32" s="115">
        <f t="shared" si="23"/>
        <v>138.74909638554215</v>
      </c>
      <c r="L32" s="115">
        <f t="shared" si="24"/>
        <v>127.41525912715063</v>
      </c>
      <c r="M32" s="115">
        <f t="shared" si="25"/>
        <v>146.13288988408851</v>
      </c>
      <c r="N32" s="66"/>
      <c r="O32" s="31">
        <f>AVERAGE(AC35:AC38)</f>
        <v>103.75</v>
      </c>
      <c r="P32" s="31">
        <f t="shared" ref="P32:Z32" si="53">AVERAGE(AD35:AD38)</f>
        <v>100.25</v>
      </c>
      <c r="Q32" s="31">
        <f t="shared" si="53"/>
        <v>105.39999999999999</v>
      </c>
      <c r="R32" s="31">
        <f t="shared" si="53"/>
        <v>106.125</v>
      </c>
      <c r="S32" s="31">
        <f t="shared" si="53"/>
        <v>103.425</v>
      </c>
      <c r="T32" s="31">
        <f t="shared" si="53"/>
        <v>107.35</v>
      </c>
      <c r="U32" s="31">
        <f t="shared" si="53"/>
        <v>107.97500000000001</v>
      </c>
      <c r="V32" s="31">
        <f t="shared" si="53"/>
        <v>102.4</v>
      </c>
      <c r="W32" s="31">
        <f t="shared" si="53"/>
        <v>108.825</v>
      </c>
      <c r="X32" s="31">
        <f t="shared" si="53"/>
        <v>105.75</v>
      </c>
      <c r="Y32" s="31">
        <f t="shared" si="53"/>
        <v>101.97499999999999</v>
      </c>
      <c r="Z32" s="31">
        <f t="shared" si="53"/>
        <v>107.65</v>
      </c>
      <c r="AB32" s="176">
        <v>35582</v>
      </c>
      <c r="AC32" s="64">
        <v>100.2</v>
      </c>
      <c r="AD32" s="64">
        <v>100.2</v>
      </c>
      <c r="AE32" s="64">
        <v>100.2</v>
      </c>
      <c r="AF32" s="64">
        <v>100.1</v>
      </c>
      <c r="AG32" s="64">
        <v>99.9</v>
      </c>
      <c r="AH32" s="64">
        <v>100.2</v>
      </c>
      <c r="AI32" s="64">
        <v>99.9</v>
      </c>
      <c r="AJ32" s="64">
        <v>100.2</v>
      </c>
      <c r="AK32" s="64">
        <v>99.8</v>
      </c>
      <c r="AL32" s="64">
        <v>100.2</v>
      </c>
      <c r="AM32" s="64">
        <v>100</v>
      </c>
      <c r="AN32" s="64">
        <v>100.3</v>
      </c>
      <c r="AP32" s="31">
        <f>AVERAGE(BE143:BE146)</f>
        <v>130.45000000000002</v>
      </c>
      <c r="AQ32" s="31">
        <f t="shared" ref="AQ32:BA32" si="54">AVERAGE(BF143:BF146)</f>
        <v>133.02499999999998</v>
      </c>
      <c r="AR32" s="31">
        <f t="shared" si="54"/>
        <v>127.92500000000001</v>
      </c>
      <c r="AS32" s="31">
        <f t="shared" si="54"/>
        <v>141.4</v>
      </c>
      <c r="AT32" s="31">
        <f t="shared" si="54"/>
        <v>141.65</v>
      </c>
      <c r="AU32" s="31">
        <f t="shared" si="54"/>
        <v>140.15</v>
      </c>
      <c r="AV32" s="31">
        <f t="shared" si="54"/>
        <v>139.17500000000001</v>
      </c>
      <c r="AW32" s="31">
        <f t="shared" si="54"/>
        <v>146.30000000000001</v>
      </c>
      <c r="AX32" s="31">
        <f t="shared" si="54"/>
        <v>134.14999999999998</v>
      </c>
      <c r="AY32" s="31">
        <f t="shared" si="54"/>
        <v>144.77499999999998</v>
      </c>
      <c r="AZ32" s="31">
        <f t="shared" si="54"/>
        <v>152.57499999999999</v>
      </c>
      <c r="BA32" s="31">
        <f t="shared" si="54"/>
        <v>140.17500000000001</v>
      </c>
      <c r="BD32" s="176">
        <v>26146</v>
      </c>
      <c r="BE32" s="64">
        <v>32.4</v>
      </c>
      <c r="BF32" s="64">
        <v>31.8</v>
      </c>
      <c r="BG32" s="64">
        <v>33.299999999999997</v>
      </c>
      <c r="BH32" s="64">
        <v>30.7</v>
      </c>
      <c r="BI32" s="64">
        <v>31.4</v>
      </c>
      <c r="BJ32" s="64">
        <v>29.7</v>
      </c>
      <c r="BK32" s="64">
        <v>32.5</v>
      </c>
      <c r="BL32" s="64">
        <v>33.299999999999997</v>
      </c>
      <c r="BM32" s="64">
        <v>31.6</v>
      </c>
      <c r="BN32" s="64">
        <v>27</v>
      </c>
      <c r="BO32" s="64">
        <v>27.6</v>
      </c>
      <c r="BP32" s="64">
        <v>26.6</v>
      </c>
    </row>
    <row r="33" spans="1:68">
      <c r="A33" s="66">
        <v>1999</v>
      </c>
      <c r="B33" s="115">
        <f t="shared" si="14"/>
        <v>126.41465116279068</v>
      </c>
      <c r="C33" s="115">
        <f t="shared" si="15"/>
        <v>118.52046122541262</v>
      </c>
      <c r="D33" s="115">
        <f t="shared" si="16"/>
        <v>132.82202337616565</v>
      </c>
      <c r="E33" s="115">
        <f t="shared" si="17"/>
        <v>138.38382878026124</v>
      </c>
      <c r="F33" s="115">
        <f t="shared" si="18"/>
        <v>137.04573634477987</v>
      </c>
      <c r="G33" s="115">
        <f t="shared" si="19"/>
        <v>142.96507799564506</v>
      </c>
      <c r="H33" s="115">
        <f t="shared" si="20"/>
        <v>140.36039109506621</v>
      </c>
      <c r="I33" s="115">
        <f t="shared" si="21"/>
        <v>132.95759653356734</v>
      </c>
      <c r="J33" s="115">
        <f t="shared" si="22"/>
        <v>143.6128907259106</v>
      </c>
      <c r="K33" s="115">
        <f t="shared" si="23"/>
        <v>141.66840361445782</v>
      </c>
      <c r="L33" s="115">
        <f t="shared" si="24"/>
        <v>134.19366344943347</v>
      </c>
      <c r="M33" s="115">
        <f t="shared" si="25"/>
        <v>146.98131585879875</v>
      </c>
      <c r="N33" s="66"/>
      <c r="O33" s="31">
        <f>AVERAGE(AC39:AC47)</f>
        <v>103.55</v>
      </c>
      <c r="P33" s="31">
        <f t="shared" ref="P33:Z33" si="55">AVERAGE(AD39:AD47)</f>
        <v>101.2</v>
      </c>
      <c r="Q33" s="31">
        <f t="shared" si="55"/>
        <v>104.675</v>
      </c>
      <c r="R33" s="31">
        <f t="shared" si="55"/>
        <v>109.04999999999998</v>
      </c>
      <c r="S33" s="31">
        <f t="shared" si="55"/>
        <v>108.65</v>
      </c>
      <c r="T33" s="31">
        <f t="shared" si="55"/>
        <v>109.17500000000001</v>
      </c>
      <c r="U33" s="31">
        <f t="shared" si="55"/>
        <v>109.97499999999999</v>
      </c>
      <c r="V33" s="31">
        <f t="shared" si="55"/>
        <v>106.52500000000001</v>
      </c>
      <c r="W33" s="31">
        <f t="shared" si="55"/>
        <v>110.5</v>
      </c>
      <c r="X33" s="31">
        <f t="shared" si="55"/>
        <v>107.97500000000001</v>
      </c>
      <c r="Y33" s="31">
        <f t="shared" si="55"/>
        <v>107.4</v>
      </c>
      <c r="Z33" s="31">
        <f t="shared" si="55"/>
        <v>108.27500000000001</v>
      </c>
      <c r="AB33" s="176">
        <v>35674</v>
      </c>
      <c r="AC33" s="64">
        <v>99.6</v>
      </c>
      <c r="AD33" s="64">
        <v>99.8</v>
      </c>
      <c r="AE33" s="64">
        <v>99.5</v>
      </c>
      <c r="AF33" s="64">
        <v>100.1</v>
      </c>
      <c r="AG33" s="64">
        <v>99.9</v>
      </c>
      <c r="AH33" s="64">
        <v>100.2</v>
      </c>
      <c r="AI33" s="64">
        <v>100.3</v>
      </c>
      <c r="AJ33" s="64">
        <v>99.6</v>
      </c>
      <c r="AK33" s="64">
        <v>100.4</v>
      </c>
      <c r="AL33" s="64">
        <v>99.9</v>
      </c>
      <c r="AM33" s="64">
        <v>99.3</v>
      </c>
      <c r="AN33" s="64">
        <v>100.2</v>
      </c>
      <c r="AP33" s="31">
        <f>AVERAGE(BE147:BE150)</f>
        <v>132.30000000000001</v>
      </c>
      <c r="AQ33" s="31">
        <f t="shared" ref="AQ33:BA33" si="56">AVERAGE(BF147:BF150)</f>
        <v>135.29999999999998</v>
      </c>
      <c r="AR33" s="31">
        <f t="shared" si="56"/>
        <v>129.39999999999998</v>
      </c>
      <c r="AS33" s="31">
        <f t="shared" si="56"/>
        <v>144.17499999999998</v>
      </c>
      <c r="AT33" s="31">
        <f t="shared" si="56"/>
        <v>144.35</v>
      </c>
      <c r="AU33" s="31">
        <f t="shared" si="56"/>
        <v>143.17500000000001</v>
      </c>
      <c r="AV33" s="31">
        <f t="shared" si="56"/>
        <v>142.80000000000001</v>
      </c>
      <c r="AW33" s="31">
        <f t="shared" si="56"/>
        <v>150.97499999999999</v>
      </c>
      <c r="AX33" s="31">
        <f t="shared" si="56"/>
        <v>137</v>
      </c>
      <c r="AY33" s="31">
        <f t="shared" si="56"/>
        <v>146.94999999999999</v>
      </c>
      <c r="AZ33" s="31">
        <f t="shared" si="56"/>
        <v>154.9</v>
      </c>
      <c r="BA33" s="31">
        <f t="shared" si="56"/>
        <v>142.4</v>
      </c>
      <c r="BD33" s="176">
        <v>26238</v>
      </c>
      <c r="BE33" s="64">
        <v>32.5</v>
      </c>
      <c r="BF33" s="64">
        <v>32</v>
      </c>
      <c r="BG33" s="64">
        <v>33.200000000000003</v>
      </c>
      <c r="BH33" s="64">
        <v>30.7</v>
      </c>
      <c r="BI33" s="64">
        <v>31.5</v>
      </c>
      <c r="BJ33" s="64">
        <v>29.6</v>
      </c>
      <c r="BK33" s="64">
        <v>32.6</v>
      </c>
      <c r="BL33" s="64">
        <v>33.5</v>
      </c>
      <c r="BM33" s="64">
        <v>31.5</v>
      </c>
      <c r="BN33" s="64">
        <v>27.2</v>
      </c>
      <c r="BO33" s="64">
        <v>27.8</v>
      </c>
      <c r="BP33" s="64">
        <v>26.6</v>
      </c>
    </row>
    <row r="34" spans="1:68">
      <c r="A34" s="66">
        <v>2000</v>
      </c>
      <c r="B34" s="115">
        <f t="shared" si="14"/>
        <v>127.54389840881271</v>
      </c>
      <c r="C34" s="115">
        <f t="shared" si="15"/>
        <v>120.27718742934661</v>
      </c>
      <c r="D34" s="115">
        <f t="shared" si="16"/>
        <v>133.64680785378212</v>
      </c>
      <c r="E34" s="115">
        <f t="shared" si="17"/>
        <v>140.54111909595537</v>
      </c>
      <c r="F34" s="115">
        <f t="shared" si="18"/>
        <v>140.64058538833831</v>
      </c>
      <c r="G34" s="115">
        <f t="shared" si="19"/>
        <v>144.60195775286564</v>
      </c>
      <c r="H34" s="115">
        <f t="shared" si="20"/>
        <v>141.92385078219013</v>
      </c>
      <c r="I34" s="115">
        <f t="shared" si="21"/>
        <v>135.51627358490566</v>
      </c>
      <c r="J34" s="115">
        <f t="shared" si="22"/>
        <v>145.04252131232238</v>
      </c>
      <c r="K34" s="115">
        <f t="shared" si="23"/>
        <v>143.99728915662649</v>
      </c>
      <c r="L34" s="115">
        <f t="shared" si="24"/>
        <v>136.91127255560218</v>
      </c>
      <c r="M34" s="115">
        <f t="shared" si="25"/>
        <v>149.11934931506849</v>
      </c>
      <c r="N34" s="66"/>
      <c r="O34" s="31">
        <f>AVERAGE(AC48:AC53)</f>
        <v>104.47499999999999</v>
      </c>
      <c r="P34" s="31">
        <f t="shared" ref="P34:Z34" si="57">AVERAGE(AD48:AD53)</f>
        <v>102.7</v>
      </c>
      <c r="Q34" s="31">
        <f t="shared" si="57"/>
        <v>105.32499999999999</v>
      </c>
      <c r="R34" s="31">
        <f t="shared" si="57"/>
        <v>110.75</v>
      </c>
      <c r="S34" s="31">
        <f t="shared" si="57"/>
        <v>111.5</v>
      </c>
      <c r="T34" s="31">
        <f t="shared" si="57"/>
        <v>110.42500000000001</v>
      </c>
      <c r="U34" s="31">
        <f t="shared" si="57"/>
        <v>111.19999999999999</v>
      </c>
      <c r="V34" s="31">
        <f t="shared" si="57"/>
        <v>108.57500000000002</v>
      </c>
      <c r="W34" s="31">
        <f t="shared" si="57"/>
        <v>111.6</v>
      </c>
      <c r="X34" s="31">
        <f t="shared" si="57"/>
        <v>109.75</v>
      </c>
      <c r="Y34" s="31">
        <f t="shared" si="57"/>
        <v>109.57499999999999</v>
      </c>
      <c r="Z34" s="31">
        <f t="shared" si="57"/>
        <v>109.85</v>
      </c>
      <c r="AB34" s="176">
        <v>35765</v>
      </c>
      <c r="AC34" s="64">
        <v>101.1</v>
      </c>
      <c r="AD34" s="64">
        <v>100</v>
      </c>
      <c r="AE34" s="64">
        <v>101.6</v>
      </c>
      <c r="AF34" s="64">
        <v>101.7</v>
      </c>
      <c r="AG34" s="64">
        <v>100.8</v>
      </c>
      <c r="AH34" s="64">
        <v>102.1</v>
      </c>
      <c r="AI34" s="64">
        <v>101.7</v>
      </c>
      <c r="AJ34" s="64">
        <v>100</v>
      </c>
      <c r="AK34" s="64">
        <v>102</v>
      </c>
      <c r="AL34" s="64">
        <v>101.3</v>
      </c>
      <c r="AM34" s="64">
        <v>99.7</v>
      </c>
      <c r="AN34" s="64">
        <v>102.1</v>
      </c>
      <c r="AP34" s="31">
        <f>AVERAGE(BE151:BE154)</f>
        <v>133.52499999999998</v>
      </c>
      <c r="AQ34" s="31">
        <f t="shared" ref="AQ34:BA34" si="58">AVERAGE(BF151:BF154)</f>
        <v>136.35</v>
      </c>
      <c r="AR34" s="31">
        <f t="shared" si="58"/>
        <v>130.85</v>
      </c>
      <c r="AS34" s="31">
        <f t="shared" si="58"/>
        <v>145.15</v>
      </c>
      <c r="AT34" s="31">
        <f t="shared" si="58"/>
        <v>144.85</v>
      </c>
      <c r="AU34" s="31">
        <f t="shared" si="58"/>
        <v>146.35</v>
      </c>
      <c r="AV34" s="31">
        <f t="shared" si="58"/>
        <v>145.17500000000001</v>
      </c>
      <c r="AW34" s="31">
        <f t="shared" si="58"/>
        <v>153.125</v>
      </c>
      <c r="AX34" s="31">
        <f t="shared" si="58"/>
        <v>139.52500000000001</v>
      </c>
      <c r="AY34" s="31">
        <f t="shared" si="58"/>
        <v>149.32499999999999</v>
      </c>
      <c r="AZ34" s="31">
        <f t="shared" si="58"/>
        <v>157.44999999999999</v>
      </c>
      <c r="BA34" s="31">
        <f t="shared" si="58"/>
        <v>144.65</v>
      </c>
      <c r="BD34" s="176">
        <v>26330</v>
      </c>
      <c r="BE34" s="64">
        <v>33</v>
      </c>
      <c r="BF34" s="64">
        <v>32.4</v>
      </c>
      <c r="BG34" s="64">
        <v>33.700000000000003</v>
      </c>
      <c r="BH34" s="64">
        <v>31.3</v>
      </c>
      <c r="BI34" s="64">
        <v>32.200000000000003</v>
      </c>
      <c r="BJ34" s="64">
        <v>30.1</v>
      </c>
      <c r="BK34" s="64">
        <v>33</v>
      </c>
      <c r="BL34" s="64">
        <v>33.799999999999997</v>
      </c>
      <c r="BM34" s="64">
        <v>32</v>
      </c>
      <c r="BN34" s="64">
        <v>28.4</v>
      </c>
      <c r="BO34" s="64">
        <v>29.1</v>
      </c>
      <c r="BP34" s="64">
        <v>27.8</v>
      </c>
    </row>
    <row r="35" spans="1:68">
      <c r="A35" s="66">
        <v>2001</v>
      </c>
      <c r="B35" s="115">
        <f t="shared" si="14"/>
        <v>131.41996328029373</v>
      </c>
      <c r="C35" s="115">
        <f t="shared" si="15"/>
        <v>122.32670133393626</v>
      </c>
      <c r="D35" s="115">
        <f t="shared" si="16"/>
        <v>138.56379223957282</v>
      </c>
      <c r="E35" s="115">
        <f t="shared" si="17"/>
        <v>143.90395399983151</v>
      </c>
      <c r="F35" s="115">
        <f t="shared" si="18"/>
        <v>142.46954367365748</v>
      </c>
      <c r="G35" s="115">
        <f t="shared" si="19"/>
        <v>148.75963233620587</v>
      </c>
      <c r="H35" s="115">
        <f t="shared" si="20"/>
        <v>148.05006016847176</v>
      </c>
      <c r="I35" s="115">
        <f t="shared" si="21"/>
        <v>137.88773036419482</v>
      </c>
      <c r="J35" s="115">
        <f t="shared" si="22"/>
        <v>151.83326659777836</v>
      </c>
      <c r="K35" s="115">
        <f t="shared" si="23"/>
        <v>148.78626506024094</v>
      </c>
      <c r="L35" s="115">
        <f t="shared" si="24"/>
        <v>138.03580046160303</v>
      </c>
      <c r="M35" s="115">
        <f t="shared" si="25"/>
        <v>155.87282007376186</v>
      </c>
      <c r="N35" s="66"/>
      <c r="O35" s="31">
        <f>AVERAGE(AC54:AC57)</f>
        <v>107.64999999999999</v>
      </c>
      <c r="P35" s="31">
        <f t="shared" ref="P35:Z35" si="59">AVERAGE(AD54:AD57)</f>
        <v>104.45</v>
      </c>
      <c r="Q35" s="31">
        <f t="shared" si="59"/>
        <v>109.19999999999999</v>
      </c>
      <c r="R35" s="31">
        <f t="shared" si="59"/>
        <v>113.4</v>
      </c>
      <c r="S35" s="31">
        <f t="shared" si="59"/>
        <v>112.95</v>
      </c>
      <c r="T35" s="31">
        <f t="shared" si="59"/>
        <v>113.6</v>
      </c>
      <c r="U35" s="31">
        <f t="shared" si="59"/>
        <v>116</v>
      </c>
      <c r="V35" s="31">
        <f t="shared" si="59"/>
        <v>110.47500000000001</v>
      </c>
      <c r="W35" s="31">
        <f t="shared" si="59"/>
        <v>116.825</v>
      </c>
      <c r="X35" s="31">
        <f t="shared" si="59"/>
        <v>113.39999999999999</v>
      </c>
      <c r="Y35" s="31">
        <f t="shared" si="59"/>
        <v>110.47499999999999</v>
      </c>
      <c r="Z35" s="31">
        <f t="shared" si="59"/>
        <v>114.825</v>
      </c>
      <c r="AB35" s="176">
        <v>35855</v>
      </c>
      <c r="AC35" s="64">
        <v>101.8</v>
      </c>
      <c r="AD35" s="64">
        <v>99.8</v>
      </c>
      <c r="AE35" s="64">
        <v>102.8</v>
      </c>
      <c r="AF35" s="64">
        <v>103</v>
      </c>
      <c r="AG35" s="64">
        <v>102.4</v>
      </c>
      <c r="AH35" s="64">
        <v>103.3</v>
      </c>
      <c r="AI35" s="64">
        <v>103.9</v>
      </c>
      <c r="AJ35" s="64">
        <v>101.5</v>
      </c>
      <c r="AK35" s="64">
        <v>104.3</v>
      </c>
      <c r="AL35" s="64">
        <v>102.8</v>
      </c>
      <c r="AM35" s="64">
        <v>100.6</v>
      </c>
      <c r="AN35" s="64">
        <v>103.9</v>
      </c>
      <c r="AP35" s="31">
        <f>AVERAGE(BE155:BE158)</f>
        <v>137.47500000000002</v>
      </c>
      <c r="AQ35" s="31">
        <f t="shared" ref="AQ35:BA35" si="60">AVERAGE(BF155:BF158)</f>
        <v>138.30000000000001</v>
      </c>
      <c r="AR35" s="31">
        <f t="shared" si="60"/>
        <v>136.44999999999999</v>
      </c>
      <c r="AS35" s="31">
        <f t="shared" si="60"/>
        <v>146.4</v>
      </c>
      <c r="AT35" s="31">
        <f t="shared" si="60"/>
        <v>145.375</v>
      </c>
      <c r="AU35" s="31">
        <f t="shared" si="60"/>
        <v>151.22500000000002</v>
      </c>
      <c r="AV35" s="31">
        <f t="shared" si="60"/>
        <v>149.9</v>
      </c>
      <c r="AW35" s="31">
        <f t="shared" si="60"/>
        <v>155.55000000000001</v>
      </c>
      <c r="AX35" s="31">
        <f t="shared" si="60"/>
        <v>145.82499999999999</v>
      </c>
      <c r="AY35" s="31">
        <f t="shared" si="60"/>
        <v>155.27500000000001</v>
      </c>
      <c r="AZ35" s="31">
        <f t="shared" si="60"/>
        <v>160.5</v>
      </c>
      <c r="BA35" s="31">
        <f t="shared" si="60"/>
        <v>152.27500000000001</v>
      </c>
      <c r="BD35" s="176">
        <v>26420</v>
      </c>
      <c r="BE35" s="64">
        <v>33.1</v>
      </c>
      <c r="BF35" s="64">
        <v>32.700000000000003</v>
      </c>
      <c r="BG35" s="64">
        <v>33.6</v>
      </c>
      <c r="BH35" s="64">
        <v>31.4</v>
      </c>
      <c r="BI35" s="64">
        <v>32.4</v>
      </c>
      <c r="BJ35" s="64">
        <v>30.1</v>
      </c>
      <c r="BK35" s="64">
        <v>33.1</v>
      </c>
      <c r="BL35" s="64">
        <v>34</v>
      </c>
      <c r="BM35" s="64">
        <v>31.9</v>
      </c>
      <c r="BN35" s="64">
        <v>28.6</v>
      </c>
      <c r="BO35" s="64">
        <v>29.3</v>
      </c>
      <c r="BP35" s="64">
        <v>27.9</v>
      </c>
    </row>
    <row r="36" spans="1:68">
      <c r="A36" s="66">
        <v>2002</v>
      </c>
      <c r="B36" s="115">
        <f t="shared" si="14"/>
        <v>133.06805385556913</v>
      </c>
      <c r="C36" s="115">
        <f t="shared" si="15"/>
        <v>123.64424598688674</v>
      </c>
      <c r="D36" s="115">
        <f t="shared" si="16"/>
        <v>140.40369607425581</v>
      </c>
      <c r="E36" s="115">
        <f t="shared" si="17"/>
        <v>147.55231262196125</v>
      </c>
      <c r="F36" s="115">
        <f t="shared" si="18"/>
        <v>143.85702926941687</v>
      </c>
      <c r="G36" s="115">
        <f t="shared" si="19"/>
        <v>153.5720588224344</v>
      </c>
      <c r="H36" s="115">
        <f t="shared" si="20"/>
        <v>151.71940433213001</v>
      </c>
      <c r="I36" s="115">
        <f t="shared" si="21"/>
        <v>139.1982722685388</v>
      </c>
      <c r="J36" s="115">
        <f t="shared" si="22"/>
        <v>155.79724231464738</v>
      </c>
      <c r="K36" s="115">
        <f t="shared" si="23"/>
        <v>151.08234939759035</v>
      </c>
      <c r="L36" s="115">
        <f t="shared" si="24"/>
        <v>138.62930130088125</v>
      </c>
      <c r="M36" s="115">
        <f t="shared" si="25"/>
        <v>159.13077581664911</v>
      </c>
      <c r="N36" s="66"/>
      <c r="O36" s="31">
        <f>AVERAGE(AC58:AC61)</f>
        <v>109</v>
      </c>
      <c r="P36" s="31">
        <f t="shared" ref="P36:Z36" si="61">AVERAGE(AD58:AD61)</f>
        <v>105.575</v>
      </c>
      <c r="Q36" s="31">
        <f t="shared" si="61"/>
        <v>110.64999999999999</v>
      </c>
      <c r="R36" s="31">
        <f t="shared" si="61"/>
        <v>116.27499999999999</v>
      </c>
      <c r="S36" s="31">
        <f t="shared" si="61"/>
        <v>114.05</v>
      </c>
      <c r="T36" s="31">
        <f t="shared" si="61"/>
        <v>117.27500000000001</v>
      </c>
      <c r="U36" s="31">
        <f t="shared" si="61"/>
        <v>118.87500000000001</v>
      </c>
      <c r="V36" s="31">
        <f t="shared" si="61"/>
        <v>111.52500000000001</v>
      </c>
      <c r="W36" s="31">
        <f t="shared" si="61"/>
        <v>119.875</v>
      </c>
      <c r="X36" s="31">
        <f t="shared" si="61"/>
        <v>115.15</v>
      </c>
      <c r="Y36" s="31">
        <f t="shared" si="61"/>
        <v>110.95</v>
      </c>
      <c r="Z36" s="31">
        <f t="shared" si="61"/>
        <v>117.22499999999999</v>
      </c>
      <c r="AB36" s="176">
        <v>35947</v>
      </c>
      <c r="AC36" s="64">
        <v>102.3</v>
      </c>
      <c r="AD36" s="64">
        <v>100.2</v>
      </c>
      <c r="AE36" s="64">
        <v>103.2</v>
      </c>
      <c r="AF36" s="64">
        <v>104.4</v>
      </c>
      <c r="AG36" s="64">
        <v>102.9</v>
      </c>
      <c r="AH36" s="64">
        <v>105.1</v>
      </c>
      <c r="AI36" s="64">
        <v>105.9</v>
      </c>
      <c r="AJ36" s="64">
        <v>102.2</v>
      </c>
      <c r="AK36" s="64">
        <v>106.5</v>
      </c>
      <c r="AL36" s="64">
        <v>104.2</v>
      </c>
      <c r="AM36" s="64">
        <v>101.5</v>
      </c>
      <c r="AN36" s="64">
        <v>105.6</v>
      </c>
      <c r="AP36" s="31">
        <f>AVERAGE(BE159:BE162)</f>
        <v>140.375</v>
      </c>
      <c r="AQ36" s="31">
        <f t="shared" ref="AQ36:BA36" si="62">AVERAGE(BF159:BF162)</f>
        <v>141.19999999999999</v>
      </c>
      <c r="AR36" s="31">
        <f t="shared" si="62"/>
        <v>139.30000000000001</v>
      </c>
      <c r="AS36" s="31">
        <f t="shared" si="62"/>
        <v>148.94999999999999</v>
      </c>
      <c r="AT36" s="31">
        <f t="shared" si="62"/>
        <v>147.80000000000001</v>
      </c>
      <c r="AU36" s="31">
        <f t="shared" si="62"/>
        <v>154.19999999999999</v>
      </c>
      <c r="AV36" s="31">
        <f t="shared" si="62"/>
        <v>152.35000000000002</v>
      </c>
      <c r="AW36" s="31">
        <f t="shared" si="62"/>
        <v>157.47500000000002</v>
      </c>
      <c r="AX36" s="31">
        <f t="shared" si="62"/>
        <v>148.67500000000001</v>
      </c>
      <c r="AY36" s="31">
        <f t="shared" si="62"/>
        <v>158.75</v>
      </c>
      <c r="AZ36" s="31">
        <f t="shared" si="62"/>
        <v>162.5</v>
      </c>
      <c r="BA36" s="31">
        <f t="shared" si="62"/>
        <v>156.57499999999999</v>
      </c>
      <c r="BD36" s="176">
        <v>26512</v>
      </c>
      <c r="BE36" s="64">
        <v>33.200000000000003</v>
      </c>
      <c r="BF36" s="64">
        <v>32.799999999999997</v>
      </c>
      <c r="BG36" s="64">
        <v>33.6</v>
      </c>
      <c r="BH36" s="64">
        <v>31.6</v>
      </c>
      <c r="BI36" s="64">
        <v>32.700000000000003</v>
      </c>
      <c r="BJ36" s="64">
        <v>30.1</v>
      </c>
      <c r="BK36" s="64">
        <v>33.200000000000003</v>
      </c>
      <c r="BL36" s="64">
        <v>34.200000000000003</v>
      </c>
      <c r="BM36" s="64">
        <v>32</v>
      </c>
      <c r="BN36" s="64">
        <v>28.7</v>
      </c>
      <c r="BO36" s="64">
        <v>29.5</v>
      </c>
      <c r="BP36" s="64">
        <v>28</v>
      </c>
    </row>
    <row r="37" spans="1:68">
      <c r="A37" s="66">
        <v>2003</v>
      </c>
      <c r="B37" s="115">
        <f t="shared" si="14"/>
        <v>122.99638922888616</v>
      </c>
      <c r="C37" s="115">
        <f t="shared" si="15"/>
        <v>122.76588288491975</v>
      </c>
      <c r="D37" s="115">
        <f t="shared" si="16"/>
        <v>125.39896307761708</v>
      </c>
      <c r="E37" s="115">
        <f t="shared" si="17"/>
        <v>136.79758590107437</v>
      </c>
      <c r="F37" s="115">
        <f t="shared" si="18"/>
        <v>141.64966582161787</v>
      </c>
      <c r="G37" s="115">
        <f t="shared" si="19"/>
        <v>138.51276505600509</v>
      </c>
      <c r="H37" s="115">
        <f t="shared" si="20"/>
        <v>137.90352587244288</v>
      </c>
      <c r="I37" s="115">
        <f t="shared" si="21"/>
        <v>139.57271281263706</v>
      </c>
      <c r="J37" s="115">
        <f t="shared" si="22"/>
        <v>139.74638982175151</v>
      </c>
      <c r="K37" s="115">
        <f t="shared" si="23"/>
        <v>141.11078313253009</v>
      </c>
      <c r="L37" s="115">
        <f t="shared" si="24"/>
        <v>140.40980381871591</v>
      </c>
      <c r="M37" s="115">
        <f t="shared" si="25"/>
        <v>142.73918598524762</v>
      </c>
      <c r="N37" s="66"/>
      <c r="O37" s="31">
        <f>AVERAGE(AC62:AC65)</f>
        <v>100.75</v>
      </c>
      <c r="P37" s="31">
        <f t="shared" ref="P37:Z37" si="63">AVERAGE(AD62:AD65)</f>
        <v>104.82499999999999</v>
      </c>
      <c r="Q37" s="31">
        <f t="shared" si="63"/>
        <v>98.825000000000003</v>
      </c>
      <c r="R37" s="31">
        <f t="shared" si="63"/>
        <v>107.8</v>
      </c>
      <c r="S37" s="31">
        <f t="shared" si="63"/>
        <v>112.30000000000001</v>
      </c>
      <c r="T37" s="31">
        <f t="shared" si="63"/>
        <v>105.77500000000001</v>
      </c>
      <c r="U37" s="31">
        <f t="shared" si="63"/>
        <v>108.05</v>
      </c>
      <c r="V37" s="31">
        <f t="shared" si="63"/>
        <v>111.82499999999999</v>
      </c>
      <c r="W37" s="31">
        <f t="shared" si="63"/>
        <v>107.52500000000001</v>
      </c>
      <c r="X37" s="31">
        <f t="shared" si="63"/>
        <v>107.55</v>
      </c>
      <c r="Y37" s="31">
        <f t="shared" si="63"/>
        <v>112.375</v>
      </c>
      <c r="Z37" s="31">
        <f t="shared" si="63"/>
        <v>105.14999999999999</v>
      </c>
      <c r="AB37" s="176">
        <v>36039</v>
      </c>
      <c r="AC37" s="64">
        <v>104.1</v>
      </c>
      <c r="AD37" s="64">
        <v>100.2</v>
      </c>
      <c r="AE37" s="64">
        <v>105.9</v>
      </c>
      <c r="AF37" s="64">
        <v>106.8</v>
      </c>
      <c r="AG37" s="64">
        <v>102.7</v>
      </c>
      <c r="AH37" s="64">
        <v>108.6</v>
      </c>
      <c r="AI37" s="64">
        <v>109.3</v>
      </c>
      <c r="AJ37" s="64">
        <v>102.5</v>
      </c>
      <c r="AK37" s="64">
        <v>110.3</v>
      </c>
      <c r="AL37" s="64">
        <v>106.6</v>
      </c>
      <c r="AM37" s="64">
        <v>101.8</v>
      </c>
      <c r="AN37" s="64">
        <v>109</v>
      </c>
      <c r="AP37" s="31">
        <f>AVERAGE(BE163:BE166)</f>
        <v>132.29999999999998</v>
      </c>
      <c r="AQ37" s="31">
        <f t="shared" ref="AQ37:BA37" si="64">AVERAGE(BF163:BF166)</f>
        <v>139.69999999999999</v>
      </c>
      <c r="AR37" s="31">
        <f t="shared" si="64"/>
        <v>125.75</v>
      </c>
      <c r="AS37" s="31">
        <f t="shared" si="64"/>
        <v>143.22500000000002</v>
      </c>
      <c r="AT37" s="31">
        <f t="shared" si="64"/>
        <v>143.15</v>
      </c>
      <c r="AU37" s="31">
        <f t="shared" si="64"/>
        <v>143.375</v>
      </c>
      <c r="AV37" s="31">
        <f t="shared" si="64"/>
        <v>143.79999999999998</v>
      </c>
      <c r="AW37" s="31">
        <f t="shared" si="64"/>
        <v>154.15</v>
      </c>
      <c r="AX37" s="31">
        <f t="shared" si="64"/>
        <v>136.52499999999998</v>
      </c>
      <c r="AY37" s="31">
        <f t="shared" si="64"/>
        <v>147.27500000000001</v>
      </c>
      <c r="AZ37" s="31">
        <f t="shared" si="64"/>
        <v>159</v>
      </c>
      <c r="BA37" s="31">
        <f t="shared" si="64"/>
        <v>140.57499999999999</v>
      </c>
      <c r="BD37" s="176">
        <v>26604</v>
      </c>
      <c r="BE37" s="64">
        <v>33.299999999999997</v>
      </c>
      <c r="BF37" s="64">
        <v>33</v>
      </c>
      <c r="BG37" s="64">
        <v>33.700000000000003</v>
      </c>
      <c r="BH37" s="64">
        <v>31.6</v>
      </c>
      <c r="BI37" s="64">
        <v>32.700000000000003</v>
      </c>
      <c r="BJ37" s="64">
        <v>30.1</v>
      </c>
      <c r="BK37" s="64">
        <v>33.1</v>
      </c>
      <c r="BL37" s="64">
        <v>34.1</v>
      </c>
      <c r="BM37" s="64">
        <v>32</v>
      </c>
      <c r="BN37" s="64">
        <v>29.2</v>
      </c>
      <c r="BO37" s="64">
        <v>30</v>
      </c>
      <c r="BP37" s="64">
        <v>28.4</v>
      </c>
    </row>
    <row r="38" spans="1:68">
      <c r="A38" s="66">
        <v>2004</v>
      </c>
      <c r="B38" s="115">
        <f t="shared" si="14"/>
        <v>118.11315789473682</v>
      </c>
      <c r="C38" s="115">
        <f t="shared" si="15"/>
        <v>122.67804657472306</v>
      </c>
      <c r="D38" s="115">
        <f t="shared" si="16"/>
        <v>118.0393477388852</v>
      </c>
      <c r="E38" s="115">
        <f t="shared" si="17"/>
        <v>132.86370356069099</v>
      </c>
      <c r="F38" s="115">
        <f t="shared" si="18"/>
        <v>143.35248905277712</v>
      </c>
      <c r="G38" s="115">
        <f t="shared" si="19"/>
        <v>131.83429564654517</v>
      </c>
      <c r="H38" s="115">
        <f t="shared" si="20"/>
        <v>131.77731648616128</v>
      </c>
      <c r="I38" s="115">
        <f t="shared" si="21"/>
        <v>141.66333918385254</v>
      </c>
      <c r="J38" s="115">
        <f t="shared" si="22"/>
        <v>132.24082924308965</v>
      </c>
      <c r="K38" s="115">
        <f t="shared" si="23"/>
        <v>137.30584337349396</v>
      </c>
      <c r="L38" s="115">
        <f t="shared" si="24"/>
        <v>143.47101867394042</v>
      </c>
      <c r="M38" s="115">
        <f t="shared" si="25"/>
        <v>135.23910036880929</v>
      </c>
      <c r="N38" s="66"/>
      <c r="O38" s="31">
        <f t="shared" ref="O38" si="65">AVERAGE(AC66:AC69)</f>
        <v>96.75</v>
      </c>
      <c r="P38" s="31">
        <f t="shared" ref="P38" si="66">AVERAGE(AD66:AD69)</f>
        <v>104.75</v>
      </c>
      <c r="Q38" s="31">
        <f t="shared" ref="Q38" si="67">AVERAGE(AE66:AE69)</f>
        <v>93.025000000000006</v>
      </c>
      <c r="R38" s="31">
        <f t="shared" ref="R38" si="68">AVERAGE(AF66:AF69)</f>
        <v>104.7</v>
      </c>
      <c r="S38" s="31">
        <f t="shared" ref="S38" si="69">AVERAGE(AG66:AG69)</f>
        <v>113.65</v>
      </c>
      <c r="T38" s="31">
        <f t="shared" ref="T38" si="70">AVERAGE(AH66:AH69)</f>
        <v>100.67500000000001</v>
      </c>
      <c r="U38" s="31">
        <f t="shared" ref="U38" si="71">AVERAGE(AI66:AI69)</f>
        <v>103.25</v>
      </c>
      <c r="V38" s="31">
        <f t="shared" ref="V38" si="72">AVERAGE(AJ66:AJ69)</f>
        <v>113.5</v>
      </c>
      <c r="W38" s="31">
        <f t="shared" ref="W38" si="73">AVERAGE(AK66:AK69)</f>
        <v>101.75</v>
      </c>
      <c r="X38" s="31">
        <f t="shared" ref="X38" si="74">AVERAGE(AL66:AL69)</f>
        <v>104.65</v>
      </c>
      <c r="Y38" s="31">
        <f t="shared" ref="Y38" si="75">AVERAGE(AM66:AM69)</f>
        <v>114.825</v>
      </c>
      <c r="Z38" s="31">
        <f t="shared" ref="Z38" si="76">AVERAGE(AN66:AN69)</f>
        <v>99.625</v>
      </c>
      <c r="AB38" s="176">
        <v>36130</v>
      </c>
      <c r="AC38" s="64">
        <v>106.8</v>
      </c>
      <c r="AD38" s="64">
        <v>100.8</v>
      </c>
      <c r="AE38" s="64">
        <v>109.7</v>
      </c>
      <c r="AF38" s="64">
        <v>110.3</v>
      </c>
      <c r="AG38" s="64">
        <v>105.7</v>
      </c>
      <c r="AH38" s="64">
        <v>112.4</v>
      </c>
      <c r="AI38" s="64">
        <v>112.8</v>
      </c>
      <c r="AJ38" s="64">
        <v>103.4</v>
      </c>
      <c r="AK38" s="64">
        <v>114.2</v>
      </c>
      <c r="AL38" s="64">
        <v>109.4</v>
      </c>
      <c r="AM38" s="64">
        <v>104</v>
      </c>
      <c r="AN38" s="64">
        <v>112.1</v>
      </c>
      <c r="AP38" s="31">
        <f>AVERAGE(BE167:BE170)</f>
        <v>128.82499999999999</v>
      </c>
      <c r="AQ38" s="31">
        <f t="shared" ref="AQ38:BA38" si="77">AVERAGE(BF167:BF170)</f>
        <v>139.80000000000001</v>
      </c>
      <c r="AR38" s="31">
        <f t="shared" si="77"/>
        <v>119.375</v>
      </c>
      <c r="AS38" s="31">
        <f t="shared" si="77"/>
        <v>141</v>
      </c>
      <c r="AT38" s="31">
        <f t="shared" si="77"/>
        <v>141.44999999999999</v>
      </c>
      <c r="AU38" s="31">
        <f t="shared" si="77"/>
        <v>139.07499999999999</v>
      </c>
      <c r="AV38" s="31">
        <f t="shared" si="77"/>
        <v>140.65</v>
      </c>
      <c r="AW38" s="31">
        <f t="shared" si="77"/>
        <v>153.375</v>
      </c>
      <c r="AX38" s="31">
        <f t="shared" si="77"/>
        <v>131.69999999999999</v>
      </c>
      <c r="AY38" s="31">
        <f t="shared" si="77"/>
        <v>141.85</v>
      </c>
      <c r="AZ38" s="31">
        <f t="shared" si="77"/>
        <v>157.19999999999999</v>
      </c>
      <c r="BA38" s="31">
        <f t="shared" si="77"/>
        <v>133.125</v>
      </c>
      <c r="BD38" s="176">
        <v>26696</v>
      </c>
      <c r="BE38" s="64">
        <v>33.799999999999997</v>
      </c>
      <c r="BF38" s="64">
        <v>33.4</v>
      </c>
      <c r="BG38" s="64">
        <v>34.299999999999997</v>
      </c>
      <c r="BH38" s="64">
        <v>31.9</v>
      </c>
      <c r="BI38" s="64">
        <v>32.799999999999997</v>
      </c>
      <c r="BJ38" s="64">
        <v>30.6</v>
      </c>
      <c r="BK38" s="64">
        <v>33.5</v>
      </c>
      <c r="BL38" s="64">
        <v>34.5</v>
      </c>
      <c r="BM38" s="64">
        <v>32.299999999999997</v>
      </c>
      <c r="BN38" s="64">
        <v>29.9</v>
      </c>
      <c r="BO38" s="64">
        <v>30.7</v>
      </c>
      <c r="BP38" s="64">
        <v>29.3</v>
      </c>
    </row>
    <row r="39" spans="1:68">
      <c r="A39" s="66">
        <v>2005</v>
      </c>
      <c r="B39" s="115">
        <f t="shared" si="14"/>
        <v>114.60333537331699</v>
      </c>
      <c r="C39" s="115">
        <f t="shared" si="15"/>
        <v>123.05867058557543</v>
      </c>
      <c r="D39" s="115">
        <f t="shared" si="16"/>
        <v>112.45619127501962</v>
      </c>
      <c r="E39" s="115">
        <f t="shared" si="17"/>
        <v>130.67468838741311</v>
      </c>
      <c r="F39" s="115">
        <f t="shared" si="18"/>
        <v>144.48770454021661</v>
      </c>
      <c r="G39" s="115">
        <f t="shared" si="19"/>
        <v>128.003997014649</v>
      </c>
      <c r="H39" s="115">
        <f t="shared" si="20"/>
        <v>127.94843561973528</v>
      </c>
      <c r="I39" s="115">
        <f t="shared" si="21"/>
        <v>144.75247367266343</v>
      </c>
      <c r="J39" s="115">
        <f t="shared" si="22"/>
        <v>127.30210539912167</v>
      </c>
      <c r="K39" s="115">
        <f t="shared" si="23"/>
        <v>135.76418674698795</v>
      </c>
      <c r="L39" s="115">
        <f t="shared" si="24"/>
        <v>148.06284095677717</v>
      </c>
      <c r="M39" s="115">
        <f t="shared" si="25"/>
        <v>130.35216675447839</v>
      </c>
      <c r="N39" s="66"/>
      <c r="O39" s="31">
        <f>AVERAGE(AC70:AC73)</f>
        <v>93.875</v>
      </c>
      <c r="P39" s="31">
        <f t="shared" ref="P39:Z39" si="78">AVERAGE(AD70:AD73)</f>
        <v>105.07500000000002</v>
      </c>
      <c r="Q39" s="31">
        <f t="shared" si="78"/>
        <v>88.625</v>
      </c>
      <c r="R39" s="31">
        <f t="shared" si="78"/>
        <v>102.97499999999999</v>
      </c>
      <c r="S39" s="31">
        <f t="shared" si="78"/>
        <v>114.55000000000001</v>
      </c>
      <c r="T39" s="31">
        <f t="shared" si="78"/>
        <v>97.75</v>
      </c>
      <c r="U39" s="31">
        <f t="shared" si="78"/>
        <v>100.25</v>
      </c>
      <c r="V39" s="31">
        <f t="shared" si="78"/>
        <v>115.97500000000001</v>
      </c>
      <c r="W39" s="31">
        <f t="shared" si="78"/>
        <v>97.95</v>
      </c>
      <c r="X39" s="31">
        <f t="shared" si="78"/>
        <v>103.47499999999999</v>
      </c>
      <c r="Y39" s="31">
        <f t="shared" si="78"/>
        <v>118.5</v>
      </c>
      <c r="Z39" s="31">
        <f t="shared" si="78"/>
        <v>96.024999999999991</v>
      </c>
      <c r="AB39" s="176">
        <v>36220</v>
      </c>
      <c r="AC39" s="64">
        <v>104.9</v>
      </c>
      <c r="AD39" s="64">
        <v>100.8</v>
      </c>
      <c r="AE39" s="64">
        <v>106.9</v>
      </c>
      <c r="AF39" s="64">
        <v>110.1</v>
      </c>
      <c r="AG39" s="64">
        <v>108.4</v>
      </c>
      <c r="AH39" s="64">
        <v>110.8</v>
      </c>
      <c r="AI39" s="64">
        <v>111.5</v>
      </c>
      <c r="AJ39" s="64">
        <v>105.5</v>
      </c>
      <c r="AK39" s="64">
        <v>112.4</v>
      </c>
      <c r="AL39" s="64">
        <v>108.6</v>
      </c>
      <c r="AM39" s="64">
        <v>105.6</v>
      </c>
      <c r="AN39" s="64">
        <v>110.1</v>
      </c>
      <c r="AP39" s="31">
        <f>AVERAGE(BE171:BE174)</f>
        <v>126.9</v>
      </c>
      <c r="AQ39" s="31">
        <f t="shared" ref="AQ39:AZ39" si="79">AVERAGE(BF171:BF174)</f>
        <v>141.14999999999998</v>
      </c>
      <c r="AR39" s="31">
        <f t="shared" si="79"/>
        <v>114.67500000000001</v>
      </c>
      <c r="AS39" s="31">
        <f t="shared" si="79"/>
        <v>139.32499999999999</v>
      </c>
      <c r="AT39" s="31">
        <f t="shared" si="79"/>
        <v>140.07500000000002</v>
      </c>
      <c r="AU39" s="31">
        <f t="shared" si="79"/>
        <v>135.875</v>
      </c>
      <c r="AV39" s="31">
        <f t="shared" si="79"/>
        <v>137.79999999999998</v>
      </c>
      <c r="AW39" s="31">
        <f t="shared" si="79"/>
        <v>153.75</v>
      </c>
      <c r="AX39" s="31">
        <f t="shared" si="79"/>
        <v>126.575</v>
      </c>
      <c r="AY39" s="31">
        <f t="shared" si="79"/>
        <v>137.67500000000001</v>
      </c>
      <c r="AZ39" s="31">
        <f t="shared" si="79"/>
        <v>155.94999999999999</v>
      </c>
      <c r="BA39" s="31">
        <f>AVERAGE(BP171:BP174)</f>
        <v>127.3</v>
      </c>
      <c r="BD39" s="176">
        <v>26785</v>
      </c>
      <c r="BE39" s="64">
        <v>34.299999999999997</v>
      </c>
      <c r="BF39" s="64">
        <v>33.9</v>
      </c>
      <c r="BG39" s="64">
        <v>34.799999999999997</v>
      </c>
      <c r="BH39" s="64">
        <v>32.4</v>
      </c>
      <c r="BI39" s="64">
        <v>33.299999999999997</v>
      </c>
      <c r="BJ39" s="64">
        <v>31.1</v>
      </c>
      <c r="BK39" s="64">
        <v>34</v>
      </c>
      <c r="BL39" s="64">
        <v>34.9</v>
      </c>
      <c r="BM39" s="64">
        <v>32.700000000000003</v>
      </c>
      <c r="BN39" s="64">
        <v>30.4</v>
      </c>
      <c r="BO39" s="64">
        <v>31.1</v>
      </c>
      <c r="BP39" s="64">
        <v>29.7</v>
      </c>
    </row>
    <row r="40" spans="1:68">
      <c r="A40" s="66">
        <v>2006</v>
      </c>
      <c r="B40" s="115">
        <f t="shared" si="14"/>
        <v>110.5746695226438</v>
      </c>
      <c r="C40" s="115">
        <f t="shared" si="15"/>
        <v>122.09247117341171</v>
      </c>
      <c r="D40" s="115">
        <f t="shared" si="16"/>
        <v>106.7778673714291</v>
      </c>
      <c r="E40" s="115">
        <f t="shared" si="17"/>
        <v>127.28012862595325</v>
      </c>
      <c r="F40" s="115">
        <f t="shared" si="18"/>
        <v>141.83886840285777</v>
      </c>
      <c r="G40" s="115">
        <f t="shared" si="19"/>
        <v>124.17369838275287</v>
      </c>
      <c r="H40" s="115">
        <f t="shared" si="20"/>
        <v>124.37481347773769</v>
      </c>
      <c r="I40" s="115">
        <f t="shared" si="21"/>
        <v>146.03181219833257</v>
      </c>
      <c r="J40" s="115">
        <f t="shared" si="22"/>
        <v>123.01321363988633</v>
      </c>
      <c r="K40" s="115">
        <f t="shared" si="23"/>
        <v>133.46810240963853</v>
      </c>
      <c r="L40" s="115">
        <f t="shared" si="24"/>
        <v>150.78045006294587</v>
      </c>
      <c r="M40" s="115">
        <f t="shared" si="25"/>
        <v>125.3634220231823</v>
      </c>
      <c r="N40" s="66"/>
      <c r="O40" s="31">
        <f>AVERAGE(AC74:AC77)</f>
        <v>90.575000000000003</v>
      </c>
      <c r="P40" s="31">
        <f t="shared" ref="P40:Z40" si="80">AVERAGE(AD74:AD77)</f>
        <v>104.25</v>
      </c>
      <c r="Q40" s="31">
        <f t="shared" si="80"/>
        <v>84.15</v>
      </c>
      <c r="R40" s="31">
        <f t="shared" si="80"/>
        <v>100.3</v>
      </c>
      <c r="S40" s="31">
        <f t="shared" si="80"/>
        <v>112.45</v>
      </c>
      <c r="T40" s="31">
        <f t="shared" si="80"/>
        <v>94.825000000000017</v>
      </c>
      <c r="U40" s="31">
        <f t="shared" si="80"/>
        <v>97.449999999999989</v>
      </c>
      <c r="V40" s="31">
        <f t="shared" si="80"/>
        <v>117</v>
      </c>
      <c r="W40" s="31">
        <f t="shared" si="80"/>
        <v>94.65</v>
      </c>
      <c r="X40" s="31">
        <f t="shared" si="80"/>
        <v>101.72499999999999</v>
      </c>
      <c r="Y40" s="31">
        <f t="shared" si="80"/>
        <v>120.675</v>
      </c>
      <c r="Z40" s="31">
        <f t="shared" si="80"/>
        <v>92.35</v>
      </c>
      <c r="AB40" s="176">
        <v>36312</v>
      </c>
      <c r="AC40" s="64">
        <v>102.8</v>
      </c>
      <c r="AD40" s="64">
        <v>101</v>
      </c>
      <c r="AE40" s="64">
        <v>103.6</v>
      </c>
      <c r="AF40" s="64">
        <v>108.1</v>
      </c>
      <c r="AG40" s="64">
        <v>107.7</v>
      </c>
      <c r="AH40" s="64">
        <v>108.2</v>
      </c>
      <c r="AI40" s="64">
        <v>109.1</v>
      </c>
      <c r="AJ40" s="64">
        <v>106.4</v>
      </c>
      <c r="AK40" s="64">
        <v>109.5</v>
      </c>
      <c r="AL40" s="64">
        <v>107.2</v>
      </c>
      <c r="AM40" s="64">
        <v>107.2</v>
      </c>
      <c r="AN40" s="64">
        <v>107.2</v>
      </c>
      <c r="BD40" s="176">
        <v>26877</v>
      </c>
      <c r="BE40" s="64">
        <v>34.700000000000003</v>
      </c>
      <c r="BF40" s="64">
        <v>34.299999999999997</v>
      </c>
      <c r="BG40" s="64">
        <v>35.1</v>
      </c>
      <c r="BH40" s="64">
        <v>32.799999999999997</v>
      </c>
      <c r="BI40" s="64">
        <v>33.799999999999997</v>
      </c>
      <c r="BJ40" s="64">
        <v>31.5</v>
      </c>
      <c r="BK40" s="64">
        <v>34.4</v>
      </c>
      <c r="BL40" s="64">
        <v>35.4</v>
      </c>
      <c r="BM40" s="64">
        <v>33.1</v>
      </c>
      <c r="BN40" s="64">
        <v>30.9</v>
      </c>
      <c r="BO40" s="64">
        <v>31.6</v>
      </c>
      <c r="BP40" s="64">
        <v>30.2</v>
      </c>
    </row>
    <row r="41" spans="1:68">
      <c r="A41" s="66">
        <v>2007</v>
      </c>
      <c r="B41" s="115">
        <f>O41/O$23*100</f>
        <v>107.76681150550796</v>
      </c>
      <c r="C41" s="115">
        <f t="shared" si="15"/>
        <v>121.94607732308388</v>
      </c>
      <c r="D41" s="115">
        <f t="shared" si="16"/>
        <v>102.4636101038966</v>
      </c>
      <c r="E41" s="115">
        <f t="shared" si="17"/>
        <v>123.85384400690967</v>
      </c>
      <c r="F41" s="115">
        <f t="shared" si="18"/>
        <v>139.5369036644388</v>
      </c>
      <c r="G41" s="115">
        <f>T41/T$23*100</f>
        <v>120.14697417999022</v>
      </c>
      <c r="H41" s="115">
        <f t="shared" si="20"/>
        <v>121.59887484957885</v>
      </c>
      <c r="I41" s="115">
        <f t="shared" si="21"/>
        <v>148.30965884159718</v>
      </c>
      <c r="J41" s="115">
        <f t="shared" si="22"/>
        <v>119.37415396538363</v>
      </c>
      <c r="K41" s="115">
        <f t="shared" si="23"/>
        <v>132.51686746987949</v>
      </c>
      <c r="L41" s="115">
        <f t="shared" si="24"/>
        <v>154.02908623583721</v>
      </c>
      <c r="M41" s="115">
        <f t="shared" si="25"/>
        <v>122.07152924130666</v>
      </c>
      <c r="N41" s="66"/>
      <c r="O41" s="31">
        <f>AVERAGE(AC78:AC81)</f>
        <v>88.275000000000006</v>
      </c>
      <c r="P41" s="31">
        <f t="shared" ref="P41:Z41" si="81">AVERAGE(AD78:AD81)</f>
        <v>104.125</v>
      </c>
      <c r="Q41" s="31">
        <f t="shared" si="81"/>
        <v>80.75</v>
      </c>
      <c r="R41" s="31">
        <f t="shared" si="81"/>
        <v>97.600000000000009</v>
      </c>
      <c r="S41" s="31">
        <f t="shared" si="81"/>
        <v>110.625</v>
      </c>
      <c r="T41" s="31">
        <f t="shared" si="81"/>
        <v>91.75</v>
      </c>
      <c r="U41" s="31">
        <f t="shared" si="81"/>
        <v>95.275000000000006</v>
      </c>
      <c r="V41" s="31">
        <f t="shared" si="81"/>
        <v>118.825</v>
      </c>
      <c r="W41" s="31">
        <f t="shared" si="81"/>
        <v>91.85</v>
      </c>
      <c r="X41" s="31">
        <f t="shared" si="81"/>
        <v>101</v>
      </c>
      <c r="Y41" s="31">
        <f t="shared" si="81"/>
        <v>123.27500000000001</v>
      </c>
      <c r="Z41" s="31">
        <f t="shared" si="81"/>
        <v>89.925000000000011</v>
      </c>
      <c r="AB41" s="176">
        <v>36404</v>
      </c>
      <c r="AC41" s="64">
        <v>102.8</v>
      </c>
      <c r="AD41" s="64">
        <v>101.3</v>
      </c>
      <c r="AE41" s="64">
        <v>103.5</v>
      </c>
      <c r="AF41" s="64">
        <v>108.6</v>
      </c>
      <c r="AG41" s="64">
        <v>108.6</v>
      </c>
      <c r="AH41" s="64">
        <v>108.6</v>
      </c>
      <c r="AI41" s="64">
        <v>109.6</v>
      </c>
      <c r="AJ41" s="64">
        <v>106.9</v>
      </c>
      <c r="AK41" s="64">
        <v>110</v>
      </c>
      <c r="AL41" s="64">
        <v>107.8</v>
      </c>
      <c r="AM41" s="64">
        <v>108</v>
      </c>
      <c r="AN41" s="64">
        <v>107.8</v>
      </c>
      <c r="BD41" s="176">
        <v>26969</v>
      </c>
      <c r="BE41" s="64">
        <v>35.200000000000003</v>
      </c>
      <c r="BF41" s="64">
        <v>35</v>
      </c>
      <c r="BG41" s="64">
        <v>35.5</v>
      </c>
      <c r="BH41" s="64">
        <v>33.4</v>
      </c>
      <c r="BI41" s="64">
        <v>34.4</v>
      </c>
      <c r="BJ41" s="64">
        <v>31.9</v>
      </c>
      <c r="BK41" s="64">
        <v>35</v>
      </c>
      <c r="BL41" s="64">
        <v>36</v>
      </c>
      <c r="BM41" s="64">
        <v>33.700000000000003</v>
      </c>
      <c r="BN41" s="64">
        <v>31.6</v>
      </c>
      <c r="BO41" s="64">
        <v>32.4</v>
      </c>
      <c r="BP41" s="64">
        <v>30.8</v>
      </c>
    </row>
    <row r="42" spans="1:68">
      <c r="A42" s="66">
        <v>2008</v>
      </c>
      <c r="B42" s="115">
        <f t="shared" ref="B42:B46" si="82">O42/O$23*100</f>
        <v>110.02530599755202</v>
      </c>
      <c r="C42" s="115">
        <f t="shared" ref="C42:C46" si="83">P42/P$23*100</f>
        <v>123.76136106714898</v>
      </c>
      <c r="D42" s="115">
        <f t="shared" ref="D42:D46" si="84">Q42/Q$23*100</f>
        <v>105.06485345637941</v>
      </c>
      <c r="E42" s="115">
        <f t="shared" ref="E42:E46" si="85">R42/R$23*100</f>
        <v>126.04285918018752</v>
      </c>
      <c r="F42" s="115">
        <f t="shared" ref="F42:F46" si="86">S42/S$23*100</f>
        <v>139.41076861027884</v>
      </c>
      <c r="G42" s="115">
        <f t="shared" ref="G42:G46" si="87">T42/T$23*100</f>
        <v>123.48620888472021</v>
      </c>
      <c r="H42" s="115">
        <f t="shared" ref="H42:H46" si="88">U42/U$23*100</f>
        <v>125.9701805054152</v>
      </c>
      <c r="I42" s="115">
        <f t="shared" ref="I42:I46" si="89">V42/V$23*100</f>
        <v>151.83564063185605</v>
      </c>
      <c r="J42" s="115">
        <f t="shared" ref="J42:J46" si="90">W42/W$23*100</f>
        <v>123.922978558512</v>
      </c>
      <c r="K42" s="115">
        <f t="shared" ref="K42:K46" si="91">X42/X$23*100</f>
        <v>137.37144578313249</v>
      </c>
      <c r="L42" s="115">
        <f t="shared" ref="L42:L46" si="92">Y42/Y$23*100</f>
        <v>159.68296265211919</v>
      </c>
      <c r="M42" s="115">
        <f t="shared" ref="M42:M46" si="93">Z42/Z$23*100</f>
        <v>126.58515542676503</v>
      </c>
      <c r="N42" s="66"/>
      <c r="O42" s="31">
        <f>AVERAGE(AC82:AC85)</f>
        <v>90.125000000000014</v>
      </c>
      <c r="P42" s="31">
        <f t="shared" ref="P42:Z42" si="94">AVERAGE(AD82:AD85)</f>
        <v>105.675</v>
      </c>
      <c r="Q42" s="31">
        <f t="shared" si="94"/>
        <v>82.8</v>
      </c>
      <c r="R42" s="31">
        <f t="shared" si="94"/>
        <v>99.325000000000003</v>
      </c>
      <c r="S42" s="31">
        <f t="shared" si="94"/>
        <v>110.52500000000001</v>
      </c>
      <c r="T42" s="31">
        <f t="shared" si="94"/>
        <v>94.3</v>
      </c>
      <c r="U42" s="31">
        <f t="shared" si="94"/>
        <v>98.7</v>
      </c>
      <c r="V42" s="31">
        <f t="shared" si="94"/>
        <v>121.65</v>
      </c>
      <c r="W42" s="31">
        <f t="shared" si="94"/>
        <v>95.35</v>
      </c>
      <c r="X42" s="31">
        <f t="shared" si="94"/>
        <v>104.69999999999999</v>
      </c>
      <c r="Y42" s="31">
        <f t="shared" si="94"/>
        <v>127.8</v>
      </c>
      <c r="Z42" s="31">
        <f t="shared" si="94"/>
        <v>93.25</v>
      </c>
      <c r="AB42" s="176"/>
      <c r="BD42" s="176"/>
    </row>
    <row r="43" spans="1:68">
      <c r="A43" s="66">
        <v>2009</v>
      </c>
      <c r="B43" s="115">
        <f t="shared" si="82"/>
        <v>117.13651162790694</v>
      </c>
      <c r="C43" s="115">
        <f t="shared" si="83"/>
        <v>127.27481347501697</v>
      </c>
      <c r="D43" s="115">
        <f t="shared" si="84"/>
        <v>114.16920519006931</v>
      </c>
      <c r="E43" s="115">
        <f t="shared" si="85"/>
        <v>135.81411531597854</v>
      </c>
      <c r="F43" s="115">
        <f t="shared" si="86"/>
        <v>144.23543443189669</v>
      </c>
      <c r="G43" s="115">
        <f t="shared" si="87"/>
        <v>135.82828225416335</v>
      </c>
      <c r="H43" s="115">
        <f t="shared" si="88"/>
        <v>135.98908543922988</v>
      </c>
      <c r="I43" s="115">
        <f t="shared" si="89"/>
        <v>156.14170688898639</v>
      </c>
      <c r="J43" s="115">
        <f t="shared" si="90"/>
        <v>135.00261560320331</v>
      </c>
      <c r="K43" s="115">
        <f t="shared" si="91"/>
        <v>145.70295180722889</v>
      </c>
      <c r="L43" s="115">
        <f t="shared" si="92"/>
        <v>162.83788816617709</v>
      </c>
      <c r="M43" s="115">
        <f t="shared" si="93"/>
        <v>137.78437829293995</v>
      </c>
      <c r="N43" s="66"/>
      <c r="O43" s="31">
        <f>AVERAGE(AC86:AC89)</f>
        <v>95.949999999999989</v>
      </c>
      <c r="P43" s="31">
        <f t="shared" ref="P43:Z43" si="95">AVERAGE(AD86:AD89)</f>
        <v>108.675</v>
      </c>
      <c r="Q43" s="31">
        <f t="shared" si="95"/>
        <v>89.975000000000009</v>
      </c>
      <c r="R43" s="31">
        <f t="shared" si="95"/>
        <v>107.02499999999999</v>
      </c>
      <c r="S43" s="31">
        <f t="shared" si="95"/>
        <v>114.35</v>
      </c>
      <c r="T43" s="31">
        <f t="shared" si="95"/>
        <v>103.72500000000001</v>
      </c>
      <c r="U43" s="31">
        <f t="shared" si="95"/>
        <v>106.55000000000001</v>
      </c>
      <c r="V43" s="31">
        <f t="shared" si="95"/>
        <v>125.10000000000001</v>
      </c>
      <c r="W43" s="31">
        <f t="shared" si="95"/>
        <v>103.875</v>
      </c>
      <c r="X43" s="31">
        <f t="shared" si="95"/>
        <v>111.05</v>
      </c>
      <c r="Y43" s="31">
        <f t="shared" si="95"/>
        <v>130.32499999999999</v>
      </c>
      <c r="Z43" s="31">
        <f t="shared" si="95"/>
        <v>101.5</v>
      </c>
      <c r="AB43" s="176"/>
      <c r="BD43" s="176"/>
    </row>
    <row r="44" spans="1:68">
      <c r="A44" s="66">
        <v>2010</v>
      </c>
      <c r="B44" s="115">
        <f t="shared" si="82"/>
        <v>109.44542227662177</v>
      </c>
      <c r="C44" s="115">
        <f t="shared" si="83"/>
        <v>125.95726882206648</v>
      </c>
      <c r="D44" s="115">
        <f t="shared" si="84"/>
        <v>103.03461474224649</v>
      </c>
      <c r="E44" s="115">
        <f t="shared" si="85"/>
        <v>124.80558973442177</v>
      </c>
      <c r="F44" s="115">
        <f t="shared" si="86"/>
        <v>140.67211915187826</v>
      </c>
      <c r="G44" s="115">
        <f t="shared" si="87"/>
        <v>120.99815165374494</v>
      </c>
      <c r="H44" s="115">
        <f t="shared" si="88"/>
        <v>124.8215162454874</v>
      </c>
      <c r="I44" s="115">
        <f t="shared" si="89"/>
        <v>152.58452172005263</v>
      </c>
      <c r="J44" s="115">
        <f t="shared" si="90"/>
        <v>122.46085636786358</v>
      </c>
      <c r="K44" s="115">
        <f t="shared" si="91"/>
        <v>137.46984939759034</v>
      </c>
      <c r="L44" s="115">
        <f t="shared" si="92"/>
        <v>162.99407259756609</v>
      </c>
      <c r="M44" s="115">
        <f t="shared" si="93"/>
        <v>124.9901145943098</v>
      </c>
      <c r="N44" s="66"/>
      <c r="O44" s="31">
        <f>AVERAGE(AC90:AC93)</f>
        <v>89.65</v>
      </c>
      <c r="P44" s="31">
        <f t="shared" ref="P44:Z44" si="96">AVERAGE(AD90:AD93)</f>
        <v>107.55000000000001</v>
      </c>
      <c r="Q44" s="31">
        <f t="shared" si="96"/>
        <v>81.2</v>
      </c>
      <c r="R44" s="31">
        <f t="shared" si="96"/>
        <v>98.350000000000009</v>
      </c>
      <c r="S44" s="31">
        <f t="shared" si="96"/>
        <v>111.52499999999999</v>
      </c>
      <c r="T44" s="31">
        <f t="shared" si="96"/>
        <v>92.4</v>
      </c>
      <c r="U44" s="31">
        <f t="shared" si="96"/>
        <v>97.800000000000011</v>
      </c>
      <c r="V44" s="31">
        <f t="shared" si="96"/>
        <v>122.25</v>
      </c>
      <c r="W44" s="31">
        <f t="shared" si="96"/>
        <v>94.224999999999994</v>
      </c>
      <c r="X44" s="31">
        <f t="shared" si="96"/>
        <v>104.77500000000001</v>
      </c>
      <c r="Y44" s="31">
        <f t="shared" si="96"/>
        <v>130.44999999999999</v>
      </c>
      <c r="Z44" s="31">
        <f t="shared" si="96"/>
        <v>92.075000000000003</v>
      </c>
      <c r="AB44" s="176"/>
      <c r="BD44" s="176"/>
    </row>
    <row r="45" spans="1:68">
      <c r="A45" s="66">
        <v>2011</v>
      </c>
      <c r="B45" s="115">
        <f t="shared" si="82"/>
        <v>108.22461444308442</v>
      </c>
      <c r="C45" s="115">
        <f t="shared" si="83"/>
        <v>127.1576983947547</v>
      </c>
      <c r="D45" s="115">
        <f t="shared" si="84"/>
        <v>100.59198378930529</v>
      </c>
      <c r="E45" s="115">
        <f t="shared" si="85"/>
        <v>124.83731459200551</v>
      </c>
      <c r="F45" s="115">
        <f t="shared" si="86"/>
        <v>143.16328647153719</v>
      </c>
      <c r="G45" s="115">
        <f t="shared" si="87"/>
        <v>119.91781101397936</v>
      </c>
      <c r="H45" s="115">
        <f t="shared" si="88"/>
        <v>123.25805655836344</v>
      </c>
      <c r="I45" s="115">
        <f t="shared" si="89"/>
        <v>155.36162242211495</v>
      </c>
      <c r="J45" s="115">
        <f t="shared" si="90"/>
        <v>120.21893567553603</v>
      </c>
      <c r="K45" s="115">
        <f t="shared" si="91"/>
        <v>136.87942771084337</v>
      </c>
      <c r="L45" s="115">
        <f t="shared" si="92"/>
        <v>166.30518254301302</v>
      </c>
      <c r="M45" s="115">
        <f t="shared" si="93"/>
        <v>122.17334035827187</v>
      </c>
      <c r="N45" s="66"/>
      <c r="O45" s="31">
        <f>AVERAGE(AC94:AC97)</f>
        <v>88.649999999999991</v>
      </c>
      <c r="P45" s="31">
        <f t="shared" ref="P45:Z45" si="97">AVERAGE(AD94:AD97)</f>
        <v>108.575</v>
      </c>
      <c r="Q45" s="31">
        <f t="shared" si="97"/>
        <v>79.275000000000006</v>
      </c>
      <c r="R45" s="31">
        <f t="shared" si="97"/>
        <v>98.375</v>
      </c>
      <c r="S45" s="31">
        <f t="shared" si="97"/>
        <v>113.5</v>
      </c>
      <c r="T45" s="31">
        <f t="shared" si="97"/>
        <v>91.575000000000003</v>
      </c>
      <c r="U45" s="31">
        <f t="shared" si="97"/>
        <v>96.574999999999989</v>
      </c>
      <c r="V45" s="31">
        <f t="shared" si="97"/>
        <v>124.47500000000001</v>
      </c>
      <c r="W45" s="31">
        <f t="shared" si="97"/>
        <v>92.5</v>
      </c>
      <c r="X45" s="31">
        <f t="shared" si="97"/>
        <v>104.325</v>
      </c>
      <c r="Y45" s="31">
        <f t="shared" si="97"/>
        <v>133.1</v>
      </c>
      <c r="Z45" s="31">
        <f t="shared" si="97"/>
        <v>90</v>
      </c>
      <c r="AB45" s="176"/>
      <c r="BD45" s="176"/>
    </row>
    <row r="46" spans="1:68">
      <c r="A46" s="66">
        <v>2012</v>
      </c>
      <c r="B46" s="115">
        <f t="shared" si="82"/>
        <v>110.66623011015911</v>
      </c>
      <c r="C46" s="115">
        <f t="shared" si="83"/>
        <v>129.03153967895096</v>
      </c>
      <c r="D46" s="115">
        <f t="shared" si="84"/>
        <v>103.35183954132975</v>
      </c>
      <c r="E46" s="115">
        <f t="shared" si="85"/>
        <v>131.11883639358544</v>
      </c>
      <c r="F46" s="115">
        <f t="shared" si="86"/>
        <v>146.12746024429589</v>
      </c>
      <c r="G46" s="115">
        <f t="shared" si="87"/>
        <v>127.90578422921577</v>
      </c>
      <c r="H46" s="115">
        <f t="shared" si="88"/>
        <v>127.18265944645009</v>
      </c>
      <c r="I46" s="115">
        <f t="shared" si="89"/>
        <v>159.13723124177267</v>
      </c>
      <c r="J46" s="115">
        <f t="shared" si="90"/>
        <v>124.28038620511495</v>
      </c>
      <c r="K46" s="115">
        <f t="shared" si="91"/>
        <v>140.84837349397588</v>
      </c>
      <c r="L46" s="115">
        <f t="shared" si="92"/>
        <v>171.39679500629461</v>
      </c>
      <c r="M46" s="115">
        <f t="shared" si="93"/>
        <v>125.66885537407796</v>
      </c>
      <c r="N46" s="66"/>
      <c r="O46" s="31">
        <f>AVERAGE(AC98:AC101)</f>
        <v>90.65</v>
      </c>
      <c r="P46" s="31">
        <f t="shared" ref="P46:Z46" si="98">AVERAGE(AD98:AD101)</f>
        <v>110.17500000000001</v>
      </c>
      <c r="Q46" s="31">
        <f t="shared" si="98"/>
        <v>81.45</v>
      </c>
      <c r="R46" s="31">
        <f t="shared" si="98"/>
        <v>103.32499999999999</v>
      </c>
      <c r="S46" s="31">
        <f t="shared" si="98"/>
        <v>115.85</v>
      </c>
      <c r="T46" s="31">
        <f t="shared" si="98"/>
        <v>97.675000000000011</v>
      </c>
      <c r="U46" s="31">
        <f t="shared" si="98"/>
        <v>99.649999999999991</v>
      </c>
      <c r="V46" s="31">
        <f t="shared" si="98"/>
        <v>127.5</v>
      </c>
      <c r="W46" s="31">
        <f t="shared" si="98"/>
        <v>95.625</v>
      </c>
      <c r="X46" s="31">
        <f t="shared" si="98"/>
        <v>107.35</v>
      </c>
      <c r="Y46" s="31">
        <f t="shared" si="98"/>
        <v>137.17500000000001</v>
      </c>
      <c r="Z46" s="31">
        <f t="shared" si="98"/>
        <v>92.574999999999989</v>
      </c>
      <c r="AB46" s="176"/>
      <c r="BD46" s="176"/>
    </row>
    <row r="47" spans="1:68">
      <c r="AB47" s="176">
        <v>36495</v>
      </c>
      <c r="AC47" s="64">
        <v>103.7</v>
      </c>
      <c r="AD47" s="64">
        <v>101.7</v>
      </c>
      <c r="AE47" s="64">
        <v>104.7</v>
      </c>
      <c r="AF47" s="64">
        <v>109.4</v>
      </c>
      <c r="AG47" s="64">
        <v>109.9</v>
      </c>
      <c r="AH47" s="64">
        <v>109.1</v>
      </c>
      <c r="AI47" s="64">
        <v>109.7</v>
      </c>
      <c r="AJ47" s="64">
        <v>107.3</v>
      </c>
      <c r="AK47" s="64">
        <v>110.1</v>
      </c>
      <c r="AL47" s="64">
        <v>108.3</v>
      </c>
      <c r="AM47" s="64">
        <v>108.8</v>
      </c>
      <c r="AN47" s="64">
        <v>108</v>
      </c>
      <c r="BD47" s="176">
        <v>27061</v>
      </c>
      <c r="BE47" s="64">
        <v>36.4</v>
      </c>
      <c r="BF47" s="64">
        <v>36.5</v>
      </c>
      <c r="BG47" s="64">
        <v>36.1</v>
      </c>
      <c r="BH47" s="64">
        <v>34.9</v>
      </c>
      <c r="BI47" s="64">
        <v>36.299999999999997</v>
      </c>
      <c r="BJ47" s="64">
        <v>32.799999999999997</v>
      </c>
      <c r="BK47" s="64">
        <v>36.4</v>
      </c>
      <c r="BL47" s="64">
        <v>37.700000000000003</v>
      </c>
      <c r="BM47" s="64">
        <v>34.700000000000003</v>
      </c>
      <c r="BN47" s="64">
        <v>32.700000000000003</v>
      </c>
      <c r="BO47" s="64">
        <v>33.700000000000003</v>
      </c>
      <c r="BP47" s="64">
        <v>31.6</v>
      </c>
    </row>
    <row r="48" spans="1:68">
      <c r="A48" s="66" t="s">
        <v>23</v>
      </c>
      <c r="B48" s="66"/>
      <c r="C48" s="66"/>
      <c r="D48" s="66"/>
      <c r="E48" s="66"/>
      <c r="F48" s="66"/>
      <c r="G48" s="66"/>
      <c r="H48" s="66"/>
      <c r="I48" s="66"/>
      <c r="J48" s="66"/>
      <c r="K48" s="66"/>
      <c r="L48" s="66"/>
      <c r="M48" s="66"/>
      <c r="N48" s="66"/>
      <c r="AB48" s="176">
        <v>36586</v>
      </c>
      <c r="AC48" s="64">
        <v>102.9</v>
      </c>
      <c r="AD48" s="64">
        <v>102.1</v>
      </c>
      <c r="AE48" s="64">
        <v>103.3</v>
      </c>
      <c r="AF48" s="64">
        <v>108.9</v>
      </c>
      <c r="AG48" s="64">
        <v>110.8</v>
      </c>
      <c r="AH48" s="64">
        <v>108</v>
      </c>
      <c r="AI48" s="64">
        <v>108.8</v>
      </c>
      <c r="AJ48" s="64">
        <v>108.2</v>
      </c>
      <c r="AK48" s="64">
        <v>108.9</v>
      </c>
      <c r="AL48" s="64">
        <v>108</v>
      </c>
      <c r="AM48" s="64">
        <v>109.5</v>
      </c>
      <c r="AN48" s="64">
        <v>107.3</v>
      </c>
      <c r="BD48" s="176">
        <v>27150</v>
      </c>
      <c r="BE48" s="64">
        <v>37.700000000000003</v>
      </c>
      <c r="BF48" s="64">
        <v>38</v>
      </c>
      <c r="BG48" s="64">
        <v>37.1</v>
      </c>
      <c r="BH48" s="64">
        <v>36.799999999999997</v>
      </c>
      <c r="BI48" s="64">
        <v>38.6</v>
      </c>
      <c r="BJ48" s="64">
        <v>34.200000000000003</v>
      </c>
      <c r="BK48" s="64">
        <v>37.6</v>
      </c>
      <c r="BL48" s="64">
        <v>39.200000000000003</v>
      </c>
      <c r="BM48" s="64">
        <v>35.5</v>
      </c>
      <c r="BN48" s="64">
        <v>34</v>
      </c>
      <c r="BO48" s="64">
        <v>35.200000000000003</v>
      </c>
      <c r="BP48" s="64">
        <v>32.799999999999997</v>
      </c>
    </row>
    <row r="49" spans="1:68">
      <c r="A49" s="64" t="s">
        <v>587</v>
      </c>
      <c r="B49" s="67">
        <f>((B41/B15)^(1/26)-1)*100</f>
        <v>1.3031308062828373</v>
      </c>
      <c r="C49" s="67">
        <f t="shared" ref="C49:M49" si="99">((C41/C15)^(1/26)-1)*100</f>
        <v>2.1453472869279677</v>
      </c>
      <c r="D49" s="67">
        <f t="shared" si="99"/>
        <v>0.7573585994300025</v>
      </c>
      <c r="E49" s="67">
        <f t="shared" si="99"/>
        <v>2.0005384588708042</v>
      </c>
      <c r="F49" s="67">
        <f t="shared" si="99"/>
        <v>2.5286801916085011</v>
      </c>
      <c r="G49" s="67">
        <f t="shared" si="99"/>
        <v>1.6037423844768028</v>
      </c>
      <c r="H49" s="67">
        <f t="shared" si="99"/>
        <v>1.9129523254551639</v>
      </c>
      <c r="I49" s="67">
        <f t="shared" si="99"/>
        <v>3.0337096166933586</v>
      </c>
      <c r="J49" s="67">
        <f t="shared" si="99"/>
        <v>1.5699917229751836</v>
      </c>
      <c r="K49" s="67">
        <f t="shared" si="99"/>
        <v>2.2445282878807538</v>
      </c>
      <c r="L49" s="67">
        <f t="shared" si="99"/>
        <v>3.3127142340738436</v>
      </c>
      <c r="M49" s="67">
        <f t="shared" si="99"/>
        <v>1.6165136399181712</v>
      </c>
      <c r="O49" s="67">
        <f>((O41/O31)^(1/10)-1)*100</f>
        <v>-1.2393879731250057</v>
      </c>
      <c r="P49" s="67">
        <f t="shared" ref="P49:Z49" si="100">((P41/P31)^(1/10)-1)*100</f>
        <v>0.40503721246543112</v>
      </c>
      <c r="Q49" s="67">
        <f t="shared" si="100"/>
        <v>-2.1129789968196255</v>
      </c>
      <c r="R49" s="67">
        <f t="shared" si="100"/>
        <v>-0.24512568836366766</v>
      </c>
      <c r="S49" s="67">
        <f t="shared" si="100"/>
        <v>1.0148744441490276</v>
      </c>
      <c r="T49" s="67">
        <f t="shared" si="100"/>
        <v>-0.85980899522457577</v>
      </c>
      <c r="U49" s="67">
        <f t="shared" si="100"/>
        <v>-0.48285786740039915</v>
      </c>
      <c r="V49" s="67">
        <f t="shared" si="100"/>
        <v>1.7397772145367085</v>
      </c>
      <c r="W49" s="67">
        <f t="shared" si="100"/>
        <v>-0.84653032488424262</v>
      </c>
      <c r="X49" s="67">
        <f t="shared" si="100"/>
        <v>9.9552829497362438E-2</v>
      </c>
      <c r="Y49" s="67">
        <f t="shared" si="100"/>
        <v>2.1145202067721192</v>
      </c>
      <c r="Z49" s="67">
        <f t="shared" si="100"/>
        <v>-1.0563232670776301</v>
      </c>
      <c r="AB49" s="176">
        <v>36678</v>
      </c>
      <c r="AC49" s="64">
        <v>104</v>
      </c>
      <c r="AD49" s="64">
        <v>102.3</v>
      </c>
      <c r="AE49" s="64">
        <v>104.8</v>
      </c>
      <c r="AF49" s="64">
        <v>110.4</v>
      </c>
      <c r="AG49" s="64">
        <v>111.2</v>
      </c>
      <c r="AH49" s="64">
        <v>110</v>
      </c>
      <c r="AI49" s="64">
        <v>110.9</v>
      </c>
      <c r="AJ49" s="64">
        <v>108.4</v>
      </c>
      <c r="AK49" s="64">
        <v>111.3</v>
      </c>
      <c r="AL49" s="64">
        <v>109.5</v>
      </c>
      <c r="AM49" s="64">
        <v>109.6</v>
      </c>
      <c r="AN49" s="64">
        <v>109.5</v>
      </c>
      <c r="BD49" s="176">
        <v>27242</v>
      </c>
      <c r="BE49" s="64">
        <v>39.799999999999997</v>
      </c>
      <c r="BF49" s="64">
        <v>39.9</v>
      </c>
      <c r="BG49" s="64">
        <v>39.4</v>
      </c>
      <c r="BH49" s="64">
        <v>39.200000000000003</v>
      </c>
      <c r="BI49" s="64">
        <v>40.700000000000003</v>
      </c>
      <c r="BJ49" s="64">
        <v>37.1</v>
      </c>
      <c r="BK49" s="64">
        <v>39.1</v>
      </c>
      <c r="BL49" s="64">
        <v>40.4</v>
      </c>
      <c r="BM49" s="64">
        <v>37.299999999999997</v>
      </c>
      <c r="BN49" s="64">
        <v>35.9</v>
      </c>
      <c r="BO49" s="64">
        <v>37.1</v>
      </c>
      <c r="BP49" s="64">
        <v>34.799999999999997</v>
      </c>
    </row>
    <row r="50" spans="1:68">
      <c r="A50" s="64" t="s">
        <v>25</v>
      </c>
      <c r="B50" s="67">
        <f>((B23/B15)^(1/8)-1)*100</f>
        <v>3.3269691151555536</v>
      </c>
      <c r="C50" s="67">
        <f t="shared" ref="C50:M50" si="101">((C23/C15)^(1/8)-1)*100</f>
        <v>4.517601774895863</v>
      </c>
      <c r="D50" s="67">
        <f t="shared" si="101"/>
        <v>2.1711561975284344</v>
      </c>
      <c r="E50" s="67">
        <f t="shared" si="101"/>
        <v>3.8351328834289156</v>
      </c>
      <c r="F50" s="67">
        <f t="shared" si="101"/>
        <v>4.0306488596950629</v>
      </c>
      <c r="G50" s="67">
        <f t="shared" si="101"/>
        <v>2.9182600703763661</v>
      </c>
      <c r="H50" s="67">
        <f t="shared" si="101"/>
        <v>3.7837358770930196</v>
      </c>
      <c r="I50" s="67">
        <f t="shared" si="101"/>
        <v>4.902699413382261</v>
      </c>
      <c r="J50" s="67">
        <f t="shared" si="101"/>
        <v>2.8901539685768807</v>
      </c>
      <c r="K50" s="67">
        <f t="shared" si="101"/>
        <v>3.763915326722822</v>
      </c>
      <c r="L50" s="67">
        <f t="shared" si="101"/>
        <v>5.3293526327180318</v>
      </c>
      <c r="M50" s="67">
        <f t="shared" si="101"/>
        <v>2.7559896627408875</v>
      </c>
      <c r="O50" s="67">
        <f t="shared" ref="O50:Z50" si="102">((O38/O34)^(1/4)-1)*100</f>
        <v>-1.9021140017371096</v>
      </c>
      <c r="P50" s="67">
        <f t="shared" si="102"/>
        <v>0.49533378839676789</v>
      </c>
      <c r="Q50" s="67">
        <f t="shared" si="102"/>
        <v>-3.0568666389035215</v>
      </c>
      <c r="R50" s="67">
        <f t="shared" si="102"/>
        <v>-1.3945914822013017</v>
      </c>
      <c r="S50" s="67">
        <f t="shared" si="102"/>
        <v>0.47861570841192247</v>
      </c>
      <c r="T50" s="67">
        <f t="shared" si="102"/>
        <v>-2.2844777295391694</v>
      </c>
      <c r="U50" s="67">
        <f t="shared" si="102"/>
        <v>-1.8373400152884134</v>
      </c>
      <c r="V50" s="67">
        <f t="shared" si="102"/>
        <v>1.1152141253672587</v>
      </c>
      <c r="W50" s="67">
        <f t="shared" si="102"/>
        <v>-2.2835781289259893</v>
      </c>
      <c r="X50" s="67">
        <f t="shared" si="102"/>
        <v>-1.1825424275563878</v>
      </c>
      <c r="Y50" s="67">
        <f t="shared" si="102"/>
        <v>1.1768708647514448</v>
      </c>
      <c r="Z50" s="67">
        <f t="shared" si="102"/>
        <v>-2.412977288402407</v>
      </c>
      <c r="AA50" s="67"/>
      <c r="AB50" s="67"/>
      <c r="AC50" s="67"/>
      <c r="AD50" s="67"/>
      <c r="AE50" s="67"/>
      <c r="AF50" s="67"/>
      <c r="AG50" s="67"/>
      <c r="AH50" s="67"/>
      <c r="AI50" s="67"/>
      <c r="AJ50" s="67"/>
      <c r="AK50" s="67"/>
      <c r="AL50" s="67"/>
      <c r="AM50" s="67"/>
      <c r="AN50" s="67"/>
      <c r="AO50" s="67"/>
      <c r="AP50" s="67">
        <f t="shared" ref="AP50:BA50" si="103">((AP38/AP34)^(1/4)-1)*100</f>
        <v>-0.89184505754122956</v>
      </c>
      <c r="AQ50" s="67">
        <f t="shared" si="103"/>
        <v>0.62664828887419866</v>
      </c>
      <c r="AR50" s="67">
        <f t="shared" si="103"/>
        <v>-2.2684212476875132</v>
      </c>
      <c r="AS50" s="67">
        <f t="shared" si="103"/>
        <v>-0.72257180827581813</v>
      </c>
      <c r="AT50" s="67">
        <f t="shared" si="103"/>
        <v>-0.59205109074760287</v>
      </c>
      <c r="AU50" s="67">
        <f t="shared" si="103"/>
        <v>-1.2666016479443765</v>
      </c>
      <c r="AV50" s="67">
        <f t="shared" si="103"/>
        <v>-0.78850923496200931</v>
      </c>
      <c r="AW50" s="67">
        <f t="shared" si="103"/>
        <v>4.0791360715863867E-2</v>
      </c>
      <c r="AX50" s="67">
        <f t="shared" si="103"/>
        <v>-1.4325693582308063</v>
      </c>
      <c r="AY50" s="67">
        <f t="shared" si="103"/>
        <v>-1.2756679242454605</v>
      </c>
      <c r="AZ50" s="67">
        <f t="shared" si="103"/>
        <v>-3.9718798794019516E-2</v>
      </c>
      <c r="BA50" s="67">
        <f t="shared" si="103"/>
        <v>-2.0543177506474053</v>
      </c>
      <c r="BD50" s="176">
        <v>27334</v>
      </c>
      <c r="BE50" s="64">
        <v>41.6</v>
      </c>
      <c r="BF50" s="64">
        <v>41.7</v>
      </c>
      <c r="BG50" s="64">
        <v>41.5</v>
      </c>
      <c r="BH50" s="64">
        <v>40.799999999999997</v>
      </c>
      <c r="BI50" s="64">
        <v>42</v>
      </c>
      <c r="BJ50" s="64">
        <v>39</v>
      </c>
      <c r="BK50" s="64">
        <v>40.799999999999997</v>
      </c>
      <c r="BL50" s="64">
        <v>41.9</v>
      </c>
      <c r="BM50" s="64">
        <v>39.299999999999997</v>
      </c>
      <c r="BN50" s="64">
        <v>37.9</v>
      </c>
      <c r="BO50" s="64">
        <v>39</v>
      </c>
      <c r="BP50" s="64">
        <v>36.799999999999997</v>
      </c>
    </row>
    <row r="51" spans="1:68">
      <c r="A51" s="64" t="s">
        <v>26</v>
      </c>
      <c r="B51" s="67">
        <f>((B34/B23)^(1/11)-1)*100</f>
        <v>2.2363711907935402</v>
      </c>
      <c r="C51" s="67">
        <f t="shared" ref="C51:M51" si="104">((C34/C23)^(1/11)-1)*100</f>
        <v>1.6926085332628293</v>
      </c>
      <c r="D51" s="67">
        <f t="shared" si="104"/>
        <v>2.6717066078950635</v>
      </c>
      <c r="E51" s="67">
        <f t="shared" si="104"/>
        <v>3.142267169552504</v>
      </c>
      <c r="F51" s="67">
        <f t="shared" si="104"/>
        <v>3.148901190507547</v>
      </c>
      <c r="G51" s="67">
        <f t="shared" si="104"/>
        <v>3.4097024376015472</v>
      </c>
      <c r="H51" s="67">
        <f t="shared" si="104"/>
        <v>3.2341097459267498</v>
      </c>
      <c r="I51" s="67">
        <f t="shared" si="104"/>
        <v>2.8014458455814406</v>
      </c>
      <c r="J51" s="67">
        <f t="shared" si="104"/>
        <v>3.4383048264018834</v>
      </c>
      <c r="K51" s="67">
        <f t="shared" si="104"/>
        <v>3.3703167223516406</v>
      </c>
      <c r="L51" s="67">
        <f t="shared" si="104"/>
        <v>2.8972017106827952</v>
      </c>
      <c r="M51" s="67">
        <f t="shared" si="104"/>
        <v>3.6992984220938663</v>
      </c>
      <c r="O51" s="67">
        <f t="shared" ref="O51:Z51" si="105">((O39/O31)^(1/8)-1)*100</f>
        <v>-0.78696305225012253</v>
      </c>
      <c r="P51" s="67">
        <f t="shared" si="105"/>
        <v>0.62072097384193725</v>
      </c>
      <c r="Q51" s="67">
        <f t="shared" si="105"/>
        <v>-1.4950387674259269</v>
      </c>
      <c r="R51" s="67">
        <f t="shared" si="105"/>
        <v>0.36398689897958469</v>
      </c>
      <c r="S51" s="67">
        <f t="shared" si="105"/>
        <v>1.7125135103952083</v>
      </c>
      <c r="T51" s="67">
        <f t="shared" si="105"/>
        <v>-0.28717381334393277</v>
      </c>
      <c r="U51" s="67">
        <f t="shared" si="105"/>
        <v>3.1215873622492118E-2</v>
      </c>
      <c r="V51" s="67">
        <f t="shared" si="105"/>
        <v>1.8698220808723631</v>
      </c>
      <c r="W51" s="67">
        <f t="shared" si="105"/>
        <v>-0.25857812929725998</v>
      </c>
      <c r="X51" s="67">
        <f t="shared" si="105"/>
        <v>0.4279110816095999</v>
      </c>
      <c r="Y51" s="67">
        <f t="shared" si="105"/>
        <v>2.1444545851399432</v>
      </c>
      <c r="Z51" s="67">
        <f t="shared" si="105"/>
        <v>-0.50573696937672441</v>
      </c>
      <c r="AA51" s="67"/>
      <c r="AB51" s="67"/>
      <c r="AC51" s="67"/>
      <c r="AD51" s="67"/>
      <c r="AE51" s="67"/>
      <c r="AF51" s="67"/>
      <c r="AG51" s="67"/>
      <c r="AH51" s="67"/>
      <c r="AI51" s="67"/>
      <c r="AJ51" s="67"/>
      <c r="AK51" s="67"/>
      <c r="AL51" s="67"/>
      <c r="AM51" s="67"/>
      <c r="AN51" s="67"/>
      <c r="AO51" s="67"/>
      <c r="AP51" s="67">
        <f t="shared" ref="AP51:BA51" si="106">((AP39/AP31)^(1/8)-1)*100</f>
        <v>0.22135742570679184</v>
      </c>
      <c r="AQ51" s="67">
        <f t="shared" si="106"/>
        <v>1.0825965423341577</v>
      </c>
      <c r="AR51" s="67">
        <f t="shared" si="106"/>
        <v>-0.59937621460303125</v>
      </c>
      <c r="AS51" s="67">
        <f t="shared" si="106"/>
        <v>0.30469184669839056</v>
      </c>
      <c r="AT51" s="67">
        <f t="shared" si="106"/>
        <v>0.29387166393757269</v>
      </c>
      <c r="AU51" s="67">
        <f>((AU39/AU31)^(1/8)-1)*100</f>
        <v>0.37183065279358107</v>
      </c>
      <c r="AV51" s="67">
        <f t="shared" si="106"/>
        <v>0.48435466773695257</v>
      </c>
      <c r="AW51" s="67">
        <f t="shared" si="106"/>
        <v>0.97872847426392351</v>
      </c>
      <c r="AX51" s="67">
        <f t="shared" si="106"/>
        <v>7.9286683769175248E-2</v>
      </c>
      <c r="AY51" s="67">
        <f t="shared" si="106"/>
        <v>0.14162837207658541</v>
      </c>
      <c r="AZ51" s="67">
        <f t="shared" si="106"/>
        <v>0.58204251555200592</v>
      </c>
      <c r="BA51" s="67">
        <f t="shared" si="106"/>
        <v>-0.14874412424370487</v>
      </c>
      <c r="BD51" s="176">
        <v>27426</v>
      </c>
      <c r="BE51" s="64">
        <v>42.9</v>
      </c>
      <c r="BF51" s="64">
        <v>42.8</v>
      </c>
      <c r="BG51" s="64">
        <v>42.9</v>
      </c>
      <c r="BH51" s="64">
        <v>42.8</v>
      </c>
      <c r="BI51" s="64">
        <v>43.8</v>
      </c>
      <c r="BJ51" s="64">
        <v>41.4</v>
      </c>
      <c r="BK51" s="64">
        <v>40.9</v>
      </c>
      <c r="BL51" s="64">
        <v>42</v>
      </c>
      <c r="BM51" s="64">
        <v>39.6</v>
      </c>
      <c r="BN51" s="64">
        <v>39.299999999999997</v>
      </c>
      <c r="BO51" s="64">
        <v>40.6</v>
      </c>
      <c r="BP51" s="64">
        <v>38.1</v>
      </c>
    </row>
    <row r="52" spans="1:68">
      <c r="A52" s="64" t="s">
        <v>1018</v>
      </c>
      <c r="B52" s="67">
        <f t="shared" ref="B52:M52" si="107">((B41/B31)^(1/10)-1)*100</f>
        <v>-1.2393879731250057</v>
      </c>
      <c r="C52" s="67">
        <f t="shared" si="107"/>
        <v>0.40503721246543112</v>
      </c>
      <c r="D52" s="67">
        <f t="shared" si="107"/>
        <v>-2.1129789968196255</v>
      </c>
      <c r="E52" s="67">
        <f t="shared" si="107"/>
        <v>-0.24512568836366766</v>
      </c>
      <c r="F52" s="67">
        <f t="shared" si="107"/>
        <v>1.0148744441490498</v>
      </c>
      <c r="G52" s="67">
        <f t="shared" si="107"/>
        <v>-0.85980899522457577</v>
      </c>
      <c r="H52" s="67">
        <f t="shared" si="107"/>
        <v>-0.48285786740039915</v>
      </c>
      <c r="I52" s="67">
        <f t="shared" si="107"/>
        <v>1.7397772145367085</v>
      </c>
      <c r="J52" s="67">
        <f t="shared" si="107"/>
        <v>-0.84653032488424262</v>
      </c>
      <c r="K52" s="67">
        <f t="shared" si="107"/>
        <v>9.9552829497362438E-2</v>
      </c>
      <c r="L52" s="67">
        <f t="shared" si="107"/>
        <v>2.1145202067721192</v>
      </c>
      <c r="M52" s="67">
        <f t="shared" si="107"/>
        <v>-1.0563232670776301</v>
      </c>
      <c r="AB52" s="176">
        <v>36770</v>
      </c>
      <c r="AC52" s="64">
        <v>104.1</v>
      </c>
      <c r="AD52" s="64">
        <v>103.1</v>
      </c>
      <c r="AE52" s="64">
        <v>104.6</v>
      </c>
      <c r="AF52" s="64">
        <v>110.6</v>
      </c>
      <c r="AG52" s="64">
        <v>111.8</v>
      </c>
      <c r="AH52" s="64">
        <v>110.1</v>
      </c>
      <c r="AI52" s="64">
        <v>111</v>
      </c>
      <c r="AJ52" s="64">
        <v>108.8</v>
      </c>
      <c r="AK52" s="64">
        <v>111.3</v>
      </c>
      <c r="AL52" s="64">
        <v>109.6</v>
      </c>
      <c r="AM52" s="64">
        <v>109.6</v>
      </c>
      <c r="AN52" s="64">
        <v>109.6</v>
      </c>
      <c r="BD52" s="176">
        <v>27515</v>
      </c>
      <c r="BE52" s="64">
        <v>44.1</v>
      </c>
      <c r="BF52" s="64">
        <v>43.8</v>
      </c>
      <c r="BG52" s="64">
        <v>44.4</v>
      </c>
      <c r="BH52" s="64">
        <v>43.7</v>
      </c>
      <c r="BI52" s="64">
        <v>44.6</v>
      </c>
      <c r="BJ52" s="64">
        <v>42.6</v>
      </c>
      <c r="BK52" s="64">
        <v>41.6</v>
      </c>
      <c r="BL52" s="64">
        <v>42.5</v>
      </c>
      <c r="BM52" s="64">
        <v>40.5</v>
      </c>
      <c r="BN52" s="64">
        <v>40</v>
      </c>
      <c r="BO52" s="64">
        <v>41.2</v>
      </c>
      <c r="BP52" s="64">
        <v>39</v>
      </c>
    </row>
    <row r="53" spans="1:68">
      <c r="A53" s="64" t="s">
        <v>662</v>
      </c>
      <c r="B53" s="67">
        <f t="shared" ref="B53:M53" si="108">((B38/B34)^(1/4)-1)*100</f>
        <v>-1.9021140017371096</v>
      </c>
      <c r="C53" s="67">
        <f t="shared" si="108"/>
        <v>0.4953337883967901</v>
      </c>
      <c r="D53" s="67">
        <f t="shared" si="108"/>
        <v>-3.0568666389035215</v>
      </c>
      <c r="E53" s="67">
        <f t="shared" si="108"/>
        <v>-1.3945914822013017</v>
      </c>
      <c r="F53" s="67">
        <f t="shared" si="108"/>
        <v>0.47861570841192247</v>
      </c>
      <c r="G53" s="67">
        <f t="shared" si="108"/>
        <v>-2.2844777295391694</v>
      </c>
      <c r="H53" s="67">
        <f t="shared" si="108"/>
        <v>-1.8373400152884023</v>
      </c>
      <c r="I53" s="67">
        <f t="shared" si="108"/>
        <v>1.1152141253672587</v>
      </c>
      <c r="J53" s="67">
        <f t="shared" si="108"/>
        <v>-2.2835781289259893</v>
      </c>
      <c r="K53" s="67">
        <f t="shared" si="108"/>
        <v>-1.1825424275563989</v>
      </c>
      <c r="L53" s="67">
        <f t="shared" si="108"/>
        <v>1.1768708647514448</v>
      </c>
      <c r="M53" s="67">
        <f t="shared" si="108"/>
        <v>-2.4129772884023959</v>
      </c>
      <c r="AB53" s="176">
        <v>36861</v>
      </c>
      <c r="AC53" s="64">
        <v>106.9</v>
      </c>
      <c r="AD53" s="64">
        <v>103.3</v>
      </c>
      <c r="AE53" s="64">
        <v>108.6</v>
      </c>
      <c r="AF53" s="64">
        <v>113.1</v>
      </c>
      <c r="AG53" s="64">
        <v>112.2</v>
      </c>
      <c r="AH53" s="64">
        <v>113.6</v>
      </c>
      <c r="AI53" s="64">
        <v>114.1</v>
      </c>
      <c r="AJ53" s="64">
        <v>108.9</v>
      </c>
      <c r="AK53" s="64">
        <v>114.9</v>
      </c>
      <c r="AL53" s="64">
        <v>111.9</v>
      </c>
      <c r="AM53" s="64">
        <v>109.6</v>
      </c>
      <c r="AN53" s="64">
        <v>113</v>
      </c>
      <c r="BD53" s="176">
        <v>27607</v>
      </c>
      <c r="BE53" s="64">
        <v>45</v>
      </c>
      <c r="BF53" s="64">
        <v>44.7</v>
      </c>
      <c r="BG53" s="64">
        <v>45.2</v>
      </c>
      <c r="BH53" s="64">
        <v>44.5</v>
      </c>
      <c r="BI53" s="64">
        <v>45.4</v>
      </c>
      <c r="BJ53" s="64">
        <v>43.2</v>
      </c>
      <c r="BK53" s="64">
        <v>42.2</v>
      </c>
      <c r="BL53" s="64">
        <v>43</v>
      </c>
      <c r="BM53" s="64">
        <v>41.3</v>
      </c>
      <c r="BN53" s="64">
        <v>41.5</v>
      </c>
      <c r="BO53" s="64">
        <v>42.7</v>
      </c>
      <c r="BP53" s="64">
        <v>40.4</v>
      </c>
    </row>
    <row r="54" spans="1:68" ht="15" customHeight="1">
      <c r="A54" s="64" t="s">
        <v>668</v>
      </c>
      <c r="B54" s="67">
        <f t="shared" ref="B54:M54" si="109">((B39/B31)^(1/8)-1)*100</f>
        <v>-0.78696305225012253</v>
      </c>
      <c r="C54" s="67">
        <f t="shared" si="109"/>
        <v>0.62072097384193725</v>
      </c>
      <c r="D54" s="67">
        <f t="shared" si="109"/>
        <v>-1.4950387674259269</v>
      </c>
      <c r="E54" s="67">
        <f t="shared" si="109"/>
        <v>0.36398689897958469</v>
      </c>
      <c r="F54" s="67">
        <f t="shared" si="109"/>
        <v>1.7125135103952083</v>
      </c>
      <c r="G54" s="67">
        <f t="shared" si="109"/>
        <v>-0.28717381334393277</v>
      </c>
      <c r="H54" s="67">
        <f t="shared" si="109"/>
        <v>3.1215873622492118E-2</v>
      </c>
      <c r="I54" s="67">
        <f t="shared" si="109"/>
        <v>1.8698220808723631</v>
      </c>
      <c r="J54" s="67">
        <f t="shared" si="109"/>
        <v>-0.25857812929725998</v>
      </c>
      <c r="K54" s="67">
        <f t="shared" si="109"/>
        <v>0.4279110816095999</v>
      </c>
      <c r="L54" s="67">
        <f t="shared" si="109"/>
        <v>2.1444545851399432</v>
      </c>
      <c r="M54" s="67">
        <f t="shared" si="109"/>
        <v>-0.50573696937672441</v>
      </c>
      <c r="N54" s="77"/>
      <c r="O54" s="77"/>
      <c r="P54" s="77"/>
      <c r="Q54" s="77"/>
      <c r="R54" s="77"/>
      <c r="S54" s="77"/>
      <c r="T54" s="77"/>
      <c r="U54" s="77"/>
      <c r="V54" s="77"/>
      <c r="W54" s="77"/>
      <c r="X54" s="77"/>
      <c r="Y54" s="77"/>
      <c r="Z54" s="77"/>
      <c r="AB54" s="176">
        <v>36951</v>
      </c>
      <c r="AC54" s="64">
        <v>107</v>
      </c>
      <c r="AD54" s="64">
        <v>104.1</v>
      </c>
      <c r="AE54" s="64">
        <v>108.4</v>
      </c>
      <c r="AF54" s="64">
        <v>112.9</v>
      </c>
      <c r="AG54" s="64">
        <v>112.7</v>
      </c>
      <c r="AH54" s="64">
        <v>113</v>
      </c>
      <c r="AI54" s="64">
        <v>114.6</v>
      </c>
      <c r="AJ54" s="64">
        <v>110</v>
      </c>
      <c r="AK54" s="64">
        <v>115.3</v>
      </c>
      <c r="AL54" s="64">
        <v>112.3</v>
      </c>
      <c r="AM54" s="64">
        <v>110.2</v>
      </c>
      <c r="AN54" s="64">
        <v>113.4</v>
      </c>
      <c r="BD54" s="176">
        <v>27699</v>
      </c>
      <c r="BE54" s="64">
        <v>45.8</v>
      </c>
      <c r="BF54" s="64">
        <v>45.7</v>
      </c>
      <c r="BG54" s="64">
        <v>45.9</v>
      </c>
      <c r="BH54" s="64">
        <v>45.4</v>
      </c>
      <c r="BI54" s="64">
        <v>46.4</v>
      </c>
      <c r="BJ54" s="64">
        <v>44</v>
      </c>
      <c r="BK54" s="64">
        <v>43.3</v>
      </c>
      <c r="BL54" s="64">
        <v>44.1</v>
      </c>
      <c r="BM54" s="64">
        <v>42.3</v>
      </c>
      <c r="BN54" s="64">
        <v>42.4</v>
      </c>
      <c r="BO54" s="64">
        <v>43.7</v>
      </c>
      <c r="BP54" s="64">
        <v>41.2</v>
      </c>
    </row>
    <row r="55" spans="1:68">
      <c r="A55" s="64" t="s">
        <v>588</v>
      </c>
      <c r="B55" s="67">
        <f>((B41/B34)^(1/7)-1)*100</f>
        <v>-2.3782748694410216</v>
      </c>
      <c r="C55" s="67">
        <f t="shared" ref="C55:M55" si="110">((C41/C34)^(1/7)-1)*100</f>
        <v>0.19705079831171535</v>
      </c>
      <c r="D55" s="67">
        <f t="shared" si="110"/>
        <v>-3.7244815130638931</v>
      </c>
      <c r="E55" s="67">
        <f t="shared" si="110"/>
        <v>-1.7894797069778701</v>
      </c>
      <c r="F55" s="67">
        <f t="shared" si="110"/>
        <v>-0.11248650890093304</v>
      </c>
      <c r="G55" s="67">
        <f t="shared" si="110"/>
        <v>-2.6119828463782579</v>
      </c>
      <c r="H55" s="67">
        <f t="shared" si="110"/>
        <v>-2.1838431174470041</v>
      </c>
      <c r="I55" s="67">
        <f t="shared" si="110"/>
        <v>1.2970633152414202</v>
      </c>
      <c r="J55" s="67">
        <f t="shared" si="110"/>
        <v>-2.7439955143292893</v>
      </c>
      <c r="K55" s="67">
        <f t="shared" si="110"/>
        <v>-1.1799057979634764</v>
      </c>
      <c r="L55" s="67">
        <f t="shared" si="110"/>
        <v>1.6972187804321415</v>
      </c>
      <c r="M55" s="67">
        <f t="shared" si="110"/>
        <v>-2.8186534948089315</v>
      </c>
      <c r="N55" s="77"/>
      <c r="O55" s="77"/>
      <c r="P55" s="77"/>
      <c r="Q55" s="77"/>
      <c r="R55" s="77"/>
      <c r="S55" s="77"/>
      <c r="T55" s="77"/>
      <c r="U55" s="77"/>
      <c r="V55" s="77"/>
      <c r="W55" s="77"/>
      <c r="X55" s="77"/>
      <c r="Y55" s="77"/>
      <c r="Z55" s="77"/>
      <c r="AB55" s="176">
        <v>37043</v>
      </c>
      <c r="AC55" s="64">
        <v>107.6</v>
      </c>
      <c r="AD55" s="64">
        <v>104.6</v>
      </c>
      <c r="AE55" s="64">
        <v>109.1</v>
      </c>
      <c r="AF55" s="64">
        <v>113.4</v>
      </c>
      <c r="AG55" s="64">
        <v>113</v>
      </c>
      <c r="AH55" s="64">
        <v>113.5</v>
      </c>
      <c r="AI55" s="64">
        <v>115.7</v>
      </c>
      <c r="AJ55" s="64">
        <v>110.6</v>
      </c>
      <c r="AK55" s="64">
        <v>116.5</v>
      </c>
      <c r="AL55" s="64">
        <v>113.2</v>
      </c>
      <c r="AM55" s="64">
        <v>110.6</v>
      </c>
      <c r="AN55" s="64">
        <v>114.4</v>
      </c>
      <c r="BD55" s="176">
        <v>27791</v>
      </c>
      <c r="BE55" s="64">
        <v>46.2</v>
      </c>
      <c r="BF55" s="64">
        <v>46.2</v>
      </c>
      <c r="BG55" s="64">
        <v>46.1</v>
      </c>
      <c r="BH55" s="64">
        <v>45.8</v>
      </c>
      <c r="BI55" s="64">
        <v>47.1</v>
      </c>
      <c r="BJ55" s="64">
        <v>44.1</v>
      </c>
      <c r="BK55" s="64">
        <v>43.9</v>
      </c>
      <c r="BL55" s="64">
        <v>45</v>
      </c>
      <c r="BM55" s="64">
        <v>42.6</v>
      </c>
      <c r="BN55" s="64">
        <v>44</v>
      </c>
      <c r="BO55" s="64">
        <v>45.4</v>
      </c>
      <c r="BP55" s="64">
        <v>42.5</v>
      </c>
    </row>
    <row r="56" spans="1:68">
      <c r="AB56" s="176">
        <v>37135</v>
      </c>
      <c r="AC56" s="64">
        <v>107.3</v>
      </c>
      <c r="AD56" s="64">
        <v>104.4</v>
      </c>
      <c r="AE56" s="64">
        <v>108.7</v>
      </c>
      <c r="AF56" s="64">
        <v>113.3</v>
      </c>
      <c r="AG56" s="64">
        <v>112.8</v>
      </c>
      <c r="AH56" s="64">
        <v>113.5</v>
      </c>
      <c r="AI56" s="64">
        <v>116.2</v>
      </c>
      <c r="AJ56" s="64">
        <v>110.5</v>
      </c>
      <c r="AK56" s="64">
        <v>117</v>
      </c>
      <c r="AL56" s="64">
        <v>113.4</v>
      </c>
      <c r="AM56" s="64">
        <v>110.5</v>
      </c>
      <c r="AN56" s="64">
        <v>114.8</v>
      </c>
      <c r="BD56" s="176">
        <v>27881</v>
      </c>
      <c r="BE56" s="64">
        <v>46.4</v>
      </c>
      <c r="BF56" s="64">
        <v>46.6</v>
      </c>
      <c r="BG56" s="64">
        <v>46.1</v>
      </c>
      <c r="BH56" s="64">
        <v>46.2</v>
      </c>
      <c r="BI56" s="64">
        <v>47.8</v>
      </c>
      <c r="BJ56" s="64">
        <v>44.1</v>
      </c>
      <c r="BK56" s="64">
        <v>44.3</v>
      </c>
      <c r="BL56" s="64">
        <v>45.6</v>
      </c>
      <c r="BM56" s="64">
        <v>42.8</v>
      </c>
      <c r="BN56" s="64">
        <v>44.4</v>
      </c>
      <c r="BO56" s="64">
        <v>46</v>
      </c>
      <c r="BP56" s="64">
        <v>42.9</v>
      </c>
    </row>
    <row r="57" spans="1:68" ht="15" customHeight="1">
      <c r="A57" s="64" t="s">
        <v>500</v>
      </c>
      <c r="AB57" s="176">
        <v>37226</v>
      </c>
      <c r="AC57" s="64">
        <v>108.7</v>
      </c>
      <c r="AD57" s="64">
        <v>104.7</v>
      </c>
      <c r="AE57" s="64">
        <v>110.6</v>
      </c>
      <c r="AF57" s="64">
        <v>114</v>
      </c>
      <c r="AG57" s="64">
        <v>113.3</v>
      </c>
      <c r="AH57" s="64">
        <v>114.4</v>
      </c>
      <c r="AI57" s="64">
        <v>117.5</v>
      </c>
      <c r="AJ57" s="64">
        <v>110.8</v>
      </c>
      <c r="AK57" s="64">
        <v>118.5</v>
      </c>
      <c r="AL57" s="64">
        <v>114.7</v>
      </c>
      <c r="AM57" s="64">
        <v>110.6</v>
      </c>
      <c r="AN57" s="64">
        <v>116.7</v>
      </c>
      <c r="BD57" s="176">
        <v>27973</v>
      </c>
      <c r="BE57" s="64">
        <v>47</v>
      </c>
      <c r="BF57" s="64">
        <v>47.2</v>
      </c>
      <c r="BG57" s="64">
        <v>46.6</v>
      </c>
      <c r="BH57" s="64">
        <v>46.4</v>
      </c>
      <c r="BI57" s="64">
        <v>47.9</v>
      </c>
      <c r="BJ57" s="64">
        <v>44.3</v>
      </c>
      <c r="BK57" s="64">
        <v>45</v>
      </c>
      <c r="BL57" s="64">
        <v>46.2</v>
      </c>
      <c r="BM57" s="64">
        <v>43.4</v>
      </c>
      <c r="BN57" s="64">
        <v>45.6</v>
      </c>
      <c r="BO57" s="64">
        <v>47.1</v>
      </c>
      <c r="BP57" s="64">
        <v>44.1</v>
      </c>
    </row>
    <row r="58" spans="1:68">
      <c r="A58" s="104" t="s">
        <v>1356</v>
      </c>
      <c r="B58" s="104"/>
      <c r="C58" s="104"/>
      <c r="D58" s="104"/>
      <c r="E58" s="104"/>
      <c r="F58" s="104"/>
      <c r="G58" s="104"/>
      <c r="H58" s="104"/>
      <c r="I58" s="104"/>
      <c r="J58" s="104"/>
      <c r="K58" s="104"/>
      <c r="L58" s="104"/>
      <c r="M58" s="104"/>
      <c r="AB58" s="176">
        <v>37316</v>
      </c>
      <c r="AC58" s="64">
        <v>110</v>
      </c>
      <c r="AD58" s="64">
        <v>105.6</v>
      </c>
      <c r="AE58" s="64">
        <v>112.1</v>
      </c>
      <c r="AF58" s="64">
        <v>116.9</v>
      </c>
      <c r="AG58" s="64">
        <v>114.2</v>
      </c>
      <c r="AH58" s="64">
        <v>118.1</v>
      </c>
      <c r="AI58" s="64">
        <v>119.5</v>
      </c>
      <c r="AJ58" s="64">
        <v>111.3</v>
      </c>
      <c r="AK58" s="64">
        <v>120.6</v>
      </c>
      <c r="AL58" s="64">
        <v>115.7</v>
      </c>
      <c r="AM58" s="64">
        <v>110.7</v>
      </c>
      <c r="AN58" s="64">
        <v>118.2</v>
      </c>
      <c r="BD58" s="176">
        <v>28065</v>
      </c>
      <c r="BE58" s="64">
        <v>47.8</v>
      </c>
      <c r="BF58" s="64">
        <v>47.8</v>
      </c>
      <c r="BG58" s="64">
        <v>47.6</v>
      </c>
      <c r="BH58" s="64">
        <v>47.5</v>
      </c>
      <c r="BI58" s="64">
        <v>48.7</v>
      </c>
      <c r="BJ58" s="64">
        <v>45.8</v>
      </c>
      <c r="BK58" s="64">
        <v>45.6</v>
      </c>
      <c r="BL58" s="64">
        <v>46.7</v>
      </c>
      <c r="BM58" s="64">
        <v>44.3</v>
      </c>
      <c r="BN58" s="64">
        <v>46.2</v>
      </c>
      <c r="BO58" s="64">
        <v>47.7</v>
      </c>
      <c r="BP58" s="64">
        <v>44.8</v>
      </c>
    </row>
    <row r="59" spans="1:68" ht="30" customHeight="1">
      <c r="A59" s="104" t="s">
        <v>1357</v>
      </c>
      <c r="B59" s="104"/>
      <c r="C59" s="104"/>
      <c r="D59" s="104"/>
      <c r="E59" s="104"/>
      <c r="F59" s="104"/>
      <c r="G59" s="104"/>
      <c r="H59" s="104"/>
      <c r="I59" s="104"/>
      <c r="J59" s="104"/>
      <c r="K59" s="104"/>
      <c r="L59" s="104"/>
      <c r="M59" s="104"/>
      <c r="AB59" s="176">
        <v>37408</v>
      </c>
      <c r="AC59" s="64">
        <v>108.6</v>
      </c>
      <c r="AD59" s="64">
        <v>105.4</v>
      </c>
      <c r="AE59" s="64">
        <v>110.1</v>
      </c>
      <c r="AF59" s="64">
        <v>115.8</v>
      </c>
      <c r="AG59" s="64">
        <v>114</v>
      </c>
      <c r="AH59" s="64">
        <v>116.6</v>
      </c>
      <c r="AI59" s="64">
        <v>118.3</v>
      </c>
      <c r="AJ59" s="64">
        <v>111.4</v>
      </c>
      <c r="AK59" s="64">
        <v>119.2</v>
      </c>
      <c r="AL59" s="64">
        <v>114.6</v>
      </c>
      <c r="AM59" s="64">
        <v>110.7</v>
      </c>
      <c r="AN59" s="64">
        <v>116.5</v>
      </c>
      <c r="BD59" s="176">
        <v>28157</v>
      </c>
      <c r="BE59" s="64">
        <v>49.6</v>
      </c>
      <c r="BF59" s="64">
        <v>49.4</v>
      </c>
      <c r="BG59" s="64">
        <v>49.9</v>
      </c>
      <c r="BH59" s="64">
        <v>49.5</v>
      </c>
      <c r="BI59" s="64">
        <v>50.3</v>
      </c>
      <c r="BJ59" s="64">
        <v>48.5</v>
      </c>
      <c r="BK59" s="64">
        <v>47.6</v>
      </c>
      <c r="BL59" s="64">
        <v>48.6</v>
      </c>
      <c r="BM59" s="64">
        <v>46.5</v>
      </c>
      <c r="BN59" s="64">
        <v>47.4</v>
      </c>
      <c r="BO59" s="64">
        <v>48.8</v>
      </c>
      <c r="BP59" s="64">
        <v>46.2</v>
      </c>
    </row>
    <row r="60" spans="1:68">
      <c r="AB60" s="176">
        <v>37500</v>
      </c>
      <c r="AC60" s="64">
        <v>107.9</v>
      </c>
      <c r="AD60" s="64">
        <v>105.5</v>
      </c>
      <c r="AE60" s="64">
        <v>109.1</v>
      </c>
      <c r="AF60" s="64">
        <v>115.6</v>
      </c>
      <c r="AG60" s="64">
        <v>113.8</v>
      </c>
      <c r="AH60" s="64">
        <v>116.4</v>
      </c>
      <c r="AI60" s="64">
        <v>117.9</v>
      </c>
      <c r="AJ60" s="64">
        <v>111.5</v>
      </c>
      <c r="AK60" s="64">
        <v>118.8</v>
      </c>
      <c r="AL60" s="64">
        <v>114.5</v>
      </c>
      <c r="AM60" s="64">
        <v>110.9</v>
      </c>
      <c r="AN60" s="64">
        <v>116.3</v>
      </c>
      <c r="BD60" s="176">
        <v>28246</v>
      </c>
      <c r="BE60" s="64">
        <v>50.7</v>
      </c>
      <c r="BF60" s="64">
        <v>50.3</v>
      </c>
      <c r="BG60" s="64">
        <v>51.1</v>
      </c>
      <c r="BH60" s="64">
        <v>50.6</v>
      </c>
      <c r="BI60" s="64">
        <v>51.1</v>
      </c>
      <c r="BJ60" s="64">
        <v>50.1</v>
      </c>
      <c r="BK60" s="64">
        <v>48.7</v>
      </c>
      <c r="BL60" s="64">
        <v>49.5</v>
      </c>
      <c r="BM60" s="64">
        <v>47.8</v>
      </c>
      <c r="BN60" s="64">
        <v>48.2</v>
      </c>
      <c r="BO60" s="64">
        <v>49.6</v>
      </c>
      <c r="BP60" s="64">
        <v>47</v>
      </c>
    </row>
    <row r="61" spans="1:68" ht="15" customHeight="1">
      <c r="AB61" s="176">
        <v>37591</v>
      </c>
      <c r="AC61" s="64">
        <v>109.5</v>
      </c>
      <c r="AD61" s="64">
        <v>105.8</v>
      </c>
      <c r="AE61" s="64">
        <v>111.3</v>
      </c>
      <c r="AF61" s="64">
        <v>116.8</v>
      </c>
      <c r="AG61" s="64">
        <v>114.2</v>
      </c>
      <c r="AH61" s="64">
        <v>118</v>
      </c>
      <c r="AI61" s="64">
        <v>119.8</v>
      </c>
      <c r="AJ61" s="64">
        <v>111.9</v>
      </c>
      <c r="AK61" s="64">
        <v>120.9</v>
      </c>
      <c r="AL61" s="64">
        <v>115.8</v>
      </c>
      <c r="AM61" s="64">
        <v>111.5</v>
      </c>
      <c r="AN61" s="64">
        <v>117.9</v>
      </c>
      <c r="BD61" s="176">
        <v>28338</v>
      </c>
      <c r="BE61" s="64">
        <v>51.7</v>
      </c>
      <c r="BF61" s="64">
        <v>51.2</v>
      </c>
      <c r="BG61" s="64">
        <v>52.4</v>
      </c>
      <c r="BH61" s="64">
        <v>51.6</v>
      </c>
      <c r="BI61" s="64">
        <v>51.9</v>
      </c>
      <c r="BJ61" s="64">
        <v>51.4</v>
      </c>
      <c r="BK61" s="64">
        <v>49.5</v>
      </c>
      <c r="BL61" s="64">
        <v>50.1</v>
      </c>
      <c r="BM61" s="64">
        <v>49.1</v>
      </c>
      <c r="BN61" s="64">
        <v>49.2</v>
      </c>
      <c r="BO61" s="64">
        <v>50.5</v>
      </c>
      <c r="BP61" s="64">
        <v>48.1</v>
      </c>
    </row>
    <row r="62" spans="1:68">
      <c r="AB62" s="176">
        <v>37681</v>
      </c>
      <c r="AC62" s="64">
        <v>106.5</v>
      </c>
      <c r="AD62" s="64">
        <v>105.7</v>
      </c>
      <c r="AE62" s="64">
        <v>106.9</v>
      </c>
      <c r="AF62" s="64">
        <v>114.1</v>
      </c>
      <c r="AG62" s="64">
        <v>113.9</v>
      </c>
      <c r="AH62" s="64">
        <v>114.1</v>
      </c>
      <c r="AI62" s="64">
        <v>115.7</v>
      </c>
      <c r="AJ62" s="64">
        <v>112.5</v>
      </c>
      <c r="AK62" s="64">
        <v>116.1</v>
      </c>
      <c r="AL62" s="64">
        <v>113</v>
      </c>
      <c r="AM62" s="64">
        <v>112</v>
      </c>
      <c r="AN62" s="64">
        <v>113.5</v>
      </c>
      <c r="BD62" s="176">
        <v>28430</v>
      </c>
      <c r="BE62" s="64">
        <v>53.7</v>
      </c>
      <c r="BF62" s="64">
        <v>52.9</v>
      </c>
      <c r="BG62" s="64">
        <v>54.8</v>
      </c>
      <c r="BH62" s="64">
        <v>53.9</v>
      </c>
      <c r="BI62" s="64">
        <v>53.9</v>
      </c>
      <c r="BJ62" s="64">
        <v>54.3</v>
      </c>
      <c r="BK62" s="64">
        <v>51.5</v>
      </c>
      <c r="BL62" s="64">
        <v>51.5</v>
      </c>
      <c r="BM62" s="64">
        <v>51.9</v>
      </c>
      <c r="BN62" s="64">
        <v>50.4</v>
      </c>
      <c r="BO62" s="64">
        <v>51.5</v>
      </c>
      <c r="BP62" s="64">
        <v>49.6</v>
      </c>
    </row>
    <row r="63" spans="1:68">
      <c r="AB63" s="176">
        <v>37773</v>
      </c>
      <c r="AC63" s="64">
        <v>100.1</v>
      </c>
      <c r="AD63" s="64">
        <v>104.8</v>
      </c>
      <c r="AE63" s="64">
        <v>97.9</v>
      </c>
      <c r="AF63" s="64">
        <v>107.1</v>
      </c>
      <c r="AG63" s="64">
        <v>111.9</v>
      </c>
      <c r="AH63" s="64">
        <v>105</v>
      </c>
      <c r="AI63" s="64">
        <v>107.3</v>
      </c>
      <c r="AJ63" s="64">
        <v>111.8</v>
      </c>
      <c r="AK63" s="64">
        <v>106.7</v>
      </c>
      <c r="AL63" s="64">
        <v>107.1</v>
      </c>
      <c r="AM63" s="64">
        <v>112.4</v>
      </c>
      <c r="AN63" s="64">
        <v>104.4</v>
      </c>
      <c r="BD63" s="176">
        <v>28522</v>
      </c>
      <c r="BE63" s="64">
        <v>55.7</v>
      </c>
      <c r="BF63" s="64">
        <v>54.8</v>
      </c>
      <c r="BG63" s="64">
        <v>56.8</v>
      </c>
      <c r="BH63" s="64">
        <v>55</v>
      </c>
      <c r="BI63" s="64">
        <v>54.9</v>
      </c>
      <c r="BJ63" s="64">
        <v>55.6</v>
      </c>
      <c r="BK63" s="64">
        <v>53.2</v>
      </c>
      <c r="BL63" s="64">
        <v>53.3</v>
      </c>
      <c r="BM63" s="64">
        <v>53.3</v>
      </c>
      <c r="BN63" s="64">
        <v>52.2</v>
      </c>
      <c r="BO63" s="64">
        <v>53.3</v>
      </c>
      <c r="BP63" s="64">
        <v>51.5</v>
      </c>
    </row>
    <row r="64" spans="1:68">
      <c r="AB64" s="176">
        <v>37865</v>
      </c>
      <c r="AC64" s="64">
        <v>99.5</v>
      </c>
      <c r="AD64" s="64">
        <v>104.4</v>
      </c>
      <c r="AE64" s="64">
        <v>97.2</v>
      </c>
      <c r="AF64" s="64">
        <v>106.8</v>
      </c>
      <c r="AG64" s="64">
        <v>111.9</v>
      </c>
      <c r="AH64" s="64">
        <v>104.5</v>
      </c>
      <c r="AI64" s="64">
        <v>106.9</v>
      </c>
      <c r="AJ64" s="64">
        <v>111.6</v>
      </c>
      <c r="AK64" s="64">
        <v>106.3</v>
      </c>
      <c r="AL64" s="64">
        <v>106.8</v>
      </c>
      <c r="AM64" s="64">
        <v>112.4</v>
      </c>
      <c r="AN64" s="64">
        <v>104</v>
      </c>
      <c r="BD64" s="176">
        <v>28611</v>
      </c>
      <c r="BE64" s="64">
        <v>57</v>
      </c>
      <c r="BF64" s="64">
        <v>56.1</v>
      </c>
      <c r="BG64" s="64">
        <v>58.3</v>
      </c>
      <c r="BH64" s="64">
        <v>56.1</v>
      </c>
      <c r="BI64" s="64">
        <v>55.5</v>
      </c>
      <c r="BJ64" s="64">
        <v>57.6</v>
      </c>
      <c r="BK64" s="64">
        <v>54.3</v>
      </c>
      <c r="BL64" s="64">
        <v>54.2</v>
      </c>
      <c r="BM64" s="64">
        <v>54.9</v>
      </c>
      <c r="BN64" s="64">
        <v>53</v>
      </c>
      <c r="BO64" s="64">
        <v>54</v>
      </c>
      <c r="BP64" s="64">
        <v>52.4</v>
      </c>
    </row>
    <row r="65" spans="28:68">
      <c r="AB65" s="176">
        <v>37956</v>
      </c>
      <c r="AC65" s="64">
        <v>96.9</v>
      </c>
      <c r="AD65" s="64">
        <v>104.4</v>
      </c>
      <c r="AE65" s="64">
        <v>93.3</v>
      </c>
      <c r="AF65" s="64">
        <v>103.2</v>
      </c>
      <c r="AG65" s="64">
        <v>111.5</v>
      </c>
      <c r="AH65" s="64">
        <v>99.5</v>
      </c>
      <c r="AI65" s="64">
        <v>102.3</v>
      </c>
      <c r="AJ65" s="64">
        <v>111.4</v>
      </c>
      <c r="AK65" s="64">
        <v>101</v>
      </c>
      <c r="AL65" s="64">
        <v>103.3</v>
      </c>
      <c r="AM65" s="64">
        <v>112.7</v>
      </c>
      <c r="AN65" s="64">
        <v>98.7</v>
      </c>
      <c r="BD65" s="176">
        <v>28703</v>
      </c>
      <c r="BE65" s="64">
        <v>58.3</v>
      </c>
      <c r="BF65" s="64">
        <v>57.2</v>
      </c>
      <c r="BG65" s="64">
        <v>59.8</v>
      </c>
      <c r="BH65" s="64">
        <v>57.4</v>
      </c>
      <c r="BI65" s="64">
        <v>56.4</v>
      </c>
      <c r="BJ65" s="64">
        <v>59.3</v>
      </c>
      <c r="BK65" s="64">
        <v>55.3</v>
      </c>
      <c r="BL65" s="64">
        <v>54.9</v>
      </c>
      <c r="BM65" s="64">
        <v>56.5</v>
      </c>
      <c r="BN65" s="64">
        <v>54.1</v>
      </c>
      <c r="BO65" s="64">
        <v>55</v>
      </c>
      <c r="BP65" s="64">
        <v>53.7</v>
      </c>
    </row>
    <row r="66" spans="28:68">
      <c r="AB66" s="176">
        <v>38047</v>
      </c>
      <c r="AC66" s="64">
        <v>97.1</v>
      </c>
      <c r="AD66" s="64">
        <v>104.5</v>
      </c>
      <c r="AE66" s="64">
        <v>93.6</v>
      </c>
      <c r="AF66" s="64">
        <v>104.5</v>
      </c>
      <c r="AG66" s="64">
        <v>112.4</v>
      </c>
      <c r="AH66" s="64">
        <v>100.9</v>
      </c>
      <c r="AI66" s="64">
        <v>103.2</v>
      </c>
      <c r="AJ66" s="64">
        <v>112.2</v>
      </c>
      <c r="AK66" s="64">
        <v>101.9</v>
      </c>
      <c r="AL66" s="64">
        <v>104</v>
      </c>
      <c r="AM66" s="64">
        <v>113.3</v>
      </c>
      <c r="AN66" s="64">
        <v>99.4</v>
      </c>
      <c r="BD66" s="176">
        <v>28795</v>
      </c>
      <c r="BE66" s="64">
        <v>60.7</v>
      </c>
      <c r="BF66" s="64">
        <v>59.2</v>
      </c>
      <c r="BG66" s="64">
        <v>62.8</v>
      </c>
      <c r="BH66" s="64">
        <v>59.9</v>
      </c>
      <c r="BI66" s="64">
        <v>58.3</v>
      </c>
      <c r="BJ66" s="64">
        <v>62.7</v>
      </c>
      <c r="BK66" s="64">
        <v>57.8</v>
      </c>
      <c r="BL66" s="64">
        <v>56.7</v>
      </c>
      <c r="BM66" s="64">
        <v>60</v>
      </c>
      <c r="BN66" s="64">
        <v>55.5</v>
      </c>
      <c r="BO66" s="64">
        <v>56.2</v>
      </c>
      <c r="BP66" s="64">
        <v>55.3</v>
      </c>
    </row>
    <row r="67" spans="28:68">
      <c r="AB67" s="176">
        <v>38139</v>
      </c>
      <c r="AC67" s="64">
        <v>99.4</v>
      </c>
      <c r="AD67" s="64">
        <v>104.7</v>
      </c>
      <c r="AE67" s="64">
        <v>97</v>
      </c>
      <c r="AF67" s="64">
        <v>107.6</v>
      </c>
      <c r="AG67" s="64">
        <v>113.7</v>
      </c>
      <c r="AH67" s="64">
        <v>104.9</v>
      </c>
      <c r="AI67" s="64">
        <v>107</v>
      </c>
      <c r="AJ67" s="64">
        <v>113.7</v>
      </c>
      <c r="AK67" s="64">
        <v>106</v>
      </c>
      <c r="AL67" s="64">
        <v>107.3</v>
      </c>
      <c r="AM67" s="64">
        <v>114.5</v>
      </c>
      <c r="AN67" s="64">
        <v>103.8</v>
      </c>
      <c r="BD67" s="176">
        <v>28887</v>
      </c>
      <c r="BE67" s="64">
        <v>62.3</v>
      </c>
      <c r="BF67" s="64">
        <v>61</v>
      </c>
      <c r="BG67" s="64">
        <v>64.2</v>
      </c>
      <c r="BH67" s="64">
        <v>61.8</v>
      </c>
      <c r="BI67" s="64">
        <v>60.5</v>
      </c>
      <c r="BJ67" s="64">
        <v>64.2</v>
      </c>
      <c r="BK67" s="64">
        <v>59.6</v>
      </c>
      <c r="BL67" s="64">
        <v>58.9</v>
      </c>
      <c r="BM67" s="64">
        <v>61.1</v>
      </c>
      <c r="BN67" s="64">
        <v>57</v>
      </c>
      <c r="BO67" s="64">
        <v>57.9</v>
      </c>
      <c r="BP67" s="64">
        <v>56.7</v>
      </c>
    </row>
    <row r="68" spans="28:68">
      <c r="AB68" s="176">
        <v>38231</v>
      </c>
      <c r="AC68" s="64">
        <v>96.9</v>
      </c>
      <c r="AD68" s="64">
        <v>105</v>
      </c>
      <c r="AE68" s="64">
        <v>93.2</v>
      </c>
      <c r="AF68" s="64">
        <v>105.7</v>
      </c>
      <c r="AG68" s="64">
        <v>114.4</v>
      </c>
      <c r="AH68" s="64">
        <v>101.8</v>
      </c>
      <c r="AI68" s="64">
        <v>104</v>
      </c>
      <c r="AJ68" s="64">
        <v>113.9</v>
      </c>
      <c r="AK68" s="64">
        <v>102.6</v>
      </c>
      <c r="AL68" s="64">
        <v>105.5</v>
      </c>
      <c r="AM68" s="64">
        <v>115.3</v>
      </c>
      <c r="AN68" s="64">
        <v>100.7</v>
      </c>
      <c r="BD68" s="176">
        <v>28976</v>
      </c>
      <c r="BE68" s="64">
        <v>63.4</v>
      </c>
      <c r="BF68" s="64">
        <v>62.5</v>
      </c>
      <c r="BG68" s="64">
        <v>64.5</v>
      </c>
      <c r="BH68" s="64">
        <v>63.4</v>
      </c>
      <c r="BI68" s="64">
        <v>62.9</v>
      </c>
      <c r="BJ68" s="64">
        <v>64.599999999999994</v>
      </c>
      <c r="BK68" s="64">
        <v>61.3</v>
      </c>
      <c r="BL68" s="64">
        <v>61.3</v>
      </c>
      <c r="BM68" s="64">
        <v>61.9</v>
      </c>
      <c r="BN68" s="64">
        <v>59</v>
      </c>
      <c r="BO68" s="64">
        <v>60.2</v>
      </c>
      <c r="BP68" s="64">
        <v>58.2</v>
      </c>
    </row>
    <row r="69" spans="28:68">
      <c r="AB69" s="176">
        <v>38322</v>
      </c>
      <c r="AC69" s="64">
        <v>93.6</v>
      </c>
      <c r="AD69" s="64">
        <v>104.8</v>
      </c>
      <c r="AE69" s="64">
        <v>88.3</v>
      </c>
      <c r="AF69" s="64">
        <v>101</v>
      </c>
      <c r="AG69" s="64">
        <v>114.1</v>
      </c>
      <c r="AH69" s="64">
        <v>95.1</v>
      </c>
      <c r="AI69" s="64">
        <v>98.8</v>
      </c>
      <c r="AJ69" s="64">
        <v>114.2</v>
      </c>
      <c r="AK69" s="64">
        <v>96.5</v>
      </c>
      <c r="AL69" s="64">
        <v>101.8</v>
      </c>
      <c r="AM69" s="64">
        <v>116.2</v>
      </c>
      <c r="AN69" s="64">
        <v>94.6</v>
      </c>
      <c r="BD69" s="176">
        <v>29068</v>
      </c>
      <c r="BE69" s="64">
        <v>64.7</v>
      </c>
      <c r="BF69" s="64">
        <v>63.8</v>
      </c>
      <c r="BG69" s="64">
        <v>66</v>
      </c>
      <c r="BH69" s="64">
        <v>64.599999999999994</v>
      </c>
      <c r="BI69" s="64">
        <v>64.099999999999994</v>
      </c>
      <c r="BJ69" s="64">
        <v>65.900000000000006</v>
      </c>
      <c r="BK69" s="64">
        <v>62.5</v>
      </c>
      <c r="BL69" s="64">
        <v>62.6</v>
      </c>
      <c r="BM69" s="64">
        <v>62.8</v>
      </c>
      <c r="BN69" s="64">
        <v>60.7</v>
      </c>
      <c r="BO69" s="64">
        <v>61.8</v>
      </c>
      <c r="BP69" s="64">
        <v>59.9</v>
      </c>
    </row>
    <row r="70" spans="28:68">
      <c r="AB70" s="176">
        <v>38412</v>
      </c>
      <c r="AC70" s="64">
        <v>94.4</v>
      </c>
      <c r="AD70" s="64">
        <v>105</v>
      </c>
      <c r="AE70" s="64">
        <v>89.5</v>
      </c>
      <c r="AF70" s="64">
        <v>102.8</v>
      </c>
      <c r="AG70" s="64">
        <v>114.6</v>
      </c>
      <c r="AH70" s="64">
        <v>97.5</v>
      </c>
      <c r="AI70" s="64">
        <v>100.3</v>
      </c>
      <c r="AJ70" s="64">
        <v>115.8</v>
      </c>
      <c r="AK70" s="64">
        <v>98.1</v>
      </c>
      <c r="AL70" s="64">
        <v>103.5</v>
      </c>
      <c r="AM70" s="64">
        <v>118.1</v>
      </c>
      <c r="AN70" s="64">
        <v>96.3</v>
      </c>
      <c r="BD70" s="176">
        <v>29160</v>
      </c>
      <c r="BE70" s="64">
        <v>66.7</v>
      </c>
      <c r="BF70" s="64">
        <v>65.7</v>
      </c>
      <c r="BG70" s="64">
        <v>68.099999999999994</v>
      </c>
      <c r="BH70" s="64">
        <v>66.599999999999994</v>
      </c>
      <c r="BI70" s="64">
        <v>65.7</v>
      </c>
      <c r="BJ70" s="64">
        <v>68.5</v>
      </c>
      <c r="BK70" s="64">
        <v>64.5</v>
      </c>
      <c r="BL70" s="64">
        <v>64.400000000000006</v>
      </c>
      <c r="BM70" s="64">
        <v>65.3</v>
      </c>
      <c r="BN70" s="64">
        <v>62.4</v>
      </c>
      <c r="BO70" s="64">
        <v>63.6</v>
      </c>
      <c r="BP70" s="64">
        <v>61.7</v>
      </c>
    </row>
    <row r="71" spans="28:68">
      <c r="AB71" s="176">
        <v>38504</v>
      </c>
      <c r="AC71" s="64">
        <v>95.5</v>
      </c>
      <c r="AD71" s="64">
        <v>105.3</v>
      </c>
      <c r="AE71" s="64">
        <v>90.9</v>
      </c>
      <c r="AF71" s="64">
        <v>104.5</v>
      </c>
      <c r="AG71" s="64">
        <v>115</v>
      </c>
      <c r="AH71" s="64">
        <v>99.8</v>
      </c>
      <c r="AI71" s="64">
        <v>102.1</v>
      </c>
      <c r="AJ71" s="64">
        <v>116.2</v>
      </c>
      <c r="AK71" s="64">
        <v>100</v>
      </c>
      <c r="AL71" s="64">
        <v>104.8</v>
      </c>
      <c r="AM71" s="64">
        <v>118.4</v>
      </c>
      <c r="AN71" s="64">
        <v>98.1</v>
      </c>
      <c r="BD71" s="176">
        <v>29252</v>
      </c>
      <c r="BE71" s="64">
        <v>68.400000000000006</v>
      </c>
      <c r="BF71" s="64">
        <v>67.3</v>
      </c>
      <c r="BG71" s="64">
        <v>69.8</v>
      </c>
      <c r="BH71" s="64">
        <v>68.2</v>
      </c>
      <c r="BI71" s="64">
        <v>67.3</v>
      </c>
      <c r="BJ71" s="64">
        <v>70.099999999999994</v>
      </c>
      <c r="BK71" s="64">
        <v>66.2</v>
      </c>
      <c r="BL71" s="64">
        <v>66.099999999999994</v>
      </c>
      <c r="BM71" s="64">
        <v>66.900000000000006</v>
      </c>
      <c r="BN71" s="64">
        <v>64.8</v>
      </c>
      <c r="BO71" s="64">
        <v>66.099999999999994</v>
      </c>
      <c r="BP71" s="64">
        <v>63.9</v>
      </c>
    </row>
    <row r="72" spans="28:68">
      <c r="AB72" s="176">
        <v>38596</v>
      </c>
      <c r="AC72" s="64">
        <v>93.4</v>
      </c>
      <c r="AD72" s="64">
        <v>105.4</v>
      </c>
      <c r="AE72" s="64">
        <v>87.8</v>
      </c>
      <c r="AF72" s="64">
        <v>103</v>
      </c>
      <c r="AG72" s="64">
        <v>114.7</v>
      </c>
      <c r="AH72" s="64">
        <v>97.7</v>
      </c>
      <c r="AI72" s="64">
        <v>100.1</v>
      </c>
      <c r="AJ72" s="64">
        <v>116.1</v>
      </c>
      <c r="AK72" s="64">
        <v>97.7</v>
      </c>
      <c r="AL72" s="64">
        <v>103.2</v>
      </c>
      <c r="AM72" s="64">
        <v>118.7</v>
      </c>
      <c r="AN72" s="64">
        <v>95.5</v>
      </c>
      <c r="BD72" s="176">
        <v>29342</v>
      </c>
      <c r="BE72" s="64">
        <v>70.099999999999994</v>
      </c>
      <c r="BF72" s="64">
        <v>69</v>
      </c>
      <c r="BG72" s="64">
        <v>71.599999999999994</v>
      </c>
      <c r="BH72" s="64">
        <v>70</v>
      </c>
      <c r="BI72" s="64">
        <v>68.8</v>
      </c>
      <c r="BJ72" s="64">
        <v>72.2</v>
      </c>
      <c r="BK72" s="64">
        <v>68.599999999999994</v>
      </c>
      <c r="BL72" s="64">
        <v>68.7</v>
      </c>
      <c r="BM72" s="64">
        <v>69.2</v>
      </c>
      <c r="BN72" s="64">
        <v>67.5</v>
      </c>
      <c r="BO72" s="64">
        <v>68.8</v>
      </c>
      <c r="BP72" s="64">
        <v>66.7</v>
      </c>
    </row>
    <row r="73" spans="28:68">
      <c r="AB73" s="176">
        <v>38687</v>
      </c>
      <c r="AC73" s="64">
        <v>92.2</v>
      </c>
      <c r="AD73" s="64">
        <v>104.6</v>
      </c>
      <c r="AE73" s="64">
        <v>86.3</v>
      </c>
      <c r="AF73" s="64">
        <v>101.6</v>
      </c>
      <c r="AG73" s="64">
        <v>113.9</v>
      </c>
      <c r="AH73" s="64">
        <v>96</v>
      </c>
      <c r="AI73" s="64">
        <v>98.5</v>
      </c>
      <c r="AJ73" s="64">
        <v>115.8</v>
      </c>
      <c r="AK73" s="64">
        <v>96</v>
      </c>
      <c r="AL73" s="64">
        <v>102.4</v>
      </c>
      <c r="AM73" s="64">
        <v>118.8</v>
      </c>
      <c r="AN73" s="64">
        <v>94.2</v>
      </c>
      <c r="BD73" s="176">
        <v>29434</v>
      </c>
      <c r="BE73" s="64">
        <v>71.400000000000006</v>
      </c>
      <c r="BF73" s="64">
        <v>70.5</v>
      </c>
      <c r="BG73" s="64">
        <v>72.5</v>
      </c>
      <c r="BH73" s="64">
        <v>71.8</v>
      </c>
      <c r="BI73" s="64">
        <v>71.099999999999994</v>
      </c>
      <c r="BJ73" s="64">
        <v>73.3</v>
      </c>
      <c r="BK73" s="64">
        <v>69.900000000000006</v>
      </c>
      <c r="BL73" s="64">
        <v>70.400000000000006</v>
      </c>
      <c r="BM73" s="64">
        <v>69.900000000000006</v>
      </c>
      <c r="BN73" s="64">
        <v>69.400000000000006</v>
      </c>
      <c r="BO73" s="64">
        <v>71</v>
      </c>
      <c r="BP73" s="64">
        <v>68.2</v>
      </c>
    </row>
    <row r="74" spans="28:68">
      <c r="AB74" s="176">
        <v>38777</v>
      </c>
      <c r="AC74" s="64">
        <v>91.6</v>
      </c>
      <c r="AD74" s="64">
        <v>104.8</v>
      </c>
      <c r="AE74" s="64">
        <v>85.4</v>
      </c>
      <c r="AF74" s="64">
        <v>101.4</v>
      </c>
      <c r="AG74" s="64">
        <v>113.2</v>
      </c>
      <c r="AH74" s="64">
        <v>96</v>
      </c>
      <c r="AI74" s="64">
        <v>98.1</v>
      </c>
      <c r="AJ74" s="64">
        <v>117.1</v>
      </c>
      <c r="AK74" s="64">
        <v>95.4</v>
      </c>
      <c r="AL74" s="64">
        <v>102.2</v>
      </c>
      <c r="AM74" s="64">
        <v>120.3</v>
      </c>
      <c r="AN74" s="64">
        <v>93.3</v>
      </c>
      <c r="BD74" s="176">
        <v>29526</v>
      </c>
      <c r="BE74" s="64">
        <v>73.8</v>
      </c>
      <c r="BF74" s="64">
        <v>72.5</v>
      </c>
      <c r="BG74" s="64">
        <v>75.400000000000006</v>
      </c>
      <c r="BH74" s="64">
        <v>74.5</v>
      </c>
      <c r="BI74" s="64">
        <v>73.5</v>
      </c>
      <c r="BJ74" s="64">
        <v>76.5</v>
      </c>
      <c r="BK74" s="64">
        <v>72.400000000000006</v>
      </c>
      <c r="BL74" s="64">
        <v>72.3</v>
      </c>
      <c r="BM74" s="64">
        <v>73.3</v>
      </c>
      <c r="BN74" s="64">
        <v>71.7</v>
      </c>
      <c r="BO74" s="64">
        <v>73</v>
      </c>
      <c r="BP74" s="64">
        <v>70.8</v>
      </c>
    </row>
    <row r="75" spans="28:68">
      <c r="AB75" s="176">
        <v>38869</v>
      </c>
      <c r="AC75" s="64">
        <v>89.9</v>
      </c>
      <c r="AD75" s="64">
        <v>104.1</v>
      </c>
      <c r="AE75" s="64">
        <v>83.2</v>
      </c>
      <c r="AF75" s="64">
        <v>99.4</v>
      </c>
      <c r="AG75" s="64">
        <v>112</v>
      </c>
      <c r="AH75" s="64">
        <v>93.8</v>
      </c>
      <c r="AI75" s="64">
        <v>96.1</v>
      </c>
      <c r="AJ75" s="64">
        <v>116.6</v>
      </c>
      <c r="AK75" s="64">
        <v>93.2</v>
      </c>
      <c r="AL75" s="64">
        <v>100.7</v>
      </c>
      <c r="AM75" s="64">
        <v>120.2</v>
      </c>
      <c r="AN75" s="64">
        <v>91</v>
      </c>
      <c r="BD75" s="176">
        <v>29618</v>
      </c>
      <c r="BE75" s="64">
        <v>75.7</v>
      </c>
      <c r="BF75" s="64">
        <v>74.400000000000006</v>
      </c>
      <c r="BG75" s="64">
        <v>77.400000000000006</v>
      </c>
      <c r="BH75" s="64">
        <v>77.2</v>
      </c>
      <c r="BI75" s="64">
        <v>76.8</v>
      </c>
      <c r="BJ75" s="64">
        <v>78.3</v>
      </c>
      <c r="BK75" s="64">
        <v>74.400000000000006</v>
      </c>
      <c r="BL75" s="64">
        <v>74.400000000000006</v>
      </c>
      <c r="BM75" s="64">
        <v>75.099999999999994</v>
      </c>
      <c r="BN75" s="64">
        <v>74.099999999999994</v>
      </c>
      <c r="BO75" s="64">
        <v>75.400000000000006</v>
      </c>
      <c r="BP75" s="64">
        <v>73.3</v>
      </c>
    </row>
    <row r="76" spans="28:68">
      <c r="AB76" s="176">
        <v>38961</v>
      </c>
      <c r="AC76" s="64">
        <v>89.6</v>
      </c>
      <c r="AD76" s="64">
        <v>104</v>
      </c>
      <c r="AE76" s="64">
        <v>82.8</v>
      </c>
      <c r="AF76" s="64">
        <v>99.6</v>
      </c>
      <c r="AG76" s="64">
        <v>112.3</v>
      </c>
      <c r="AH76" s="64">
        <v>93.9</v>
      </c>
      <c r="AI76" s="64">
        <v>96.6</v>
      </c>
      <c r="AJ76" s="64">
        <v>117</v>
      </c>
      <c r="AK76" s="64">
        <v>93.7</v>
      </c>
      <c r="AL76" s="64">
        <v>101.4</v>
      </c>
      <c r="AM76" s="64">
        <v>121</v>
      </c>
      <c r="AN76" s="64">
        <v>91.7</v>
      </c>
      <c r="BD76" s="176">
        <v>29707</v>
      </c>
      <c r="BE76" s="64">
        <v>77.7</v>
      </c>
      <c r="BF76" s="64">
        <v>76.599999999999994</v>
      </c>
      <c r="BG76" s="64">
        <v>79.099999999999994</v>
      </c>
      <c r="BH76" s="64">
        <v>78.5</v>
      </c>
      <c r="BI76" s="64">
        <v>78</v>
      </c>
      <c r="BJ76" s="64">
        <v>79.7</v>
      </c>
      <c r="BK76" s="64">
        <v>76.2</v>
      </c>
      <c r="BL76" s="64">
        <v>76.5</v>
      </c>
      <c r="BM76" s="64">
        <v>76.400000000000006</v>
      </c>
      <c r="BN76" s="64">
        <v>75.8</v>
      </c>
      <c r="BO76" s="64">
        <v>77.2</v>
      </c>
      <c r="BP76" s="64">
        <v>75.099999999999994</v>
      </c>
    </row>
    <row r="77" spans="28:68">
      <c r="AB77" s="176">
        <v>39052</v>
      </c>
      <c r="AC77" s="64">
        <v>91.2</v>
      </c>
      <c r="AD77" s="64">
        <v>104.1</v>
      </c>
      <c r="AE77" s="64">
        <v>85.2</v>
      </c>
      <c r="AF77" s="64">
        <v>100.8</v>
      </c>
      <c r="AG77" s="64">
        <v>112.3</v>
      </c>
      <c r="AH77" s="64">
        <v>95.6</v>
      </c>
      <c r="AI77" s="64">
        <v>99</v>
      </c>
      <c r="AJ77" s="64">
        <v>117.3</v>
      </c>
      <c r="AK77" s="64">
        <v>96.3</v>
      </c>
      <c r="AL77" s="64">
        <v>102.6</v>
      </c>
      <c r="AM77" s="64">
        <v>121.2</v>
      </c>
      <c r="AN77" s="64">
        <v>93.4</v>
      </c>
      <c r="BD77" s="176">
        <v>29799</v>
      </c>
      <c r="BE77" s="64">
        <v>79.5</v>
      </c>
      <c r="BF77" s="64">
        <v>78.5</v>
      </c>
      <c r="BG77" s="64">
        <v>80.900000000000006</v>
      </c>
      <c r="BH77" s="64">
        <v>79.900000000000006</v>
      </c>
      <c r="BI77" s="64">
        <v>79.5</v>
      </c>
      <c r="BJ77" s="64">
        <v>80.900000000000006</v>
      </c>
      <c r="BK77" s="64">
        <v>78</v>
      </c>
      <c r="BL77" s="64">
        <v>78.7</v>
      </c>
      <c r="BM77" s="64">
        <v>77.7</v>
      </c>
      <c r="BN77" s="64">
        <v>78.400000000000006</v>
      </c>
      <c r="BO77" s="64">
        <v>79.8</v>
      </c>
      <c r="BP77" s="64">
        <v>77.7</v>
      </c>
    </row>
    <row r="78" spans="28:68">
      <c r="AB78" s="176">
        <v>39142</v>
      </c>
      <c r="AC78" s="64">
        <v>93.2</v>
      </c>
      <c r="AD78" s="64">
        <v>105.1</v>
      </c>
      <c r="AE78" s="64">
        <v>87.6</v>
      </c>
      <c r="AF78" s="64">
        <v>103.6</v>
      </c>
      <c r="AG78" s="64">
        <v>113</v>
      </c>
      <c r="AH78" s="64">
        <v>99.4</v>
      </c>
      <c r="AI78" s="64">
        <v>102.2</v>
      </c>
      <c r="AJ78" s="64">
        <v>119.3</v>
      </c>
      <c r="AK78" s="64">
        <v>99.7</v>
      </c>
      <c r="AL78" s="64">
        <v>105.6</v>
      </c>
      <c r="AM78" s="64">
        <v>122.8</v>
      </c>
      <c r="AN78" s="64">
        <v>97.1</v>
      </c>
      <c r="BD78" s="176">
        <v>29891</v>
      </c>
      <c r="BE78" s="64">
        <v>81.5</v>
      </c>
      <c r="BF78" s="64">
        <v>81.099999999999994</v>
      </c>
      <c r="BG78" s="64">
        <v>82.1</v>
      </c>
      <c r="BH78" s="64">
        <v>81.5</v>
      </c>
      <c r="BI78" s="64">
        <v>82</v>
      </c>
      <c r="BJ78" s="64">
        <v>81.099999999999994</v>
      </c>
      <c r="BK78" s="64">
        <v>80.099999999999994</v>
      </c>
      <c r="BL78" s="64">
        <v>81.2</v>
      </c>
      <c r="BM78" s="64">
        <v>79</v>
      </c>
      <c r="BN78" s="64">
        <v>80.5</v>
      </c>
      <c r="BO78" s="64">
        <v>82.2</v>
      </c>
      <c r="BP78" s="64">
        <v>79.3</v>
      </c>
    </row>
    <row r="79" spans="28:68">
      <c r="AB79" s="176">
        <v>39234</v>
      </c>
      <c r="AC79" s="64">
        <v>89.3</v>
      </c>
      <c r="AD79" s="64">
        <v>104.3</v>
      </c>
      <c r="AE79" s="64">
        <v>82.2</v>
      </c>
      <c r="AF79" s="64">
        <v>99.2</v>
      </c>
      <c r="AG79" s="64">
        <v>111.3</v>
      </c>
      <c r="AH79" s="64">
        <v>93.7</v>
      </c>
      <c r="AI79" s="64">
        <v>96.9</v>
      </c>
      <c r="AJ79" s="64">
        <v>119</v>
      </c>
      <c r="AK79" s="64">
        <v>93.7</v>
      </c>
      <c r="AL79" s="64">
        <v>102.2</v>
      </c>
      <c r="AM79" s="64">
        <v>123.2</v>
      </c>
      <c r="AN79" s="64">
        <v>91.7</v>
      </c>
      <c r="BD79" s="176">
        <v>29983</v>
      </c>
      <c r="BE79" s="64">
        <v>82.7</v>
      </c>
      <c r="BF79" s="64">
        <v>82.8</v>
      </c>
      <c r="BG79" s="64">
        <v>82.6</v>
      </c>
      <c r="BH79" s="64">
        <v>82.4</v>
      </c>
      <c r="BI79" s="64">
        <v>82.9</v>
      </c>
      <c r="BJ79" s="64">
        <v>81.900000000000006</v>
      </c>
      <c r="BK79" s="64">
        <v>80.900000000000006</v>
      </c>
      <c r="BL79" s="64">
        <v>82.4</v>
      </c>
      <c r="BM79" s="64">
        <v>79.5</v>
      </c>
      <c r="BN79" s="64">
        <v>83.2</v>
      </c>
      <c r="BO79" s="64">
        <v>85</v>
      </c>
      <c r="BP79" s="64">
        <v>81.8</v>
      </c>
    </row>
    <row r="80" spans="28:68">
      <c r="AB80" s="176">
        <v>39326</v>
      </c>
      <c r="AC80" s="64">
        <v>86.7</v>
      </c>
      <c r="AD80" s="64">
        <v>103.7</v>
      </c>
      <c r="AE80" s="64">
        <v>78.599999999999994</v>
      </c>
      <c r="AF80" s="64">
        <v>95.8</v>
      </c>
      <c r="AG80" s="64">
        <v>110.2</v>
      </c>
      <c r="AH80" s="64">
        <v>89.3</v>
      </c>
      <c r="AI80" s="64">
        <v>93.1</v>
      </c>
      <c r="AJ80" s="64">
        <v>118.7</v>
      </c>
      <c r="AK80" s="64">
        <v>89.4</v>
      </c>
      <c r="AL80" s="64">
        <v>99.6</v>
      </c>
      <c r="AM80" s="64">
        <v>123.5</v>
      </c>
      <c r="AN80" s="64">
        <v>87.8</v>
      </c>
      <c r="BD80" s="176">
        <v>30072</v>
      </c>
      <c r="BE80" s="64">
        <v>84.5</v>
      </c>
      <c r="BF80" s="64">
        <v>84.1</v>
      </c>
      <c r="BG80" s="64">
        <v>85</v>
      </c>
      <c r="BH80" s="64">
        <v>84.8</v>
      </c>
      <c r="BI80" s="64">
        <v>84.7</v>
      </c>
      <c r="BJ80" s="64">
        <v>84.9</v>
      </c>
      <c r="BK80" s="64">
        <v>82.2</v>
      </c>
      <c r="BL80" s="64">
        <v>82.6</v>
      </c>
      <c r="BM80" s="64">
        <v>81.900000000000006</v>
      </c>
      <c r="BN80" s="64">
        <v>84.4</v>
      </c>
      <c r="BO80" s="64">
        <v>85.9</v>
      </c>
      <c r="BP80" s="64">
        <v>83.3</v>
      </c>
    </row>
    <row r="81" spans="28:68">
      <c r="AB81" s="176">
        <v>39417</v>
      </c>
      <c r="AC81" s="64">
        <v>83.9</v>
      </c>
      <c r="AD81" s="64">
        <v>103.4</v>
      </c>
      <c r="AE81" s="64">
        <v>74.599999999999994</v>
      </c>
      <c r="AF81" s="64">
        <v>91.8</v>
      </c>
      <c r="AG81" s="64">
        <v>108</v>
      </c>
      <c r="AH81" s="64">
        <v>84.6</v>
      </c>
      <c r="AI81" s="64">
        <v>88.9</v>
      </c>
      <c r="AJ81" s="64">
        <v>118.3</v>
      </c>
      <c r="AK81" s="64">
        <v>84.6</v>
      </c>
      <c r="AL81" s="64">
        <v>96.6</v>
      </c>
      <c r="AM81" s="64">
        <v>123.6</v>
      </c>
      <c r="AN81" s="64">
        <v>83.1</v>
      </c>
      <c r="BD81" s="176">
        <v>30164</v>
      </c>
      <c r="BE81" s="64">
        <v>85.3</v>
      </c>
      <c r="BF81" s="64">
        <v>85.2</v>
      </c>
      <c r="BG81" s="64">
        <v>85.4</v>
      </c>
      <c r="BH81" s="64">
        <v>85.9</v>
      </c>
      <c r="BI81" s="64">
        <v>86</v>
      </c>
      <c r="BJ81" s="64">
        <v>85.8</v>
      </c>
      <c r="BK81" s="64">
        <v>83.2</v>
      </c>
      <c r="BL81" s="64">
        <v>84</v>
      </c>
      <c r="BM81" s="64">
        <v>82.3</v>
      </c>
      <c r="BN81" s="64">
        <v>85.2</v>
      </c>
      <c r="BO81" s="64">
        <v>87</v>
      </c>
      <c r="BP81" s="64">
        <v>84</v>
      </c>
    </row>
    <row r="82" spans="28:68">
      <c r="AB82" s="176">
        <v>39508</v>
      </c>
      <c r="AC82" s="64">
        <v>85.5</v>
      </c>
      <c r="AD82" s="64">
        <v>104.1</v>
      </c>
      <c r="AE82" s="64">
        <v>76.7</v>
      </c>
      <c r="AF82" s="64">
        <v>93.9</v>
      </c>
      <c r="AG82" s="64">
        <v>108.4</v>
      </c>
      <c r="AH82" s="64">
        <v>87.4</v>
      </c>
      <c r="AI82" s="64">
        <v>91.9</v>
      </c>
      <c r="AJ82" s="64">
        <v>119.4</v>
      </c>
      <c r="AK82" s="64">
        <v>87.9</v>
      </c>
      <c r="AL82" s="64">
        <v>98.8</v>
      </c>
      <c r="AM82" s="64">
        <v>125.6</v>
      </c>
      <c r="AN82" s="64">
        <v>85.6</v>
      </c>
      <c r="BD82" s="176">
        <v>30256</v>
      </c>
      <c r="BE82" s="64">
        <v>86</v>
      </c>
      <c r="BF82" s="64">
        <v>86.6</v>
      </c>
      <c r="BG82" s="64">
        <v>85.5</v>
      </c>
      <c r="BH82" s="64">
        <v>86.5</v>
      </c>
      <c r="BI82" s="64">
        <v>87.8</v>
      </c>
      <c r="BJ82" s="64">
        <v>85.3</v>
      </c>
      <c r="BK82" s="64">
        <v>84.3</v>
      </c>
      <c r="BL82" s="64">
        <v>85.9</v>
      </c>
      <c r="BM82" s="64">
        <v>82.7</v>
      </c>
      <c r="BN82" s="64">
        <v>85.5</v>
      </c>
      <c r="BO82" s="64">
        <v>87.5</v>
      </c>
      <c r="BP82" s="64">
        <v>84.1</v>
      </c>
    </row>
    <row r="83" spans="28:68">
      <c r="AB83" s="176">
        <v>39600</v>
      </c>
      <c r="AC83" s="64">
        <v>86.3</v>
      </c>
      <c r="AD83" s="64">
        <v>104.5</v>
      </c>
      <c r="AE83" s="64">
        <v>77.8</v>
      </c>
      <c r="AF83" s="64">
        <v>94.6</v>
      </c>
      <c r="AG83" s="64">
        <v>108.4</v>
      </c>
      <c r="AH83" s="64">
        <v>88.4</v>
      </c>
      <c r="AI83" s="64">
        <v>93.5</v>
      </c>
      <c r="AJ83" s="64">
        <v>120.4</v>
      </c>
      <c r="AK83" s="64">
        <v>89.6</v>
      </c>
      <c r="AL83" s="64">
        <v>100.6</v>
      </c>
      <c r="AM83" s="64">
        <v>127.1</v>
      </c>
      <c r="AN83" s="64">
        <v>87.4</v>
      </c>
      <c r="BD83" s="176">
        <v>30348</v>
      </c>
      <c r="BE83" s="64">
        <v>86.5</v>
      </c>
      <c r="BF83" s="64">
        <v>87.4</v>
      </c>
      <c r="BG83" s="64">
        <v>85.8</v>
      </c>
      <c r="BH83" s="64">
        <v>86.7</v>
      </c>
      <c r="BI83" s="64">
        <v>88.8</v>
      </c>
      <c r="BJ83" s="64">
        <v>85</v>
      </c>
      <c r="BK83" s="64">
        <v>84.7</v>
      </c>
      <c r="BL83" s="64">
        <v>86.7</v>
      </c>
      <c r="BM83" s="64">
        <v>82.8</v>
      </c>
      <c r="BN83" s="64">
        <v>87.3</v>
      </c>
      <c r="BO83" s="64">
        <v>89.2</v>
      </c>
      <c r="BP83" s="64">
        <v>85.9</v>
      </c>
    </row>
    <row r="84" spans="28:68">
      <c r="AB84" s="176">
        <v>39692</v>
      </c>
      <c r="AC84" s="64">
        <v>88.9</v>
      </c>
      <c r="AD84" s="64">
        <v>105.6</v>
      </c>
      <c r="AE84" s="64">
        <v>81</v>
      </c>
      <c r="AF84" s="64">
        <v>97.6</v>
      </c>
      <c r="AG84" s="64">
        <v>109.8</v>
      </c>
      <c r="AH84" s="64">
        <v>92.1</v>
      </c>
      <c r="AI84" s="64">
        <v>97.4</v>
      </c>
      <c r="AJ84" s="64">
        <v>121.9</v>
      </c>
      <c r="AK84" s="64">
        <v>93.8</v>
      </c>
      <c r="AL84" s="64">
        <v>104.2</v>
      </c>
      <c r="AM84" s="64">
        <v>128.5</v>
      </c>
      <c r="AN84" s="64">
        <v>92.1</v>
      </c>
      <c r="BD84" s="176">
        <v>30437</v>
      </c>
      <c r="BE84" s="64">
        <v>87</v>
      </c>
      <c r="BF84" s="64">
        <v>87.7</v>
      </c>
      <c r="BG84" s="64">
        <v>86.5</v>
      </c>
      <c r="BH84" s="64">
        <v>87.4</v>
      </c>
      <c r="BI84" s="64">
        <v>89.1</v>
      </c>
      <c r="BJ84" s="64">
        <v>86</v>
      </c>
      <c r="BK84" s="64">
        <v>85.4</v>
      </c>
      <c r="BL84" s="64">
        <v>87.3</v>
      </c>
      <c r="BM84" s="64">
        <v>83.6</v>
      </c>
      <c r="BN84" s="64">
        <v>87.9</v>
      </c>
      <c r="BO84" s="64">
        <v>89.6</v>
      </c>
      <c r="BP84" s="64">
        <v>86.6</v>
      </c>
    </row>
    <row r="85" spans="28:68">
      <c r="AB85" s="176">
        <v>39783</v>
      </c>
      <c r="AC85" s="64">
        <v>99.8</v>
      </c>
      <c r="AD85" s="64">
        <v>108.5</v>
      </c>
      <c r="AE85" s="64">
        <v>95.7</v>
      </c>
      <c r="AF85" s="64">
        <v>111.2</v>
      </c>
      <c r="AG85" s="64">
        <v>115.5</v>
      </c>
      <c r="AH85" s="64">
        <v>109.3</v>
      </c>
      <c r="AI85" s="64">
        <v>112</v>
      </c>
      <c r="AJ85" s="64">
        <v>124.9</v>
      </c>
      <c r="AK85" s="64">
        <v>110.1</v>
      </c>
      <c r="AL85" s="64">
        <v>115.2</v>
      </c>
      <c r="AM85" s="64">
        <v>130</v>
      </c>
      <c r="AN85" s="64">
        <v>107.9</v>
      </c>
      <c r="BD85" s="176">
        <v>30529</v>
      </c>
      <c r="BE85" s="64">
        <v>87.3</v>
      </c>
      <c r="BF85" s="64">
        <v>88.1</v>
      </c>
      <c r="BG85" s="64">
        <v>86.8</v>
      </c>
      <c r="BH85" s="64">
        <v>88</v>
      </c>
      <c r="BI85" s="64">
        <v>89.7</v>
      </c>
      <c r="BJ85" s="64">
        <v>86.5</v>
      </c>
      <c r="BK85" s="64">
        <v>85.7</v>
      </c>
      <c r="BL85" s="64">
        <v>87.7</v>
      </c>
      <c r="BM85" s="64">
        <v>83.8</v>
      </c>
      <c r="BN85" s="64">
        <v>88.2</v>
      </c>
      <c r="BO85" s="64">
        <v>90</v>
      </c>
      <c r="BP85" s="64">
        <v>87</v>
      </c>
    </row>
    <row r="86" spans="28:68">
      <c r="AB86" s="176">
        <v>39873</v>
      </c>
      <c r="AC86" s="64">
        <v>102</v>
      </c>
      <c r="AD86" s="64">
        <v>109.7</v>
      </c>
      <c r="AE86" s="64">
        <v>98.4</v>
      </c>
      <c r="AF86" s="64">
        <v>114.8</v>
      </c>
      <c r="AG86" s="64">
        <v>117.3</v>
      </c>
      <c r="AH86" s="64">
        <v>113.6</v>
      </c>
      <c r="AI86" s="64">
        <v>115.1</v>
      </c>
      <c r="AJ86" s="64">
        <v>126.7</v>
      </c>
      <c r="AK86" s="64">
        <v>113.4</v>
      </c>
      <c r="AL86" s="64">
        <v>117.5</v>
      </c>
      <c r="AM86" s="64">
        <v>130.6</v>
      </c>
      <c r="AN86" s="64">
        <v>111</v>
      </c>
      <c r="BD86" s="176">
        <v>30621</v>
      </c>
      <c r="BE86" s="64">
        <v>88.3</v>
      </c>
      <c r="BF86" s="64">
        <v>88.8</v>
      </c>
      <c r="BG86" s="64">
        <v>87.8</v>
      </c>
      <c r="BH86" s="64">
        <v>88.8</v>
      </c>
      <c r="BI86" s="64">
        <v>90.2</v>
      </c>
      <c r="BJ86" s="64">
        <v>87.6</v>
      </c>
      <c r="BK86" s="64">
        <v>87.3</v>
      </c>
      <c r="BL86" s="64">
        <v>89.1</v>
      </c>
      <c r="BM86" s="64">
        <v>85.7</v>
      </c>
      <c r="BN86" s="64">
        <v>88.3</v>
      </c>
      <c r="BO86" s="64">
        <v>89.8</v>
      </c>
      <c r="BP86" s="64">
        <v>87.2</v>
      </c>
    </row>
    <row r="87" spans="28:68">
      <c r="AB87" s="176">
        <v>39965</v>
      </c>
      <c r="AC87" s="64">
        <v>97.5</v>
      </c>
      <c r="AD87" s="64">
        <v>109.3</v>
      </c>
      <c r="AE87" s="64">
        <v>92</v>
      </c>
      <c r="AF87" s="64">
        <v>108.9</v>
      </c>
      <c r="AG87" s="64">
        <v>115.4</v>
      </c>
      <c r="AH87" s="64">
        <v>106</v>
      </c>
      <c r="AI87" s="64">
        <v>108.7</v>
      </c>
      <c r="AJ87" s="64">
        <v>126.1</v>
      </c>
      <c r="AK87" s="64">
        <v>106.2</v>
      </c>
      <c r="AL87" s="64">
        <v>112.7</v>
      </c>
      <c r="AM87" s="64">
        <v>130.80000000000001</v>
      </c>
      <c r="AN87" s="64">
        <v>103.8</v>
      </c>
      <c r="BD87" s="176">
        <v>30713</v>
      </c>
      <c r="BE87" s="64">
        <v>89.4</v>
      </c>
      <c r="BF87" s="64">
        <v>90.1</v>
      </c>
      <c r="BG87" s="64">
        <v>88.8</v>
      </c>
      <c r="BH87" s="64">
        <v>89.9</v>
      </c>
      <c r="BI87" s="64">
        <v>91.5</v>
      </c>
      <c r="BJ87" s="64">
        <v>88.7</v>
      </c>
      <c r="BK87" s="64">
        <v>88.2</v>
      </c>
      <c r="BL87" s="64">
        <v>89.7</v>
      </c>
      <c r="BM87" s="64">
        <v>86.7</v>
      </c>
      <c r="BN87" s="64">
        <v>90.4</v>
      </c>
      <c r="BO87" s="64">
        <v>91.9</v>
      </c>
      <c r="BP87" s="64">
        <v>89.3</v>
      </c>
    </row>
    <row r="88" spans="28:68">
      <c r="AB88" s="176">
        <v>40057</v>
      </c>
      <c r="AC88" s="64">
        <v>93.2</v>
      </c>
      <c r="AD88" s="64">
        <v>108</v>
      </c>
      <c r="AE88" s="64">
        <v>86.2</v>
      </c>
      <c r="AF88" s="64">
        <v>103.7</v>
      </c>
      <c r="AG88" s="64">
        <v>113</v>
      </c>
      <c r="AH88" s="64">
        <v>99.5</v>
      </c>
      <c r="AI88" s="64">
        <v>102.9</v>
      </c>
      <c r="AJ88" s="64">
        <v>124.4</v>
      </c>
      <c r="AK88" s="64">
        <v>99.8</v>
      </c>
      <c r="AL88" s="64">
        <v>108.3</v>
      </c>
      <c r="AM88" s="64">
        <v>130.1</v>
      </c>
      <c r="AN88" s="64">
        <v>97.5</v>
      </c>
      <c r="BD88" s="176">
        <v>30803</v>
      </c>
      <c r="BE88" s="64">
        <v>91</v>
      </c>
      <c r="BF88" s="64">
        <v>91.3</v>
      </c>
      <c r="BG88" s="64">
        <v>90.9</v>
      </c>
      <c r="BH88" s="64">
        <v>92.1</v>
      </c>
      <c r="BI88" s="64">
        <v>92.4</v>
      </c>
      <c r="BJ88" s="64">
        <v>91.9</v>
      </c>
      <c r="BK88" s="64">
        <v>89.6</v>
      </c>
      <c r="BL88" s="64">
        <v>90.2</v>
      </c>
      <c r="BM88" s="64">
        <v>89.1</v>
      </c>
      <c r="BN88" s="64">
        <v>91.7</v>
      </c>
      <c r="BO88" s="64">
        <v>92.9</v>
      </c>
      <c r="BP88" s="64">
        <v>90.7</v>
      </c>
    </row>
    <row r="89" spans="28:68">
      <c r="AB89" s="176">
        <v>40148</v>
      </c>
      <c r="AC89" s="64">
        <v>91.1</v>
      </c>
      <c r="AD89" s="64">
        <v>107.7</v>
      </c>
      <c r="AE89" s="64">
        <v>83.3</v>
      </c>
      <c r="AF89" s="64">
        <v>100.7</v>
      </c>
      <c r="AG89" s="64">
        <v>111.7</v>
      </c>
      <c r="AH89" s="64">
        <v>95.8</v>
      </c>
      <c r="AI89" s="64">
        <v>99.5</v>
      </c>
      <c r="AJ89" s="64">
        <v>123.2</v>
      </c>
      <c r="AK89" s="64">
        <v>96.1</v>
      </c>
      <c r="AL89" s="64">
        <v>105.7</v>
      </c>
      <c r="AM89" s="64">
        <v>129.80000000000001</v>
      </c>
      <c r="AN89" s="64">
        <v>93.7</v>
      </c>
      <c r="BD89" s="176">
        <v>30895</v>
      </c>
      <c r="BE89" s="64">
        <v>92.2</v>
      </c>
      <c r="BF89" s="64">
        <v>92.2</v>
      </c>
      <c r="BG89" s="64">
        <v>92.2</v>
      </c>
      <c r="BH89" s="64">
        <v>93.9</v>
      </c>
      <c r="BI89" s="64">
        <v>94.5</v>
      </c>
      <c r="BJ89" s="64">
        <v>93.5</v>
      </c>
      <c r="BK89" s="64">
        <v>90.6</v>
      </c>
      <c r="BL89" s="64">
        <v>91</v>
      </c>
      <c r="BM89" s="64">
        <v>90.2</v>
      </c>
      <c r="BN89" s="64">
        <v>92.3</v>
      </c>
      <c r="BO89" s="64">
        <v>93.5</v>
      </c>
      <c r="BP89" s="64">
        <v>91.5</v>
      </c>
    </row>
    <row r="90" spans="28:68">
      <c r="AB90" s="176">
        <v>40238</v>
      </c>
      <c r="AC90" s="64">
        <v>90.2</v>
      </c>
      <c r="AD90" s="64">
        <v>107.8</v>
      </c>
      <c r="AE90" s="64">
        <v>81.900000000000006</v>
      </c>
      <c r="AF90" s="64">
        <v>98.9</v>
      </c>
      <c r="AG90" s="64">
        <v>111.8</v>
      </c>
      <c r="AH90" s="64">
        <v>93</v>
      </c>
      <c r="AI90" s="64">
        <v>98.2</v>
      </c>
      <c r="AJ90" s="64">
        <v>122.2</v>
      </c>
      <c r="AK90" s="64">
        <v>94.7</v>
      </c>
      <c r="AL90" s="64">
        <v>105.1</v>
      </c>
      <c r="AM90" s="64">
        <v>130.19999999999999</v>
      </c>
      <c r="AN90" s="64">
        <v>92.7</v>
      </c>
      <c r="BD90" s="176">
        <v>30987</v>
      </c>
      <c r="BE90" s="64">
        <v>93.2</v>
      </c>
      <c r="BF90" s="64">
        <v>93.1</v>
      </c>
      <c r="BG90" s="64">
        <v>93.3</v>
      </c>
      <c r="BH90" s="64">
        <v>94.6</v>
      </c>
      <c r="BI90" s="64">
        <v>95.2</v>
      </c>
      <c r="BJ90" s="64">
        <v>94.2</v>
      </c>
      <c r="BK90" s="64">
        <v>91.7</v>
      </c>
      <c r="BL90" s="64">
        <v>92.1</v>
      </c>
      <c r="BM90" s="64">
        <v>91.3</v>
      </c>
      <c r="BN90" s="64">
        <v>93.1</v>
      </c>
      <c r="BO90" s="64">
        <v>94.3</v>
      </c>
      <c r="BP90" s="64">
        <v>92.3</v>
      </c>
    </row>
    <row r="91" spans="28:68">
      <c r="AB91" s="176">
        <v>40330</v>
      </c>
      <c r="AC91" s="64">
        <v>89.4</v>
      </c>
      <c r="AD91" s="64">
        <v>107.5</v>
      </c>
      <c r="AE91" s="64">
        <v>80.900000000000006</v>
      </c>
      <c r="AF91" s="64">
        <v>97.9</v>
      </c>
      <c r="AG91" s="64">
        <v>111.3</v>
      </c>
      <c r="AH91" s="64">
        <v>91.9</v>
      </c>
      <c r="AI91" s="64">
        <v>97.4</v>
      </c>
      <c r="AJ91" s="64">
        <v>121.9</v>
      </c>
      <c r="AK91" s="64">
        <v>93.8</v>
      </c>
      <c r="AL91" s="64">
        <v>104.4</v>
      </c>
      <c r="AM91" s="64">
        <v>130.1</v>
      </c>
      <c r="AN91" s="64">
        <v>91.7</v>
      </c>
      <c r="BD91" s="176">
        <v>31079</v>
      </c>
      <c r="BE91" s="64">
        <v>94.9</v>
      </c>
      <c r="BF91" s="64">
        <v>94.6</v>
      </c>
      <c r="BG91" s="64">
        <v>95.2</v>
      </c>
      <c r="BH91" s="64">
        <v>96.4</v>
      </c>
      <c r="BI91" s="64">
        <v>96.3</v>
      </c>
      <c r="BJ91" s="64">
        <v>96.6</v>
      </c>
      <c r="BK91" s="64">
        <v>94</v>
      </c>
      <c r="BL91" s="64">
        <v>94</v>
      </c>
      <c r="BM91" s="64">
        <v>93.9</v>
      </c>
      <c r="BN91" s="64">
        <v>95</v>
      </c>
      <c r="BO91" s="64">
        <v>95.6</v>
      </c>
      <c r="BP91" s="64">
        <v>94.6</v>
      </c>
    </row>
    <row r="92" spans="28:68">
      <c r="AB92" s="176">
        <v>40422</v>
      </c>
      <c r="AC92" s="64">
        <v>90.1</v>
      </c>
      <c r="AD92" s="64">
        <v>107.5</v>
      </c>
      <c r="AE92" s="64">
        <v>81.8</v>
      </c>
      <c r="AF92" s="64">
        <v>98.8</v>
      </c>
      <c r="AG92" s="64">
        <v>111.8</v>
      </c>
      <c r="AH92" s="64">
        <v>92.9</v>
      </c>
      <c r="AI92" s="64">
        <v>98.7</v>
      </c>
      <c r="AJ92" s="64">
        <v>122.3</v>
      </c>
      <c r="AK92" s="64">
        <v>95.3</v>
      </c>
      <c r="AL92" s="64">
        <v>105.5</v>
      </c>
      <c r="AM92" s="64">
        <v>130.6</v>
      </c>
      <c r="AN92" s="64">
        <v>93.1</v>
      </c>
      <c r="BD92" s="176">
        <v>31168</v>
      </c>
      <c r="BE92" s="64">
        <v>96</v>
      </c>
      <c r="BF92" s="64">
        <v>95.6</v>
      </c>
      <c r="BG92" s="64">
        <v>96.5</v>
      </c>
      <c r="BH92" s="64">
        <v>97.1</v>
      </c>
      <c r="BI92" s="64">
        <v>96.8</v>
      </c>
      <c r="BJ92" s="64">
        <v>97.4</v>
      </c>
      <c r="BK92" s="64">
        <v>95.4</v>
      </c>
      <c r="BL92" s="64">
        <v>95.5</v>
      </c>
      <c r="BM92" s="64">
        <v>95.4</v>
      </c>
      <c r="BN92" s="64">
        <v>96.5</v>
      </c>
      <c r="BO92" s="64">
        <v>96.7</v>
      </c>
      <c r="BP92" s="64">
        <v>96.5</v>
      </c>
    </row>
    <row r="93" spans="28:68">
      <c r="AB93" s="176">
        <v>40513</v>
      </c>
      <c r="AC93" s="64">
        <v>88.9</v>
      </c>
      <c r="AD93" s="64">
        <v>107.4</v>
      </c>
      <c r="AE93" s="64">
        <v>80.2</v>
      </c>
      <c r="AF93" s="64">
        <v>97.8</v>
      </c>
      <c r="AG93" s="64">
        <v>111.2</v>
      </c>
      <c r="AH93" s="64">
        <v>91.8</v>
      </c>
      <c r="AI93" s="64">
        <v>96.9</v>
      </c>
      <c r="AJ93" s="64">
        <v>122.6</v>
      </c>
      <c r="AK93" s="64">
        <v>93.1</v>
      </c>
      <c r="AL93" s="64">
        <v>104.1</v>
      </c>
      <c r="AM93" s="64">
        <v>130.9</v>
      </c>
      <c r="AN93" s="64">
        <v>90.8</v>
      </c>
      <c r="BD93" s="176">
        <v>31260</v>
      </c>
      <c r="BE93" s="64">
        <v>96</v>
      </c>
      <c r="BF93" s="64">
        <v>95.9</v>
      </c>
      <c r="BG93" s="64">
        <v>96.2</v>
      </c>
      <c r="BH93" s="64">
        <v>97.2</v>
      </c>
      <c r="BI93" s="64">
        <v>97.4</v>
      </c>
      <c r="BJ93" s="64">
        <v>97.2</v>
      </c>
      <c r="BK93" s="64">
        <v>95.4</v>
      </c>
      <c r="BL93" s="64">
        <v>96.1</v>
      </c>
      <c r="BM93" s="64">
        <v>94.8</v>
      </c>
      <c r="BN93" s="64">
        <v>96.7</v>
      </c>
      <c r="BO93" s="64">
        <v>97.1</v>
      </c>
      <c r="BP93" s="64">
        <v>96.4</v>
      </c>
    </row>
    <row r="94" spans="28:68">
      <c r="AB94" s="176">
        <v>40603</v>
      </c>
      <c r="AC94" s="64">
        <v>88</v>
      </c>
      <c r="AD94" s="64">
        <v>108.3</v>
      </c>
      <c r="AE94" s="64">
        <v>78.400000000000006</v>
      </c>
      <c r="AF94" s="64">
        <v>96.2</v>
      </c>
      <c r="AG94" s="64">
        <v>112</v>
      </c>
      <c r="AH94" s="64">
        <v>89.1</v>
      </c>
      <c r="AI94" s="64">
        <v>95.3</v>
      </c>
      <c r="AJ94" s="64">
        <v>123.4</v>
      </c>
      <c r="AK94" s="64">
        <v>91.2</v>
      </c>
      <c r="AL94" s="64">
        <v>103.4</v>
      </c>
      <c r="AM94" s="64">
        <v>132.1</v>
      </c>
      <c r="AN94" s="64">
        <v>89.1</v>
      </c>
      <c r="BD94" s="176">
        <v>31352</v>
      </c>
      <c r="BE94" s="64">
        <v>97.7</v>
      </c>
      <c r="BF94" s="64">
        <v>97.1</v>
      </c>
      <c r="BG94" s="64">
        <v>98.2</v>
      </c>
      <c r="BH94" s="64">
        <v>98.6</v>
      </c>
      <c r="BI94" s="64">
        <v>98.2</v>
      </c>
      <c r="BJ94" s="64">
        <v>98.9</v>
      </c>
      <c r="BK94" s="64">
        <v>97.8</v>
      </c>
      <c r="BL94" s="64">
        <v>97.3</v>
      </c>
      <c r="BM94" s="64">
        <v>98.2</v>
      </c>
      <c r="BN94" s="64">
        <v>98.4</v>
      </c>
      <c r="BO94" s="64">
        <v>98</v>
      </c>
      <c r="BP94" s="64">
        <v>98.7</v>
      </c>
    </row>
    <row r="95" spans="28:68">
      <c r="AB95" s="176">
        <v>40695</v>
      </c>
      <c r="AC95" s="64">
        <v>87.3</v>
      </c>
      <c r="AD95" s="64">
        <v>108.2</v>
      </c>
      <c r="AE95" s="64">
        <v>77.400000000000006</v>
      </c>
      <c r="AF95" s="64">
        <v>96.1</v>
      </c>
      <c r="AG95" s="64">
        <v>112.9</v>
      </c>
      <c r="AH95" s="64">
        <v>88.5</v>
      </c>
      <c r="AI95" s="64">
        <v>94.4</v>
      </c>
      <c r="AJ95" s="64">
        <v>123.9</v>
      </c>
      <c r="AK95" s="64">
        <v>90.1</v>
      </c>
      <c r="AL95" s="64">
        <v>102.7</v>
      </c>
      <c r="AM95" s="64">
        <v>132.5</v>
      </c>
      <c r="AN95" s="64">
        <v>87.9</v>
      </c>
      <c r="BD95" s="176">
        <v>31444</v>
      </c>
      <c r="BE95" s="64">
        <v>99.2</v>
      </c>
      <c r="BF95" s="64">
        <v>98.5</v>
      </c>
      <c r="BG95" s="64">
        <v>99.8</v>
      </c>
      <c r="BH95" s="64">
        <v>99.3</v>
      </c>
      <c r="BI95" s="64">
        <v>99.2</v>
      </c>
      <c r="BJ95" s="64">
        <v>99.7</v>
      </c>
      <c r="BK95" s="64">
        <v>99.4</v>
      </c>
      <c r="BL95" s="64">
        <v>98.7</v>
      </c>
      <c r="BM95" s="64">
        <v>99.9</v>
      </c>
      <c r="BN95" s="64">
        <v>99.5</v>
      </c>
      <c r="BO95" s="64">
        <v>98.7</v>
      </c>
      <c r="BP95" s="64">
        <v>100</v>
      </c>
    </row>
    <row r="96" spans="28:68">
      <c r="AB96" s="176">
        <v>40787</v>
      </c>
      <c r="AC96" s="64">
        <v>88.1</v>
      </c>
      <c r="AD96" s="64">
        <v>108.5</v>
      </c>
      <c r="AE96" s="64">
        <v>78.599999999999994</v>
      </c>
      <c r="AF96" s="64">
        <v>98.2</v>
      </c>
      <c r="AG96" s="64">
        <v>113.8</v>
      </c>
      <c r="AH96" s="64">
        <v>91.2</v>
      </c>
      <c r="AI96" s="64">
        <v>96</v>
      </c>
      <c r="AJ96" s="64">
        <v>124.8</v>
      </c>
      <c r="AK96" s="64">
        <v>91.8</v>
      </c>
      <c r="AL96" s="64">
        <v>103.9</v>
      </c>
      <c r="AM96" s="64">
        <v>133.4</v>
      </c>
      <c r="AN96" s="64">
        <v>89.2</v>
      </c>
      <c r="BD96" s="176">
        <v>31533</v>
      </c>
      <c r="BE96" s="64">
        <v>99.8</v>
      </c>
      <c r="BF96" s="64">
        <v>99.8</v>
      </c>
      <c r="BG96" s="64">
        <v>99.9</v>
      </c>
      <c r="BH96" s="64">
        <v>99.9</v>
      </c>
      <c r="BI96" s="64">
        <v>99.9</v>
      </c>
      <c r="BJ96" s="64">
        <v>99.8</v>
      </c>
      <c r="BK96" s="64">
        <v>99.8</v>
      </c>
      <c r="BL96" s="64">
        <v>99.7</v>
      </c>
      <c r="BM96" s="64">
        <v>99.8</v>
      </c>
      <c r="BN96" s="64">
        <v>99.4</v>
      </c>
      <c r="BO96" s="64">
        <v>99.2</v>
      </c>
      <c r="BP96" s="64">
        <v>99.6</v>
      </c>
    </row>
    <row r="97" spans="28:68">
      <c r="AB97" s="176">
        <v>40878</v>
      </c>
      <c r="AC97" s="64">
        <v>91.2</v>
      </c>
      <c r="AD97" s="64">
        <v>109.3</v>
      </c>
      <c r="AE97" s="64">
        <v>82.7</v>
      </c>
      <c r="AF97" s="64">
        <v>103</v>
      </c>
      <c r="AG97" s="64">
        <v>115.3</v>
      </c>
      <c r="AH97" s="64">
        <v>97.5</v>
      </c>
      <c r="AI97" s="64">
        <v>100.6</v>
      </c>
      <c r="AJ97" s="64">
        <v>125.8</v>
      </c>
      <c r="AK97" s="64">
        <v>96.9</v>
      </c>
      <c r="AL97" s="64">
        <v>107.3</v>
      </c>
      <c r="AM97" s="64">
        <v>134.4</v>
      </c>
      <c r="AN97" s="64">
        <v>93.8</v>
      </c>
      <c r="BD97" s="176">
        <v>31625</v>
      </c>
      <c r="BE97" s="64">
        <v>100.1</v>
      </c>
      <c r="BF97" s="64">
        <v>100.5</v>
      </c>
      <c r="BG97" s="64">
        <v>99.8</v>
      </c>
      <c r="BH97" s="64">
        <v>100.2</v>
      </c>
      <c r="BI97" s="64">
        <v>100.2</v>
      </c>
      <c r="BJ97" s="64">
        <v>100</v>
      </c>
      <c r="BK97" s="64">
        <v>100.1</v>
      </c>
      <c r="BL97" s="64">
        <v>100.7</v>
      </c>
      <c r="BM97" s="64">
        <v>99.6</v>
      </c>
      <c r="BN97" s="64">
        <v>100.2</v>
      </c>
      <c r="BO97" s="64">
        <v>100.6</v>
      </c>
      <c r="BP97" s="64">
        <v>99.9</v>
      </c>
    </row>
    <row r="98" spans="28:68">
      <c r="AB98" s="176">
        <v>40969</v>
      </c>
      <c r="AC98" s="64">
        <v>90.5</v>
      </c>
      <c r="AD98" s="64">
        <v>109.9</v>
      </c>
      <c r="AE98" s="64">
        <v>81.3</v>
      </c>
      <c r="AF98" s="64">
        <v>102.5</v>
      </c>
      <c r="AG98" s="64">
        <v>115.6</v>
      </c>
      <c r="AH98" s="64">
        <v>96.7</v>
      </c>
      <c r="AI98" s="64">
        <v>98.8</v>
      </c>
      <c r="AJ98" s="64">
        <v>127</v>
      </c>
      <c r="AK98" s="64">
        <v>94.7</v>
      </c>
      <c r="AL98" s="64">
        <v>106.7</v>
      </c>
      <c r="AM98" s="64">
        <v>136.19999999999999</v>
      </c>
      <c r="AN98" s="64">
        <v>92.1</v>
      </c>
      <c r="BD98" s="176">
        <v>31717</v>
      </c>
      <c r="BE98" s="64">
        <v>100.8</v>
      </c>
      <c r="BF98" s="64">
        <v>101.2</v>
      </c>
      <c r="BG98" s="64">
        <v>100.4</v>
      </c>
      <c r="BH98" s="64">
        <v>100.6</v>
      </c>
      <c r="BI98" s="64">
        <v>100.6</v>
      </c>
      <c r="BJ98" s="64">
        <v>100.5</v>
      </c>
      <c r="BK98" s="64">
        <v>100.8</v>
      </c>
      <c r="BL98" s="64">
        <v>101</v>
      </c>
      <c r="BM98" s="64">
        <v>100.7</v>
      </c>
      <c r="BN98" s="64">
        <v>100.8</v>
      </c>
      <c r="BO98" s="64">
        <v>101.4</v>
      </c>
      <c r="BP98" s="64">
        <v>100.5</v>
      </c>
    </row>
    <row r="99" spans="28:68">
      <c r="AB99" s="176">
        <v>41061</v>
      </c>
      <c r="AC99" s="64">
        <v>90.9</v>
      </c>
      <c r="AD99" s="64">
        <v>109.5</v>
      </c>
      <c r="AE99" s="64">
        <v>82.2</v>
      </c>
      <c r="AF99" s="64">
        <v>103.9</v>
      </c>
      <c r="AG99" s="64">
        <v>115.9</v>
      </c>
      <c r="AH99" s="64">
        <v>98.4</v>
      </c>
      <c r="AI99" s="64">
        <v>100.1</v>
      </c>
      <c r="AJ99" s="64">
        <v>127.3</v>
      </c>
      <c r="AK99" s="64">
        <v>96.2</v>
      </c>
      <c r="AL99" s="64">
        <v>107.8</v>
      </c>
      <c r="AM99" s="64">
        <v>136.9</v>
      </c>
      <c r="AN99" s="64">
        <v>93.4</v>
      </c>
      <c r="BD99" s="176">
        <v>31809</v>
      </c>
      <c r="BE99" s="64">
        <v>99.8</v>
      </c>
      <c r="BF99" s="64">
        <v>102.1</v>
      </c>
      <c r="BG99" s="64">
        <v>97.9</v>
      </c>
      <c r="BH99" s="64">
        <v>100.3</v>
      </c>
      <c r="BI99" s="64">
        <v>100.7</v>
      </c>
      <c r="BJ99" s="64">
        <v>98.5</v>
      </c>
      <c r="BK99" s="64">
        <v>99.5</v>
      </c>
      <c r="BL99" s="64">
        <v>101.9</v>
      </c>
      <c r="BM99" s="64">
        <v>97.8</v>
      </c>
      <c r="BN99" s="64">
        <v>99.5</v>
      </c>
      <c r="BO99" s="64">
        <v>102.7</v>
      </c>
      <c r="BP99" s="64">
        <v>97.7</v>
      </c>
    </row>
    <row r="100" spans="28:68">
      <c r="AB100" s="176">
        <v>41153</v>
      </c>
      <c r="AC100" s="64">
        <v>90.6</v>
      </c>
      <c r="AD100" s="64">
        <v>110.7</v>
      </c>
      <c r="AE100" s="64">
        <v>81.099999999999994</v>
      </c>
      <c r="AF100" s="64">
        <v>103</v>
      </c>
      <c r="AG100" s="64">
        <v>116</v>
      </c>
      <c r="AH100" s="64">
        <v>97.1</v>
      </c>
      <c r="AI100" s="64">
        <v>99.7</v>
      </c>
      <c r="AJ100" s="64">
        <v>127.8</v>
      </c>
      <c r="AK100" s="64">
        <v>95.6</v>
      </c>
      <c r="AL100" s="64">
        <v>107.4</v>
      </c>
      <c r="AM100" s="64">
        <v>137.69999999999999</v>
      </c>
      <c r="AN100" s="64">
        <v>92.4</v>
      </c>
      <c r="BD100" s="176">
        <v>31898</v>
      </c>
      <c r="BE100" s="64">
        <v>99.6</v>
      </c>
      <c r="BF100" s="64">
        <v>102.2</v>
      </c>
      <c r="BG100" s="64">
        <v>97.4</v>
      </c>
      <c r="BH100" s="64">
        <v>100.3</v>
      </c>
      <c r="BI100" s="64">
        <v>100.7</v>
      </c>
      <c r="BJ100" s="64">
        <v>98.9</v>
      </c>
      <c r="BK100" s="64">
        <v>100.5</v>
      </c>
      <c r="BL100" s="64">
        <v>103.4</v>
      </c>
      <c r="BM100" s="64">
        <v>98.4</v>
      </c>
      <c r="BN100" s="64">
        <v>99.8</v>
      </c>
      <c r="BO100" s="64">
        <v>103.2</v>
      </c>
      <c r="BP100" s="64">
        <v>97.9</v>
      </c>
    </row>
    <row r="101" spans="28:68">
      <c r="AB101" s="176">
        <v>41244</v>
      </c>
      <c r="AC101" s="64">
        <v>90.6</v>
      </c>
      <c r="AD101" s="64">
        <v>110.6</v>
      </c>
      <c r="AE101" s="64">
        <v>81.2</v>
      </c>
      <c r="AF101" s="64">
        <v>103.9</v>
      </c>
      <c r="AG101" s="64">
        <v>115.9</v>
      </c>
      <c r="AH101" s="64">
        <v>98.5</v>
      </c>
      <c r="AI101" s="64">
        <v>100</v>
      </c>
      <c r="AJ101" s="64">
        <v>127.9</v>
      </c>
      <c r="AK101" s="64">
        <v>96</v>
      </c>
      <c r="AL101" s="64">
        <v>107.5</v>
      </c>
      <c r="AM101" s="64">
        <v>137.9</v>
      </c>
      <c r="AN101" s="64">
        <v>92.4</v>
      </c>
      <c r="BD101" s="176">
        <v>31990</v>
      </c>
      <c r="BE101" s="64">
        <v>99.5</v>
      </c>
      <c r="BF101" s="64">
        <v>102.5</v>
      </c>
      <c r="BG101" s="64">
        <v>96.8</v>
      </c>
      <c r="BH101" s="64">
        <v>100.7</v>
      </c>
      <c r="BI101" s="64">
        <v>101</v>
      </c>
      <c r="BJ101" s="64">
        <v>99.1</v>
      </c>
      <c r="BK101" s="64">
        <v>100.2</v>
      </c>
      <c r="BL101" s="64">
        <v>104.1</v>
      </c>
      <c r="BM101" s="64">
        <v>97.5</v>
      </c>
      <c r="BN101" s="64">
        <v>99.2</v>
      </c>
      <c r="BO101" s="64">
        <v>103.2</v>
      </c>
      <c r="BP101" s="64">
        <v>97</v>
      </c>
    </row>
    <row r="102" spans="28:68">
      <c r="BD102" s="176">
        <v>32082</v>
      </c>
      <c r="BE102" s="64">
        <v>99.9</v>
      </c>
      <c r="BF102" s="64">
        <v>103.4</v>
      </c>
      <c r="BG102" s="64">
        <v>96.9</v>
      </c>
      <c r="BH102" s="64">
        <v>101.3</v>
      </c>
      <c r="BI102" s="64">
        <v>101.9</v>
      </c>
      <c r="BJ102" s="64">
        <v>98.6</v>
      </c>
      <c r="BK102" s="64">
        <v>100.5</v>
      </c>
      <c r="BL102" s="64">
        <v>104.9</v>
      </c>
      <c r="BM102" s="64">
        <v>97.4</v>
      </c>
      <c r="BN102" s="64">
        <v>99.1</v>
      </c>
      <c r="BO102" s="64">
        <v>103.4</v>
      </c>
      <c r="BP102" s="64">
        <v>96.7</v>
      </c>
    </row>
    <row r="103" spans="28:68">
      <c r="BD103" s="176">
        <v>32174</v>
      </c>
      <c r="BE103" s="64">
        <v>99.7</v>
      </c>
      <c r="BF103" s="64">
        <v>104.5</v>
      </c>
      <c r="BG103" s="64">
        <v>95.6</v>
      </c>
      <c r="BH103" s="64">
        <v>101.9</v>
      </c>
      <c r="BI103" s="64">
        <v>102.5</v>
      </c>
      <c r="BJ103" s="64">
        <v>98.9</v>
      </c>
      <c r="BK103" s="64">
        <v>100.7</v>
      </c>
      <c r="BL103" s="64">
        <v>106.5</v>
      </c>
      <c r="BM103" s="64">
        <v>96.6</v>
      </c>
      <c r="BN103" s="64">
        <v>98.1</v>
      </c>
      <c r="BO103" s="64">
        <v>104.5</v>
      </c>
      <c r="BP103" s="64">
        <v>94.5</v>
      </c>
    </row>
    <row r="104" spans="28:68">
      <c r="BD104" s="176">
        <v>32264</v>
      </c>
      <c r="BE104" s="64">
        <v>98.9</v>
      </c>
      <c r="BF104" s="64">
        <v>104.8</v>
      </c>
      <c r="BG104" s="64">
        <v>93.9</v>
      </c>
      <c r="BH104" s="64">
        <v>101.5</v>
      </c>
      <c r="BI104" s="64">
        <v>102.5</v>
      </c>
      <c r="BJ104" s="64">
        <v>97.4</v>
      </c>
      <c r="BK104" s="64">
        <v>99.5</v>
      </c>
      <c r="BL104" s="64">
        <v>106.7</v>
      </c>
      <c r="BM104" s="64">
        <v>94.5</v>
      </c>
      <c r="BN104" s="64">
        <v>97</v>
      </c>
      <c r="BO104" s="64">
        <v>105.5</v>
      </c>
      <c r="BP104" s="64">
        <v>92</v>
      </c>
    </row>
    <row r="105" spans="28:68">
      <c r="BD105" s="176">
        <v>32356</v>
      </c>
      <c r="BE105" s="64">
        <v>99.4</v>
      </c>
      <c r="BF105" s="64">
        <v>105.8</v>
      </c>
      <c r="BG105" s="64">
        <v>93.9</v>
      </c>
      <c r="BH105" s="64">
        <v>102.6</v>
      </c>
      <c r="BI105" s="64">
        <v>103.4</v>
      </c>
      <c r="BJ105" s="64">
        <v>98.5</v>
      </c>
      <c r="BK105" s="64">
        <v>99.7</v>
      </c>
      <c r="BL105" s="64">
        <v>107.3</v>
      </c>
      <c r="BM105" s="64">
        <v>94.3</v>
      </c>
      <c r="BN105" s="64">
        <v>98.7</v>
      </c>
      <c r="BO105" s="64">
        <v>109.7</v>
      </c>
      <c r="BP105" s="64">
        <v>92.3</v>
      </c>
    </row>
    <row r="106" spans="28:68">
      <c r="BD106" s="176">
        <v>32448</v>
      </c>
      <c r="BE106" s="64">
        <v>100.6</v>
      </c>
      <c r="BF106" s="64">
        <v>107</v>
      </c>
      <c r="BG106" s="64">
        <v>95</v>
      </c>
      <c r="BH106" s="64">
        <v>104</v>
      </c>
      <c r="BI106" s="64">
        <v>104.9</v>
      </c>
      <c r="BJ106" s="64">
        <v>99.6</v>
      </c>
      <c r="BK106" s="64">
        <v>101.6</v>
      </c>
      <c r="BL106" s="64">
        <v>108.9</v>
      </c>
      <c r="BM106" s="64">
        <v>96.6</v>
      </c>
      <c r="BN106" s="64">
        <v>100.7</v>
      </c>
      <c r="BO106" s="64">
        <v>111.2</v>
      </c>
      <c r="BP106" s="64">
        <v>94.7</v>
      </c>
    </row>
    <row r="107" spans="28:68">
      <c r="BD107" s="176">
        <v>32540</v>
      </c>
      <c r="BE107" s="64">
        <v>100.9</v>
      </c>
      <c r="BF107" s="64">
        <v>108.8</v>
      </c>
      <c r="BG107" s="64">
        <v>94.1</v>
      </c>
      <c r="BH107" s="64">
        <v>105.5</v>
      </c>
      <c r="BI107" s="64">
        <v>106.7</v>
      </c>
      <c r="BJ107" s="64">
        <v>99.5</v>
      </c>
      <c r="BK107" s="64">
        <v>102.5</v>
      </c>
      <c r="BL107" s="64">
        <v>112</v>
      </c>
      <c r="BM107" s="64">
        <v>95.9</v>
      </c>
      <c r="BN107" s="64">
        <v>101.4</v>
      </c>
      <c r="BO107" s="64">
        <v>115.2</v>
      </c>
      <c r="BP107" s="64">
        <v>93.6</v>
      </c>
    </row>
    <row r="108" spans="28:68">
      <c r="BD108" s="176">
        <v>32629</v>
      </c>
      <c r="BE108" s="64">
        <v>102</v>
      </c>
      <c r="BF108" s="64">
        <v>110.1</v>
      </c>
      <c r="BG108" s="64">
        <v>94.9</v>
      </c>
      <c r="BH108" s="64">
        <v>106.4</v>
      </c>
      <c r="BI108" s="64">
        <v>107.7</v>
      </c>
      <c r="BJ108" s="64">
        <v>100.4</v>
      </c>
      <c r="BK108" s="64">
        <v>103.5</v>
      </c>
      <c r="BL108" s="64">
        <v>113.1</v>
      </c>
      <c r="BM108" s="64">
        <v>96.7</v>
      </c>
      <c r="BN108" s="64">
        <v>104</v>
      </c>
      <c r="BO108" s="64">
        <v>119</v>
      </c>
      <c r="BP108" s="64">
        <v>95.3</v>
      </c>
    </row>
    <row r="109" spans="28:68">
      <c r="BD109" s="176">
        <v>32721</v>
      </c>
      <c r="BE109" s="64">
        <v>102.6</v>
      </c>
      <c r="BF109" s="64">
        <v>111.3</v>
      </c>
      <c r="BG109" s="64">
        <v>95.2</v>
      </c>
      <c r="BH109" s="64">
        <v>107.8</v>
      </c>
      <c r="BI109" s="64">
        <v>109.1</v>
      </c>
      <c r="BJ109" s="64">
        <v>101.5</v>
      </c>
      <c r="BK109" s="64">
        <v>104.1</v>
      </c>
      <c r="BL109" s="64">
        <v>114.5</v>
      </c>
      <c r="BM109" s="64">
        <v>96.8</v>
      </c>
      <c r="BN109" s="64">
        <v>105</v>
      </c>
      <c r="BO109" s="64">
        <v>120.9</v>
      </c>
      <c r="BP109" s="64">
        <v>95.8</v>
      </c>
    </row>
    <row r="110" spans="28:68">
      <c r="BD110" s="176">
        <v>32813</v>
      </c>
      <c r="BE110" s="64">
        <v>103</v>
      </c>
      <c r="BF110" s="64">
        <v>112.1</v>
      </c>
      <c r="BG110" s="64">
        <v>95.2</v>
      </c>
      <c r="BH110" s="64">
        <v>108.8</v>
      </c>
      <c r="BI110" s="64">
        <v>110.4</v>
      </c>
      <c r="BJ110" s="64">
        <v>101.4</v>
      </c>
      <c r="BK110" s="64">
        <v>105.4</v>
      </c>
      <c r="BL110" s="64">
        <v>116.2</v>
      </c>
      <c r="BM110" s="64">
        <v>97.7</v>
      </c>
      <c r="BN110" s="64">
        <v>104.6</v>
      </c>
      <c r="BO110" s="64">
        <v>121.5</v>
      </c>
      <c r="BP110" s="64">
        <v>94.9</v>
      </c>
    </row>
    <row r="111" spans="28:68">
      <c r="BD111" s="176">
        <v>32905</v>
      </c>
      <c r="BE111" s="64">
        <v>104</v>
      </c>
      <c r="BF111" s="64">
        <v>113.3</v>
      </c>
      <c r="BG111" s="64">
        <v>96</v>
      </c>
      <c r="BH111" s="64">
        <v>109.5</v>
      </c>
      <c r="BI111" s="64">
        <v>111.1</v>
      </c>
      <c r="BJ111" s="64">
        <v>102</v>
      </c>
      <c r="BK111" s="64">
        <v>106.3</v>
      </c>
      <c r="BL111" s="64">
        <v>117.3</v>
      </c>
      <c r="BM111" s="64">
        <v>98.6</v>
      </c>
      <c r="BN111" s="64">
        <v>106</v>
      </c>
      <c r="BO111" s="64">
        <v>123</v>
      </c>
      <c r="BP111" s="64">
        <v>96.3</v>
      </c>
    </row>
    <row r="112" spans="28:68">
      <c r="BD112" s="176">
        <v>32994</v>
      </c>
      <c r="BE112" s="64">
        <v>103.9</v>
      </c>
      <c r="BF112" s="64">
        <v>113.8</v>
      </c>
      <c r="BG112" s="64">
        <v>95.4</v>
      </c>
      <c r="BH112" s="64">
        <v>110.1</v>
      </c>
      <c r="BI112" s="64">
        <v>112</v>
      </c>
      <c r="BJ112" s="64">
        <v>101.4</v>
      </c>
      <c r="BK112" s="64">
        <v>106.3</v>
      </c>
      <c r="BL112" s="64">
        <v>118.2</v>
      </c>
      <c r="BM112" s="64">
        <v>97.9</v>
      </c>
      <c r="BN112" s="64">
        <v>106.2</v>
      </c>
      <c r="BO112" s="64">
        <v>124</v>
      </c>
      <c r="BP112" s="64">
        <v>96</v>
      </c>
    </row>
    <row r="113" spans="56:68">
      <c r="BD113" s="176">
        <v>33086</v>
      </c>
      <c r="BE113" s="64">
        <v>103.7</v>
      </c>
      <c r="BF113" s="64">
        <v>114.1</v>
      </c>
      <c r="BG113" s="64">
        <v>94.7</v>
      </c>
      <c r="BH113" s="64">
        <v>110.8</v>
      </c>
      <c r="BI113" s="64">
        <v>112.9</v>
      </c>
      <c r="BJ113" s="64">
        <v>101.1</v>
      </c>
      <c r="BK113" s="64">
        <v>106.1</v>
      </c>
      <c r="BL113" s="64">
        <v>118.9</v>
      </c>
      <c r="BM113" s="64">
        <v>97.2</v>
      </c>
      <c r="BN113" s="64">
        <v>106.6</v>
      </c>
      <c r="BO113" s="64">
        <v>125.1</v>
      </c>
      <c r="BP113" s="64">
        <v>96</v>
      </c>
    </row>
    <row r="114" spans="56:68">
      <c r="BD114" s="176">
        <v>33178</v>
      </c>
      <c r="BE114" s="64">
        <v>104.2</v>
      </c>
      <c r="BF114" s="64">
        <v>114.3</v>
      </c>
      <c r="BG114" s="64">
        <v>95.6</v>
      </c>
      <c r="BH114" s="64">
        <v>111.5</v>
      </c>
      <c r="BI114" s="64">
        <v>113.5</v>
      </c>
      <c r="BJ114" s="64">
        <v>102.2</v>
      </c>
      <c r="BK114" s="64">
        <v>107.4</v>
      </c>
      <c r="BL114" s="64">
        <v>119.7</v>
      </c>
      <c r="BM114" s="64">
        <v>98.7</v>
      </c>
      <c r="BN114" s="64">
        <v>107.3</v>
      </c>
      <c r="BO114" s="64">
        <v>125.6</v>
      </c>
      <c r="BP114" s="64">
        <v>96.8</v>
      </c>
    </row>
    <row r="115" spans="56:68">
      <c r="BD115" s="176">
        <v>33270</v>
      </c>
      <c r="BE115" s="64">
        <v>100.6</v>
      </c>
      <c r="BF115" s="64">
        <v>110.4</v>
      </c>
      <c r="BG115" s="64">
        <v>92.2</v>
      </c>
      <c r="BH115" s="64">
        <v>109.9</v>
      </c>
      <c r="BI115" s="64">
        <v>111.7</v>
      </c>
      <c r="BJ115" s="64">
        <v>101.4</v>
      </c>
      <c r="BK115" s="64">
        <v>103.8</v>
      </c>
      <c r="BL115" s="64">
        <v>116.5</v>
      </c>
      <c r="BM115" s="64">
        <v>94.9</v>
      </c>
      <c r="BN115" s="64">
        <v>105.2</v>
      </c>
      <c r="BO115" s="64">
        <v>123.2</v>
      </c>
      <c r="BP115" s="64">
        <v>94.8</v>
      </c>
    </row>
    <row r="116" spans="56:68">
      <c r="BD116" s="176">
        <v>33359</v>
      </c>
      <c r="BE116" s="64">
        <v>100.5</v>
      </c>
      <c r="BF116" s="64">
        <v>110.4</v>
      </c>
      <c r="BG116" s="64">
        <v>92</v>
      </c>
      <c r="BH116" s="64">
        <v>110</v>
      </c>
      <c r="BI116" s="64">
        <v>111.9</v>
      </c>
      <c r="BJ116" s="64">
        <v>101.4</v>
      </c>
      <c r="BK116" s="64">
        <v>103.9</v>
      </c>
      <c r="BL116" s="64">
        <v>116.9</v>
      </c>
      <c r="BM116" s="64">
        <v>94.8</v>
      </c>
      <c r="BN116" s="64">
        <v>105.3</v>
      </c>
      <c r="BO116" s="64">
        <v>123.8</v>
      </c>
      <c r="BP116" s="64">
        <v>94.8</v>
      </c>
    </row>
    <row r="117" spans="56:68">
      <c r="BD117" s="176">
        <v>33451</v>
      </c>
      <c r="BE117" s="64">
        <v>100.4</v>
      </c>
      <c r="BF117" s="64">
        <v>110.5</v>
      </c>
      <c r="BG117" s="64">
        <v>91.9</v>
      </c>
      <c r="BH117" s="64">
        <v>110.7</v>
      </c>
      <c r="BI117" s="64">
        <v>112.6</v>
      </c>
      <c r="BJ117" s="64">
        <v>101.7</v>
      </c>
      <c r="BK117" s="64">
        <v>104</v>
      </c>
      <c r="BL117" s="64">
        <v>117.5</v>
      </c>
      <c r="BM117" s="64">
        <v>94.6</v>
      </c>
      <c r="BN117" s="64">
        <v>105.3</v>
      </c>
      <c r="BO117" s="64">
        <v>123.9</v>
      </c>
      <c r="BP117" s="64">
        <v>94.6</v>
      </c>
    </row>
    <row r="118" spans="56:68">
      <c r="BD118" s="176">
        <v>33543</v>
      </c>
      <c r="BE118" s="64">
        <v>100.8</v>
      </c>
      <c r="BF118" s="64">
        <v>110.9</v>
      </c>
      <c r="BG118" s="64">
        <v>92.2</v>
      </c>
      <c r="BH118" s="64">
        <v>112.1</v>
      </c>
      <c r="BI118" s="64">
        <v>114.4</v>
      </c>
      <c r="BJ118" s="64">
        <v>102</v>
      </c>
      <c r="BK118" s="64">
        <v>105.1</v>
      </c>
      <c r="BL118" s="64">
        <v>118.7</v>
      </c>
      <c r="BM118" s="64">
        <v>95.5</v>
      </c>
      <c r="BN118" s="64">
        <v>105.1</v>
      </c>
      <c r="BO118" s="64">
        <v>124.2</v>
      </c>
      <c r="BP118" s="64">
        <v>94.2</v>
      </c>
    </row>
    <row r="119" spans="56:68">
      <c r="BD119" s="176">
        <v>33635</v>
      </c>
      <c r="BE119" s="64">
        <v>102.6</v>
      </c>
      <c r="BF119" s="64">
        <v>111.8</v>
      </c>
      <c r="BG119" s="64">
        <v>94.8</v>
      </c>
      <c r="BH119" s="64">
        <v>112.9</v>
      </c>
      <c r="BI119" s="64">
        <v>114.7</v>
      </c>
      <c r="BJ119" s="64">
        <v>104.4</v>
      </c>
      <c r="BK119" s="64">
        <v>107</v>
      </c>
      <c r="BL119" s="64">
        <v>119.2</v>
      </c>
      <c r="BM119" s="64">
        <v>98.4</v>
      </c>
      <c r="BN119" s="64">
        <v>108</v>
      </c>
      <c r="BO119" s="64">
        <v>125.8</v>
      </c>
      <c r="BP119" s="64">
        <v>97.7</v>
      </c>
    </row>
    <row r="120" spans="56:68">
      <c r="BD120" s="176">
        <v>33725</v>
      </c>
      <c r="BE120" s="64">
        <v>103.4</v>
      </c>
      <c r="BF120" s="64">
        <v>112.3</v>
      </c>
      <c r="BG120" s="64">
        <v>95.7</v>
      </c>
      <c r="BH120" s="64">
        <v>113.4</v>
      </c>
      <c r="BI120" s="64">
        <v>115.1</v>
      </c>
      <c r="BJ120" s="64">
        <v>105.4</v>
      </c>
      <c r="BK120" s="64">
        <v>107.7</v>
      </c>
      <c r="BL120" s="64">
        <v>119.5</v>
      </c>
      <c r="BM120" s="64">
        <v>99.4</v>
      </c>
      <c r="BN120" s="64">
        <v>109.5</v>
      </c>
      <c r="BO120" s="64">
        <v>127.4</v>
      </c>
      <c r="BP120" s="64">
        <v>99.2</v>
      </c>
    </row>
    <row r="121" spans="56:68">
      <c r="BD121" s="176">
        <v>33817</v>
      </c>
      <c r="BE121" s="64">
        <v>103.9</v>
      </c>
      <c r="BF121" s="64">
        <v>112.6</v>
      </c>
      <c r="BG121" s="64">
        <v>96.4</v>
      </c>
      <c r="BH121" s="64">
        <v>114.4</v>
      </c>
      <c r="BI121" s="64">
        <v>116.1</v>
      </c>
      <c r="BJ121" s="64">
        <v>106.4</v>
      </c>
      <c r="BK121" s="64">
        <v>108.4</v>
      </c>
      <c r="BL121" s="64">
        <v>120</v>
      </c>
      <c r="BM121" s="64">
        <v>100.2</v>
      </c>
      <c r="BN121" s="64">
        <v>110.2</v>
      </c>
      <c r="BO121" s="64">
        <v>127.6</v>
      </c>
      <c r="BP121" s="64">
        <v>100.3</v>
      </c>
    </row>
    <row r="122" spans="56:68">
      <c r="BD122" s="176">
        <v>33909</v>
      </c>
      <c r="BE122" s="64">
        <v>106.9</v>
      </c>
      <c r="BF122" s="64">
        <v>114</v>
      </c>
      <c r="BG122" s="64">
        <v>100.7</v>
      </c>
      <c r="BH122" s="64">
        <v>116.6</v>
      </c>
      <c r="BI122" s="64">
        <v>117.9</v>
      </c>
      <c r="BJ122" s="64">
        <v>110.2</v>
      </c>
      <c r="BK122" s="64">
        <v>111.9</v>
      </c>
      <c r="BL122" s="64">
        <v>121.4</v>
      </c>
      <c r="BM122" s="64">
        <v>105.2</v>
      </c>
      <c r="BN122" s="64">
        <v>114.3</v>
      </c>
      <c r="BO122" s="64">
        <v>128.9</v>
      </c>
      <c r="BP122" s="64">
        <v>105.9</v>
      </c>
    </row>
    <row r="123" spans="56:68">
      <c r="BD123" s="176">
        <v>34001</v>
      </c>
      <c r="BE123" s="64">
        <v>107.1</v>
      </c>
      <c r="BF123" s="64">
        <v>114.2</v>
      </c>
      <c r="BG123" s="64">
        <v>100.9</v>
      </c>
      <c r="BH123" s="64">
        <v>117</v>
      </c>
      <c r="BI123" s="64">
        <v>118.4</v>
      </c>
      <c r="BJ123" s="64">
        <v>110.4</v>
      </c>
      <c r="BK123" s="64">
        <v>112</v>
      </c>
      <c r="BL123" s="64">
        <v>121.8</v>
      </c>
      <c r="BM123" s="64">
        <v>105</v>
      </c>
      <c r="BN123" s="64">
        <v>113.6</v>
      </c>
      <c r="BO123" s="64">
        <v>128.5</v>
      </c>
      <c r="BP123" s="64">
        <v>105.1</v>
      </c>
    </row>
    <row r="124" spans="56:68">
      <c r="BD124" s="176">
        <v>34090</v>
      </c>
      <c r="BE124" s="64">
        <v>107.7</v>
      </c>
      <c r="BF124" s="64">
        <v>114.5</v>
      </c>
      <c r="BG124" s="64">
        <v>101.7</v>
      </c>
      <c r="BH124" s="64">
        <v>117.2</v>
      </c>
      <c r="BI124" s="64">
        <v>118.5</v>
      </c>
      <c r="BJ124" s="64">
        <v>111.3</v>
      </c>
      <c r="BK124" s="64">
        <v>112.5</v>
      </c>
      <c r="BL124" s="64">
        <v>122</v>
      </c>
      <c r="BM124" s="64">
        <v>105.8</v>
      </c>
      <c r="BN124" s="64">
        <v>114.8</v>
      </c>
      <c r="BO124" s="64">
        <v>129.30000000000001</v>
      </c>
      <c r="BP124" s="64">
        <v>106.5</v>
      </c>
    </row>
    <row r="125" spans="56:68">
      <c r="BD125" s="176">
        <v>34182</v>
      </c>
      <c r="BE125" s="64">
        <v>108.9</v>
      </c>
      <c r="BF125" s="64">
        <v>115</v>
      </c>
      <c r="BG125" s="64">
        <v>103.6</v>
      </c>
      <c r="BH125" s="64">
        <v>118.6</v>
      </c>
      <c r="BI125" s="64">
        <v>119.6</v>
      </c>
      <c r="BJ125" s="64">
        <v>114.2</v>
      </c>
      <c r="BK125" s="64">
        <v>114.1</v>
      </c>
      <c r="BL125" s="64">
        <v>122.7</v>
      </c>
      <c r="BM125" s="64">
        <v>108.1</v>
      </c>
      <c r="BN125" s="64">
        <v>117</v>
      </c>
      <c r="BO125" s="64">
        <v>130.19999999999999</v>
      </c>
      <c r="BP125" s="64">
        <v>109.5</v>
      </c>
    </row>
    <row r="126" spans="56:68">
      <c r="BD126" s="176">
        <v>34274</v>
      </c>
      <c r="BE126" s="64">
        <v>110.5</v>
      </c>
      <c r="BF126" s="64">
        <v>115.9</v>
      </c>
      <c r="BG126" s="64">
        <v>105.8</v>
      </c>
      <c r="BH126" s="64">
        <v>120.4</v>
      </c>
      <c r="BI126" s="64">
        <v>121</v>
      </c>
      <c r="BJ126" s="64">
        <v>117.5</v>
      </c>
      <c r="BK126" s="64">
        <v>116.4</v>
      </c>
      <c r="BL126" s="64">
        <v>124.1</v>
      </c>
      <c r="BM126" s="64">
        <v>111</v>
      </c>
      <c r="BN126" s="64">
        <v>118.8</v>
      </c>
      <c r="BO126" s="64">
        <v>130.80000000000001</v>
      </c>
      <c r="BP126" s="64">
        <v>111.9</v>
      </c>
    </row>
    <row r="127" spans="56:68">
      <c r="BD127" s="176">
        <v>34366</v>
      </c>
      <c r="BE127" s="64">
        <v>112.1</v>
      </c>
      <c r="BF127" s="64">
        <v>116.8</v>
      </c>
      <c r="BG127" s="64">
        <v>107.9</v>
      </c>
      <c r="BH127" s="64">
        <v>121.4</v>
      </c>
      <c r="BI127" s="64">
        <v>121.9</v>
      </c>
      <c r="BJ127" s="64">
        <v>119.1</v>
      </c>
      <c r="BK127" s="64">
        <v>118.2</v>
      </c>
      <c r="BL127" s="64">
        <v>125.3</v>
      </c>
      <c r="BM127" s="64">
        <v>113.1</v>
      </c>
      <c r="BN127" s="64">
        <v>120.8</v>
      </c>
      <c r="BO127" s="64">
        <v>132</v>
      </c>
      <c r="BP127" s="64">
        <v>114.3</v>
      </c>
    </row>
    <row r="128" spans="56:68">
      <c r="BD128" s="176">
        <v>34455</v>
      </c>
      <c r="BE128" s="64">
        <v>113.8</v>
      </c>
      <c r="BF128" s="64">
        <v>117.4</v>
      </c>
      <c r="BG128" s="64">
        <v>110.4</v>
      </c>
      <c r="BH128" s="64">
        <v>122.8</v>
      </c>
      <c r="BI128" s="64">
        <v>123.1</v>
      </c>
      <c r="BJ128" s="64">
        <v>121.5</v>
      </c>
      <c r="BK128" s="64">
        <v>120.5</v>
      </c>
      <c r="BL128" s="64">
        <v>126.5</v>
      </c>
      <c r="BM128" s="64">
        <v>116.2</v>
      </c>
      <c r="BN128" s="64">
        <v>124</v>
      </c>
      <c r="BO128" s="64">
        <v>134.30000000000001</v>
      </c>
      <c r="BP128" s="64">
        <v>118.2</v>
      </c>
    </row>
    <row r="129" spans="56:68">
      <c r="BD129" s="176">
        <v>34547</v>
      </c>
      <c r="BE129" s="64">
        <v>114.1</v>
      </c>
      <c r="BF129" s="64">
        <v>118.4</v>
      </c>
      <c r="BG129" s="64">
        <v>110.4</v>
      </c>
      <c r="BH129" s="64">
        <v>123.8</v>
      </c>
      <c r="BI129" s="64">
        <v>124.2</v>
      </c>
      <c r="BJ129" s="64">
        <v>121.3</v>
      </c>
      <c r="BK129" s="64">
        <v>120.7</v>
      </c>
      <c r="BL129" s="64">
        <v>127.7</v>
      </c>
      <c r="BM129" s="64">
        <v>115.8</v>
      </c>
      <c r="BN129" s="64">
        <v>123.6</v>
      </c>
      <c r="BO129" s="64">
        <v>134.6</v>
      </c>
      <c r="BP129" s="64">
        <v>117.2</v>
      </c>
    </row>
    <row r="130" spans="56:68">
      <c r="BD130" s="176">
        <v>34639</v>
      </c>
      <c r="BE130" s="64">
        <v>115.4</v>
      </c>
      <c r="BF130" s="64">
        <v>119.7</v>
      </c>
      <c r="BG130" s="64">
        <v>111.6</v>
      </c>
      <c r="BH130" s="64">
        <v>125.3</v>
      </c>
      <c r="BI130" s="64">
        <v>125.7</v>
      </c>
      <c r="BJ130" s="64">
        <v>122.7</v>
      </c>
      <c r="BK130" s="64">
        <v>121.7</v>
      </c>
      <c r="BL130" s="64">
        <v>128.69999999999999</v>
      </c>
      <c r="BM130" s="64">
        <v>116.7</v>
      </c>
      <c r="BN130" s="64">
        <v>124.2</v>
      </c>
      <c r="BO130" s="64">
        <v>135.80000000000001</v>
      </c>
      <c r="BP130" s="64">
        <v>117.4</v>
      </c>
    </row>
    <row r="131" spans="56:68">
      <c r="BD131" s="176">
        <v>34731</v>
      </c>
      <c r="BE131" s="64">
        <v>118.9</v>
      </c>
      <c r="BF131" s="64">
        <v>122.6</v>
      </c>
      <c r="BG131" s="64">
        <v>115.4</v>
      </c>
      <c r="BH131" s="64">
        <v>128.6</v>
      </c>
      <c r="BI131" s="64">
        <v>129.1</v>
      </c>
      <c r="BJ131" s="64">
        <v>126.4</v>
      </c>
      <c r="BK131" s="64">
        <v>125</v>
      </c>
      <c r="BL131" s="64">
        <v>131.4</v>
      </c>
      <c r="BM131" s="64">
        <v>120.4</v>
      </c>
      <c r="BN131" s="64">
        <v>128.5</v>
      </c>
      <c r="BO131" s="64">
        <v>139.19999999999999</v>
      </c>
      <c r="BP131" s="64">
        <v>122.3</v>
      </c>
    </row>
    <row r="132" spans="56:68">
      <c r="BD132" s="176">
        <v>34820</v>
      </c>
      <c r="BE132" s="64">
        <v>118.3</v>
      </c>
      <c r="BF132" s="64">
        <v>123.4</v>
      </c>
      <c r="BG132" s="64">
        <v>113.8</v>
      </c>
      <c r="BH132" s="64">
        <v>129.30000000000001</v>
      </c>
      <c r="BI132" s="64">
        <v>130.19999999999999</v>
      </c>
      <c r="BJ132" s="64">
        <v>125.2</v>
      </c>
      <c r="BK132" s="64">
        <v>124.2</v>
      </c>
      <c r="BL132" s="64">
        <v>132.69999999999999</v>
      </c>
      <c r="BM132" s="64">
        <v>118.2</v>
      </c>
      <c r="BN132" s="64">
        <v>129</v>
      </c>
      <c r="BO132" s="64">
        <v>140.69999999999999</v>
      </c>
      <c r="BP132" s="64">
        <v>122.3</v>
      </c>
    </row>
    <row r="133" spans="56:68">
      <c r="BD133" s="176">
        <v>34912</v>
      </c>
      <c r="BE133" s="64">
        <v>118.3</v>
      </c>
      <c r="BF133" s="64">
        <v>123.7</v>
      </c>
      <c r="BG133" s="64">
        <v>113.6</v>
      </c>
      <c r="BH133" s="64">
        <v>129.4</v>
      </c>
      <c r="BI133" s="64">
        <v>130.30000000000001</v>
      </c>
      <c r="BJ133" s="64">
        <v>125.2</v>
      </c>
      <c r="BK133" s="64">
        <v>124.1</v>
      </c>
      <c r="BL133" s="64">
        <v>133.19999999999999</v>
      </c>
      <c r="BM133" s="64">
        <v>117.7</v>
      </c>
      <c r="BN133" s="64">
        <v>129</v>
      </c>
      <c r="BO133" s="64">
        <v>141.19999999999999</v>
      </c>
      <c r="BP133" s="64">
        <v>122.1</v>
      </c>
    </row>
    <row r="134" spans="56:68">
      <c r="BD134" s="176">
        <v>35004</v>
      </c>
      <c r="BE134" s="64">
        <v>119.4</v>
      </c>
      <c r="BF134" s="64">
        <v>124.6</v>
      </c>
      <c r="BG134" s="64">
        <v>114.7</v>
      </c>
      <c r="BH134" s="64">
        <v>131.19999999999999</v>
      </c>
      <c r="BI134" s="64">
        <v>132.1</v>
      </c>
      <c r="BJ134" s="64">
        <v>126.6</v>
      </c>
      <c r="BK134" s="64">
        <v>125.9</v>
      </c>
      <c r="BL134" s="64">
        <v>135.4</v>
      </c>
      <c r="BM134" s="64">
        <v>119.1</v>
      </c>
      <c r="BN134" s="64">
        <v>129.5</v>
      </c>
      <c r="BO134" s="64">
        <v>142.4</v>
      </c>
      <c r="BP134" s="64">
        <v>122.1</v>
      </c>
    </row>
    <row r="135" spans="56:68">
      <c r="BD135" s="176">
        <v>35096</v>
      </c>
      <c r="BE135" s="64">
        <v>120.9</v>
      </c>
      <c r="BF135" s="64">
        <v>125.7</v>
      </c>
      <c r="BG135" s="64">
        <v>116.7</v>
      </c>
      <c r="BH135" s="64">
        <v>132.5</v>
      </c>
      <c r="BI135" s="64">
        <v>133.4</v>
      </c>
      <c r="BJ135" s="64">
        <v>128.30000000000001</v>
      </c>
      <c r="BK135" s="64">
        <v>128.19999999999999</v>
      </c>
      <c r="BL135" s="64">
        <v>137.1</v>
      </c>
      <c r="BM135" s="64">
        <v>121.8</v>
      </c>
      <c r="BN135" s="64">
        <v>132</v>
      </c>
      <c r="BO135" s="64">
        <v>144.5</v>
      </c>
      <c r="BP135" s="64">
        <v>124.9</v>
      </c>
    </row>
    <row r="136" spans="56:68">
      <c r="BD136" s="176">
        <v>35186</v>
      </c>
      <c r="BE136" s="64">
        <v>121.5</v>
      </c>
      <c r="BF136" s="64">
        <v>126.8</v>
      </c>
      <c r="BG136" s="64">
        <v>116.8</v>
      </c>
      <c r="BH136" s="64">
        <v>132.80000000000001</v>
      </c>
      <c r="BI136" s="64">
        <v>133.69999999999999</v>
      </c>
      <c r="BJ136" s="64">
        <v>128.4</v>
      </c>
      <c r="BK136" s="64">
        <v>129.19999999999999</v>
      </c>
      <c r="BL136" s="64">
        <v>138.5</v>
      </c>
      <c r="BM136" s="64">
        <v>122.6</v>
      </c>
      <c r="BN136" s="64">
        <v>132.19999999999999</v>
      </c>
      <c r="BO136" s="64">
        <v>144.80000000000001</v>
      </c>
      <c r="BP136" s="64">
        <v>124.9</v>
      </c>
    </row>
    <row r="137" spans="56:68">
      <c r="BD137" s="176">
        <v>35278</v>
      </c>
      <c r="BE137" s="64">
        <v>122.1</v>
      </c>
      <c r="BF137" s="64">
        <v>127.2</v>
      </c>
      <c r="BG137" s="64">
        <v>117.5</v>
      </c>
      <c r="BH137" s="64">
        <v>133.19999999999999</v>
      </c>
      <c r="BI137" s="64">
        <v>134.1</v>
      </c>
      <c r="BJ137" s="64">
        <v>129.19999999999999</v>
      </c>
      <c r="BK137" s="64">
        <v>130.4</v>
      </c>
      <c r="BL137" s="64">
        <v>139.69999999999999</v>
      </c>
      <c r="BM137" s="64">
        <v>123.8</v>
      </c>
      <c r="BN137" s="64">
        <v>132.69999999999999</v>
      </c>
      <c r="BO137" s="64">
        <v>145.1</v>
      </c>
      <c r="BP137" s="64">
        <v>125.7</v>
      </c>
    </row>
    <row r="138" spans="56:68">
      <c r="BD138" s="176">
        <v>35370</v>
      </c>
      <c r="BE138" s="64">
        <v>122.1</v>
      </c>
      <c r="BF138" s="64">
        <v>127.5</v>
      </c>
      <c r="BG138" s="64">
        <v>117.3</v>
      </c>
      <c r="BH138" s="64">
        <v>133.80000000000001</v>
      </c>
      <c r="BI138" s="64">
        <v>134.80000000000001</v>
      </c>
      <c r="BJ138" s="64">
        <v>129</v>
      </c>
      <c r="BK138" s="64">
        <v>131.19999999999999</v>
      </c>
      <c r="BL138" s="64">
        <v>141.1</v>
      </c>
      <c r="BM138" s="64">
        <v>124.2</v>
      </c>
      <c r="BN138" s="64">
        <v>131.5</v>
      </c>
      <c r="BO138" s="64">
        <v>145.30000000000001</v>
      </c>
      <c r="BP138" s="64">
        <v>123.6</v>
      </c>
    </row>
    <row r="139" spans="56:68">
      <c r="BD139" s="176">
        <v>35462</v>
      </c>
      <c r="BE139" s="64">
        <v>123</v>
      </c>
      <c r="BF139" s="64">
        <v>128.4</v>
      </c>
      <c r="BG139" s="64">
        <v>118.2</v>
      </c>
      <c r="BH139" s="64">
        <v>134.69999999999999</v>
      </c>
      <c r="BI139" s="64">
        <v>135.69999999999999</v>
      </c>
      <c r="BJ139" s="64">
        <v>129.9</v>
      </c>
      <c r="BK139" s="64">
        <v>131.69999999999999</v>
      </c>
      <c r="BL139" s="64">
        <v>142</v>
      </c>
      <c r="BM139" s="64">
        <v>124.5</v>
      </c>
      <c r="BN139" s="64">
        <v>133.30000000000001</v>
      </c>
      <c r="BO139" s="64">
        <v>147.6</v>
      </c>
      <c r="BP139" s="64">
        <v>125</v>
      </c>
    </row>
    <row r="140" spans="56:68">
      <c r="BD140" s="176">
        <v>35551</v>
      </c>
      <c r="BE140" s="64">
        <v>124.6</v>
      </c>
      <c r="BF140" s="64">
        <v>129.19999999999999</v>
      </c>
      <c r="BG140" s="64">
        <v>120.4</v>
      </c>
      <c r="BH140" s="64">
        <v>135.80000000000001</v>
      </c>
      <c r="BI140" s="64">
        <v>136.6</v>
      </c>
      <c r="BJ140" s="64">
        <v>132</v>
      </c>
      <c r="BK140" s="64">
        <v>132.6</v>
      </c>
      <c r="BL140" s="64">
        <v>142.19999999999999</v>
      </c>
      <c r="BM140" s="64">
        <v>125.8</v>
      </c>
      <c r="BN140" s="64">
        <v>136</v>
      </c>
      <c r="BO140" s="64">
        <v>148.5</v>
      </c>
      <c r="BP140" s="64">
        <v>128.9</v>
      </c>
    </row>
    <row r="141" spans="56:68">
      <c r="BD141" s="176">
        <v>35643</v>
      </c>
      <c r="BE141" s="64">
        <v>124.8</v>
      </c>
      <c r="BF141" s="64">
        <v>129.80000000000001</v>
      </c>
      <c r="BG141" s="64">
        <v>120.3</v>
      </c>
      <c r="BH141" s="64">
        <v>136.1</v>
      </c>
      <c r="BI141" s="64">
        <v>137</v>
      </c>
      <c r="BJ141" s="64">
        <v>131.9</v>
      </c>
      <c r="BK141" s="64">
        <v>132.4</v>
      </c>
      <c r="BL141" s="64">
        <v>142</v>
      </c>
      <c r="BM141" s="64">
        <v>125.6</v>
      </c>
      <c r="BN141" s="64">
        <v>136.6</v>
      </c>
      <c r="BO141" s="64">
        <v>149.30000000000001</v>
      </c>
      <c r="BP141" s="64">
        <v>129.4</v>
      </c>
    </row>
    <row r="142" spans="56:68">
      <c r="BD142" s="176">
        <v>35735</v>
      </c>
      <c r="BE142" s="64">
        <v>126.3</v>
      </c>
      <c r="BF142" s="64">
        <v>130.6</v>
      </c>
      <c r="BG142" s="64">
        <v>122.4</v>
      </c>
      <c r="BH142" s="64">
        <v>137.30000000000001</v>
      </c>
      <c r="BI142" s="64">
        <v>138</v>
      </c>
      <c r="BJ142" s="64">
        <v>133.80000000000001</v>
      </c>
      <c r="BK142" s="64">
        <v>133.6</v>
      </c>
      <c r="BL142" s="64">
        <v>142.69999999999999</v>
      </c>
      <c r="BM142" s="64">
        <v>127.2</v>
      </c>
      <c r="BN142" s="64">
        <v>138.6</v>
      </c>
      <c r="BO142" s="64">
        <v>150.1</v>
      </c>
      <c r="BP142" s="64">
        <v>132</v>
      </c>
    </row>
    <row r="143" spans="56:68">
      <c r="BD143" s="176">
        <v>35827</v>
      </c>
      <c r="BE143" s="64">
        <v>128</v>
      </c>
      <c r="BF143" s="64">
        <v>131.9</v>
      </c>
      <c r="BG143" s="64">
        <v>124.3</v>
      </c>
      <c r="BH143" s="64">
        <v>139.5</v>
      </c>
      <c r="BI143" s="64">
        <v>140</v>
      </c>
      <c r="BJ143" s="64">
        <v>136.9</v>
      </c>
      <c r="BK143" s="64">
        <v>135.6</v>
      </c>
      <c r="BL143" s="64">
        <v>144.30000000000001</v>
      </c>
      <c r="BM143" s="64">
        <v>129.5</v>
      </c>
      <c r="BN143" s="64">
        <v>140.80000000000001</v>
      </c>
      <c r="BO143" s="64">
        <v>151.19999999999999</v>
      </c>
      <c r="BP143" s="64">
        <v>134.69999999999999</v>
      </c>
    </row>
    <row r="144" spans="56:68">
      <c r="BD144" s="176">
        <v>35916</v>
      </c>
      <c r="BE144" s="64">
        <v>129.1</v>
      </c>
      <c r="BF144" s="64">
        <v>132.5</v>
      </c>
      <c r="BG144" s="64">
        <v>126</v>
      </c>
      <c r="BH144" s="64">
        <v>140.5</v>
      </c>
      <c r="BI144" s="64">
        <v>141</v>
      </c>
      <c r="BJ144" s="64">
        <v>138.30000000000001</v>
      </c>
      <c r="BK144" s="64">
        <v>137.4</v>
      </c>
      <c r="BL144" s="64">
        <v>145.6</v>
      </c>
      <c r="BM144" s="64">
        <v>131.69999999999999</v>
      </c>
      <c r="BN144" s="64">
        <v>142.6</v>
      </c>
      <c r="BO144" s="64">
        <v>151.5</v>
      </c>
      <c r="BP144" s="64">
        <v>137.4</v>
      </c>
    </row>
    <row r="145" spans="56:68">
      <c r="BD145" s="176">
        <v>36008</v>
      </c>
      <c r="BE145" s="64">
        <v>131.1</v>
      </c>
      <c r="BF145" s="64">
        <v>133.19999999999999</v>
      </c>
      <c r="BG145" s="64">
        <v>129</v>
      </c>
      <c r="BH145" s="64">
        <v>142</v>
      </c>
      <c r="BI145" s="64">
        <v>142.19999999999999</v>
      </c>
      <c r="BJ145" s="64">
        <v>141.19999999999999</v>
      </c>
      <c r="BK145" s="64">
        <v>140</v>
      </c>
      <c r="BL145" s="64">
        <v>146.80000000000001</v>
      </c>
      <c r="BM145" s="64">
        <v>135.19999999999999</v>
      </c>
      <c r="BN145" s="64">
        <v>145.69999999999999</v>
      </c>
      <c r="BO145" s="64">
        <v>152.1</v>
      </c>
      <c r="BP145" s="64">
        <v>141.9</v>
      </c>
    </row>
    <row r="146" spans="56:68">
      <c r="BD146" s="176">
        <v>36100</v>
      </c>
      <c r="BE146" s="64">
        <v>133.6</v>
      </c>
      <c r="BF146" s="64">
        <v>134.5</v>
      </c>
      <c r="BG146" s="64">
        <v>132.4</v>
      </c>
      <c r="BH146" s="64">
        <v>143.6</v>
      </c>
      <c r="BI146" s="64">
        <v>143.4</v>
      </c>
      <c r="BJ146" s="64">
        <v>144.19999999999999</v>
      </c>
      <c r="BK146" s="64">
        <v>143.69999999999999</v>
      </c>
      <c r="BL146" s="64">
        <v>148.5</v>
      </c>
      <c r="BM146" s="64">
        <v>140.19999999999999</v>
      </c>
      <c r="BN146" s="64">
        <v>150</v>
      </c>
      <c r="BO146" s="64">
        <v>155.5</v>
      </c>
      <c r="BP146" s="64">
        <v>146.69999999999999</v>
      </c>
    </row>
    <row r="147" spans="56:68">
      <c r="BD147" s="176">
        <v>36192</v>
      </c>
      <c r="BE147" s="64">
        <v>133.4</v>
      </c>
      <c r="BF147" s="64">
        <v>135.4</v>
      </c>
      <c r="BG147" s="64">
        <v>131.30000000000001</v>
      </c>
      <c r="BH147" s="64">
        <v>144.30000000000001</v>
      </c>
      <c r="BI147" s="64">
        <v>144.19999999999999</v>
      </c>
      <c r="BJ147" s="64">
        <v>144.19999999999999</v>
      </c>
      <c r="BK147" s="64">
        <v>143.5</v>
      </c>
      <c r="BL147" s="64">
        <v>150.30000000000001</v>
      </c>
      <c r="BM147" s="64">
        <v>138.69999999999999</v>
      </c>
      <c r="BN147" s="64">
        <v>148.6</v>
      </c>
      <c r="BO147" s="64">
        <v>155.30000000000001</v>
      </c>
      <c r="BP147" s="64">
        <v>144.80000000000001</v>
      </c>
    </row>
    <row r="148" spans="56:68">
      <c r="BD148" s="176">
        <v>36281</v>
      </c>
      <c r="BE148" s="64">
        <v>131.69999999999999</v>
      </c>
      <c r="BF148" s="64">
        <v>135</v>
      </c>
      <c r="BG148" s="64">
        <v>128.5</v>
      </c>
      <c r="BH148" s="64">
        <v>143.6</v>
      </c>
      <c r="BI148" s="64">
        <v>144</v>
      </c>
      <c r="BJ148" s="64">
        <v>141.69999999999999</v>
      </c>
      <c r="BK148" s="64">
        <v>142.19999999999999</v>
      </c>
      <c r="BL148" s="64">
        <v>150.69999999999999</v>
      </c>
      <c r="BM148" s="64">
        <v>136.19999999999999</v>
      </c>
      <c r="BN148" s="64">
        <v>145.9</v>
      </c>
      <c r="BO148" s="64">
        <v>154.30000000000001</v>
      </c>
      <c r="BP148" s="64">
        <v>141</v>
      </c>
    </row>
    <row r="149" spans="56:68">
      <c r="BD149" s="176">
        <v>36373</v>
      </c>
      <c r="BE149" s="64">
        <v>131.80000000000001</v>
      </c>
      <c r="BF149" s="64">
        <v>135.19999999999999</v>
      </c>
      <c r="BG149" s="64">
        <v>128.6</v>
      </c>
      <c r="BH149" s="64">
        <v>144.19999999999999</v>
      </c>
      <c r="BI149" s="64">
        <v>144.5</v>
      </c>
      <c r="BJ149" s="64">
        <v>142.6</v>
      </c>
      <c r="BK149" s="64">
        <v>142.30000000000001</v>
      </c>
      <c r="BL149" s="64">
        <v>151.19999999999999</v>
      </c>
      <c r="BM149" s="64">
        <v>136</v>
      </c>
      <c r="BN149" s="64">
        <v>146.4</v>
      </c>
      <c r="BO149" s="64">
        <v>154.6</v>
      </c>
      <c r="BP149" s="64">
        <v>141.69999999999999</v>
      </c>
    </row>
    <row r="150" spans="56:68">
      <c r="BD150" s="176">
        <v>36465</v>
      </c>
      <c r="BE150" s="64">
        <v>132.30000000000001</v>
      </c>
      <c r="BF150" s="64">
        <v>135.6</v>
      </c>
      <c r="BG150" s="64">
        <v>129.19999999999999</v>
      </c>
      <c r="BH150" s="64">
        <v>144.6</v>
      </c>
      <c r="BI150" s="64">
        <v>144.69999999999999</v>
      </c>
      <c r="BJ150" s="64">
        <v>144.19999999999999</v>
      </c>
      <c r="BK150" s="64">
        <v>143.19999999999999</v>
      </c>
      <c r="BL150" s="64">
        <v>151.69999999999999</v>
      </c>
      <c r="BM150" s="64">
        <v>137.1</v>
      </c>
      <c r="BN150" s="64">
        <v>146.9</v>
      </c>
      <c r="BO150" s="64">
        <v>155.4</v>
      </c>
      <c r="BP150" s="64">
        <v>142.1</v>
      </c>
    </row>
    <row r="151" spans="56:68">
      <c r="BD151" s="176">
        <v>36557</v>
      </c>
      <c r="BE151" s="64">
        <v>131.69999999999999</v>
      </c>
      <c r="BF151" s="64">
        <v>135.69999999999999</v>
      </c>
      <c r="BG151" s="64">
        <v>128.1</v>
      </c>
      <c r="BH151" s="64">
        <v>144.30000000000001</v>
      </c>
      <c r="BI151" s="64">
        <v>144.30000000000001</v>
      </c>
      <c r="BJ151" s="64">
        <v>144</v>
      </c>
      <c r="BK151" s="64">
        <v>142.9</v>
      </c>
      <c r="BL151" s="64">
        <v>152.30000000000001</v>
      </c>
      <c r="BM151" s="64">
        <v>136.30000000000001</v>
      </c>
      <c r="BN151" s="64">
        <v>146.69999999999999</v>
      </c>
      <c r="BO151" s="64">
        <v>156.4</v>
      </c>
      <c r="BP151" s="64">
        <v>141.19999999999999</v>
      </c>
    </row>
    <row r="152" spans="56:68">
      <c r="BD152" s="176">
        <v>36647</v>
      </c>
      <c r="BE152" s="64">
        <v>133.19999999999999</v>
      </c>
      <c r="BF152" s="64">
        <v>136.30000000000001</v>
      </c>
      <c r="BG152" s="64">
        <v>130.30000000000001</v>
      </c>
      <c r="BH152" s="64">
        <v>145.30000000000001</v>
      </c>
      <c r="BI152" s="64">
        <v>145.1</v>
      </c>
      <c r="BJ152" s="64">
        <v>145.9</v>
      </c>
      <c r="BK152" s="64">
        <v>144.9</v>
      </c>
      <c r="BL152" s="64">
        <v>153.19999999999999</v>
      </c>
      <c r="BM152" s="64">
        <v>139</v>
      </c>
      <c r="BN152" s="64">
        <v>149.19999999999999</v>
      </c>
      <c r="BO152" s="64">
        <v>157.5</v>
      </c>
      <c r="BP152" s="64">
        <v>144.4</v>
      </c>
    </row>
    <row r="153" spans="56:68">
      <c r="BD153" s="176">
        <v>36739</v>
      </c>
      <c r="BE153" s="64">
        <v>133.5</v>
      </c>
      <c r="BF153" s="64">
        <v>136.5</v>
      </c>
      <c r="BG153" s="64">
        <v>130.6</v>
      </c>
      <c r="BH153" s="64">
        <v>145.30000000000001</v>
      </c>
      <c r="BI153" s="64">
        <v>145.1</v>
      </c>
      <c r="BJ153" s="64">
        <v>146.1</v>
      </c>
      <c r="BK153" s="64">
        <v>145.19999999999999</v>
      </c>
      <c r="BL153" s="64">
        <v>153.4</v>
      </c>
      <c r="BM153" s="64">
        <v>139.30000000000001</v>
      </c>
      <c r="BN153" s="64">
        <v>149.19999999999999</v>
      </c>
      <c r="BO153" s="64">
        <v>157.5</v>
      </c>
      <c r="BP153" s="64">
        <v>144.4</v>
      </c>
    </row>
    <row r="154" spans="56:68">
      <c r="BD154" s="176">
        <v>36831</v>
      </c>
      <c r="BE154" s="64">
        <v>135.69999999999999</v>
      </c>
      <c r="BF154" s="64">
        <v>136.9</v>
      </c>
      <c r="BG154" s="64">
        <v>134.4</v>
      </c>
      <c r="BH154" s="64">
        <v>145.69999999999999</v>
      </c>
      <c r="BI154" s="64">
        <v>144.9</v>
      </c>
      <c r="BJ154" s="64">
        <v>149.4</v>
      </c>
      <c r="BK154" s="64">
        <v>147.69999999999999</v>
      </c>
      <c r="BL154" s="64">
        <v>153.6</v>
      </c>
      <c r="BM154" s="64">
        <v>143.5</v>
      </c>
      <c r="BN154" s="64">
        <v>152.19999999999999</v>
      </c>
      <c r="BO154" s="64">
        <v>158.4</v>
      </c>
      <c r="BP154" s="64">
        <v>148.6</v>
      </c>
    </row>
    <row r="155" spans="56:68">
      <c r="BD155" s="176">
        <v>36923</v>
      </c>
      <c r="BE155" s="64">
        <v>136.6</v>
      </c>
      <c r="BF155" s="64">
        <v>137.80000000000001</v>
      </c>
      <c r="BG155" s="64">
        <v>135.19999999999999</v>
      </c>
      <c r="BH155" s="64">
        <v>146.4</v>
      </c>
      <c r="BI155" s="64">
        <v>145.69999999999999</v>
      </c>
      <c r="BJ155" s="64">
        <v>149.69999999999999</v>
      </c>
      <c r="BK155" s="64">
        <v>148.69999999999999</v>
      </c>
      <c r="BL155" s="64">
        <v>155.1</v>
      </c>
      <c r="BM155" s="64">
        <v>144.1</v>
      </c>
      <c r="BN155" s="64">
        <v>153.5</v>
      </c>
      <c r="BO155" s="64">
        <v>159.69999999999999</v>
      </c>
      <c r="BP155" s="64">
        <v>149.9</v>
      </c>
    </row>
    <row r="156" spans="56:68">
      <c r="BD156" s="176">
        <v>37012</v>
      </c>
      <c r="BE156" s="64">
        <v>137.5</v>
      </c>
      <c r="BF156" s="64">
        <v>138.19999999999999</v>
      </c>
      <c r="BG156" s="64">
        <v>136.6</v>
      </c>
      <c r="BH156" s="64">
        <v>147.1</v>
      </c>
      <c r="BI156" s="64">
        <v>146.19999999999999</v>
      </c>
      <c r="BJ156" s="64">
        <v>151.4</v>
      </c>
      <c r="BK156" s="64">
        <v>150.80000000000001</v>
      </c>
      <c r="BL156" s="64">
        <v>156.5</v>
      </c>
      <c r="BM156" s="64">
        <v>146.69999999999999</v>
      </c>
      <c r="BN156" s="64">
        <v>155</v>
      </c>
      <c r="BO156" s="64">
        <v>160.4</v>
      </c>
      <c r="BP156" s="64">
        <v>151.9</v>
      </c>
    </row>
    <row r="157" spans="56:68">
      <c r="BD157" s="176">
        <v>37104</v>
      </c>
      <c r="BE157" s="64">
        <v>137</v>
      </c>
      <c r="BF157" s="64">
        <v>137.9</v>
      </c>
      <c r="BG157" s="64">
        <v>135.9</v>
      </c>
      <c r="BH157" s="64">
        <v>145</v>
      </c>
      <c r="BI157" s="64">
        <v>143.69999999999999</v>
      </c>
      <c r="BJ157" s="64">
        <v>151</v>
      </c>
      <c r="BK157" s="64">
        <v>149</v>
      </c>
      <c r="BL157" s="64">
        <v>154.4</v>
      </c>
      <c r="BM157" s="64">
        <v>145.1</v>
      </c>
      <c r="BN157" s="64">
        <v>155.30000000000001</v>
      </c>
      <c r="BO157" s="64">
        <v>160.5</v>
      </c>
      <c r="BP157" s="64">
        <v>152.4</v>
      </c>
    </row>
    <row r="158" spans="56:68">
      <c r="BD158" s="176">
        <v>37196</v>
      </c>
      <c r="BE158" s="64">
        <v>138.80000000000001</v>
      </c>
      <c r="BF158" s="64">
        <v>139.30000000000001</v>
      </c>
      <c r="BG158" s="64">
        <v>138.1</v>
      </c>
      <c r="BH158" s="64">
        <v>147.1</v>
      </c>
      <c r="BI158" s="64">
        <v>145.9</v>
      </c>
      <c r="BJ158" s="64">
        <v>152.80000000000001</v>
      </c>
      <c r="BK158" s="64">
        <v>151.1</v>
      </c>
      <c r="BL158" s="64">
        <v>156.19999999999999</v>
      </c>
      <c r="BM158" s="64">
        <v>147.4</v>
      </c>
      <c r="BN158" s="64">
        <v>157.30000000000001</v>
      </c>
      <c r="BO158" s="64">
        <v>161.4</v>
      </c>
      <c r="BP158" s="64">
        <v>154.9</v>
      </c>
    </row>
    <row r="159" spans="56:68">
      <c r="BD159" s="176">
        <v>37288</v>
      </c>
      <c r="BE159" s="64">
        <v>140.80000000000001</v>
      </c>
      <c r="BF159" s="64">
        <v>141</v>
      </c>
      <c r="BG159" s="64">
        <v>140.19999999999999</v>
      </c>
      <c r="BH159" s="64">
        <v>148.9</v>
      </c>
      <c r="BI159" s="64">
        <v>147.6</v>
      </c>
      <c r="BJ159" s="64">
        <v>154.6</v>
      </c>
      <c r="BK159" s="64">
        <v>152.9</v>
      </c>
      <c r="BL159" s="64">
        <v>157.69999999999999</v>
      </c>
      <c r="BM159" s="64">
        <v>149.5</v>
      </c>
      <c r="BN159" s="64">
        <v>159.4</v>
      </c>
      <c r="BO159" s="64">
        <v>162.69999999999999</v>
      </c>
      <c r="BP159" s="64">
        <v>157.4</v>
      </c>
    </row>
    <row r="160" spans="56:68">
      <c r="BD160" s="176">
        <v>37377</v>
      </c>
      <c r="BE160" s="64">
        <v>139.80000000000001</v>
      </c>
      <c r="BF160" s="64">
        <v>140.9</v>
      </c>
      <c r="BG160" s="64">
        <v>138.5</v>
      </c>
      <c r="BH160" s="64">
        <v>148.19999999999999</v>
      </c>
      <c r="BI160" s="64">
        <v>147</v>
      </c>
      <c r="BJ160" s="64">
        <v>153.6</v>
      </c>
      <c r="BK160" s="64">
        <v>151.9</v>
      </c>
      <c r="BL160" s="64">
        <v>157</v>
      </c>
      <c r="BM160" s="64">
        <v>148.30000000000001</v>
      </c>
      <c r="BN160" s="64">
        <v>158.1</v>
      </c>
      <c r="BO160" s="64">
        <v>162.19999999999999</v>
      </c>
      <c r="BP160" s="64">
        <v>155.69999999999999</v>
      </c>
    </row>
    <row r="161" spans="56:68">
      <c r="BD161" s="176">
        <v>37469</v>
      </c>
      <c r="BE161" s="64">
        <v>139.69999999999999</v>
      </c>
      <c r="BF161" s="64">
        <v>140.9</v>
      </c>
      <c r="BG161" s="64">
        <v>138.30000000000001</v>
      </c>
      <c r="BH161" s="64">
        <v>148.4</v>
      </c>
      <c r="BI161" s="64">
        <v>147.30000000000001</v>
      </c>
      <c r="BJ161" s="64">
        <v>153.5</v>
      </c>
      <c r="BK161" s="64">
        <v>151.4</v>
      </c>
      <c r="BL161" s="64">
        <v>156.9</v>
      </c>
      <c r="BM161" s="64">
        <v>147.5</v>
      </c>
      <c r="BN161" s="64">
        <v>158</v>
      </c>
      <c r="BO161" s="64">
        <v>162.19999999999999</v>
      </c>
      <c r="BP161" s="64">
        <v>155.69999999999999</v>
      </c>
    </row>
    <row r="162" spans="56:68">
      <c r="BD162" s="176">
        <v>37561</v>
      </c>
      <c r="BE162" s="64">
        <v>141.19999999999999</v>
      </c>
      <c r="BF162" s="64">
        <v>142</v>
      </c>
      <c r="BG162" s="64">
        <v>140.19999999999999</v>
      </c>
      <c r="BH162" s="64">
        <v>150.30000000000001</v>
      </c>
      <c r="BI162" s="64">
        <v>149.30000000000001</v>
      </c>
      <c r="BJ162" s="64">
        <v>155.1</v>
      </c>
      <c r="BK162" s="64">
        <v>153.19999999999999</v>
      </c>
      <c r="BL162" s="64">
        <v>158.30000000000001</v>
      </c>
      <c r="BM162" s="64">
        <v>149.4</v>
      </c>
      <c r="BN162" s="64">
        <v>159.5</v>
      </c>
      <c r="BO162" s="64">
        <v>162.9</v>
      </c>
      <c r="BP162" s="64">
        <v>157.5</v>
      </c>
    </row>
    <row r="163" spans="56:68">
      <c r="BD163" s="176">
        <v>37653</v>
      </c>
      <c r="BE163" s="64">
        <v>138.6</v>
      </c>
      <c r="BF163" s="64">
        <v>142</v>
      </c>
      <c r="BG163" s="64">
        <v>135.30000000000001</v>
      </c>
      <c r="BH163" s="64">
        <v>148.6</v>
      </c>
      <c r="BI163" s="64">
        <v>147.9</v>
      </c>
      <c r="BJ163" s="64">
        <v>151.5</v>
      </c>
      <c r="BK163" s="64">
        <v>150.1</v>
      </c>
      <c r="BL163" s="64">
        <v>157.4</v>
      </c>
      <c r="BM163" s="64">
        <v>144.9</v>
      </c>
      <c r="BN163" s="64">
        <v>155.69999999999999</v>
      </c>
      <c r="BO163" s="64">
        <v>162.1</v>
      </c>
      <c r="BP163" s="64">
        <v>151.9</v>
      </c>
    </row>
    <row r="164" spans="56:68">
      <c r="BD164" s="176">
        <v>37742</v>
      </c>
      <c r="BE164" s="64">
        <v>131.6</v>
      </c>
      <c r="BF164" s="64">
        <v>139.5</v>
      </c>
      <c r="BG164" s="64">
        <v>124.6</v>
      </c>
      <c r="BH164" s="64">
        <v>142.9</v>
      </c>
      <c r="BI164" s="64">
        <v>143</v>
      </c>
      <c r="BJ164" s="64">
        <v>142.30000000000001</v>
      </c>
      <c r="BK164" s="64">
        <v>143.1</v>
      </c>
      <c r="BL164" s="64">
        <v>153.9</v>
      </c>
      <c r="BM164" s="64">
        <v>135.5</v>
      </c>
      <c r="BN164" s="64">
        <v>146.5</v>
      </c>
      <c r="BO164" s="64">
        <v>158.69999999999999</v>
      </c>
      <c r="BP164" s="64">
        <v>139.6</v>
      </c>
    </row>
    <row r="165" spans="56:68">
      <c r="BD165" s="176">
        <v>37834</v>
      </c>
      <c r="BE165" s="64">
        <v>131.1</v>
      </c>
      <c r="BF165" s="64">
        <v>139.19999999999999</v>
      </c>
      <c r="BG165" s="64">
        <v>124.1</v>
      </c>
      <c r="BH165" s="64">
        <v>142.1</v>
      </c>
      <c r="BI165" s="64">
        <v>142.1</v>
      </c>
      <c r="BJ165" s="64">
        <v>141.9</v>
      </c>
      <c r="BK165" s="64">
        <v>142.6</v>
      </c>
      <c r="BL165" s="64">
        <v>153.5</v>
      </c>
      <c r="BM165" s="64">
        <v>135</v>
      </c>
      <c r="BN165" s="64">
        <v>146</v>
      </c>
      <c r="BO165" s="64">
        <v>158.5</v>
      </c>
      <c r="BP165" s="64">
        <v>138.80000000000001</v>
      </c>
    </row>
    <row r="166" spans="56:68">
      <c r="BD166" s="176">
        <v>37926</v>
      </c>
      <c r="BE166" s="64">
        <v>127.9</v>
      </c>
      <c r="BF166" s="64">
        <v>138.1</v>
      </c>
      <c r="BG166" s="64">
        <v>119</v>
      </c>
      <c r="BH166" s="64">
        <v>139.30000000000001</v>
      </c>
      <c r="BI166" s="64">
        <v>139.6</v>
      </c>
      <c r="BJ166" s="64">
        <v>137.80000000000001</v>
      </c>
      <c r="BK166" s="64">
        <v>139.4</v>
      </c>
      <c r="BL166" s="64">
        <v>151.80000000000001</v>
      </c>
      <c r="BM166" s="64">
        <v>130.69999999999999</v>
      </c>
      <c r="BN166" s="64">
        <v>140.9</v>
      </c>
      <c r="BO166" s="64">
        <v>156.69999999999999</v>
      </c>
      <c r="BP166" s="64">
        <v>132</v>
      </c>
    </row>
    <row r="167" spans="56:68">
      <c r="BD167" s="176">
        <v>38018</v>
      </c>
      <c r="BE167" s="64">
        <v>128.6</v>
      </c>
      <c r="BF167" s="64">
        <v>138.80000000000001</v>
      </c>
      <c r="BG167" s="64">
        <v>119.9</v>
      </c>
      <c r="BH167" s="64">
        <v>140.4</v>
      </c>
      <c r="BI167" s="64">
        <v>140.80000000000001</v>
      </c>
      <c r="BJ167" s="64">
        <v>138.9</v>
      </c>
      <c r="BK167" s="64">
        <v>140.30000000000001</v>
      </c>
      <c r="BL167" s="64">
        <v>152.6</v>
      </c>
      <c r="BM167" s="64">
        <v>131.6</v>
      </c>
      <c r="BN167" s="64">
        <v>142</v>
      </c>
      <c r="BO167" s="64">
        <v>157</v>
      </c>
      <c r="BP167" s="64">
        <v>133.4</v>
      </c>
    </row>
    <row r="168" spans="56:68">
      <c r="BD168" s="176">
        <v>38108</v>
      </c>
      <c r="BE168" s="64">
        <v>131.5</v>
      </c>
      <c r="BF168" s="64">
        <v>140.19999999999999</v>
      </c>
      <c r="BG168" s="64">
        <v>123.9</v>
      </c>
      <c r="BH168" s="64">
        <v>143</v>
      </c>
      <c r="BI168" s="64">
        <v>143.1</v>
      </c>
      <c r="BJ168" s="64">
        <v>142.5</v>
      </c>
      <c r="BK168" s="64">
        <v>143.69999999999999</v>
      </c>
      <c r="BL168" s="64">
        <v>154.9</v>
      </c>
      <c r="BM168" s="64">
        <v>135.9</v>
      </c>
      <c r="BN168" s="64">
        <v>146.1</v>
      </c>
      <c r="BO168" s="64">
        <v>158.5</v>
      </c>
      <c r="BP168" s="64">
        <v>139.1</v>
      </c>
    </row>
    <row r="169" spans="56:68">
      <c r="BD169" s="176">
        <v>38200</v>
      </c>
      <c r="BE169" s="64">
        <v>129.4</v>
      </c>
      <c r="BF169" s="64">
        <v>140.19999999999999</v>
      </c>
      <c r="BG169" s="64">
        <v>120</v>
      </c>
      <c r="BH169" s="64">
        <v>141.80000000000001</v>
      </c>
      <c r="BI169" s="64">
        <v>142.19999999999999</v>
      </c>
      <c r="BJ169" s="64">
        <v>139.9</v>
      </c>
      <c r="BK169" s="64">
        <v>141.19999999999999</v>
      </c>
      <c r="BL169" s="64">
        <v>153.9</v>
      </c>
      <c r="BM169" s="64">
        <v>132.30000000000001</v>
      </c>
      <c r="BN169" s="64">
        <v>142.69999999999999</v>
      </c>
      <c r="BO169" s="64">
        <v>157.69999999999999</v>
      </c>
      <c r="BP169" s="64">
        <v>134.19999999999999</v>
      </c>
    </row>
    <row r="170" spans="56:68">
      <c r="BD170" s="176">
        <v>38292</v>
      </c>
      <c r="BE170" s="64">
        <v>125.8</v>
      </c>
      <c r="BF170" s="64">
        <v>140</v>
      </c>
      <c r="BG170" s="64">
        <v>113.7</v>
      </c>
      <c r="BH170" s="64">
        <v>138.80000000000001</v>
      </c>
      <c r="BI170" s="64">
        <v>139.69999999999999</v>
      </c>
      <c r="BJ170" s="64">
        <v>135</v>
      </c>
      <c r="BK170" s="64">
        <v>137.4</v>
      </c>
      <c r="BL170" s="64">
        <v>152.1</v>
      </c>
      <c r="BM170" s="64">
        <v>127</v>
      </c>
      <c r="BN170" s="64">
        <v>136.6</v>
      </c>
      <c r="BO170" s="64">
        <v>155.6</v>
      </c>
      <c r="BP170" s="64">
        <v>125.8</v>
      </c>
    </row>
    <row r="171" spans="56:68">
      <c r="BD171" s="176">
        <v>38384</v>
      </c>
      <c r="BE171" s="64">
        <v>127.2</v>
      </c>
      <c r="BF171" s="64">
        <v>141.19999999999999</v>
      </c>
      <c r="BG171" s="64">
        <v>115.2</v>
      </c>
      <c r="BH171" s="64">
        <v>139.6</v>
      </c>
      <c r="BI171" s="64">
        <v>140.30000000000001</v>
      </c>
      <c r="BJ171" s="64">
        <v>136.4</v>
      </c>
      <c r="BK171" s="64">
        <v>137.69999999999999</v>
      </c>
      <c r="BL171" s="64">
        <v>153.69999999999999</v>
      </c>
      <c r="BM171" s="64">
        <v>126.4</v>
      </c>
      <c r="BN171" s="64">
        <v>138</v>
      </c>
      <c r="BO171" s="64">
        <v>156</v>
      </c>
      <c r="BP171" s="64">
        <v>127.8</v>
      </c>
    </row>
    <row r="172" spans="56:68">
      <c r="BD172" s="176">
        <v>38473</v>
      </c>
      <c r="BE172" s="64">
        <v>128.5</v>
      </c>
      <c r="BF172" s="64">
        <v>141.6</v>
      </c>
      <c r="BG172" s="64">
        <v>117.2</v>
      </c>
      <c r="BH172" s="64">
        <v>140.80000000000001</v>
      </c>
      <c r="BI172" s="64">
        <v>141.4</v>
      </c>
      <c r="BJ172" s="64">
        <v>138.30000000000001</v>
      </c>
      <c r="BK172" s="64">
        <v>139.6</v>
      </c>
      <c r="BL172" s="64">
        <v>154.69999999999999</v>
      </c>
      <c r="BM172" s="64">
        <v>128.80000000000001</v>
      </c>
      <c r="BN172" s="64">
        <v>139.9</v>
      </c>
      <c r="BO172" s="64">
        <v>156.80000000000001</v>
      </c>
      <c r="BP172" s="64">
        <v>130.19999999999999</v>
      </c>
    </row>
    <row r="173" spans="56:68">
      <c r="BD173" s="176">
        <v>38565</v>
      </c>
      <c r="BE173" s="64">
        <v>126.3</v>
      </c>
      <c r="BF173" s="64">
        <v>140.80000000000001</v>
      </c>
      <c r="BG173" s="64">
        <v>113.9</v>
      </c>
      <c r="BH173" s="64">
        <v>138.80000000000001</v>
      </c>
      <c r="BI173" s="64">
        <v>139.6</v>
      </c>
      <c r="BJ173" s="64">
        <v>135.30000000000001</v>
      </c>
      <c r="BK173" s="64">
        <v>137.5</v>
      </c>
      <c r="BL173" s="64">
        <v>153.5</v>
      </c>
      <c r="BM173" s="64">
        <v>126.3</v>
      </c>
      <c r="BN173" s="64">
        <v>137.30000000000001</v>
      </c>
      <c r="BO173" s="64">
        <v>155.80000000000001</v>
      </c>
      <c r="BP173" s="64">
        <v>126.9</v>
      </c>
    </row>
    <row r="174" spans="56:68">
      <c r="BD174" s="176">
        <v>38657</v>
      </c>
      <c r="BE174" s="64">
        <v>125.6</v>
      </c>
      <c r="BF174" s="64">
        <v>141</v>
      </c>
      <c r="BG174" s="64">
        <v>112.4</v>
      </c>
      <c r="BH174" s="64">
        <v>138.1</v>
      </c>
      <c r="BI174" s="64">
        <v>139</v>
      </c>
      <c r="BJ174" s="64">
        <v>133.5</v>
      </c>
      <c r="BK174" s="64">
        <v>136.4</v>
      </c>
      <c r="BL174" s="64">
        <v>153.1</v>
      </c>
      <c r="BM174" s="64">
        <v>124.8</v>
      </c>
      <c r="BN174" s="64">
        <v>135.5</v>
      </c>
      <c r="BO174" s="64">
        <v>155.19999999999999</v>
      </c>
      <c r="BP174" s="64">
        <v>124.3</v>
      </c>
    </row>
  </sheetData>
  <mergeCells count="21">
    <mergeCell ref="AC2:AE2"/>
    <mergeCell ref="AF2:AH2"/>
    <mergeCell ref="A1:M1"/>
    <mergeCell ref="AI2:AK2"/>
    <mergeCell ref="AL2:AN2"/>
    <mergeCell ref="O2:Q2"/>
    <mergeCell ref="R2:T2"/>
    <mergeCell ref="U2:W2"/>
    <mergeCell ref="X2:Z2"/>
    <mergeCell ref="AP2:AR2"/>
    <mergeCell ref="AS2:AU2"/>
    <mergeCell ref="AV2:AX2"/>
    <mergeCell ref="AY2:BA2"/>
    <mergeCell ref="AP4:BA4"/>
    <mergeCell ref="A58:M58"/>
    <mergeCell ref="A59:M59"/>
    <mergeCell ref="B2:D2"/>
    <mergeCell ref="E2:G2"/>
    <mergeCell ref="H2:J2"/>
    <mergeCell ref="K2:M2"/>
    <mergeCell ref="A2:A3"/>
  </mergeCells>
  <pageMargins left="0.70866141732283472" right="0.70866141732283472" top="0.74803149606299213" bottom="0.74803149606299213" header="0.31496062992125984" footer="0.31496062992125984"/>
  <pageSetup scale="86" orientation="landscape" horizontalDpi="0" verticalDpi="0" r:id="rId1"/>
</worksheet>
</file>

<file path=xl/worksheets/sheet150.xml><?xml version="1.0" encoding="utf-8"?>
<worksheet xmlns="http://schemas.openxmlformats.org/spreadsheetml/2006/main" xmlns:r="http://schemas.openxmlformats.org/officeDocument/2006/relationships">
  <sheetPr codeName="Sheet142">
    <pageSetUpPr fitToPage="1"/>
  </sheetPr>
  <dimension ref="A1:P54"/>
  <sheetViews>
    <sheetView view="pageBreakPre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11.28515625" style="64" customWidth="1"/>
    <col min="2" max="16" width="12.42578125" style="64" customWidth="1"/>
    <col min="17" max="16384" width="9.140625" style="64"/>
  </cols>
  <sheetData>
    <row r="1" spans="1:16">
      <c r="A1" s="108" t="s">
        <v>1936</v>
      </c>
      <c r="B1" s="108"/>
      <c r="C1" s="108"/>
      <c r="D1" s="108"/>
      <c r="E1" s="108"/>
      <c r="F1" s="108"/>
      <c r="G1" s="108"/>
      <c r="H1" s="108"/>
      <c r="I1" s="108"/>
      <c r="J1" s="108"/>
      <c r="K1" s="108"/>
      <c r="L1" s="108"/>
      <c r="M1" s="108"/>
      <c r="N1" s="108"/>
      <c r="O1" s="108"/>
      <c r="P1" s="108"/>
    </row>
    <row r="2" spans="1:16">
      <c r="A2" s="66"/>
      <c r="B2" s="107" t="s">
        <v>542</v>
      </c>
      <c r="C2" s="107"/>
      <c r="D2" s="107"/>
      <c r="E2" s="107"/>
      <c r="F2" s="107"/>
      <c r="G2" s="107" t="s">
        <v>530</v>
      </c>
      <c r="H2" s="107"/>
      <c r="I2" s="107"/>
      <c r="J2" s="107"/>
      <c r="K2" s="107"/>
      <c r="L2" s="107" t="s">
        <v>534</v>
      </c>
      <c r="M2" s="107"/>
      <c r="N2" s="107"/>
      <c r="O2" s="107"/>
      <c r="P2" s="107"/>
    </row>
    <row r="3" spans="1:16" ht="15" customHeight="1">
      <c r="A3" s="149"/>
      <c r="B3" s="97" t="s">
        <v>523</v>
      </c>
      <c r="C3" s="97" t="s">
        <v>37</v>
      </c>
      <c r="D3" s="97"/>
      <c r="E3" s="97"/>
      <c r="F3" s="97"/>
      <c r="G3" s="97" t="s">
        <v>523</v>
      </c>
      <c r="H3" s="97" t="s">
        <v>37</v>
      </c>
      <c r="I3" s="97"/>
      <c r="J3" s="97"/>
      <c r="K3" s="97"/>
      <c r="L3" s="97" t="s">
        <v>523</v>
      </c>
      <c r="M3" s="97" t="s">
        <v>37</v>
      </c>
      <c r="N3" s="97"/>
      <c r="O3" s="97"/>
      <c r="P3" s="97"/>
    </row>
    <row r="4" spans="1:16" ht="60">
      <c r="A4" s="149"/>
      <c r="B4" s="97"/>
      <c r="C4" s="73" t="s">
        <v>78</v>
      </c>
      <c r="D4" s="73" t="s">
        <v>522</v>
      </c>
      <c r="E4" s="73" t="s">
        <v>524</v>
      </c>
      <c r="F4" s="73" t="s">
        <v>525</v>
      </c>
      <c r="G4" s="97"/>
      <c r="H4" s="73" t="s">
        <v>78</v>
      </c>
      <c r="I4" s="73" t="s">
        <v>522</v>
      </c>
      <c r="J4" s="73" t="s">
        <v>524</v>
      </c>
      <c r="K4" s="73" t="s">
        <v>525</v>
      </c>
      <c r="L4" s="97"/>
      <c r="M4" s="73" t="s">
        <v>78</v>
      </c>
      <c r="N4" s="73" t="s">
        <v>522</v>
      </c>
      <c r="O4" s="73" t="s">
        <v>524</v>
      </c>
      <c r="P4" s="73" t="s">
        <v>525</v>
      </c>
    </row>
    <row r="5" spans="1:16">
      <c r="A5" s="66">
        <v>1970</v>
      </c>
      <c r="B5" s="150">
        <v>355468.79</v>
      </c>
      <c r="C5" s="30">
        <f t="shared" ref="C5:C13" si="0">SUM(D5:F5)</f>
        <v>7325.3</v>
      </c>
      <c r="D5" s="150">
        <v>2033.5</v>
      </c>
      <c r="E5" s="150">
        <v>2249.5</v>
      </c>
      <c r="F5" s="150">
        <v>3042.3</v>
      </c>
      <c r="G5" s="151">
        <v>39.119999999999997</v>
      </c>
      <c r="H5" s="28">
        <f t="shared" ref="H5:H13" si="1">I5*(D5/C5)+J5*(E5/C5)+K5*(F5/C5)</f>
        <v>59.955652055205931</v>
      </c>
      <c r="I5" s="151">
        <v>107.51</v>
      </c>
      <c r="J5" s="151">
        <v>35.49</v>
      </c>
      <c r="K5" s="151">
        <v>46.26</v>
      </c>
      <c r="L5" s="56">
        <f t="shared" ref="L5:L24" si="2">B5*100/G5</f>
        <v>908662.55112474447</v>
      </c>
      <c r="M5" s="56">
        <f t="shared" ref="M5:M24" si="3">C5*100/H5</f>
        <v>12217.86395260119</v>
      </c>
      <c r="N5" s="56">
        <f t="shared" ref="N5:N24" si="4">D5*100/I5</f>
        <v>1891.4519579573991</v>
      </c>
      <c r="O5" s="56">
        <f t="shared" ref="O5:O24" si="5">E5*100/J5</f>
        <v>6338.4051845590302</v>
      </c>
      <c r="P5" s="56">
        <f t="shared" ref="P5:P24" si="6">F5*100/K5</f>
        <v>6576.5239948119324</v>
      </c>
    </row>
    <row r="6" spans="1:16">
      <c r="A6" s="66">
        <v>1971</v>
      </c>
      <c r="B6" s="150">
        <v>394286.24</v>
      </c>
      <c r="C6" s="30">
        <f t="shared" si="0"/>
        <v>7697.0499999999993</v>
      </c>
      <c r="D6" s="150">
        <v>1980.54</v>
      </c>
      <c r="E6" s="150">
        <v>2552.9299999999998</v>
      </c>
      <c r="F6" s="150">
        <v>3163.58</v>
      </c>
      <c r="G6" s="151">
        <v>42.23</v>
      </c>
      <c r="H6" s="28">
        <f t="shared" si="1"/>
        <v>59.740267829882882</v>
      </c>
      <c r="I6" s="151">
        <v>104.16</v>
      </c>
      <c r="J6" s="151">
        <v>38.49</v>
      </c>
      <c r="K6" s="151">
        <v>49.08</v>
      </c>
      <c r="L6" s="56">
        <f t="shared" si="2"/>
        <v>933663.84087141848</v>
      </c>
      <c r="M6" s="56">
        <f t="shared" si="3"/>
        <v>12884.190646614128</v>
      </c>
      <c r="N6" s="56">
        <f t="shared" si="4"/>
        <v>1901.4400921658987</v>
      </c>
      <c r="O6" s="56">
        <f t="shared" si="5"/>
        <v>6632.7097947518823</v>
      </c>
      <c r="P6" s="56">
        <f t="shared" si="6"/>
        <v>6445.7620211898939</v>
      </c>
    </row>
    <row r="7" spans="1:16">
      <c r="A7" s="66">
        <v>1972</v>
      </c>
      <c r="B7" s="150">
        <v>430955.84</v>
      </c>
      <c r="C7" s="30">
        <f t="shared" si="0"/>
        <v>8153.66</v>
      </c>
      <c r="D7" s="150">
        <v>2022.91</v>
      </c>
      <c r="E7" s="150">
        <v>2845.88</v>
      </c>
      <c r="F7" s="150">
        <v>3284.87</v>
      </c>
      <c r="G7" s="151">
        <v>44.26</v>
      </c>
      <c r="H7" s="28">
        <f t="shared" si="1"/>
        <v>60.671692454676787</v>
      </c>
      <c r="I7" s="151">
        <v>106.96</v>
      </c>
      <c r="J7" s="151">
        <v>40.26</v>
      </c>
      <c r="K7" s="151">
        <v>49.85</v>
      </c>
      <c r="L7" s="56">
        <f t="shared" si="2"/>
        <v>973691.45955716225</v>
      </c>
      <c r="M7" s="56">
        <f t="shared" si="3"/>
        <v>13438.985579792388</v>
      </c>
      <c r="N7" s="56">
        <f t="shared" si="4"/>
        <v>1891.2771129394166</v>
      </c>
      <c r="O7" s="56">
        <f t="shared" si="5"/>
        <v>7068.7531048186793</v>
      </c>
      <c r="P7" s="56">
        <f t="shared" si="6"/>
        <v>6589.5085255767299</v>
      </c>
    </row>
    <row r="8" spans="1:16">
      <c r="A8" s="66">
        <v>1973</v>
      </c>
      <c r="B8" s="150">
        <v>482019.97</v>
      </c>
      <c r="C8" s="30">
        <f t="shared" si="0"/>
        <v>8949.0400000000009</v>
      </c>
      <c r="D8" s="150">
        <v>2202.96</v>
      </c>
      <c r="E8" s="150">
        <v>3107.45</v>
      </c>
      <c r="F8" s="150">
        <v>3638.63</v>
      </c>
      <c r="G8" s="151">
        <v>47.2</v>
      </c>
      <c r="H8" s="28">
        <f t="shared" si="1"/>
        <v>63.14315098602755</v>
      </c>
      <c r="I8" s="151">
        <v>110.68</v>
      </c>
      <c r="J8" s="151">
        <v>43.17</v>
      </c>
      <c r="K8" s="151">
        <v>51.42</v>
      </c>
      <c r="L8" s="56">
        <f t="shared" si="2"/>
        <v>1021228.7499999999</v>
      </c>
      <c r="M8" s="56">
        <f t="shared" si="3"/>
        <v>14172.621828740006</v>
      </c>
      <c r="N8" s="56">
        <f t="shared" si="4"/>
        <v>1990.3867003975424</v>
      </c>
      <c r="O8" s="56">
        <f t="shared" si="5"/>
        <v>7198.1700254806574</v>
      </c>
      <c r="P8" s="56">
        <f t="shared" si="6"/>
        <v>7076.2932711007388</v>
      </c>
    </row>
    <row r="9" spans="1:16">
      <c r="A9" s="66">
        <v>1974</v>
      </c>
      <c r="B9" s="150">
        <v>524318.61</v>
      </c>
      <c r="C9" s="30">
        <f t="shared" si="0"/>
        <v>9699.0400000000009</v>
      </c>
      <c r="D9" s="150">
        <v>2573.65</v>
      </c>
      <c r="E9" s="150">
        <v>3264.4</v>
      </c>
      <c r="F9" s="150">
        <v>3860.99</v>
      </c>
      <c r="G9" s="151">
        <v>50.67</v>
      </c>
      <c r="H9" s="28">
        <f t="shared" si="1"/>
        <v>72.000653198667081</v>
      </c>
      <c r="I9" s="151">
        <v>127.47</v>
      </c>
      <c r="J9" s="151">
        <v>43.87</v>
      </c>
      <c r="K9" s="151">
        <v>58.81</v>
      </c>
      <c r="L9" s="56">
        <f t="shared" si="2"/>
        <v>1034771.2847838957</v>
      </c>
      <c r="M9" s="56">
        <f t="shared" si="3"/>
        <v>13470.766679349454</v>
      </c>
      <c r="N9" s="56">
        <f t="shared" si="4"/>
        <v>2019.0240840982192</v>
      </c>
      <c r="O9" s="56">
        <f t="shared" si="5"/>
        <v>7441.0759060861637</v>
      </c>
      <c r="P9" s="56">
        <f t="shared" si="6"/>
        <v>6565.1929943887089</v>
      </c>
    </row>
    <row r="10" spans="1:16">
      <c r="A10" s="66">
        <v>1975</v>
      </c>
      <c r="B10" s="150">
        <v>548857.31999999995</v>
      </c>
      <c r="C10" s="30">
        <f t="shared" si="0"/>
        <v>9602.2800000000007</v>
      </c>
      <c r="D10" s="150">
        <v>2594.83</v>
      </c>
      <c r="E10" s="150">
        <v>3065.6</v>
      </c>
      <c r="F10" s="150">
        <v>3941.85</v>
      </c>
      <c r="G10" s="151">
        <v>53.81</v>
      </c>
      <c r="H10" s="28">
        <f t="shared" si="1"/>
        <v>74.55058690227736</v>
      </c>
      <c r="I10" s="151">
        <v>128.52000000000001</v>
      </c>
      <c r="J10" s="151">
        <v>46.91</v>
      </c>
      <c r="K10" s="151">
        <v>60.52</v>
      </c>
      <c r="L10" s="56">
        <f t="shared" si="2"/>
        <v>1019991.302731834</v>
      </c>
      <c r="M10" s="56">
        <f t="shared" si="3"/>
        <v>12880.220530774483</v>
      </c>
      <c r="N10" s="56">
        <f t="shared" si="4"/>
        <v>2019.0087145969496</v>
      </c>
      <c r="O10" s="56">
        <f t="shared" si="5"/>
        <v>6535.0671498614374</v>
      </c>
      <c r="P10" s="56">
        <f t="shared" si="6"/>
        <v>6513.3013879709188</v>
      </c>
    </row>
    <row r="11" spans="1:16">
      <c r="A11" s="66">
        <v>1976</v>
      </c>
      <c r="B11" s="150">
        <v>595177.6</v>
      </c>
      <c r="C11" s="30">
        <f t="shared" si="0"/>
        <v>10350.619999999999</v>
      </c>
      <c r="D11" s="150">
        <v>3134.98</v>
      </c>
      <c r="E11" s="150">
        <v>3243.47</v>
      </c>
      <c r="F11" s="150">
        <v>3972.17</v>
      </c>
      <c r="G11" s="151">
        <v>55.68</v>
      </c>
      <c r="H11" s="28">
        <f t="shared" si="1"/>
        <v>86.049478514330545</v>
      </c>
      <c r="I11" s="151">
        <v>152.78</v>
      </c>
      <c r="J11" s="151">
        <v>48.64</v>
      </c>
      <c r="K11" s="151">
        <v>63.93</v>
      </c>
      <c r="L11" s="56">
        <f t="shared" si="2"/>
        <v>1068925.2873563219</v>
      </c>
      <c r="M11" s="56">
        <f t="shared" si="3"/>
        <v>12028.684169510943</v>
      </c>
      <c r="N11" s="56">
        <f t="shared" si="4"/>
        <v>2051.9570624427279</v>
      </c>
      <c r="O11" s="56">
        <f t="shared" si="5"/>
        <v>6668.3182565789475</v>
      </c>
      <c r="P11" s="56">
        <f t="shared" si="6"/>
        <v>6213.311434381355</v>
      </c>
    </row>
    <row r="12" spans="1:16">
      <c r="A12" s="66">
        <v>1977</v>
      </c>
      <c r="B12" s="150">
        <v>634352</v>
      </c>
      <c r="C12" s="30">
        <f t="shared" si="0"/>
        <v>11588.99</v>
      </c>
      <c r="D12" s="150">
        <v>3579.8</v>
      </c>
      <c r="E12" s="150">
        <v>3693.37</v>
      </c>
      <c r="F12" s="150">
        <v>4315.82</v>
      </c>
      <c r="G12" s="151">
        <v>57.47</v>
      </c>
      <c r="H12" s="28">
        <f t="shared" si="1"/>
        <v>92.71604775739732</v>
      </c>
      <c r="I12" s="151">
        <v>170.99</v>
      </c>
      <c r="J12" s="151">
        <v>50.65</v>
      </c>
      <c r="K12" s="151">
        <v>63.79</v>
      </c>
      <c r="L12" s="56">
        <f t="shared" si="2"/>
        <v>1103796.7635287975</v>
      </c>
      <c r="M12" s="56">
        <f t="shared" si="3"/>
        <v>12499.443494748595</v>
      </c>
      <c r="N12" s="56">
        <f t="shared" si="4"/>
        <v>2093.5727235510849</v>
      </c>
      <c r="O12" s="56">
        <f t="shared" si="5"/>
        <v>7291.9447186574534</v>
      </c>
      <c r="P12" s="56">
        <f t="shared" si="6"/>
        <v>6765.668600094059</v>
      </c>
    </row>
    <row r="13" spans="1:16">
      <c r="A13" s="66">
        <v>1978</v>
      </c>
      <c r="B13" s="150">
        <v>674361.26</v>
      </c>
      <c r="C13" s="30">
        <f t="shared" si="0"/>
        <v>12239.82</v>
      </c>
      <c r="D13" s="150">
        <v>3802.22</v>
      </c>
      <c r="E13" s="150">
        <v>3808.46</v>
      </c>
      <c r="F13" s="150">
        <v>4629.1400000000003</v>
      </c>
      <c r="G13" s="151">
        <v>59.35</v>
      </c>
      <c r="H13" s="28">
        <f t="shared" si="1"/>
        <v>99.744888388881535</v>
      </c>
      <c r="I13" s="151">
        <v>181.61</v>
      </c>
      <c r="J13" s="151">
        <v>55.7</v>
      </c>
      <c r="K13" s="151">
        <v>68.739999999999995</v>
      </c>
      <c r="L13" s="56">
        <f t="shared" si="2"/>
        <v>1136244.7514743051</v>
      </c>
      <c r="M13" s="56">
        <f t="shared" si="3"/>
        <v>12271.125064855314</v>
      </c>
      <c r="N13" s="56">
        <f t="shared" si="4"/>
        <v>2093.618192830791</v>
      </c>
      <c r="O13" s="56">
        <f t="shared" si="5"/>
        <v>6837.4506283662477</v>
      </c>
      <c r="P13" s="56">
        <f t="shared" si="6"/>
        <v>6734.2740762292715</v>
      </c>
    </row>
    <row r="14" spans="1:16">
      <c r="A14" s="66">
        <v>1979</v>
      </c>
      <c r="B14" s="30">
        <v>730474.02</v>
      </c>
      <c r="C14" s="30">
        <f>SUM(D14:F14)</f>
        <v>12520.080000000002</v>
      </c>
      <c r="D14" s="30">
        <v>3823.4</v>
      </c>
      <c r="E14" s="30">
        <v>3996.79</v>
      </c>
      <c r="F14" s="30">
        <v>4699.8900000000003</v>
      </c>
      <c r="G14" s="28">
        <v>61.71</v>
      </c>
      <c r="H14" s="28">
        <f>I14*(D14/C14)+J14*(E14/C14)+K14*(F14/C14)</f>
        <v>99.913738011258715</v>
      </c>
      <c r="I14" s="28">
        <v>180.12</v>
      </c>
      <c r="J14" s="28">
        <v>58.61</v>
      </c>
      <c r="K14" s="28">
        <v>69.790000000000006</v>
      </c>
      <c r="L14" s="56">
        <f t="shared" si="2"/>
        <v>1183720.6611570248</v>
      </c>
      <c r="M14" s="56">
        <f t="shared" si="3"/>
        <v>12530.88939439858</v>
      </c>
      <c r="N14" s="56">
        <f t="shared" si="4"/>
        <v>2122.6959804574726</v>
      </c>
      <c r="O14" s="56">
        <f t="shared" si="5"/>
        <v>6819.2970482852752</v>
      </c>
      <c r="P14" s="56">
        <f t="shared" si="6"/>
        <v>6734.3315661269526</v>
      </c>
    </row>
    <row r="15" spans="1:16">
      <c r="A15" s="66">
        <v>1980</v>
      </c>
      <c r="B15" s="30">
        <v>781211.86</v>
      </c>
      <c r="C15" s="30">
        <f t="shared" ref="C15:C42" si="7">SUM(D15:F15)</f>
        <v>13201.98</v>
      </c>
      <c r="D15" s="30">
        <v>3961.08</v>
      </c>
      <c r="E15" s="30">
        <v>4247.8999999999996</v>
      </c>
      <c r="F15" s="30">
        <v>4993</v>
      </c>
      <c r="G15" s="28">
        <v>65.08</v>
      </c>
      <c r="H15" s="28">
        <f t="shared" ref="H15:H42" si="8">I15*(D15/C15)+J15*(E15/C15)+K15*(F15/C15)</f>
        <v>102.99066783921806</v>
      </c>
      <c r="I15" s="28">
        <v>183.55</v>
      </c>
      <c r="J15" s="28">
        <v>61.97</v>
      </c>
      <c r="K15" s="28">
        <v>73.98</v>
      </c>
      <c r="L15" s="56">
        <f t="shared" si="2"/>
        <v>1200387.0006146282</v>
      </c>
      <c r="M15" s="56">
        <f t="shared" si="3"/>
        <v>12818.617722345505</v>
      </c>
      <c r="N15" s="56">
        <f t="shared" si="4"/>
        <v>2158.0386815581583</v>
      </c>
      <c r="O15" s="56">
        <f t="shared" si="5"/>
        <v>6854.768436340164</v>
      </c>
      <c r="P15" s="56">
        <f t="shared" si="6"/>
        <v>6749.1213841578801</v>
      </c>
    </row>
    <row r="16" spans="1:16">
      <c r="A16" s="66">
        <v>1981</v>
      </c>
      <c r="B16" s="30">
        <v>818732.65</v>
      </c>
      <c r="C16" s="30">
        <f t="shared" si="7"/>
        <v>13137.150000000001</v>
      </c>
      <c r="D16" s="30">
        <v>3908.13</v>
      </c>
      <c r="E16" s="30">
        <v>4195.59</v>
      </c>
      <c r="F16" s="30">
        <v>5033.43</v>
      </c>
      <c r="G16" s="28">
        <v>67.73</v>
      </c>
      <c r="H16" s="28">
        <f t="shared" si="8"/>
        <v>104.34111597264246</v>
      </c>
      <c r="I16" s="28">
        <v>181.09</v>
      </c>
      <c r="J16" s="28">
        <v>64.38</v>
      </c>
      <c r="K16" s="28">
        <v>78.06</v>
      </c>
      <c r="L16" s="56">
        <f t="shared" si="2"/>
        <v>1208818.3227521039</v>
      </c>
      <c r="M16" s="56">
        <f t="shared" si="3"/>
        <v>12590.578390444352</v>
      </c>
      <c r="N16" s="56">
        <f t="shared" si="4"/>
        <v>2158.1147495720361</v>
      </c>
      <c r="O16" s="56">
        <f t="shared" si="5"/>
        <v>6516.9151910531227</v>
      </c>
      <c r="P16" s="56">
        <f t="shared" si="6"/>
        <v>6448.1552651806305</v>
      </c>
    </row>
    <row r="17" spans="1:16">
      <c r="A17" s="66">
        <v>1982</v>
      </c>
      <c r="B17" s="30">
        <v>853718.15</v>
      </c>
      <c r="C17" s="30">
        <f t="shared" si="7"/>
        <v>12800.36</v>
      </c>
      <c r="D17" s="30">
        <v>3526.85</v>
      </c>
      <c r="E17" s="30">
        <v>4017.72</v>
      </c>
      <c r="F17" s="30">
        <v>5255.79</v>
      </c>
      <c r="G17" s="28">
        <v>71.16</v>
      </c>
      <c r="H17" s="28">
        <f t="shared" si="8"/>
        <v>98.222096237918294</v>
      </c>
      <c r="I17" s="28">
        <v>161.66999999999999</v>
      </c>
      <c r="J17" s="28">
        <v>67.92</v>
      </c>
      <c r="K17" s="28">
        <v>78.81</v>
      </c>
      <c r="L17" s="56">
        <f t="shared" si="2"/>
        <v>1199716.3434513772</v>
      </c>
      <c r="M17" s="56">
        <f t="shared" si="3"/>
        <v>13032.057439493403</v>
      </c>
      <c r="N17" s="56">
        <f t="shared" si="4"/>
        <v>2181.5117214078064</v>
      </c>
      <c r="O17" s="56">
        <f t="shared" si="5"/>
        <v>5915.3710247349818</v>
      </c>
      <c r="P17" s="56">
        <f t="shared" si="6"/>
        <v>6668.9379520365437</v>
      </c>
    </row>
    <row r="18" spans="1:16">
      <c r="A18" s="66">
        <v>1983</v>
      </c>
      <c r="B18" s="30">
        <v>890014.27</v>
      </c>
      <c r="C18" s="30">
        <f t="shared" si="7"/>
        <v>12907.13</v>
      </c>
      <c r="D18" s="30">
        <v>3367.98</v>
      </c>
      <c r="E18" s="30">
        <v>4101.42</v>
      </c>
      <c r="F18" s="30">
        <v>5437.73</v>
      </c>
      <c r="G18" s="28">
        <v>73.17</v>
      </c>
      <c r="H18" s="28">
        <f t="shared" si="8"/>
        <v>95.341801430682125</v>
      </c>
      <c r="I18" s="28">
        <v>152.11000000000001</v>
      </c>
      <c r="J18" s="28">
        <v>70.06</v>
      </c>
      <c r="K18" s="28">
        <v>79.25</v>
      </c>
      <c r="L18" s="56">
        <f t="shared" si="2"/>
        <v>1216364.9993166598</v>
      </c>
      <c r="M18" s="56">
        <f t="shared" si="3"/>
        <v>13537.745046053149</v>
      </c>
      <c r="N18" s="56">
        <f t="shared" si="4"/>
        <v>2214.1739530602849</v>
      </c>
      <c r="O18" s="56">
        <f t="shared" si="5"/>
        <v>5854.1535826434483</v>
      </c>
      <c r="P18" s="56">
        <f t="shared" si="6"/>
        <v>6861.488958990536</v>
      </c>
    </row>
    <row r="19" spans="1:16">
      <c r="A19" s="66">
        <v>1984</v>
      </c>
      <c r="B19" s="30">
        <v>932803.25</v>
      </c>
      <c r="C19" s="30">
        <f t="shared" si="7"/>
        <v>13441.33</v>
      </c>
      <c r="D19" s="30">
        <v>3463.3</v>
      </c>
      <c r="E19" s="30">
        <v>4226.9799999999996</v>
      </c>
      <c r="F19" s="30">
        <v>5751.05</v>
      </c>
      <c r="G19" s="28">
        <v>74.510000000000005</v>
      </c>
      <c r="H19" s="28">
        <f t="shared" si="8"/>
        <v>96.62615648897841</v>
      </c>
      <c r="I19" s="28">
        <v>155.91999999999999</v>
      </c>
      <c r="J19" s="28">
        <v>69.55</v>
      </c>
      <c r="K19" s="28">
        <v>80.819999999999993</v>
      </c>
      <c r="L19" s="56">
        <f t="shared" si="2"/>
        <v>1251916.8567977452</v>
      </c>
      <c r="M19" s="56">
        <f t="shared" si="3"/>
        <v>13910.653686751139</v>
      </c>
      <c r="N19" s="56">
        <f t="shared" si="4"/>
        <v>2221.2031811185225</v>
      </c>
      <c r="O19" s="56">
        <f t="shared" si="5"/>
        <v>6077.6132278936011</v>
      </c>
      <c r="P19" s="56">
        <f t="shared" si="6"/>
        <v>7115.8747834694386</v>
      </c>
    </row>
    <row r="20" spans="1:16">
      <c r="A20" s="66">
        <v>1985</v>
      </c>
      <c r="B20" s="30">
        <v>976276.13</v>
      </c>
      <c r="C20" s="30">
        <f t="shared" si="7"/>
        <v>14084.76</v>
      </c>
      <c r="D20" s="30">
        <v>3473.89</v>
      </c>
      <c r="E20" s="30">
        <v>4111.88</v>
      </c>
      <c r="F20" s="30">
        <v>6498.99</v>
      </c>
      <c r="G20" s="28">
        <v>76.069999999999993</v>
      </c>
      <c r="H20" s="28">
        <f t="shared" si="8"/>
        <v>98.590292791641474</v>
      </c>
      <c r="I20" s="28">
        <v>153.11000000000001</v>
      </c>
      <c r="J20" s="28">
        <v>70.09</v>
      </c>
      <c r="K20" s="28">
        <v>87.48</v>
      </c>
      <c r="L20" s="56">
        <f t="shared" si="2"/>
        <v>1283391.7838832655</v>
      </c>
      <c r="M20" s="56">
        <f t="shared" si="3"/>
        <v>14286.15292761775</v>
      </c>
      <c r="N20" s="56">
        <f t="shared" si="4"/>
        <v>2268.8851152765983</v>
      </c>
      <c r="O20" s="56">
        <f t="shared" si="5"/>
        <v>5866.5715508631756</v>
      </c>
      <c r="P20" s="56">
        <f t="shared" si="6"/>
        <v>7429.1152263374479</v>
      </c>
    </row>
    <row r="21" spans="1:16">
      <c r="A21" s="66">
        <v>1986</v>
      </c>
      <c r="B21" s="30">
        <v>1030545.48</v>
      </c>
      <c r="C21" s="30">
        <f t="shared" si="7"/>
        <v>14674.1</v>
      </c>
      <c r="D21" s="30">
        <v>3378.57</v>
      </c>
      <c r="E21" s="30">
        <v>4331.6000000000004</v>
      </c>
      <c r="F21" s="30">
        <v>6963.93</v>
      </c>
      <c r="G21" s="28">
        <v>78.59</v>
      </c>
      <c r="H21" s="28">
        <f t="shared" si="8"/>
        <v>101.13490250850137</v>
      </c>
      <c r="I21" s="28">
        <v>148.91</v>
      </c>
      <c r="J21" s="28">
        <v>75.760000000000005</v>
      </c>
      <c r="K21" s="28">
        <v>93.74</v>
      </c>
      <c r="L21" s="56">
        <f t="shared" si="2"/>
        <v>1311293.3961063749</v>
      </c>
      <c r="M21" s="56">
        <f t="shared" si="3"/>
        <v>14509.432091227358</v>
      </c>
      <c r="N21" s="56">
        <f t="shared" si="4"/>
        <v>2268.8671009334498</v>
      </c>
      <c r="O21" s="56">
        <f t="shared" si="5"/>
        <v>5717.5290390707505</v>
      </c>
      <c r="P21" s="56">
        <f t="shared" si="6"/>
        <v>7428.9844250053347</v>
      </c>
    </row>
    <row r="22" spans="1:16">
      <c r="A22" s="66">
        <v>1987</v>
      </c>
      <c r="B22" s="30">
        <v>1056316.81</v>
      </c>
      <c r="C22" s="30">
        <f t="shared" si="7"/>
        <v>14921.73</v>
      </c>
      <c r="D22" s="30">
        <v>3325.62</v>
      </c>
      <c r="E22" s="30">
        <v>4551.32</v>
      </c>
      <c r="F22" s="30">
        <v>7044.79</v>
      </c>
      <c r="G22" s="28">
        <v>79.62</v>
      </c>
      <c r="H22" s="28">
        <f t="shared" si="8"/>
        <v>99.851012778008993</v>
      </c>
      <c r="I22" s="28">
        <v>145.21</v>
      </c>
      <c r="J22" s="28">
        <v>79.03</v>
      </c>
      <c r="K22" s="28">
        <v>91.89</v>
      </c>
      <c r="L22" s="56">
        <f t="shared" si="2"/>
        <v>1326697.8271791006</v>
      </c>
      <c r="M22" s="56">
        <f t="shared" si="3"/>
        <v>14943.994642472304</v>
      </c>
      <c r="N22" s="56">
        <f t="shared" si="4"/>
        <v>2290.214172577646</v>
      </c>
      <c r="O22" s="56">
        <f t="shared" si="5"/>
        <v>5758.9776034417309</v>
      </c>
      <c r="P22" s="56">
        <f t="shared" si="6"/>
        <v>7666.54695831973</v>
      </c>
    </row>
    <row r="23" spans="1:16">
      <c r="A23" s="66">
        <v>1988</v>
      </c>
      <c r="B23" s="30">
        <v>1115601.6499999999</v>
      </c>
      <c r="C23" s="30">
        <f t="shared" si="7"/>
        <v>15412.79</v>
      </c>
      <c r="D23" s="30">
        <v>3473.89</v>
      </c>
      <c r="E23" s="30">
        <v>4823.3599999999997</v>
      </c>
      <c r="F23" s="30">
        <v>7115.54</v>
      </c>
      <c r="G23" s="28">
        <v>81.040000000000006</v>
      </c>
      <c r="H23" s="28">
        <f t="shared" si="8"/>
        <v>101.50609789661704</v>
      </c>
      <c r="I23" s="28">
        <v>149.78</v>
      </c>
      <c r="J23" s="28">
        <v>82.06</v>
      </c>
      <c r="K23" s="28">
        <v>91.12</v>
      </c>
      <c r="L23" s="56">
        <f t="shared" si="2"/>
        <v>1376606.18213228</v>
      </c>
      <c r="M23" s="56">
        <f t="shared" si="3"/>
        <v>15184.102550861304</v>
      </c>
      <c r="N23" s="56">
        <f t="shared" si="4"/>
        <v>2319.3283482440911</v>
      </c>
      <c r="O23" s="56">
        <f t="shared" si="5"/>
        <v>5877.8454789178641</v>
      </c>
      <c r="P23" s="56">
        <f t="shared" si="6"/>
        <v>7808.9771729587355</v>
      </c>
    </row>
    <row r="24" spans="1:16">
      <c r="A24" s="66">
        <v>1989</v>
      </c>
      <c r="B24" s="30">
        <v>1187460.31</v>
      </c>
      <c r="C24" s="30">
        <f t="shared" si="7"/>
        <v>16037.29</v>
      </c>
      <c r="D24" s="30">
        <v>3791.63</v>
      </c>
      <c r="E24" s="30">
        <v>4927.9799999999996</v>
      </c>
      <c r="F24" s="30">
        <v>7317.68</v>
      </c>
      <c r="G24" s="28">
        <v>82.87</v>
      </c>
      <c r="H24" s="28">
        <f t="shared" si="8"/>
        <v>105.29768412867759</v>
      </c>
      <c r="I24" s="28">
        <v>160.07</v>
      </c>
      <c r="J24" s="28">
        <v>84.03</v>
      </c>
      <c r="K24" s="28">
        <v>91.24</v>
      </c>
      <c r="L24" s="56">
        <f t="shared" si="2"/>
        <v>1432919.4038856039</v>
      </c>
      <c r="M24" s="56">
        <f t="shared" si="3"/>
        <v>15230.429930825307</v>
      </c>
      <c r="N24" s="56">
        <f t="shared" si="4"/>
        <v>2368.7324295620665</v>
      </c>
      <c r="O24" s="56">
        <f t="shared" si="5"/>
        <v>5864.5483755801488</v>
      </c>
      <c r="P24" s="56">
        <f t="shared" si="6"/>
        <v>8020.2542744410348</v>
      </c>
    </row>
    <row r="25" spans="1:16">
      <c r="A25" s="66">
        <v>1990</v>
      </c>
      <c r="B25" s="30">
        <v>1289386.07</v>
      </c>
      <c r="C25" s="30">
        <f t="shared" si="7"/>
        <v>16834.59</v>
      </c>
      <c r="D25" s="30">
        <v>2383</v>
      </c>
      <c r="E25" s="30">
        <v>5597.6</v>
      </c>
      <c r="F25" s="30">
        <v>8853.99</v>
      </c>
      <c r="G25" s="28">
        <v>85.65</v>
      </c>
      <c r="H25" s="28">
        <f t="shared" si="8"/>
        <v>95.552799664262693</v>
      </c>
      <c r="I25" s="28">
        <v>97.34</v>
      </c>
      <c r="J25" s="28">
        <v>91.19</v>
      </c>
      <c r="K25" s="28">
        <v>97.83</v>
      </c>
      <c r="L25" s="56">
        <f t="shared" ref="L25:P37" si="9">B25*100/G25</f>
        <v>1505412.8079392877</v>
      </c>
      <c r="M25" s="56">
        <f t="shared" ref="M25:P29" si="10">C25*100/H25</f>
        <v>17618.102304851916</v>
      </c>
      <c r="N25" s="56">
        <f t="shared" si="10"/>
        <v>2448.1199917813847</v>
      </c>
      <c r="O25" s="56">
        <f t="shared" si="10"/>
        <v>6138.3923675841652</v>
      </c>
      <c r="P25" s="56">
        <f t="shared" si="10"/>
        <v>9050.3833180006131</v>
      </c>
    </row>
    <row r="26" spans="1:16">
      <c r="A26" s="66">
        <v>1991</v>
      </c>
      <c r="B26" s="30">
        <v>1392680</v>
      </c>
      <c r="C26" s="30">
        <f t="shared" si="7"/>
        <v>17900</v>
      </c>
      <c r="D26" s="30">
        <v>2150</v>
      </c>
      <c r="E26" s="30">
        <v>6330</v>
      </c>
      <c r="F26" s="30">
        <v>9420</v>
      </c>
      <c r="G26" s="28">
        <v>88.12</v>
      </c>
      <c r="H26" s="28">
        <f t="shared" si="8"/>
        <v>96.130223463687145</v>
      </c>
      <c r="I26" s="28">
        <v>82.68</v>
      </c>
      <c r="J26" s="28">
        <v>93.66</v>
      </c>
      <c r="K26" s="28">
        <v>100.86</v>
      </c>
      <c r="L26" s="56">
        <f t="shared" si="9"/>
        <v>1580435.7694053561</v>
      </c>
      <c r="M26" s="56">
        <f t="shared" si="10"/>
        <v>18620.574627876176</v>
      </c>
      <c r="N26" s="56">
        <f t="shared" si="10"/>
        <v>2600.3870343492981</v>
      </c>
      <c r="O26" s="56">
        <f t="shared" si="10"/>
        <v>6758.4881486226777</v>
      </c>
      <c r="P26" s="56">
        <f t="shared" si="10"/>
        <v>9339.6787626412843</v>
      </c>
    </row>
    <row r="27" spans="1:16">
      <c r="A27" s="66">
        <v>1992</v>
      </c>
      <c r="B27" s="30">
        <v>1493130</v>
      </c>
      <c r="C27" s="30">
        <f t="shared" si="7"/>
        <v>18800</v>
      </c>
      <c r="D27" s="30">
        <v>2340</v>
      </c>
      <c r="E27" s="30">
        <v>7090</v>
      </c>
      <c r="F27" s="30">
        <v>9370</v>
      </c>
      <c r="G27" s="28">
        <v>92.44</v>
      </c>
      <c r="H27" s="28">
        <f t="shared" si="8"/>
        <v>94.852276595744684</v>
      </c>
      <c r="I27" s="28">
        <v>85.23</v>
      </c>
      <c r="J27" s="28">
        <v>95.15</v>
      </c>
      <c r="K27" s="28">
        <v>97.03</v>
      </c>
      <c r="L27" s="56">
        <f t="shared" si="9"/>
        <v>1615242.3193422761</v>
      </c>
      <c r="M27" s="56">
        <f t="shared" si="10"/>
        <v>19820.293908310279</v>
      </c>
      <c r="N27" s="56">
        <f t="shared" si="10"/>
        <v>2745.5121436114041</v>
      </c>
      <c r="O27" s="56">
        <f t="shared" si="10"/>
        <v>7451.3925380977398</v>
      </c>
      <c r="P27" s="56">
        <f t="shared" si="10"/>
        <v>9656.8071730392658</v>
      </c>
    </row>
    <row r="28" spans="1:16">
      <c r="A28" s="66">
        <v>1993</v>
      </c>
      <c r="B28" s="30">
        <v>1533230</v>
      </c>
      <c r="C28" s="30">
        <f t="shared" si="7"/>
        <v>17320</v>
      </c>
      <c r="D28" s="30">
        <v>1800</v>
      </c>
      <c r="E28" s="30">
        <v>7080</v>
      </c>
      <c r="F28" s="30">
        <v>8440</v>
      </c>
      <c r="G28" s="28">
        <v>95.84</v>
      </c>
      <c r="H28" s="28">
        <f t="shared" si="8"/>
        <v>91.928175519630486</v>
      </c>
      <c r="I28" s="28">
        <v>85.24</v>
      </c>
      <c r="J28" s="28">
        <v>92.78</v>
      </c>
      <c r="K28" s="28">
        <v>92.64</v>
      </c>
      <c r="L28" s="56">
        <f t="shared" si="9"/>
        <v>1599780.8848080132</v>
      </c>
      <c r="M28" s="56">
        <f t="shared" si="10"/>
        <v>18840.795982404175</v>
      </c>
      <c r="N28" s="56">
        <f t="shared" si="10"/>
        <v>2111.6846550915066</v>
      </c>
      <c r="O28" s="56">
        <f t="shared" si="10"/>
        <v>7630.9549471868941</v>
      </c>
      <c r="P28" s="56">
        <f t="shared" si="10"/>
        <v>9110.5354058721932</v>
      </c>
    </row>
    <row r="29" spans="1:16">
      <c r="A29" s="66">
        <v>1994</v>
      </c>
      <c r="B29" s="30">
        <v>1604231</v>
      </c>
      <c r="C29" s="30">
        <f t="shared" si="7"/>
        <v>18760</v>
      </c>
      <c r="D29" s="30">
        <v>2120</v>
      </c>
      <c r="E29" s="30">
        <v>8100</v>
      </c>
      <c r="F29" s="30">
        <v>8540</v>
      </c>
      <c r="G29" s="28">
        <v>97.95</v>
      </c>
      <c r="H29" s="28">
        <f t="shared" si="8"/>
        <v>91.064626865671642</v>
      </c>
      <c r="I29" s="28">
        <v>88.14</v>
      </c>
      <c r="J29" s="28">
        <v>94.65</v>
      </c>
      <c r="K29" s="28">
        <v>88.39</v>
      </c>
      <c r="L29" s="56">
        <f t="shared" si="9"/>
        <v>1637806.0234813681</v>
      </c>
      <c r="M29" s="56">
        <f t="shared" si="10"/>
        <v>20600.75426177571</v>
      </c>
      <c r="N29" s="56">
        <f t="shared" si="10"/>
        <v>2405.264352167007</v>
      </c>
      <c r="O29" s="56">
        <f t="shared" si="10"/>
        <v>8557.8446909667182</v>
      </c>
      <c r="P29" s="56">
        <f t="shared" si="10"/>
        <v>9661.7264396424926</v>
      </c>
    </row>
    <row r="30" spans="1:16">
      <c r="A30" s="66">
        <v>1995</v>
      </c>
      <c r="B30" s="30">
        <v>1671709</v>
      </c>
      <c r="C30" s="30">
        <f t="shared" si="7"/>
        <v>18870</v>
      </c>
      <c r="D30" s="30">
        <v>2280</v>
      </c>
      <c r="E30" s="30">
        <v>8400</v>
      </c>
      <c r="F30" s="30">
        <v>8190</v>
      </c>
      <c r="G30" s="28">
        <v>100</v>
      </c>
      <c r="H30" s="28">
        <f t="shared" si="8"/>
        <v>100</v>
      </c>
      <c r="I30" s="28">
        <v>100</v>
      </c>
      <c r="J30" s="28">
        <v>100</v>
      </c>
      <c r="K30" s="28">
        <v>100</v>
      </c>
      <c r="L30" s="56">
        <f t="shared" si="9"/>
        <v>1671709</v>
      </c>
      <c r="M30" s="56">
        <f t="shared" si="9"/>
        <v>18870</v>
      </c>
      <c r="N30" s="56">
        <f t="shared" si="9"/>
        <v>2280</v>
      </c>
      <c r="O30" s="56">
        <f t="shared" si="9"/>
        <v>8400</v>
      </c>
      <c r="P30" s="56">
        <f t="shared" si="9"/>
        <v>8190</v>
      </c>
    </row>
    <row r="31" spans="1:16">
      <c r="A31" s="66">
        <v>1996</v>
      </c>
      <c r="B31" s="30">
        <v>1697889</v>
      </c>
      <c r="C31" s="30">
        <f t="shared" si="7"/>
        <v>18700</v>
      </c>
      <c r="D31" s="30">
        <v>2050</v>
      </c>
      <c r="E31" s="30">
        <v>7910</v>
      </c>
      <c r="F31" s="30">
        <v>8740</v>
      </c>
      <c r="G31" s="28">
        <v>100.27</v>
      </c>
      <c r="H31" s="28">
        <f t="shared" si="8"/>
        <v>97.075791443850278</v>
      </c>
      <c r="I31" s="28">
        <v>87.2</v>
      </c>
      <c r="J31" s="28">
        <v>98.15</v>
      </c>
      <c r="K31" s="28">
        <v>98.42</v>
      </c>
      <c r="L31" s="56">
        <f t="shared" si="9"/>
        <v>1693317.0439812506</v>
      </c>
      <c r="M31" s="56">
        <f t="shared" si="9"/>
        <v>19263.299038685964</v>
      </c>
      <c r="N31" s="56">
        <f t="shared" si="9"/>
        <v>2350.9174311926604</v>
      </c>
      <c r="O31" s="56">
        <f t="shared" si="9"/>
        <v>8059.0932246561379</v>
      </c>
      <c r="P31" s="56">
        <f t="shared" si="9"/>
        <v>8880.3088803088795</v>
      </c>
    </row>
    <row r="32" spans="1:16">
      <c r="A32" s="66">
        <v>1997</v>
      </c>
      <c r="B32" s="30">
        <v>1734861</v>
      </c>
      <c r="C32" s="30">
        <f t="shared" si="7"/>
        <v>19390</v>
      </c>
      <c r="D32" s="30">
        <v>2280</v>
      </c>
      <c r="E32" s="30">
        <v>8270</v>
      </c>
      <c r="F32" s="30">
        <v>8840</v>
      </c>
      <c r="G32" s="28">
        <v>100.72</v>
      </c>
      <c r="H32" s="28">
        <f t="shared" si="8"/>
        <v>93.196828261990703</v>
      </c>
      <c r="I32" s="28">
        <v>92.9</v>
      </c>
      <c r="J32" s="28">
        <v>95.83</v>
      </c>
      <c r="K32" s="28">
        <v>90.81</v>
      </c>
      <c r="L32" s="56">
        <f t="shared" si="9"/>
        <v>1722459.2930897537</v>
      </c>
      <c r="M32" s="56">
        <f t="shared" si="9"/>
        <v>20805.42907049552</v>
      </c>
      <c r="N32" s="56">
        <f t="shared" si="9"/>
        <v>2454.2518837459634</v>
      </c>
      <c r="O32" s="56">
        <f t="shared" si="9"/>
        <v>8629.865386622143</v>
      </c>
      <c r="P32" s="56">
        <f t="shared" si="9"/>
        <v>9734.6107256910036</v>
      </c>
    </row>
    <row r="33" spans="1:16">
      <c r="A33" s="66">
        <v>1998</v>
      </c>
      <c r="B33" s="30">
        <v>1778061</v>
      </c>
      <c r="C33" s="30">
        <f t="shared" si="7"/>
        <v>19640</v>
      </c>
      <c r="D33" s="30">
        <v>2320</v>
      </c>
      <c r="E33" s="30">
        <v>8050</v>
      </c>
      <c r="F33" s="30">
        <v>9270</v>
      </c>
      <c r="G33" s="28">
        <v>101.6</v>
      </c>
      <c r="H33" s="28">
        <f t="shared" si="8"/>
        <v>96.313727087576382</v>
      </c>
      <c r="I33" s="28">
        <v>100.27</v>
      </c>
      <c r="J33" s="28">
        <v>96.79</v>
      </c>
      <c r="K33" s="28">
        <v>94.91</v>
      </c>
      <c r="L33" s="56">
        <f t="shared" si="9"/>
        <v>1750060.0393700788</v>
      </c>
      <c r="M33" s="56">
        <f t="shared" si="9"/>
        <v>20391.693472875049</v>
      </c>
      <c r="N33" s="56">
        <f t="shared" si="9"/>
        <v>2313.7528672584026</v>
      </c>
      <c r="O33" s="56">
        <f t="shared" si="9"/>
        <v>8316.9748941006292</v>
      </c>
      <c r="P33" s="56">
        <f t="shared" si="9"/>
        <v>9767.1478242545581</v>
      </c>
    </row>
    <row r="34" spans="1:16">
      <c r="A34" s="66">
        <v>1999</v>
      </c>
      <c r="B34" s="30">
        <v>1810269</v>
      </c>
      <c r="C34" s="30">
        <f t="shared" si="7"/>
        <v>19850</v>
      </c>
      <c r="D34" s="30">
        <v>2360</v>
      </c>
      <c r="E34" s="30">
        <v>8000</v>
      </c>
      <c r="F34" s="30">
        <v>9490</v>
      </c>
      <c r="G34" s="28">
        <v>101.63</v>
      </c>
      <c r="H34" s="28">
        <f t="shared" si="8"/>
        <v>95.664292191435777</v>
      </c>
      <c r="I34" s="28">
        <v>105.66</v>
      </c>
      <c r="J34" s="28">
        <v>95.71</v>
      </c>
      <c r="K34" s="28">
        <v>93.14</v>
      </c>
      <c r="L34" s="56">
        <f t="shared" si="9"/>
        <v>1781234.8715930337</v>
      </c>
      <c r="M34" s="56">
        <f t="shared" si="9"/>
        <v>20749.643932218467</v>
      </c>
      <c r="N34" s="56">
        <f t="shared" si="9"/>
        <v>2233.5794056407344</v>
      </c>
      <c r="O34" s="56">
        <f t="shared" si="9"/>
        <v>8358.5832201441863</v>
      </c>
      <c r="P34" s="56">
        <f t="shared" si="9"/>
        <v>10188.962851621216</v>
      </c>
    </row>
    <row r="35" spans="1:16">
      <c r="A35" s="66">
        <v>2000</v>
      </c>
      <c r="B35" s="30">
        <v>1856200</v>
      </c>
      <c r="C35" s="30">
        <f t="shared" si="7"/>
        <v>19800</v>
      </c>
      <c r="D35" s="30">
        <v>1810</v>
      </c>
      <c r="E35" s="30">
        <v>8180</v>
      </c>
      <c r="F35" s="30">
        <v>9810</v>
      </c>
      <c r="G35" s="28">
        <v>100.65</v>
      </c>
      <c r="H35" s="28">
        <f t="shared" si="8"/>
        <v>95.564429292929304</v>
      </c>
      <c r="I35" s="28">
        <v>86.14</v>
      </c>
      <c r="J35" s="28">
        <v>96.18</v>
      </c>
      <c r="K35" s="28">
        <v>96.79</v>
      </c>
      <c r="L35" s="56">
        <f t="shared" si="9"/>
        <v>1844212.6179831098</v>
      </c>
      <c r="M35" s="56">
        <f t="shared" si="9"/>
        <v>20719.0061684018</v>
      </c>
      <c r="N35" s="56">
        <f t="shared" si="9"/>
        <v>2101.2305549106104</v>
      </c>
      <c r="O35" s="56">
        <f t="shared" si="9"/>
        <v>8504.8866708255355</v>
      </c>
      <c r="P35" s="56">
        <f t="shared" si="9"/>
        <v>10135.344560388468</v>
      </c>
    </row>
    <row r="36" spans="1:16">
      <c r="A36" s="66">
        <v>2001</v>
      </c>
      <c r="B36" s="30">
        <v>1904492</v>
      </c>
      <c r="C36" s="30">
        <f t="shared" si="7"/>
        <v>19590</v>
      </c>
      <c r="D36" s="30">
        <v>1840</v>
      </c>
      <c r="E36" s="30">
        <v>7440</v>
      </c>
      <c r="F36" s="30">
        <v>10310</v>
      </c>
      <c r="G36" s="28">
        <v>101.85</v>
      </c>
      <c r="H36" s="28">
        <f t="shared" si="8"/>
        <v>99.736937212863708</v>
      </c>
      <c r="I36" s="28">
        <v>85.21</v>
      </c>
      <c r="J36" s="28">
        <v>94.9</v>
      </c>
      <c r="K36" s="28">
        <v>105.82</v>
      </c>
      <c r="L36" s="56">
        <f t="shared" si="9"/>
        <v>1869898.8708885617</v>
      </c>
      <c r="M36" s="56">
        <f t="shared" si="9"/>
        <v>19641.669924343088</v>
      </c>
      <c r="N36" s="56">
        <f t="shared" si="9"/>
        <v>2159.3709658490789</v>
      </c>
      <c r="O36" s="56">
        <f t="shared" si="9"/>
        <v>7839.8314014752368</v>
      </c>
      <c r="P36" s="56">
        <f t="shared" si="9"/>
        <v>9742.9597429597434</v>
      </c>
    </row>
    <row r="37" spans="1:16">
      <c r="A37" s="66">
        <v>2002</v>
      </c>
      <c r="B37" s="30">
        <v>1933190</v>
      </c>
      <c r="C37" s="30">
        <f t="shared" si="7"/>
        <v>19640</v>
      </c>
      <c r="D37" s="30">
        <v>1960</v>
      </c>
      <c r="E37" s="30">
        <v>7180</v>
      </c>
      <c r="F37" s="30">
        <v>10500</v>
      </c>
      <c r="G37" s="28">
        <v>103.22</v>
      </c>
      <c r="H37" s="28">
        <f t="shared" si="8"/>
        <v>100.13607942973523</v>
      </c>
      <c r="I37" s="28">
        <v>83.09</v>
      </c>
      <c r="J37" s="28">
        <v>92.09</v>
      </c>
      <c r="K37" s="28">
        <v>108.82</v>
      </c>
      <c r="L37" s="56">
        <f t="shared" si="9"/>
        <v>1872883.1621778726</v>
      </c>
      <c r="M37" s="56">
        <f t="shared" si="9"/>
        <v>19613.310319165477</v>
      </c>
      <c r="N37" s="56">
        <f t="shared" si="9"/>
        <v>2358.887952822241</v>
      </c>
      <c r="O37" s="56">
        <f t="shared" si="9"/>
        <v>7796.7205994136166</v>
      </c>
      <c r="P37" s="56">
        <f t="shared" si="9"/>
        <v>9648.9615879433932</v>
      </c>
    </row>
    <row r="38" spans="1:16">
      <c r="A38" s="66">
        <v>2003</v>
      </c>
      <c r="B38" s="30">
        <v>1949410</v>
      </c>
      <c r="C38" s="30">
        <f t="shared" si="7"/>
        <v>18680</v>
      </c>
      <c r="D38" s="30">
        <v>1750</v>
      </c>
      <c r="E38" s="30">
        <v>6900</v>
      </c>
      <c r="F38" s="30">
        <v>10030</v>
      </c>
      <c r="G38" s="28">
        <v>104.44</v>
      </c>
      <c r="H38" s="28">
        <f t="shared" si="8"/>
        <v>97.656638115631694</v>
      </c>
      <c r="I38" s="28">
        <v>79.05</v>
      </c>
      <c r="J38" s="28">
        <v>92.21</v>
      </c>
      <c r="K38" s="28">
        <v>104.65</v>
      </c>
      <c r="L38" s="56">
        <f t="shared" ref="L38:L42" si="11">B38*100/G38</f>
        <v>1866535.8100344697</v>
      </c>
      <c r="M38" s="56">
        <f t="shared" ref="M38:M42" si="12">C38*100/H38</f>
        <v>19128.24397854213</v>
      </c>
      <c r="N38" s="56">
        <f t="shared" ref="N38:N42" si="13">D38*100/I38</f>
        <v>2213.788741302973</v>
      </c>
      <c r="O38" s="56">
        <f t="shared" ref="O38:O42" si="14">E38*100/J38</f>
        <v>7482.9194230560679</v>
      </c>
      <c r="P38" s="56">
        <f t="shared" ref="P38:P42" si="15">F38*100/K38</f>
        <v>9584.3287147634965</v>
      </c>
    </row>
    <row r="39" spans="1:16">
      <c r="A39" s="66">
        <v>2004</v>
      </c>
      <c r="B39" s="30">
        <v>1998360</v>
      </c>
      <c r="C39" s="30">
        <f t="shared" si="7"/>
        <v>19741.52</v>
      </c>
      <c r="D39" s="30">
        <v>2065.6999999999998</v>
      </c>
      <c r="E39" s="30">
        <v>7400</v>
      </c>
      <c r="F39" s="30">
        <v>10275.82</v>
      </c>
      <c r="G39" s="28">
        <v>105.42</v>
      </c>
      <c r="H39" s="28">
        <f t="shared" si="8"/>
        <v>95.97702003695764</v>
      </c>
      <c r="I39" s="28">
        <v>70.14</v>
      </c>
      <c r="J39" s="28">
        <v>92.84</v>
      </c>
      <c r="K39" s="28">
        <v>103.43</v>
      </c>
      <c r="L39" s="56">
        <f t="shared" si="11"/>
        <v>1895617.529880478</v>
      </c>
      <c r="M39" s="56">
        <f t="shared" si="12"/>
        <v>20569.007031472931</v>
      </c>
      <c r="N39" s="56">
        <f t="shared" si="13"/>
        <v>2945.1097804391211</v>
      </c>
      <c r="O39" s="56">
        <f t="shared" si="14"/>
        <v>7970.7022834984919</v>
      </c>
      <c r="P39" s="56">
        <f t="shared" si="15"/>
        <v>9935.0478584549928</v>
      </c>
    </row>
    <row r="40" spans="1:16">
      <c r="A40" s="66">
        <v>2005</v>
      </c>
      <c r="B40" s="30">
        <v>2023890</v>
      </c>
      <c r="C40" s="30">
        <f t="shared" si="7"/>
        <v>19367.650000000001</v>
      </c>
      <c r="D40" s="30">
        <v>1895.72</v>
      </c>
      <c r="E40" s="30">
        <v>7020</v>
      </c>
      <c r="F40" s="30">
        <v>10451.93</v>
      </c>
      <c r="G40" s="28">
        <v>105.82</v>
      </c>
      <c r="H40" s="28">
        <f t="shared" si="8"/>
        <v>94.070449651867932</v>
      </c>
      <c r="I40" s="28">
        <v>64.14</v>
      </c>
      <c r="J40" s="28">
        <v>91.27</v>
      </c>
      <c r="K40" s="28">
        <v>101.38</v>
      </c>
      <c r="L40" s="56">
        <f t="shared" si="11"/>
        <v>1912577.9625779628</v>
      </c>
      <c r="M40" s="56">
        <f t="shared" si="12"/>
        <v>20588.452666777939</v>
      </c>
      <c r="N40" s="56">
        <f t="shared" si="13"/>
        <v>2955.597131275335</v>
      </c>
      <c r="O40" s="56">
        <f t="shared" si="14"/>
        <v>7691.464884408897</v>
      </c>
      <c r="P40" s="56">
        <f t="shared" si="15"/>
        <v>10309.656737028999</v>
      </c>
    </row>
    <row r="41" spans="1:16">
      <c r="A41" s="66">
        <v>2006</v>
      </c>
      <c r="B41" s="30">
        <v>2097170</v>
      </c>
      <c r="C41" s="30">
        <f t="shared" si="7"/>
        <v>20429.580000000002</v>
      </c>
      <c r="D41" s="30">
        <v>2095.34</v>
      </c>
      <c r="E41" s="30">
        <v>7460</v>
      </c>
      <c r="F41" s="30">
        <v>10874.24</v>
      </c>
      <c r="G41" s="28">
        <v>106.37</v>
      </c>
      <c r="H41" s="28">
        <f t="shared" si="8"/>
        <v>94.445581269903727</v>
      </c>
      <c r="I41" s="28">
        <v>67.69</v>
      </c>
      <c r="J41" s="28">
        <v>93.66</v>
      </c>
      <c r="K41" s="28">
        <v>100.14</v>
      </c>
      <c r="L41" s="56">
        <f t="shared" si="11"/>
        <v>1971580.3328006016</v>
      </c>
      <c r="M41" s="56">
        <f t="shared" si="12"/>
        <v>21631.059627466282</v>
      </c>
      <c r="N41" s="56">
        <f t="shared" si="13"/>
        <v>3095.4941645737922</v>
      </c>
      <c r="O41" s="56">
        <f t="shared" si="14"/>
        <v>7964.9797138586382</v>
      </c>
      <c r="P41" s="56">
        <f t="shared" si="15"/>
        <v>10859.037347713202</v>
      </c>
    </row>
    <row r="42" spans="1:16">
      <c r="A42" s="66">
        <v>2007</v>
      </c>
      <c r="B42" s="30">
        <v>2176570</v>
      </c>
      <c r="C42" s="30">
        <f t="shared" si="7"/>
        <v>21603.05</v>
      </c>
      <c r="D42" s="30">
        <v>2610.4899999999998</v>
      </c>
      <c r="E42" s="30">
        <v>7560</v>
      </c>
      <c r="F42" s="30">
        <v>11432.56</v>
      </c>
      <c r="G42" s="28">
        <v>107.37</v>
      </c>
      <c r="H42" s="28">
        <f t="shared" si="8"/>
        <v>100.40695333297845</v>
      </c>
      <c r="I42" s="28">
        <v>79.319999999999993</v>
      </c>
      <c r="J42" s="28">
        <v>105.37</v>
      </c>
      <c r="K42" s="28">
        <v>101.94</v>
      </c>
      <c r="L42" s="56">
        <f t="shared" si="11"/>
        <v>2027167.7377293471</v>
      </c>
      <c r="M42" s="56">
        <f t="shared" si="12"/>
        <v>21515.491988247119</v>
      </c>
      <c r="N42" s="56">
        <f t="shared" si="13"/>
        <v>3291.0867372667676</v>
      </c>
      <c r="O42" s="56">
        <f t="shared" si="14"/>
        <v>7174.7176615735025</v>
      </c>
      <c r="P42" s="56">
        <f t="shared" si="15"/>
        <v>11214.989209338826</v>
      </c>
    </row>
    <row r="43" spans="1:16">
      <c r="A43" s="66">
        <v>2008</v>
      </c>
      <c r="B43" s="56" t="s">
        <v>22</v>
      </c>
      <c r="C43" s="56" t="s">
        <v>22</v>
      </c>
      <c r="D43" s="56" t="s">
        <v>22</v>
      </c>
      <c r="E43" s="56" t="s">
        <v>22</v>
      </c>
      <c r="F43" s="56" t="s">
        <v>22</v>
      </c>
      <c r="G43" s="56" t="s">
        <v>22</v>
      </c>
      <c r="H43" s="56" t="s">
        <v>22</v>
      </c>
      <c r="I43" s="56" t="s">
        <v>22</v>
      </c>
      <c r="J43" s="56" t="s">
        <v>22</v>
      </c>
      <c r="K43" s="56" t="s">
        <v>22</v>
      </c>
      <c r="L43" s="56" t="s">
        <v>22</v>
      </c>
      <c r="M43" s="56" t="s">
        <v>22</v>
      </c>
      <c r="N43" s="56" t="s">
        <v>22</v>
      </c>
      <c r="O43" s="56" t="s">
        <v>22</v>
      </c>
      <c r="P43" s="56" t="s">
        <v>22</v>
      </c>
    </row>
    <row r="44" spans="1:16">
      <c r="B44" s="57"/>
      <c r="C44" s="57"/>
      <c r="D44" s="56"/>
      <c r="E44" s="57"/>
      <c r="F44" s="57"/>
      <c r="G44" s="57"/>
      <c r="H44" s="57"/>
      <c r="I44" s="57"/>
      <c r="J44" s="57"/>
      <c r="K44" s="57"/>
      <c r="L44" s="57"/>
      <c r="M44" s="57"/>
      <c r="N44" s="57"/>
      <c r="O44" s="57"/>
      <c r="P44" s="57"/>
    </row>
    <row r="45" spans="1:16">
      <c r="A45" s="66" t="s">
        <v>23</v>
      </c>
      <c r="B45" s="56"/>
      <c r="C45" s="56"/>
      <c r="D45" s="56"/>
      <c r="E45" s="56"/>
      <c r="F45" s="56"/>
      <c r="G45" s="56"/>
      <c r="H45" s="56"/>
      <c r="I45" s="56"/>
      <c r="J45" s="56"/>
      <c r="K45" s="56"/>
      <c r="L45" s="57"/>
      <c r="M45" s="57"/>
      <c r="N45" s="57"/>
      <c r="O45" s="57"/>
      <c r="P45" s="57"/>
    </row>
    <row r="46" spans="1:16">
      <c r="A46" s="66" t="s">
        <v>1946</v>
      </c>
      <c r="B46" s="147">
        <f>((B42/B5)^(1/37)-1)*100</f>
        <v>5.0193898822801009</v>
      </c>
      <c r="C46" s="147">
        <f t="shared" ref="C46:P46" si="16">((C42/C5)^(1/37)-1)*100</f>
        <v>2.9661122171523058</v>
      </c>
      <c r="D46" s="147">
        <f t="shared" si="16"/>
        <v>0.67736352052654158</v>
      </c>
      <c r="E46" s="147">
        <f t="shared" si="16"/>
        <v>3.3303723910435901</v>
      </c>
      <c r="F46" s="147">
        <f t="shared" si="16"/>
        <v>3.642757245301298</v>
      </c>
      <c r="G46" s="147">
        <f t="shared" si="16"/>
        <v>2.7663476448516855</v>
      </c>
      <c r="H46" s="147">
        <f t="shared" si="16"/>
        <v>1.403340262537256</v>
      </c>
      <c r="I46" s="147">
        <f t="shared" si="16"/>
        <v>-0.81850633940753204</v>
      </c>
      <c r="J46" s="147">
        <f t="shared" si="16"/>
        <v>2.9848331586571186</v>
      </c>
      <c r="K46" s="147">
        <f t="shared" si="16"/>
        <v>2.1583869777620057</v>
      </c>
      <c r="L46" s="147">
        <f t="shared" si="16"/>
        <v>2.1923930246257939</v>
      </c>
      <c r="M46" s="147">
        <f t="shared" si="16"/>
        <v>1.5411444539883856</v>
      </c>
      <c r="N46" s="147">
        <f t="shared" si="16"/>
        <v>1.5082146928065754</v>
      </c>
      <c r="O46" s="147">
        <f t="shared" si="16"/>
        <v>0.33552438916333305</v>
      </c>
      <c r="P46" s="147">
        <f t="shared" si="16"/>
        <v>1.4530087166141348</v>
      </c>
    </row>
    <row r="47" spans="1:16">
      <c r="A47" s="66" t="s">
        <v>2140</v>
      </c>
      <c r="B47" s="147">
        <f>((B25/B5)^(1/20)-1)*100</f>
        <v>6.6544731932362877</v>
      </c>
      <c r="C47" s="147">
        <f t="shared" ref="C47:P47" si="17">((C25/C5)^(1/20)-1)*100</f>
        <v>4.2482699583953121</v>
      </c>
      <c r="D47" s="147">
        <f t="shared" si="17"/>
        <v>0.79616140128169199</v>
      </c>
      <c r="E47" s="147">
        <f t="shared" si="17"/>
        <v>4.6636300172906209</v>
      </c>
      <c r="F47" s="147">
        <f t="shared" si="17"/>
        <v>5.4864918958672959</v>
      </c>
      <c r="G47" s="147">
        <f t="shared" si="17"/>
        <v>3.9959498848617159</v>
      </c>
      <c r="H47" s="147">
        <f t="shared" si="17"/>
        <v>2.3577343283751828</v>
      </c>
      <c r="I47" s="147">
        <f t="shared" si="17"/>
        <v>-0.49563695680796549</v>
      </c>
      <c r="J47" s="147">
        <f t="shared" si="17"/>
        <v>4.8315629523089765</v>
      </c>
      <c r="K47" s="147">
        <f t="shared" si="17"/>
        <v>3.8157680375743075</v>
      </c>
      <c r="L47" s="147">
        <f t="shared" si="17"/>
        <v>2.5563719657524464</v>
      </c>
      <c r="M47" s="147">
        <f t="shared" si="17"/>
        <v>1.8469885470062009</v>
      </c>
      <c r="N47" s="147">
        <f t="shared" si="17"/>
        <v>1.2982328800285048</v>
      </c>
      <c r="O47" s="147">
        <f t="shared" si="17"/>
        <v>-0.16019310433703637</v>
      </c>
      <c r="P47" s="147">
        <f t="shared" si="17"/>
        <v>1.6093160893327019</v>
      </c>
    </row>
    <row r="48" spans="1:16">
      <c r="A48" s="66" t="s">
        <v>660</v>
      </c>
      <c r="B48" s="147">
        <f t="shared" ref="B48:P48" si="18">((B35/B25)^(1/10)-1)*100</f>
        <v>3.7108465952594649</v>
      </c>
      <c r="C48" s="147">
        <f t="shared" si="18"/>
        <v>1.6356957872578848</v>
      </c>
      <c r="D48" s="147">
        <f t="shared" si="18"/>
        <v>-2.7128562254387645</v>
      </c>
      <c r="E48" s="147">
        <f t="shared" si="18"/>
        <v>3.8664155460497396</v>
      </c>
      <c r="F48" s="147">
        <f t="shared" si="18"/>
        <v>1.0306153168597731</v>
      </c>
      <c r="G48" s="147">
        <f t="shared" si="18"/>
        <v>1.6268913454020817</v>
      </c>
      <c r="H48" s="147">
        <f t="shared" si="18"/>
        <v>1.2170226108665361E-3</v>
      </c>
      <c r="I48" s="147">
        <f t="shared" si="18"/>
        <v>-1.2149207600952727</v>
      </c>
      <c r="J48" s="147">
        <f t="shared" si="18"/>
        <v>0.53418363909549793</v>
      </c>
      <c r="K48" s="147">
        <f t="shared" si="18"/>
        <v>-0.10681886107768435</v>
      </c>
      <c r="L48" s="147">
        <f t="shared" si="18"/>
        <v>2.0505943085227019</v>
      </c>
      <c r="M48" s="147">
        <f t="shared" si="18"/>
        <v>1.6344588729129805</v>
      </c>
      <c r="N48" s="147">
        <f t="shared" si="18"/>
        <v>-1.5163580136486776</v>
      </c>
      <c r="O48" s="147">
        <f t="shared" si="18"/>
        <v>3.3145262500131611</v>
      </c>
      <c r="P48" s="147">
        <f t="shared" si="18"/>
        <v>1.1386504714026691</v>
      </c>
    </row>
    <row r="49" spans="1:16">
      <c r="A49" s="66" t="s">
        <v>588</v>
      </c>
      <c r="B49" s="147">
        <f>((B42/B35)^(1/7)-1)*100</f>
        <v>2.3006203381932044</v>
      </c>
      <c r="C49" s="147">
        <f t="shared" ref="C49:P49" si="19">((C42/C35)^(1/7)-1)*100</f>
        <v>1.2528195731059011</v>
      </c>
      <c r="D49" s="147">
        <f t="shared" si="19"/>
        <v>5.370852605349441</v>
      </c>
      <c r="E49" s="147">
        <f t="shared" si="19"/>
        <v>-1.1196979136835483</v>
      </c>
      <c r="F49" s="147">
        <f t="shared" si="19"/>
        <v>2.2106981066817744</v>
      </c>
      <c r="G49" s="147">
        <f t="shared" si="19"/>
        <v>0.92758509871846417</v>
      </c>
      <c r="H49" s="147">
        <f t="shared" si="19"/>
        <v>0.70865327412907853</v>
      </c>
      <c r="I49" s="147">
        <f t="shared" si="19"/>
        <v>-1.1714215996658006</v>
      </c>
      <c r="J49" s="147">
        <f t="shared" si="19"/>
        <v>1.3121994671513315</v>
      </c>
      <c r="K49" s="147">
        <f t="shared" si="19"/>
        <v>0.74333082808766271</v>
      </c>
      <c r="L49" s="147">
        <f t="shared" si="19"/>
        <v>1.3604162213251669</v>
      </c>
      <c r="M49" s="147">
        <f t="shared" si="19"/>
        <v>0.54033718184631763</v>
      </c>
      <c r="N49" s="147">
        <f t="shared" si="19"/>
        <v>6.6198202088001645</v>
      </c>
      <c r="O49" s="147">
        <f t="shared" si="19"/>
        <v>-2.4003993533112333</v>
      </c>
      <c r="P49" s="147">
        <f t="shared" si="19"/>
        <v>1.4565403650372399</v>
      </c>
    </row>
    <row r="51" spans="1:16">
      <c r="A51" s="137" t="s">
        <v>2039</v>
      </c>
      <c r="B51" s="137"/>
      <c r="C51" s="137"/>
      <c r="D51" s="137"/>
      <c r="E51" s="137"/>
      <c r="F51" s="137"/>
      <c r="G51" s="137"/>
      <c r="H51" s="137"/>
      <c r="I51" s="137"/>
      <c r="J51" s="137"/>
      <c r="K51" s="137"/>
      <c r="L51" s="137"/>
      <c r="M51" s="137"/>
      <c r="N51" s="137"/>
      <c r="O51" s="137"/>
      <c r="P51" s="137"/>
    </row>
    <row r="52" spans="1:16">
      <c r="A52" s="137" t="s">
        <v>193</v>
      </c>
      <c r="B52" s="137"/>
      <c r="C52" s="137"/>
      <c r="D52" s="137"/>
      <c r="E52" s="137"/>
      <c r="F52" s="137"/>
      <c r="G52" s="137"/>
      <c r="H52" s="137"/>
      <c r="I52" s="137"/>
      <c r="J52" s="137"/>
      <c r="K52" s="137"/>
      <c r="L52" s="137"/>
      <c r="M52" s="137"/>
      <c r="N52" s="137"/>
      <c r="O52" s="137"/>
      <c r="P52" s="137"/>
    </row>
    <row r="53" spans="1:16">
      <c r="A53" s="137" t="s">
        <v>527</v>
      </c>
      <c r="B53" s="137"/>
      <c r="C53" s="137"/>
      <c r="D53" s="137"/>
      <c r="E53" s="137"/>
      <c r="F53" s="137"/>
      <c r="G53" s="137"/>
      <c r="H53" s="137"/>
      <c r="I53" s="137"/>
      <c r="J53" s="137"/>
      <c r="K53" s="137"/>
      <c r="L53" s="137"/>
      <c r="M53" s="137"/>
      <c r="N53" s="137"/>
      <c r="O53" s="137"/>
      <c r="P53" s="137"/>
    </row>
    <row r="54" spans="1:16">
      <c r="A54" s="137" t="s">
        <v>543</v>
      </c>
      <c r="B54" s="137"/>
      <c r="C54" s="137"/>
      <c r="D54" s="137"/>
      <c r="E54" s="137"/>
      <c r="F54" s="137"/>
      <c r="G54" s="137"/>
      <c r="H54" s="137"/>
      <c r="I54" s="137"/>
      <c r="J54" s="137"/>
      <c r="K54" s="137"/>
      <c r="L54" s="137"/>
      <c r="M54" s="137"/>
      <c r="N54" s="137"/>
      <c r="O54" s="137"/>
      <c r="P54" s="137"/>
    </row>
  </sheetData>
  <mergeCells count="15">
    <mergeCell ref="A51:P51"/>
    <mergeCell ref="A52:P52"/>
    <mergeCell ref="A53:P53"/>
    <mergeCell ref="A54:P54"/>
    <mergeCell ref="A1:P1"/>
    <mergeCell ref="B2:F2"/>
    <mergeCell ref="G2:K2"/>
    <mergeCell ref="L2:P2"/>
    <mergeCell ref="A3:A4"/>
    <mergeCell ref="B3:B4"/>
    <mergeCell ref="C3:F3"/>
    <mergeCell ref="G3:G4"/>
    <mergeCell ref="H3:K3"/>
    <mergeCell ref="L3:L4"/>
    <mergeCell ref="M3:P3"/>
  </mergeCells>
  <pageMargins left="0.70866141732283472" right="0.70866141732283472" top="0.74803149606299213" bottom="0.74803149606299213" header="0.31496062992125984" footer="0.31496062992125984"/>
  <pageSetup scale="61" orientation="landscape" horizontalDpi="0" verticalDpi="0" r:id="rId1"/>
  <ignoredErrors>
    <ignoredError sqref="C5:C43" formulaRange="1"/>
  </ignoredErrors>
</worksheet>
</file>

<file path=xl/worksheets/sheet151.xml><?xml version="1.0" encoding="utf-8"?>
<worksheet xmlns="http://schemas.openxmlformats.org/spreadsheetml/2006/main" xmlns:r="http://schemas.openxmlformats.org/officeDocument/2006/relationships">
  <sheetPr codeName="Sheet143"/>
  <dimension ref="A1:R52"/>
  <sheetViews>
    <sheetView view="pageBreakPre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Col="1"/>
  <cols>
    <col min="1" max="1" width="12.140625" style="64" customWidth="1"/>
    <col min="2" max="6" width="12.28515625" style="64" customWidth="1"/>
    <col min="7" max="11" width="13.5703125" style="64" customWidth="1"/>
    <col min="12" max="12" width="9.140625" style="64"/>
    <col min="13" max="17" width="9.140625" style="64" hidden="1" customWidth="1" outlineLevel="1"/>
    <col min="18" max="18" width="9.140625" style="64" collapsed="1"/>
    <col min="19" max="16384" width="9.140625" style="64"/>
  </cols>
  <sheetData>
    <row r="1" spans="1:17">
      <c r="A1" s="108" t="s">
        <v>1937</v>
      </c>
      <c r="B1" s="108"/>
      <c r="C1" s="108"/>
      <c r="D1" s="108"/>
      <c r="E1" s="108"/>
      <c r="F1" s="108"/>
      <c r="G1" s="108"/>
      <c r="H1" s="108"/>
      <c r="I1" s="108"/>
      <c r="J1" s="108"/>
      <c r="K1" s="108"/>
    </row>
    <row r="2" spans="1:17">
      <c r="A2" s="66"/>
      <c r="B2" s="111" t="s">
        <v>528</v>
      </c>
      <c r="C2" s="111"/>
      <c r="D2" s="111"/>
      <c r="E2" s="111"/>
      <c r="F2" s="111"/>
      <c r="G2" s="111" t="s">
        <v>536</v>
      </c>
      <c r="H2" s="111"/>
      <c r="I2" s="111"/>
      <c r="J2" s="111"/>
      <c r="K2" s="111"/>
      <c r="M2" s="111" t="s">
        <v>529</v>
      </c>
      <c r="N2" s="111"/>
      <c r="O2" s="111"/>
      <c r="P2" s="111"/>
      <c r="Q2" s="111"/>
    </row>
    <row r="3" spans="1:17" ht="15" customHeight="1">
      <c r="A3" s="149"/>
      <c r="B3" s="97" t="s">
        <v>523</v>
      </c>
      <c r="C3" s="97" t="s">
        <v>37</v>
      </c>
      <c r="D3" s="97"/>
      <c r="E3" s="97"/>
      <c r="F3" s="97"/>
      <c r="G3" s="97" t="s">
        <v>523</v>
      </c>
      <c r="H3" s="97" t="s">
        <v>37</v>
      </c>
      <c r="I3" s="97"/>
      <c r="J3" s="97"/>
      <c r="K3" s="97"/>
      <c r="M3" s="97" t="s">
        <v>523</v>
      </c>
      <c r="N3" s="97" t="s">
        <v>49</v>
      </c>
      <c r="O3" s="97"/>
      <c r="P3" s="97"/>
      <c r="Q3" s="97"/>
    </row>
    <row r="4" spans="1:17" ht="60">
      <c r="A4" s="149"/>
      <c r="B4" s="97"/>
      <c r="C4" s="73" t="s">
        <v>78</v>
      </c>
      <c r="D4" s="73" t="s">
        <v>522</v>
      </c>
      <c r="E4" s="73" t="s">
        <v>524</v>
      </c>
      <c r="F4" s="73" t="s">
        <v>525</v>
      </c>
      <c r="G4" s="97"/>
      <c r="H4" s="73" t="s">
        <v>78</v>
      </c>
      <c r="I4" s="73" t="s">
        <v>522</v>
      </c>
      <c r="J4" s="73" t="s">
        <v>524</v>
      </c>
      <c r="K4" s="73" t="s">
        <v>525</v>
      </c>
      <c r="M4" s="97"/>
      <c r="N4" s="73" t="s">
        <v>50</v>
      </c>
      <c r="O4" s="73" t="s">
        <v>522</v>
      </c>
      <c r="P4" s="73" t="s">
        <v>524</v>
      </c>
      <c r="Q4" s="73" t="s">
        <v>525</v>
      </c>
    </row>
    <row r="5" spans="1:17">
      <c r="A5" s="66">
        <v>1970</v>
      </c>
      <c r="B5" s="150">
        <v>36638.58</v>
      </c>
      <c r="C5" s="56">
        <f t="shared" ref="C5:C13" si="0">SUM(D5:F5)</f>
        <v>794.73</v>
      </c>
      <c r="D5" s="150">
        <v>126.41</v>
      </c>
      <c r="E5" s="150">
        <v>527.88</v>
      </c>
      <c r="F5" s="150">
        <v>140.44</v>
      </c>
      <c r="G5" s="147">
        <f>'604a'!L5/'604'!B5</f>
        <v>11.844343285911737</v>
      </c>
      <c r="H5" s="147">
        <f>'604a'!M5/'604'!C5</f>
        <v>4.8054314847601773</v>
      </c>
      <c r="I5" s="147">
        <f>'604a'!N5/'604'!D5</f>
        <v>2.3861891989413548</v>
      </c>
      <c r="J5" s="147">
        <f>'604a'!O5/'604'!E5</f>
        <v>4.4428925308134577</v>
      </c>
      <c r="K5" s="147">
        <f>'604a'!P5/'604'!F5</f>
        <v>8.7489868911558588</v>
      </c>
      <c r="M5" s="62"/>
      <c r="N5" s="62"/>
      <c r="O5" s="62"/>
      <c r="P5" s="62"/>
      <c r="Q5" s="62"/>
    </row>
    <row r="6" spans="1:17">
      <c r="A6" s="66">
        <v>1971</v>
      </c>
      <c r="B6" s="150">
        <v>36533.699999999997</v>
      </c>
      <c r="C6" s="56">
        <f t="shared" si="0"/>
        <v>802.04</v>
      </c>
      <c r="D6" s="150">
        <v>126.04</v>
      </c>
      <c r="E6" s="150">
        <v>531.74</v>
      </c>
      <c r="F6" s="150">
        <v>144.26</v>
      </c>
      <c r="G6" s="147">
        <f>'604a'!L6/'604'!B6</f>
        <v>12.098786198634247</v>
      </c>
      <c r="H6" s="147">
        <f>'604a'!M6/'604'!C6</f>
        <v>4.9043264612489494</v>
      </c>
      <c r="I6" s="147">
        <f>'604a'!N6/'604'!D6</f>
        <v>2.3796585004351312</v>
      </c>
      <c r="J6" s="147">
        <f>'604a'!O6/'604'!E6</f>
        <v>4.3959033336601143</v>
      </c>
      <c r="K6" s="147">
        <f>'604a'!P6/'604'!F6</f>
        <v>9.1568538883646493</v>
      </c>
      <c r="M6" s="62"/>
      <c r="N6" s="62"/>
      <c r="O6" s="62"/>
      <c r="P6" s="62"/>
      <c r="Q6" s="62"/>
    </row>
    <row r="7" spans="1:17">
      <c r="A7" s="66">
        <v>1972</v>
      </c>
      <c r="B7" s="150">
        <v>36108.21</v>
      </c>
      <c r="C7" s="56">
        <f t="shared" si="0"/>
        <v>758.08</v>
      </c>
      <c r="D7" s="150">
        <v>115.19</v>
      </c>
      <c r="E7" s="150">
        <v>503.24</v>
      </c>
      <c r="F7" s="150">
        <v>139.65</v>
      </c>
      <c r="G7" s="147">
        <f>'604a'!L7/'604'!B7</f>
        <v>12.677172310673944</v>
      </c>
      <c r="H7" s="147">
        <f>'604a'!M7/'604'!C7</f>
        <v>5.0488638859183927</v>
      </c>
      <c r="I7" s="147">
        <f>'604a'!N7/'604'!D7</f>
        <v>2.3185127737202347</v>
      </c>
      <c r="J7" s="147">
        <f>'604a'!O7/'604'!E7</f>
        <v>4.508617197858058</v>
      </c>
      <c r="K7" s="147">
        <f>'604a'!P7/'604'!F7</f>
        <v>9.600281452898777</v>
      </c>
      <c r="M7" s="62"/>
      <c r="N7" s="62"/>
      <c r="O7" s="62"/>
      <c r="P7" s="62"/>
      <c r="Q7" s="62"/>
    </row>
    <row r="8" spans="1:17">
      <c r="A8" s="66">
        <v>1973</v>
      </c>
      <c r="B8" s="150">
        <v>36797.269999999997</v>
      </c>
      <c r="C8" s="56">
        <f t="shared" si="0"/>
        <v>773.01</v>
      </c>
      <c r="D8" s="150">
        <v>113.09</v>
      </c>
      <c r="E8" s="150">
        <v>514.29999999999995</v>
      </c>
      <c r="F8" s="150">
        <v>145.62</v>
      </c>
      <c r="G8" s="147">
        <f>'604a'!L8/'604'!B8</f>
        <v>13.323617895370095</v>
      </c>
      <c r="H8" s="147">
        <f>'604a'!M8/'604'!C8</f>
        <v>5.8312034577611902</v>
      </c>
      <c r="I8" s="147">
        <f>'604a'!N8/'604'!D8</f>
        <v>2.5307735368544391</v>
      </c>
      <c r="J8" s="147">
        <f>'604a'!O8/'604'!E8</f>
        <v>5.1277126913914781</v>
      </c>
      <c r="K8" s="147">
        <f>'604a'!P8/'604'!F8</f>
        <v>11.510397170780129</v>
      </c>
      <c r="M8" s="62"/>
      <c r="N8" s="62"/>
      <c r="O8" s="62"/>
      <c r="P8" s="62"/>
      <c r="Q8" s="62"/>
    </row>
    <row r="9" spans="1:17">
      <c r="A9" s="66">
        <v>1974</v>
      </c>
      <c r="B9" s="150">
        <v>37469.629999999997</v>
      </c>
      <c r="C9" s="56">
        <f t="shared" si="0"/>
        <v>784.29000000000008</v>
      </c>
      <c r="D9" s="150">
        <v>110.5</v>
      </c>
      <c r="E9" s="150">
        <v>517.46</v>
      </c>
      <c r="F9" s="150">
        <v>156.33000000000001</v>
      </c>
      <c r="G9" s="147">
        <f>'604a'!L9/'604'!B9</f>
        <v>13.834973803610254</v>
      </c>
      <c r="H9" s="147">
        <f>'604a'!M9/'604'!C9</f>
        <v>5.7235483366558508</v>
      </c>
      <c r="I9" s="147">
        <f>'604a'!N9/'604'!D9</f>
        <v>2.6460971585330046</v>
      </c>
      <c r="J9" s="147">
        <f>'604a'!O9/'604'!E9</f>
        <v>5.1790471092625889</v>
      </c>
      <c r="K9" s="147">
        <f>'604a'!P9/'604'!F9</f>
        <v>10.145037829430521</v>
      </c>
      <c r="M9" s="62"/>
      <c r="N9" s="62"/>
      <c r="O9" s="62"/>
      <c r="P9" s="62"/>
      <c r="Q9" s="62"/>
    </row>
    <row r="10" spans="1:17">
      <c r="A10" s="66">
        <v>1975</v>
      </c>
      <c r="B10" s="150">
        <v>37444.83</v>
      </c>
      <c r="C10" s="56">
        <f t="shared" si="0"/>
        <v>775.62000000000012</v>
      </c>
      <c r="D10" s="150">
        <v>106.1</v>
      </c>
      <c r="E10" s="150">
        <v>513.44000000000005</v>
      </c>
      <c r="F10" s="150">
        <v>156.08000000000001</v>
      </c>
      <c r="G10" s="147">
        <f>'604a'!L10/'604'!B10</f>
        <v>13.52095175447166</v>
      </c>
      <c r="H10" s="147">
        <f>'604a'!M10/'604'!C10</f>
        <v>5.7208420796902102</v>
      </c>
      <c r="I10" s="147">
        <f>'604a'!N10/'604'!D10</f>
        <v>2.8451684537805986</v>
      </c>
      <c r="J10" s="147">
        <f>'604a'!O10/'604'!E10</f>
        <v>5.7992979862077068</v>
      </c>
      <c r="K10" s="147">
        <f>'604a'!P10/'604'!F10</f>
        <v>8.6271734913888363</v>
      </c>
      <c r="M10" s="62"/>
      <c r="N10" s="62"/>
      <c r="O10" s="62"/>
      <c r="P10" s="62"/>
      <c r="Q10" s="62"/>
    </row>
    <row r="11" spans="1:17">
      <c r="A11" s="66">
        <v>1976</v>
      </c>
      <c r="B11" s="150">
        <v>37988.86</v>
      </c>
      <c r="C11" s="56">
        <f t="shared" si="0"/>
        <v>768.91</v>
      </c>
      <c r="D11" s="150">
        <v>105.76</v>
      </c>
      <c r="E11" s="150">
        <v>504.87</v>
      </c>
      <c r="F11" s="150">
        <v>158.28</v>
      </c>
      <c r="G11" s="147">
        <f>'604a'!L11/'604'!B11</f>
        <v>14.263039667428076</v>
      </c>
      <c r="H11" s="147">
        <f>'604a'!M11/'604'!C11</f>
        <v>6.916092353886901</v>
      </c>
      <c r="I11" s="147">
        <f>'604a'!N11/'604'!D11</f>
        <v>2.6862905731931748</v>
      </c>
      <c r="J11" s="147">
        <f>'604a'!O11/'604'!E11</f>
        <v>6.3533186760948359</v>
      </c>
      <c r="K11" s="147">
        <f>'604a'!P11/'604'!F11</f>
        <v>12.107544194227307</v>
      </c>
      <c r="M11" s="62"/>
      <c r="N11" s="62"/>
      <c r="O11" s="62"/>
      <c r="P11" s="62"/>
      <c r="Q11" s="62"/>
    </row>
    <row r="12" spans="1:17">
      <c r="A12" s="66">
        <v>1977</v>
      </c>
      <c r="B12" s="150">
        <v>38290.71</v>
      </c>
      <c r="C12" s="56">
        <f t="shared" si="0"/>
        <v>772.85</v>
      </c>
      <c r="D12" s="150">
        <v>101.67</v>
      </c>
      <c r="E12" s="150">
        <v>509.44</v>
      </c>
      <c r="F12" s="150">
        <v>161.74</v>
      </c>
      <c r="G12" s="147">
        <f>'604a'!L12/'604'!B12</f>
        <v>14.53012688635336</v>
      </c>
      <c r="H12" s="147">
        <f>'604a'!M12/'604'!C12</f>
        <v>6.9539863648389808</v>
      </c>
      <c r="I12" s="147">
        <f>'604a'!N12/'604'!D12</f>
        <v>2.813248150393628</v>
      </c>
      <c r="J12" s="147">
        <f>'604a'!O12/'604'!E12</f>
        <v>6.1374367236838321</v>
      </c>
      <c r="K12" s="147">
        <f>'604a'!P12/'604'!F12</f>
        <v>12.60540258567856</v>
      </c>
      <c r="M12" s="62"/>
      <c r="N12" s="62"/>
      <c r="O12" s="62"/>
      <c r="P12" s="62"/>
      <c r="Q12" s="62"/>
    </row>
    <row r="13" spans="1:17">
      <c r="A13" s="66">
        <v>1978</v>
      </c>
      <c r="B13" s="150">
        <v>38518.99</v>
      </c>
      <c r="C13" s="56">
        <f t="shared" si="0"/>
        <v>777.42000000000007</v>
      </c>
      <c r="D13" s="150">
        <v>101.76</v>
      </c>
      <c r="E13" s="150">
        <v>513.85</v>
      </c>
      <c r="F13" s="150">
        <v>161.81</v>
      </c>
      <c r="G13" s="147">
        <f>'604a'!L13/'604'!B13</f>
        <v>14.906333812930272</v>
      </c>
      <c r="H13" s="147">
        <f>'604a'!M13/'604'!C13</f>
        <v>7.5520006868531135</v>
      </c>
      <c r="I13" s="147">
        <f>'604a'!N13/'604'!D13</f>
        <v>2.8433950557667602</v>
      </c>
      <c r="J13" s="147">
        <f>'604a'!O13/'604'!E13</f>
        <v>6.7104096175970609</v>
      </c>
      <c r="K13" s="147">
        <f>'604a'!P13/'604'!F13</f>
        <v>13.801959749296328</v>
      </c>
      <c r="M13" s="62"/>
      <c r="N13" s="62"/>
      <c r="O13" s="62"/>
      <c r="P13" s="62"/>
      <c r="Q13" s="62"/>
    </row>
    <row r="14" spans="1:17">
      <c r="A14" s="66">
        <v>1979</v>
      </c>
      <c r="B14" s="56">
        <v>39051.440000000002</v>
      </c>
      <c r="C14" s="56">
        <f>SUM(D14:F14)</f>
        <v>783.23</v>
      </c>
      <c r="D14" s="56">
        <v>99.91</v>
      </c>
      <c r="E14" s="56">
        <v>519.1</v>
      </c>
      <c r="F14" s="56">
        <v>164.22</v>
      </c>
      <c r="G14" s="147">
        <f>'604a'!L14/'604'!B14</f>
        <v>15.596003890117764</v>
      </c>
      <c r="H14" s="147">
        <f>'604a'!M14/'604'!C14</f>
        <v>8.4317155954117773</v>
      </c>
      <c r="I14" s="147">
        <f>'604a'!N14/'604'!D14</f>
        <v>3.0737300353858261</v>
      </c>
      <c r="J14" s="147">
        <f>'604a'!O14/'604'!E14</f>
        <v>7.459015492778561</v>
      </c>
      <c r="K14" s="147">
        <f>'604a'!P14/'604'!F14</f>
        <v>15.328603694812616</v>
      </c>
      <c r="L14" s="152"/>
      <c r="M14" s="64">
        <v>36926869.843574509</v>
      </c>
      <c r="N14" s="64">
        <f>SUM(O14:Q14)</f>
        <v>816010.89789274742</v>
      </c>
      <c r="O14" s="64">
        <v>168393.73953577457</v>
      </c>
      <c r="P14" s="64">
        <v>473151.52564300492</v>
      </c>
      <c r="Q14" s="64">
        <v>174465.63271396793</v>
      </c>
    </row>
    <row r="15" spans="1:17">
      <c r="A15" s="66">
        <v>1980</v>
      </c>
      <c r="B15" s="56">
        <v>39768.99</v>
      </c>
      <c r="C15" s="56">
        <f t="shared" ref="C15:C42" si="1">SUM(D15:F15)</f>
        <v>778.51999999999987</v>
      </c>
      <c r="D15" s="56">
        <v>95.81</v>
      </c>
      <c r="E15" s="56">
        <v>517.30999999999995</v>
      </c>
      <c r="F15" s="56">
        <v>165.4</v>
      </c>
      <c r="G15" s="147">
        <f>'604a'!L15/'604'!B15</f>
        <v>15.863338713849307</v>
      </c>
      <c r="H15" s="147">
        <f>'604a'!M15/'604'!C15</f>
        <v>8.9354045473916575</v>
      </c>
      <c r="I15" s="147">
        <f>'604a'!N15/'604'!D15</f>
        <v>3.3366578142697541</v>
      </c>
      <c r="J15" s="147">
        <f>'604a'!O15/'604'!E15</f>
        <v>7.8544828924028716</v>
      </c>
      <c r="K15" s="147">
        <f>'604a'!P15/'604'!F15</f>
        <v>15.992189101333961</v>
      </c>
      <c r="L15" s="152"/>
      <c r="M15" s="64">
        <v>38055265.483651094</v>
      </c>
      <c r="N15" s="64">
        <f t="shared" ref="N15:N38" si="2">SUM(O15:Q15)</f>
        <v>834172.71241406712</v>
      </c>
      <c r="O15" s="64">
        <v>165615.39063663149</v>
      </c>
      <c r="P15" s="64">
        <v>489984.55698159564</v>
      </c>
      <c r="Q15" s="64">
        <v>178572.76479584002</v>
      </c>
    </row>
    <row r="16" spans="1:17">
      <c r="A16" s="66">
        <v>1981</v>
      </c>
      <c r="B16" s="56">
        <v>39879.11</v>
      </c>
      <c r="C16" s="56">
        <f t="shared" si="1"/>
        <v>763.3</v>
      </c>
      <c r="D16" s="56">
        <v>90.44</v>
      </c>
      <c r="E16" s="56">
        <v>511.07</v>
      </c>
      <c r="F16" s="56">
        <v>161.79</v>
      </c>
      <c r="G16" s="147">
        <f>'604a'!L16/'604'!B16</f>
        <v>15.944149702980102</v>
      </c>
      <c r="H16" s="147">
        <f>'604a'!M16/'604'!C16</f>
        <v>8.9156308787298606</v>
      </c>
      <c r="I16" s="147">
        <f>'604a'!N16/'604'!D16</f>
        <v>3.6048873188863455</v>
      </c>
      <c r="J16" s="147">
        <f>'604a'!O16/'604'!E16</f>
        <v>7.6604163041725721</v>
      </c>
      <c r="K16" s="147">
        <f>'604a'!P16/'604'!F16</f>
        <v>16.302868073682095</v>
      </c>
      <c r="L16" s="152"/>
      <c r="M16" s="64">
        <v>37878468.507724442</v>
      </c>
      <c r="N16" s="64">
        <f t="shared" si="2"/>
        <v>803516.3228076857</v>
      </c>
      <c r="O16" s="64">
        <v>154111.79114147351</v>
      </c>
      <c r="P16" s="64">
        <v>478039.15758966008</v>
      </c>
      <c r="Q16" s="64">
        <v>171365.37407655217</v>
      </c>
    </row>
    <row r="17" spans="1:17">
      <c r="A17" s="66">
        <v>1982</v>
      </c>
      <c r="B17" s="56">
        <v>40207.33</v>
      </c>
      <c r="C17" s="56">
        <f t="shared" si="1"/>
        <v>741.78</v>
      </c>
      <c r="D17" s="56">
        <v>85.24</v>
      </c>
      <c r="E17" s="56">
        <v>497.99</v>
      </c>
      <c r="F17" s="56">
        <v>158.55000000000001</v>
      </c>
      <c r="G17" s="147">
        <f>'604a'!L17/'604'!B17</f>
        <v>15.890630268711373</v>
      </c>
      <c r="H17" s="147">
        <f>'604a'!M17/'604'!C17</f>
        <v>9.0703596020029167</v>
      </c>
      <c r="I17" s="147">
        <f>'604a'!N17/'604'!D17</f>
        <v>3.7083552920947223</v>
      </c>
      <c r="J17" s="147">
        <f>'604a'!O17/'604'!E17</f>
        <v>7.864411180139756</v>
      </c>
      <c r="K17" s="147">
        <f>'604a'!P17/'604'!F17</f>
        <v>16.078332293940022</v>
      </c>
      <c r="L17" s="152"/>
      <c r="M17" s="64">
        <v>37809881.370003492</v>
      </c>
      <c r="N17" s="64">
        <f t="shared" si="2"/>
        <v>784780.32028089557</v>
      </c>
      <c r="O17" s="64">
        <v>142893.00953993402</v>
      </c>
      <c r="P17" s="64">
        <v>462184.09617708158</v>
      </c>
      <c r="Q17" s="64">
        <v>179703.21456388</v>
      </c>
    </row>
    <row r="18" spans="1:17">
      <c r="A18" s="66">
        <v>1983</v>
      </c>
      <c r="B18" s="56">
        <v>40313.440000000002</v>
      </c>
      <c r="C18" s="56">
        <f t="shared" si="1"/>
        <v>691.76</v>
      </c>
      <c r="D18" s="56">
        <v>85.44</v>
      </c>
      <c r="E18" s="56">
        <v>458.41</v>
      </c>
      <c r="F18" s="56">
        <v>147.91</v>
      </c>
      <c r="G18" s="147">
        <f>'604a'!L18/'604'!B18</f>
        <v>16.042200127604161</v>
      </c>
      <c r="H18" s="147">
        <f>'604a'!M18/'604'!C18</f>
        <v>9.91449718306154</v>
      </c>
      <c r="I18" s="147">
        <f>'604a'!N18/'604'!D18</f>
        <v>4.0251643175335801</v>
      </c>
      <c r="J18" s="147">
        <f>'604a'!O18/'604'!E18</f>
        <v>8.6440587086358924</v>
      </c>
      <c r="K18" s="147">
        <f>'604a'!P18/'604'!F18</f>
        <v>17.603394790199026</v>
      </c>
      <c r="L18" s="152"/>
      <c r="M18" s="64">
        <v>37679584.859335683</v>
      </c>
      <c r="N18" s="64">
        <f t="shared" si="2"/>
        <v>717010.87592558889</v>
      </c>
      <c r="O18" s="64">
        <v>140589.53909251047</v>
      </c>
      <c r="P18" s="64">
        <v>428399.39282654913</v>
      </c>
      <c r="Q18" s="64">
        <v>148021.94400652932</v>
      </c>
    </row>
    <row r="19" spans="1:17">
      <c r="A19" s="66">
        <v>1984</v>
      </c>
      <c r="B19" s="56">
        <v>40415.68</v>
      </c>
      <c r="C19" s="56">
        <f t="shared" si="1"/>
        <v>660.88</v>
      </c>
      <c r="D19" s="56">
        <v>78.36</v>
      </c>
      <c r="E19" s="56">
        <v>439.13</v>
      </c>
      <c r="F19" s="56">
        <v>143.38999999999999</v>
      </c>
      <c r="G19" s="147">
        <f>'604a'!L19/'604'!B19</f>
        <v>16.52460242265208</v>
      </c>
      <c r="H19" s="147">
        <f>'604a'!M19/'604'!C19</f>
        <v>10.912279495781247</v>
      </c>
      <c r="I19" s="147">
        <f>'604a'!N19/'604'!D19</f>
        <v>4.297193932362168</v>
      </c>
      <c r="J19" s="147">
        <f>'604a'!O19/'604'!E19</f>
        <v>9.3656127572541124</v>
      </c>
      <c r="K19" s="147">
        <f>'604a'!P19/'604'!F19</f>
        <v>19.565852583892148</v>
      </c>
      <c r="L19" s="152"/>
      <c r="M19" s="64">
        <v>36582128.619200364</v>
      </c>
      <c r="N19" s="64">
        <f t="shared" si="2"/>
        <v>674150.27348047937</v>
      </c>
      <c r="O19" s="64">
        <v>127829.73787318976</v>
      </c>
      <c r="P19" s="64">
        <v>399823.42523819453</v>
      </c>
      <c r="Q19" s="64">
        <v>146497.11036909505</v>
      </c>
    </row>
    <row r="20" spans="1:17">
      <c r="A20" s="66">
        <v>1985</v>
      </c>
      <c r="B20" s="56">
        <v>40675.26</v>
      </c>
      <c r="C20" s="56">
        <f t="shared" si="1"/>
        <v>663.04</v>
      </c>
      <c r="D20" s="56">
        <v>73.86</v>
      </c>
      <c r="E20" s="56">
        <v>443.42</v>
      </c>
      <c r="F20" s="56">
        <v>145.76</v>
      </c>
      <c r="G20" s="147">
        <f>'604a'!L20/'604'!B20</f>
        <v>16.888057840734167</v>
      </c>
      <c r="H20" s="147">
        <f>'604a'!M20/'604'!C20</f>
        <v>11.877105726960233</v>
      </c>
      <c r="I20" s="147">
        <f>'604a'!N20/'604'!D20</f>
        <v>4.5867421277354135</v>
      </c>
      <c r="J20" s="147">
        <f>'604a'!O20/'604'!E20</f>
        <v>9.7410259882770927</v>
      </c>
      <c r="K20" s="147">
        <f>'604a'!P20/'604'!F20</f>
        <v>22.261046532379716</v>
      </c>
      <c r="L20" s="152"/>
      <c r="M20" s="64">
        <v>37255784.332157172</v>
      </c>
      <c r="N20" s="64">
        <f t="shared" si="2"/>
        <v>685714.74192351161</v>
      </c>
      <c r="O20" s="64">
        <v>120914.86406706311</v>
      </c>
      <c r="P20" s="64">
        <v>408333.81124642305</v>
      </c>
      <c r="Q20" s="64">
        <v>156466.06661002545</v>
      </c>
    </row>
    <row r="21" spans="1:17">
      <c r="A21" s="66">
        <v>1986</v>
      </c>
      <c r="B21" s="56">
        <v>41052.730000000003</v>
      </c>
      <c r="C21" s="56">
        <f t="shared" si="1"/>
        <v>665.92000000000007</v>
      </c>
      <c r="D21" s="56">
        <v>71.5</v>
      </c>
      <c r="E21" s="56">
        <v>445.21</v>
      </c>
      <c r="F21" s="56">
        <v>149.21</v>
      </c>
      <c r="G21" s="147">
        <f>'604a'!L21/'604'!B21</f>
        <v>17.183219417902109</v>
      </c>
      <c r="H21" s="147">
        <f>'604a'!M21/'604'!C21</f>
        <v>12.084265728530417</v>
      </c>
      <c r="I21" s="147">
        <f>'604a'!N21/'604'!D21</f>
        <v>4.8918051095909538</v>
      </c>
      <c r="J21" s="147">
        <f>'604a'!O21/'604'!E21</f>
        <v>9.7623272484573906</v>
      </c>
      <c r="K21" s="147">
        <f>'604a'!P21/'604'!F21</f>
        <v>22.567065816802245</v>
      </c>
      <c r="L21" s="152"/>
      <c r="M21" s="64">
        <v>37463774.305083282</v>
      </c>
      <c r="N21" s="64">
        <f t="shared" si="2"/>
        <v>673133.67665474664</v>
      </c>
      <c r="O21" s="64">
        <v>116382.76335147346</v>
      </c>
      <c r="P21" s="64">
        <v>403321.38997942</v>
      </c>
      <c r="Q21" s="64">
        <v>153429.52332385312</v>
      </c>
    </row>
    <row r="22" spans="1:17">
      <c r="A22" s="66">
        <v>1987</v>
      </c>
      <c r="B22" s="56">
        <v>41532.26</v>
      </c>
      <c r="C22" s="56">
        <f t="shared" si="1"/>
        <v>655.4</v>
      </c>
      <c r="D22" s="56">
        <v>68.849999999999994</v>
      </c>
      <c r="E22" s="56">
        <v>431.02</v>
      </c>
      <c r="F22" s="56">
        <v>155.53</v>
      </c>
      <c r="G22" s="147">
        <f>'604a'!L22/'604'!B22</f>
        <v>17.531884196219341</v>
      </c>
      <c r="H22" s="147">
        <f>'604a'!M22/'604'!C22</f>
        <v>12.058350977599533</v>
      </c>
      <c r="I22" s="147">
        <f>'604a'!N22/'604'!D22</f>
        <v>5.3167736471723934</v>
      </c>
      <c r="J22" s="147">
        <f>'604a'!O22/'604'!E22</f>
        <v>9.7039998075690921</v>
      </c>
      <c r="K22" s="147">
        <f>'604a'!P22/'604'!F22</f>
        <v>21.645499390830476</v>
      </c>
      <c r="L22" s="152"/>
      <c r="M22" s="64">
        <v>37424437.452279799</v>
      </c>
      <c r="N22" s="64">
        <f t="shared" si="2"/>
        <v>650004.96173716907</v>
      </c>
      <c r="O22" s="64">
        <v>110949.16614958529</v>
      </c>
      <c r="P22" s="64">
        <v>387023.17718791956</v>
      </c>
      <c r="Q22" s="64">
        <v>152032.61839966424</v>
      </c>
    </row>
    <row r="23" spans="1:17">
      <c r="A23" s="66">
        <v>1988</v>
      </c>
      <c r="B23" s="56">
        <v>42003.14</v>
      </c>
      <c r="C23" s="56">
        <f t="shared" si="1"/>
        <v>654.48</v>
      </c>
      <c r="D23" s="56">
        <v>64.91</v>
      </c>
      <c r="E23" s="56">
        <v>430.26</v>
      </c>
      <c r="F23" s="56">
        <v>159.31</v>
      </c>
      <c r="G23" s="147">
        <f>'604a'!L23/'604'!B23</f>
        <v>18.061048303129215</v>
      </c>
      <c r="H23" s="147">
        <f>'604a'!M23/'604'!C23</f>
        <v>12.66128069281566</v>
      </c>
      <c r="I23" s="147">
        <f>'604a'!N23/'604'!D23</f>
        <v>5.5503005645232104</v>
      </c>
      <c r="J23" s="147">
        <f>'604a'!O23/'604'!E23</f>
        <v>10.466909387490587</v>
      </c>
      <c r="K23" s="147">
        <f>'604a'!P23/'604'!F23</f>
        <v>21.524381548834608</v>
      </c>
      <c r="L23" s="152"/>
      <c r="M23" s="64">
        <v>38207922.890014507</v>
      </c>
      <c r="N23" s="64">
        <f t="shared" si="2"/>
        <v>649909.31539581949</v>
      </c>
      <c r="O23" s="64">
        <v>104621.19826586891</v>
      </c>
      <c r="P23" s="64">
        <v>388889.34404421237</v>
      </c>
      <c r="Q23" s="64">
        <v>156398.77308573812</v>
      </c>
    </row>
    <row r="24" spans="1:17">
      <c r="A24" s="66">
        <v>1989</v>
      </c>
      <c r="B24" s="56">
        <v>41906.83</v>
      </c>
      <c r="C24" s="56">
        <f t="shared" si="1"/>
        <v>640.41000000000008</v>
      </c>
      <c r="D24" s="56">
        <v>60.1</v>
      </c>
      <c r="E24" s="56">
        <v>418.66</v>
      </c>
      <c r="F24" s="56">
        <v>161.65</v>
      </c>
      <c r="G24" s="147">
        <f>'604a'!L24/'604'!B24</f>
        <v>18.72796950411529</v>
      </c>
      <c r="H24" s="147">
        <f>'604a'!M24/'604'!C24</f>
        <v>13.34731694402962</v>
      </c>
      <c r="I24" s="147">
        <f>'604a'!N24/'604'!D24</f>
        <v>6.1096000334573786</v>
      </c>
      <c r="J24" s="147">
        <f>'604a'!O24/'604'!E24</f>
        <v>11.146919382441697</v>
      </c>
      <c r="K24" s="147">
        <f>'604a'!P24/'604'!F24</f>
        <v>21.763815157833331</v>
      </c>
      <c r="L24" s="152"/>
      <c r="M24" s="64">
        <v>38399631.360383518</v>
      </c>
      <c r="N24" s="64">
        <f t="shared" si="2"/>
        <v>640041.5769017376</v>
      </c>
      <c r="O24" s="64">
        <v>98304.802962681526</v>
      </c>
      <c r="P24" s="64">
        <v>379100.02088704839</v>
      </c>
      <c r="Q24" s="64">
        <v>162636.75305200767</v>
      </c>
    </row>
    <row r="25" spans="1:17">
      <c r="A25" s="66">
        <v>1990</v>
      </c>
      <c r="B25" s="56">
        <v>42303.25</v>
      </c>
      <c r="C25" s="56">
        <f t="shared" si="1"/>
        <v>636.81999999999994</v>
      </c>
      <c r="D25" s="56">
        <v>57.72</v>
      </c>
      <c r="E25" s="56">
        <v>414.28</v>
      </c>
      <c r="F25" s="56">
        <v>164.82</v>
      </c>
      <c r="G25" s="147">
        <f>'604a'!L25/'604'!B25</f>
        <v>18.91860213709008</v>
      </c>
      <c r="H25" s="147">
        <f>'604a'!M25/'604'!C25</f>
        <v>13.86279716771822</v>
      </c>
      <c r="I25" s="147">
        <f>'604a'!N25/'604'!D25</f>
        <v>6.26628253087397</v>
      </c>
      <c r="J25" s="147">
        <f>'604a'!O25/'604'!E25</f>
        <v>11.672772689310138</v>
      </c>
      <c r="K25" s="147">
        <f>'604a'!P25/'604'!F25</f>
        <v>22.046317742389252</v>
      </c>
      <c r="L25" s="152"/>
      <c r="M25" s="64">
        <v>39058814.944436938</v>
      </c>
      <c r="N25" s="64">
        <f t="shared" si="2"/>
        <v>636218.99744063104</v>
      </c>
      <c r="O25" s="64">
        <v>94161.360067059461</v>
      </c>
      <c r="P25" s="64">
        <v>374651.5074708148</v>
      </c>
      <c r="Q25" s="64">
        <v>167406.12990275671</v>
      </c>
    </row>
    <row r="26" spans="1:17">
      <c r="A26" s="66">
        <v>1991</v>
      </c>
      <c r="B26" s="56">
        <v>42835</v>
      </c>
      <c r="C26" s="56">
        <f t="shared" si="1"/>
        <v>637.66</v>
      </c>
      <c r="D26" s="56">
        <v>56.88</v>
      </c>
      <c r="E26" s="56">
        <v>410.84</v>
      </c>
      <c r="F26" s="56">
        <v>169.94</v>
      </c>
      <c r="G26" s="147">
        <f>'604a'!L26/'604'!B26</f>
        <v>18.95472309406049</v>
      </c>
      <c r="H26" s="147">
        <f>'604a'!M26/'604'!C26</f>
        <v>13.969889391650005</v>
      </c>
      <c r="I26" s="147">
        <f>'604a'!N26/'604'!D26</f>
        <v>6.9526186970475168</v>
      </c>
      <c r="J26" s="147">
        <f>'604a'!O26/'604'!E26</f>
        <v>11.996135361716707</v>
      </c>
      <c r="K26" s="147">
        <f>'604a'!P26/'604'!F26</f>
        <v>21.095940069341598</v>
      </c>
      <c r="L26" s="152"/>
      <c r="M26" s="64">
        <v>39647680.338840291</v>
      </c>
      <c r="N26" s="64">
        <f t="shared" si="2"/>
        <v>632427.58286387543</v>
      </c>
      <c r="O26" s="64">
        <v>97323.061389152557</v>
      </c>
      <c r="P26" s="64">
        <v>366679.82497507019</v>
      </c>
      <c r="Q26" s="64">
        <v>168424.69649965275</v>
      </c>
    </row>
    <row r="27" spans="1:17">
      <c r="A27" s="66">
        <v>1992</v>
      </c>
      <c r="B27" s="56">
        <v>42643.27</v>
      </c>
      <c r="C27" s="56">
        <f t="shared" si="1"/>
        <v>609.0200000000001</v>
      </c>
      <c r="D27" s="56">
        <v>55.09</v>
      </c>
      <c r="E27" s="56">
        <v>391.47</v>
      </c>
      <c r="F27" s="56">
        <v>162.46</v>
      </c>
      <c r="G27" s="147">
        <f>'604a'!L27/'604'!B27</f>
        <v>19.169184046398758</v>
      </c>
      <c r="H27" s="147">
        <f>'604a'!M27/'604'!C27</f>
        <v>15.589862756184406</v>
      </c>
      <c r="I27" s="147">
        <f>'604a'!N27/'604'!D27</f>
        <v>7.3957247832498174</v>
      </c>
      <c r="J27" s="147">
        <f>'604a'!O27/'604'!E27</f>
        <v>12.658360115079626</v>
      </c>
      <c r="K27" s="147">
        <f>'604a'!P27/'604'!F27</f>
        <v>25.620111083391254</v>
      </c>
      <c r="L27" s="152"/>
      <c r="M27" s="64">
        <v>38545226.301562287</v>
      </c>
      <c r="N27" s="64">
        <f t="shared" si="2"/>
        <v>604859.36216436536</v>
      </c>
      <c r="O27" s="64">
        <v>95171.070981574347</v>
      </c>
      <c r="P27" s="64">
        <v>346947.02432616608</v>
      </c>
      <c r="Q27" s="64">
        <v>162741.26685662492</v>
      </c>
    </row>
    <row r="28" spans="1:17">
      <c r="A28" s="66">
        <v>1993</v>
      </c>
      <c r="B28" s="56">
        <v>41489.870000000003</v>
      </c>
      <c r="C28" s="56">
        <f t="shared" si="1"/>
        <v>594.3900000000001</v>
      </c>
      <c r="D28" s="56">
        <v>53.49</v>
      </c>
      <c r="E28" s="56">
        <v>383.54</v>
      </c>
      <c r="F28" s="56">
        <v>157.36000000000001</v>
      </c>
      <c r="G28" s="147">
        <f>'604a'!L28/'604'!B28</f>
        <v>19.583290932307904</v>
      </c>
      <c r="H28" s="147">
        <f>'604a'!M28/'604'!C28</f>
        <v>15.95323633106878</v>
      </c>
      <c r="I28" s="147">
        <f>'604a'!N28/'604'!D28</f>
        <v>7.7704947187948941</v>
      </c>
      <c r="J28" s="147">
        <f>'604a'!O28/'604'!E28</f>
        <v>12.464165983779255</v>
      </c>
      <c r="K28" s="147">
        <f>'604a'!P28/'604'!F28</f>
        <v>27.539867786500874</v>
      </c>
      <c r="L28" s="152"/>
      <c r="M28" s="64">
        <v>37702226.510079876</v>
      </c>
      <c r="N28" s="64">
        <f t="shared" si="2"/>
        <v>614534.41390030878</v>
      </c>
      <c r="O28" s="64">
        <v>110859.54026479466</v>
      </c>
      <c r="P28" s="64">
        <v>341888.90058683616</v>
      </c>
      <c r="Q28" s="64">
        <v>161785.97304867796</v>
      </c>
    </row>
    <row r="29" spans="1:17">
      <c r="A29" s="66">
        <v>1994</v>
      </c>
      <c r="B29" s="56">
        <v>40664.43</v>
      </c>
      <c r="C29" s="56">
        <f t="shared" si="1"/>
        <v>585.51</v>
      </c>
      <c r="D29" s="56">
        <v>52.34</v>
      </c>
      <c r="E29" s="56">
        <v>375.38</v>
      </c>
      <c r="F29" s="56">
        <v>157.79</v>
      </c>
      <c r="G29" s="147">
        <f>'604a'!L29/'604'!B29</f>
        <v>20.43071588258087</v>
      </c>
      <c r="H29" s="147">
        <f>'604a'!M29/'604'!C29</f>
        <v>17.42309067511286</v>
      </c>
      <c r="I29" s="147">
        <f>'604a'!N29/'604'!D29</f>
        <v>8.4772381496961309</v>
      </c>
      <c r="J29" s="147">
        <f>'604a'!O29/'604'!E29</f>
        <v>13.255841469410887</v>
      </c>
      <c r="K29" s="147">
        <f>'604a'!P29/'604'!F29</f>
        <v>30.680834866042954</v>
      </c>
      <c r="L29" s="152"/>
      <c r="M29" s="64">
        <v>37088477.545394301</v>
      </c>
      <c r="N29" s="64">
        <f t="shared" si="2"/>
        <v>594690.64556508511</v>
      </c>
      <c r="O29" s="64">
        <v>93633.093359969105</v>
      </c>
      <c r="P29" s="64">
        <v>337844.5978240195</v>
      </c>
      <c r="Q29" s="64">
        <v>163212.95438109653</v>
      </c>
    </row>
    <row r="30" spans="1:17">
      <c r="A30" s="66">
        <v>1995</v>
      </c>
      <c r="B30" s="56">
        <v>40642.410000000003</v>
      </c>
      <c r="C30" s="56">
        <f t="shared" si="1"/>
        <v>578.48</v>
      </c>
      <c r="D30" s="56">
        <v>43.44</v>
      </c>
      <c r="E30" s="56">
        <v>379.28</v>
      </c>
      <c r="F30" s="56">
        <v>155.76</v>
      </c>
      <c r="G30" s="147">
        <f>'604a'!L30/'604'!B30</f>
        <v>21.00224100883781</v>
      </c>
      <c r="H30" s="147">
        <f>'604a'!M30/'604'!C30</f>
        <v>17.845647213386805</v>
      </c>
      <c r="I30" s="147">
        <f>'604a'!N30/'604'!D30</f>
        <v>8.9650092081031314</v>
      </c>
      <c r="J30" s="147">
        <f>'604a'!O30/'604'!E30</f>
        <v>13.352272727272728</v>
      </c>
      <c r="K30" s="147">
        <f>'604a'!P30/'604'!F30</f>
        <v>31.263867488443761</v>
      </c>
      <c r="L30" s="152"/>
      <c r="M30" s="64">
        <v>37042061.508259639</v>
      </c>
      <c r="N30" s="64">
        <f t="shared" si="2"/>
        <v>599514.4181951615</v>
      </c>
      <c r="O30" s="64">
        <v>86850.13591455089</v>
      </c>
      <c r="P30" s="64">
        <v>347626.91396597552</v>
      </c>
      <c r="Q30" s="64">
        <v>165037.36831463515</v>
      </c>
    </row>
    <row r="31" spans="1:17">
      <c r="A31" s="66">
        <v>1996</v>
      </c>
      <c r="B31" s="56">
        <v>41193.910000000003</v>
      </c>
      <c r="C31" s="56">
        <f t="shared" si="1"/>
        <v>559.61</v>
      </c>
      <c r="D31" s="56">
        <v>46.66</v>
      </c>
      <c r="E31" s="56">
        <v>357.07</v>
      </c>
      <c r="F31" s="56">
        <v>155.88</v>
      </c>
      <c r="G31" s="147">
        <f>'604a'!L31/'604'!B31</f>
        <v>20.851549364647774</v>
      </c>
      <c r="H31" s="147">
        <f>'604a'!M31/'604'!C31</f>
        <v>18.257969697509878</v>
      </c>
      <c r="I31" s="147">
        <f>'604a'!N31/'604'!D31</f>
        <v>9.4439545967856979</v>
      </c>
      <c r="J31" s="147">
        <f>'604a'!O31/'604'!E31</f>
        <v>13.953072267587794</v>
      </c>
      <c r="K31" s="147">
        <f>'604a'!P31/'604'!F31</f>
        <v>30.916996329163549</v>
      </c>
      <c r="L31" s="152"/>
      <c r="M31" s="64">
        <v>37360957.904470645</v>
      </c>
      <c r="N31" s="64">
        <f t="shared" si="2"/>
        <v>591052.5033012043</v>
      </c>
      <c r="O31" s="64">
        <v>95500.215575702736</v>
      </c>
      <c r="P31" s="64">
        <v>327307.92943287938</v>
      </c>
      <c r="Q31" s="64">
        <v>168244.35829262223</v>
      </c>
    </row>
    <row r="32" spans="1:17">
      <c r="A32" s="66">
        <v>1997</v>
      </c>
      <c r="B32" s="56">
        <v>41099.050000000003</v>
      </c>
      <c r="C32" s="56">
        <f t="shared" si="1"/>
        <v>541.70999999999992</v>
      </c>
      <c r="D32" s="56">
        <v>46.39</v>
      </c>
      <c r="E32" s="56">
        <v>342.34</v>
      </c>
      <c r="F32" s="56">
        <v>152.97999999999999</v>
      </c>
      <c r="G32" s="147">
        <f>'604a'!L32/'604'!B32</f>
        <v>21.257841551006287</v>
      </c>
      <c r="H32" s="147">
        <f>'604a'!M32/'604'!C32</f>
        <v>19.456906413511653</v>
      </c>
      <c r="I32" s="147">
        <f>'604a'!N32/'604'!D32</f>
        <v>9.7475564099243854</v>
      </c>
      <c r="J32" s="147">
        <f>'604a'!O32/'604'!E32</f>
        <v>14.738120783607132</v>
      </c>
      <c r="K32" s="147">
        <f>'604a'!P32/'604'!F32</f>
        <v>33.408572189135683</v>
      </c>
      <c r="L32" s="152"/>
      <c r="M32" s="64">
        <v>37525454.240061559</v>
      </c>
      <c r="N32" s="64">
        <f t="shared" si="2"/>
        <v>573110.0481638147</v>
      </c>
      <c r="O32" s="64">
        <v>85456.249794059302</v>
      </c>
      <c r="P32" s="64">
        <v>320136.00122069073</v>
      </c>
      <c r="Q32" s="64">
        <v>167517.79714906469</v>
      </c>
    </row>
    <row r="33" spans="1:17">
      <c r="A33" s="66">
        <v>1998</v>
      </c>
      <c r="B33" s="56">
        <v>41868.49</v>
      </c>
      <c r="C33" s="56">
        <f t="shared" si="1"/>
        <v>555.44999999999993</v>
      </c>
      <c r="D33" s="56">
        <v>45.46</v>
      </c>
      <c r="E33" s="56">
        <v>353.51</v>
      </c>
      <c r="F33" s="56">
        <v>156.47999999999999</v>
      </c>
      <c r="G33" s="147">
        <f>'604a'!L33/'604'!B33</f>
        <v>21.146166907166965</v>
      </c>
      <c r="H33" s="147">
        <f>'604a'!M33/'604'!C33</f>
        <v>19.948813768056958</v>
      </c>
      <c r="I33" s="147">
        <f>'604a'!N33/'604'!D33</f>
        <v>10.243632069280403</v>
      </c>
      <c r="J33" s="147">
        <f>'604a'!O33/'604'!E33</f>
        <v>14.999865895859541</v>
      </c>
      <c r="K33" s="147">
        <f>'604a'!P33/'604'!F33</f>
        <v>34.194869547630283</v>
      </c>
      <c r="L33" s="152"/>
      <c r="M33" s="64">
        <v>38201705.995209739</v>
      </c>
      <c r="N33" s="64">
        <f t="shared" si="2"/>
        <v>586139.36005635816</v>
      </c>
      <c r="O33" s="64">
        <v>74275.408027910351</v>
      </c>
      <c r="P33" s="64">
        <v>337099.33664383239</v>
      </c>
      <c r="Q33" s="64">
        <v>174764.61538461538</v>
      </c>
    </row>
    <row r="34" spans="1:17">
      <c r="A34" s="66">
        <v>1999</v>
      </c>
      <c r="B34" s="56">
        <v>42239.51</v>
      </c>
      <c r="C34" s="56">
        <f t="shared" si="1"/>
        <v>562.76</v>
      </c>
      <c r="D34" s="56">
        <v>40.94</v>
      </c>
      <c r="E34" s="56">
        <v>364.37</v>
      </c>
      <c r="F34" s="56">
        <v>157.44999999999999</v>
      </c>
      <c r="G34" s="147">
        <f>'604a'!L34/'604'!B34</f>
        <v>21.326497504052547</v>
      </c>
      <c r="H34" s="147">
        <f>'604a'!M34/'604'!C34</f>
        <v>20.68357029168445</v>
      </c>
      <c r="I34" s="147">
        <f>'604a'!N34/'604'!D34</f>
        <v>11.476600108858321</v>
      </c>
      <c r="J34" s="147">
        <f>'604a'!O34/'604'!E34</f>
        <v>15.47643528030471</v>
      </c>
      <c r="K34" s="147">
        <f>'604a'!P34/'604'!F34</f>
        <v>35.447870346572422</v>
      </c>
      <c r="L34" s="152"/>
      <c r="M34" s="64">
        <v>38544717.306107059</v>
      </c>
      <c r="N34" s="64">
        <f t="shared" si="2"/>
        <v>595735.3301421568</v>
      </c>
      <c r="O34" s="64">
        <v>70659.26008004196</v>
      </c>
      <c r="P34" s="64">
        <v>343798.54672225367</v>
      </c>
      <c r="Q34" s="64">
        <v>181277.52333986122</v>
      </c>
    </row>
    <row r="35" spans="1:17">
      <c r="A35" s="66">
        <v>2000</v>
      </c>
      <c r="B35" s="56">
        <v>42734.71</v>
      </c>
      <c r="C35" s="56">
        <f t="shared" si="1"/>
        <v>549.62</v>
      </c>
      <c r="D35" s="56">
        <v>34.619999999999997</v>
      </c>
      <c r="E35" s="56">
        <v>360.64</v>
      </c>
      <c r="F35" s="56">
        <v>154.36000000000001</v>
      </c>
      <c r="G35" s="147">
        <f>'604a'!L35/'604'!B35</f>
        <v>21.825599359081547</v>
      </c>
      <c r="H35" s="147">
        <f>'604a'!M35/'604'!C35</f>
        <v>21.705772613026898</v>
      </c>
      <c r="I35" s="147">
        <f>'604a'!N35/'604'!D35</f>
        <v>11.654266120452636</v>
      </c>
      <c r="J35" s="147">
        <f>'604a'!O35/'604'!E35</f>
        <v>16.490434645027182</v>
      </c>
      <c r="K35" s="147">
        <f>'604a'!P35/'604'!F35</f>
        <v>36.258096824571531</v>
      </c>
      <c r="L35" s="152"/>
      <c r="M35" s="64">
        <v>39200335.161951333</v>
      </c>
      <c r="N35" s="64">
        <f t="shared" si="2"/>
        <v>587527.42574722122</v>
      </c>
      <c r="O35" s="64">
        <v>61894.552721532636</v>
      </c>
      <c r="P35" s="64">
        <v>343543.43680296541</v>
      </c>
      <c r="Q35" s="64">
        <v>182089.43622272313</v>
      </c>
    </row>
    <row r="36" spans="1:17">
      <c r="A36" s="66">
        <v>2001</v>
      </c>
      <c r="B36" s="56">
        <v>43167.19</v>
      </c>
      <c r="C36" s="56">
        <f t="shared" si="1"/>
        <v>541.20000000000005</v>
      </c>
      <c r="D36" s="56">
        <v>29.82</v>
      </c>
      <c r="E36" s="56">
        <v>360.7</v>
      </c>
      <c r="F36" s="56">
        <v>150.68</v>
      </c>
      <c r="G36" s="147">
        <f>'604a'!L36/'604'!B36</f>
        <v>22.007105390799673</v>
      </c>
      <c r="H36" s="147">
        <f>'604a'!M36/'604'!C36</f>
        <v>22.303973134984233</v>
      </c>
      <c r="I36" s="147">
        <f>'604a'!N36/'604'!D36</f>
        <v>11.139847179970344</v>
      </c>
      <c r="J36" s="147">
        <f>'604a'!O36/'604'!E36</f>
        <v>17.469078381093567</v>
      </c>
      <c r="K36" s="147">
        <f>'604a'!P36/'604'!F36</f>
        <v>36.562021560057069</v>
      </c>
      <c r="L36" s="152"/>
      <c r="M36" s="64">
        <v>39695521.858412527</v>
      </c>
      <c r="N36" s="64">
        <f t="shared" si="2"/>
        <v>581762.69329925242</v>
      </c>
      <c r="O36" s="64">
        <v>62153.705683426153</v>
      </c>
      <c r="P36" s="64">
        <v>345384.48845462687</v>
      </c>
      <c r="Q36" s="64">
        <v>174224.4991611994</v>
      </c>
    </row>
    <row r="37" spans="1:17">
      <c r="A37" s="66">
        <v>2002</v>
      </c>
      <c r="B37" s="56">
        <v>43630.16</v>
      </c>
      <c r="C37" s="56">
        <f t="shared" si="1"/>
        <v>544.77</v>
      </c>
      <c r="D37" s="56">
        <v>29.81</v>
      </c>
      <c r="E37" s="56">
        <v>363.15</v>
      </c>
      <c r="F37" s="56">
        <v>151.81</v>
      </c>
      <c r="G37" s="147">
        <f>'604a'!L37/'604'!B37</f>
        <v>21.889133460632134</v>
      </c>
      <c r="H37" s="147">
        <f>'604a'!M37/'604'!C37</f>
        <v>21.091194491032358</v>
      </c>
      <c r="I37" s="147">
        <f>'604a'!N37/'604'!D37</f>
        <v>11.226845427381678</v>
      </c>
      <c r="J37" s="147">
        <f>'604a'!O37/'604'!E37</f>
        <v>16.269065430568943</v>
      </c>
      <c r="K37" s="147">
        <f>'604a'!P37/'604'!F37</f>
        <v>34.96114846774686</v>
      </c>
      <c r="L37" s="152"/>
      <c r="M37" s="64">
        <v>40315360.563329846</v>
      </c>
      <c r="N37" s="64">
        <f t="shared" si="2"/>
        <v>583135.50708759332</v>
      </c>
      <c r="O37" s="64">
        <v>60983.831247946313</v>
      </c>
      <c r="P37" s="64">
        <v>347493.02009710722</v>
      </c>
      <c r="Q37" s="64">
        <v>174658.65574253982</v>
      </c>
    </row>
    <row r="38" spans="1:17">
      <c r="A38" s="66">
        <v>2003</v>
      </c>
      <c r="B38" s="56">
        <v>44148.76</v>
      </c>
      <c r="C38" s="56">
        <f t="shared" si="1"/>
        <v>536.56000000000006</v>
      </c>
      <c r="D38" s="56">
        <v>33.43</v>
      </c>
      <c r="E38" s="56">
        <v>350.73</v>
      </c>
      <c r="F38" s="56">
        <v>152.4</v>
      </c>
      <c r="G38" s="147">
        <f>'604a'!L38/'604'!B38</f>
        <v>21.570837859792348</v>
      </c>
      <c r="H38" s="147">
        <f>'604a'!M38/'604'!C38</f>
        <v>21.188180380129275</v>
      </c>
      <c r="I38" s="147">
        <f>'604a'!N38/'604'!D38</f>
        <v>11.112030984817659</v>
      </c>
      <c r="J38" s="147">
        <f>'604a'!O38/'604'!E38</f>
        <v>16.474761798368686</v>
      </c>
      <c r="K38" s="147">
        <f>'604a'!P38/'604'!F38</f>
        <v>34.507301454348003</v>
      </c>
      <c r="L38" s="152"/>
      <c r="M38" s="64">
        <v>40593112.491349824</v>
      </c>
      <c r="N38" s="64">
        <f t="shared" si="2"/>
        <v>574955.97454713704</v>
      </c>
      <c r="O38" s="64">
        <v>58865.567325094606</v>
      </c>
      <c r="P38" s="64">
        <v>340416.62551313872</v>
      </c>
      <c r="Q38" s="64">
        <v>175673.78170890379</v>
      </c>
    </row>
    <row r="39" spans="1:17">
      <c r="A39" s="66">
        <v>2004</v>
      </c>
      <c r="B39" s="56">
        <v>44356.02</v>
      </c>
      <c r="C39" s="56">
        <f t="shared" si="1"/>
        <v>531.81999999999994</v>
      </c>
      <c r="D39" s="56">
        <v>32.340000000000003</v>
      </c>
      <c r="E39" s="56">
        <v>347.29</v>
      </c>
      <c r="F39" s="56">
        <v>152.19</v>
      </c>
      <c r="G39" s="147">
        <f>'604a'!L39/'604'!B39</f>
        <v>21.831194567417416</v>
      </c>
      <c r="H39" s="147">
        <f>'604a'!M39/'604'!C39</f>
        <v>21.735531709017557</v>
      </c>
      <c r="I39" s="147">
        <f>'604a'!N39/'604'!D39</f>
        <v>11.746945746916676</v>
      </c>
      <c r="J39" s="147">
        <f>'604a'!O39/'604'!E39</f>
        <v>16.659997057955067</v>
      </c>
      <c r="K39" s="147">
        <f>'604a'!P39/'604'!F39</f>
        <v>35.767153389154835</v>
      </c>
    </row>
    <row r="40" spans="1:17">
      <c r="A40" s="66">
        <v>2005</v>
      </c>
      <c r="B40" s="56">
        <v>44434.67</v>
      </c>
      <c r="C40" s="56">
        <f t="shared" si="1"/>
        <v>501.39</v>
      </c>
      <c r="D40" s="56">
        <v>28.68</v>
      </c>
      <c r="E40" s="56">
        <v>325.07</v>
      </c>
      <c r="F40" s="56">
        <v>147.63999999999999</v>
      </c>
      <c r="G40" s="147">
        <f>'604a'!L40/'604'!B40</f>
        <v>21.95038780155436</v>
      </c>
      <c r="H40" s="147">
        <f>'604a'!M40/'604'!C40</f>
        <v>22.139290385957921</v>
      </c>
      <c r="I40" s="147">
        <f>'604a'!N40/'604'!D40</f>
        <v>13.432240162155844</v>
      </c>
      <c r="J40" s="147">
        <f>'604a'!O40/'604'!E40</f>
        <v>16.81016374013997</v>
      </c>
      <c r="K40" s="147">
        <f>'604a'!P40/'604'!F40</f>
        <v>36.095253790751549</v>
      </c>
    </row>
    <row r="41" spans="1:17">
      <c r="A41" s="66">
        <v>2006</v>
      </c>
      <c r="B41" s="56">
        <v>45208.05</v>
      </c>
      <c r="C41" s="56">
        <f t="shared" si="1"/>
        <v>495.7</v>
      </c>
      <c r="D41" s="56">
        <v>26.63</v>
      </c>
      <c r="E41" s="56">
        <v>321.01</v>
      </c>
      <c r="F41" s="56">
        <v>148.06</v>
      </c>
      <c r="G41" s="147">
        <f>'604a'!L41/'604'!B41</f>
        <v>22.010488066089422</v>
      </c>
      <c r="H41" s="147">
        <f>'604a'!M41/'604'!C41</f>
        <v>23.097647047324926</v>
      </c>
      <c r="I41" s="147">
        <f>'604a'!N41/'604'!D41</f>
        <v>15.346907054472428</v>
      </c>
      <c r="J41" s="147">
        <f>'604a'!O41/'604'!E41</f>
        <v>17.475432239661682</v>
      </c>
      <c r="K41" s="147">
        <f>'604a'!P41/'604'!F41</f>
        <v>37.382857401730206</v>
      </c>
    </row>
    <row r="42" spans="1:17">
      <c r="A42" s="66">
        <v>2007</v>
      </c>
      <c r="B42" s="56">
        <v>45816.27</v>
      </c>
      <c r="C42" s="56">
        <f t="shared" si="1"/>
        <v>489.62</v>
      </c>
      <c r="D42" s="56">
        <v>25.83</v>
      </c>
      <c r="E42" s="56">
        <v>316.48</v>
      </c>
      <c r="F42" s="56">
        <v>147.31</v>
      </c>
      <c r="G42" s="147">
        <f>'604a'!L42/'604'!B42</f>
        <v>22.09495034042785</v>
      </c>
      <c r="H42" s="147">
        <f>'604a'!M42/'604'!C42</f>
        <v>23.309902229618494</v>
      </c>
      <c r="I42" s="147">
        <f>'604a'!N42/'604'!D42</f>
        <v>15.127905160873397</v>
      </c>
      <c r="J42" s="147">
        <f>'604a'!O42/'604'!E42</f>
        <v>17.43843059906073</v>
      </c>
      <c r="K42" s="147">
        <f>'604a'!P42/'604'!F42</f>
        <v>38.128139415829693</v>
      </c>
    </row>
    <row r="43" spans="1:17">
      <c r="A43" s="66">
        <v>2008</v>
      </c>
      <c r="B43" s="56" t="s">
        <v>22</v>
      </c>
      <c r="C43" s="56" t="s">
        <v>22</v>
      </c>
      <c r="D43" s="56" t="s">
        <v>22</v>
      </c>
      <c r="E43" s="56" t="s">
        <v>22</v>
      </c>
      <c r="F43" s="56" t="s">
        <v>22</v>
      </c>
      <c r="G43" s="56" t="s">
        <v>22</v>
      </c>
      <c r="H43" s="56" t="s">
        <v>22</v>
      </c>
      <c r="I43" s="56" t="s">
        <v>22</v>
      </c>
      <c r="J43" s="56" t="s">
        <v>22</v>
      </c>
      <c r="K43" s="56" t="s">
        <v>22</v>
      </c>
    </row>
    <row r="44" spans="1:17">
      <c r="B44" s="57"/>
      <c r="C44" s="57"/>
      <c r="D44" s="57"/>
      <c r="E44" s="57"/>
      <c r="F44" s="57"/>
      <c r="G44" s="57"/>
      <c r="H44" s="57"/>
      <c r="I44" s="57"/>
      <c r="J44" s="57"/>
      <c r="K44" s="57"/>
    </row>
    <row r="45" spans="1:17">
      <c r="A45" s="66" t="s">
        <v>23</v>
      </c>
      <c r="B45" s="56"/>
      <c r="C45" s="56"/>
      <c r="D45" s="56"/>
      <c r="E45" s="56"/>
      <c r="F45" s="56"/>
      <c r="G45" s="56"/>
      <c r="H45" s="56"/>
      <c r="I45" s="56"/>
      <c r="J45" s="56"/>
      <c r="K45" s="56"/>
    </row>
    <row r="46" spans="1:17">
      <c r="A46" s="66" t="s">
        <v>1946</v>
      </c>
      <c r="B46" s="147">
        <f>((B42/B5)^(1/37)-1)*100</f>
        <v>0.60598406321765719</v>
      </c>
      <c r="C46" s="147">
        <f t="shared" ref="C46:K46" si="3">((C42/C5)^(1/37)-1)*100</f>
        <v>-1.3005841715357458</v>
      </c>
      <c r="D46" s="147">
        <f t="shared" si="3"/>
        <v>-4.2010782565460207</v>
      </c>
      <c r="E46" s="147">
        <f t="shared" si="3"/>
        <v>-1.3732110976660383</v>
      </c>
      <c r="F46" s="147">
        <f t="shared" si="3"/>
        <v>0.12916133751781356</v>
      </c>
      <c r="G46" s="147">
        <f t="shared" si="3"/>
        <v>1.6994100477199403</v>
      </c>
      <c r="H46" s="147">
        <f t="shared" si="3"/>
        <v>4.3603082088202738</v>
      </c>
      <c r="I46" s="147">
        <f t="shared" si="3"/>
        <v>5.1181413884602733</v>
      </c>
      <c r="J46" s="147">
        <f t="shared" si="3"/>
        <v>3.7647329433020627</v>
      </c>
      <c r="K46" s="147">
        <f t="shared" si="3"/>
        <v>4.0586170847848102</v>
      </c>
    </row>
    <row r="47" spans="1:17">
      <c r="A47" s="66" t="s">
        <v>2140</v>
      </c>
      <c r="B47" s="147">
        <f>((B25/B5)^(1/20)-1)*100</f>
        <v>0.72140030325353877</v>
      </c>
      <c r="C47" s="147">
        <f t="shared" ref="C47:K47" si="4">((C25/C5)^(1/20)-1)*100</f>
        <v>-1.1014659149388262</v>
      </c>
      <c r="D47" s="147">
        <f t="shared" si="4"/>
        <v>-3.843810526908864</v>
      </c>
      <c r="E47" s="147">
        <f t="shared" si="4"/>
        <v>-1.204323821892983</v>
      </c>
      <c r="F47" s="147">
        <f t="shared" si="4"/>
        <v>0.80357959781702792</v>
      </c>
      <c r="G47" s="147">
        <f t="shared" si="4"/>
        <v>2.3691041918678435</v>
      </c>
      <c r="H47" s="147">
        <f t="shared" si="4"/>
        <v>5.4401278799347086</v>
      </c>
      <c r="I47" s="147">
        <f t="shared" si="4"/>
        <v>4.9458464732727636</v>
      </c>
      <c r="J47" s="147">
        <f t="shared" si="4"/>
        <v>4.9483007078278352</v>
      </c>
      <c r="K47" s="147">
        <f t="shared" si="4"/>
        <v>4.7294721956439911</v>
      </c>
    </row>
    <row r="48" spans="1:17">
      <c r="A48" s="66" t="s">
        <v>660</v>
      </c>
      <c r="B48" s="147">
        <f t="shared" ref="B48:K48" si="5">((B35/B25)^(1/10)-1)*100</f>
        <v>0.10152705722021871</v>
      </c>
      <c r="C48" s="147">
        <f t="shared" si="5"/>
        <v>-1.4618093945903632</v>
      </c>
      <c r="D48" s="147">
        <f t="shared" si="5"/>
        <v>-4.983271309963011</v>
      </c>
      <c r="E48" s="147">
        <f t="shared" si="5"/>
        <v>-1.3770491561849507</v>
      </c>
      <c r="F48" s="147">
        <f t="shared" si="5"/>
        <v>-0.65351953820960151</v>
      </c>
      <c r="G48" s="147">
        <f t="shared" si="5"/>
        <v>1.4396433204073578</v>
      </c>
      <c r="H48" s="147">
        <f t="shared" si="5"/>
        <v>4.5857314258378912</v>
      </c>
      <c r="I48" s="147">
        <f t="shared" si="5"/>
        <v>6.4014376158451514</v>
      </c>
      <c r="J48" s="147">
        <f t="shared" si="5"/>
        <v>3.5156008806172201</v>
      </c>
      <c r="K48" s="147">
        <f t="shared" si="5"/>
        <v>5.1010111294151894</v>
      </c>
    </row>
    <row r="49" spans="1:11">
      <c r="A49" s="66" t="s">
        <v>588</v>
      </c>
      <c r="B49" s="147">
        <f>((B42/B35)^(1/7)-1)*100</f>
        <v>0.9996462358785374</v>
      </c>
      <c r="C49" s="147">
        <f t="shared" ref="C49:K49" si="6">((C42/C35)^(1/7)-1)*100</f>
        <v>-1.6378328219115224</v>
      </c>
      <c r="D49" s="147">
        <f t="shared" si="6"/>
        <v>-4.097883517752388</v>
      </c>
      <c r="E49" s="147">
        <f t="shared" si="6"/>
        <v>-1.8487005633253673</v>
      </c>
      <c r="F49" s="147">
        <f t="shared" si="6"/>
        <v>-0.66560819038555818</v>
      </c>
      <c r="G49" s="147">
        <f t="shared" si="6"/>
        <v>0.17537542658143668</v>
      </c>
      <c r="H49" s="147">
        <f t="shared" si="6"/>
        <v>1.0237767338838522</v>
      </c>
      <c r="I49" s="147">
        <f t="shared" si="6"/>
        <v>3.7970086077949716</v>
      </c>
      <c r="J49" s="147">
        <f t="shared" si="6"/>
        <v>0.80170992781232187</v>
      </c>
      <c r="K49" s="147">
        <f t="shared" si="6"/>
        <v>0.72101344394552846</v>
      </c>
    </row>
    <row r="52" spans="1:11" ht="30" customHeight="1">
      <c r="A52" s="104" t="s">
        <v>2039</v>
      </c>
      <c r="B52" s="104"/>
      <c r="C52" s="104"/>
      <c r="D52" s="104"/>
      <c r="E52" s="104"/>
      <c r="F52" s="104"/>
      <c r="G52" s="104"/>
      <c r="H52" s="104"/>
      <c r="I52" s="104"/>
      <c r="J52" s="104"/>
      <c r="K52" s="104"/>
    </row>
  </sheetData>
  <mergeCells count="12">
    <mergeCell ref="A52:K52"/>
    <mergeCell ref="A1:K1"/>
    <mergeCell ref="B2:F2"/>
    <mergeCell ref="G2:K2"/>
    <mergeCell ref="M2:Q2"/>
    <mergeCell ref="A3:A4"/>
    <mergeCell ref="B3:B4"/>
    <mergeCell ref="C3:F3"/>
    <mergeCell ref="G3:G4"/>
    <mergeCell ref="H3:K3"/>
    <mergeCell ref="M3:M4"/>
    <mergeCell ref="N3:Q3"/>
  </mergeCells>
  <pageMargins left="0.7" right="0.7" top="0.75" bottom="0.75" header="0.3" footer="0.3"/>
  <pageSetup scale="61" orientation="landscape" horizontalDpi="0" verticalDpi="0" r:id="rId1"/>
</worksheet>
</file>

<file path=xl/worksheets/sheet152.xml><?xml version="1.0" encoding="utf-8"?>
<worksheet xmlns="http://schemas.openxmlformats.org/spreadsheetml/2006/main" xmlns:r="http://schemas.openxmlformats.org/officeDocument/2006/relationships">
  <sheetPr codeName="Sheet144">
    <pageSetUpPr fitToPage="1"/>
  </sheetPr>
  <dimension ref="A1:P54"/>
  <sheetViews>
    <sheetView view="pageBreakPre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12.28515625" style="64" customWidth="1"/>
    <col min="2" max="16" width="12.42578125" style="64" customWidth="1"/>
    <col min="17" max="16384" width="9.140625" style="64"/>
  </cols>
  <sheetData>
    <row r="1" spans="1:16">
      <c r="A1" s="108" t="s">
        <v>1938</v>
      </c>
      <c r="B1" s="108"/>
      <c r="C1" s="108"/>
      <c r="D1" s="108"/>
      <c r="E1" s="108"/>
      <c r="F1" s="108"/>
      <c r="G1" s="108"/>
      <c r="H1" s="108"/>
      <c r="I1" s="108"/>
      <c r="J1" s="108"/>
      <c r="K1" s="108"/>
      <c r="L1" s="108"/>
      <c r="M1" s="108"/>
      <c r="N1" s="108"/>
      <c r="O1" s="108"/>
      <c r="P1" s="108"/>
    </row>
    <row r="2" spans="1:16">
      <c r="A2" s="66"/>
      <c r="B2" s="107" t="s">
        <v>542</v>
      </c>
      <c r="C2" s="107"/>
      <c r="D2" s="107"/>
      <c r="E2" s="107"/>
      <c r="F2" s="107"/>
      <c r="G2" s="107" t="s">
        <v>530</v>
      </c>
      <c r="H2" s="107"/>
      <c r="I2" s="107"/>
      <c r="J2" s="107"/>
      <c r="K2" s="107"/>
      <c r="L2" s="107" t="s">
        <v>534</v>
      </c>
      <c r="M2" s="107"/>
      <c r="N2" s="107"/>
      <c r="O2" s="107"/>
      <c r="P2" s="107"/>
    </row>
    <row r="3" spans="1:16" ht="15" customHeight="1">
      <c r="A3" s="149"/>
      <c r="B3" s="97" t="s">
        <v>523</v>
      </c>
      <c r="C3" s="97" t="s">
        <v>37</v>
      </c>
      <c r="D3" s="97"/>
      <c r="E3" s="97"/>
      <c r="F3" s="97"/>
      <c r="G3" s="97" t="s">
        <v>523</v>
      </c>
      <c r="H3" s="97" t="s">
        <v>37</v>
      </c>
      <c r="I3" s="97"/>
      <c r="J3" s="97"/>
      <c r="K3" s="97"/>
      <c r="L3" s="97" t="s">
        <v>523</v>
      </c>
      <c r="M3" s="97" t="s">
        <v>37</v>
      </c>
      <c r="N3" s="97"/>
      <c r="O3" s="97"/>
      <c r="P3" s="97"/>
    </row>
    <row r="4" spans="1:16" ht="60">
      <c r="A4" s="149"/>
      <c r="B4" s="97"/>
      <c r="C4" s="73" t="s">
        <v>78</v>
      </c>
      <c r="D4" s="73" t="s">
        <v>522</v>
      </c>
      <c r="E4" s="73" t="s">
        <v>524</v>
      </c>
      <c r="F4" s="73" t="s">
        <v>525</v>
      </c>
      <c r="G4" s="97"/>
      <c r="H4" s="73" t="s">
        <v>78</v>
      </c>
      <c r="I4" s="73" t="s">
        <v>522</v>
      </c>
      <c r="J4" s="73" t="s">
        <v>524</v>
      </c>
      <c r="K4" s="73" t="s">
        <v>525</v>
      </c>
      <c r="L4" s="97"/>
      <c r="M4" s="73" t="s">
        <v>78</v>
      </c>
      <c r="N4" s="73" t="s">
        <v>522</v>
      </c>
      <c r="O4" s="73" t="s">
        <v>524</v>
      </c>
      <c r="P4" s="73" t="s">
        <v>525</v>
      </c>
    </row>
    <row r="5" spans="1:16">
      <c r="A5" s="66">
        <v>1970</v>
      </c>
      <c r="B5" s="150">
        <v>32156.43</v>
      </c>
      <c r="C5" s="30">
        <f t="shared" ref="C5:C13" si="0">SUM(D5:F5)</f>
        <v>411.75</v>
      </c>
      <c r="D5" s="150">
        <v>42.35</v>
      </c>
      <c r="E5" s="150">
        <v>227.73</v>
      </c>
      <c r="F5" s="150">
        <v>141.66999999999999</v>
      </c>
      <c r="G5" s="151">
        <v>7.41</v>
      </c>
      <c r="H5" s="28">
        <f t="shared" ref="H5:H14" si="1">I5*(D5/C5)+J5*(E5/C5)+K5*(F5/C5)</f>
        <v>10.781560170006072</v>
      </c>
      <c r="I5" s="151">
        <v>14.04</v>
      </c>
      <c r="J5" s="151">
        <v>9.7100000000000009</v>
      </c>
      <c r="K5" s="151">
        <v>11.53</v>
      </c>
      <c r="L5" s="56">
        <f t="shared" ref="L5:L14" si="2">B5*100/G5</f>
        <v>433959.91902834008</v>
      </c>
      <c r="M5" s="56">
        <f t="shared" ref="M5:M14" si="3">C5*100/H5</f>
        <v>3819.0205638834559</v>
      </c>
      <c r="N5" s="56">
        <f t="shared" ref="N5:N14" si="4">D5*100/I5</f>
        <v>301.63817663817667</v>
      </c>
      <c r="O5" s="56">
        <f t="shared" ref="O5:O14" si="5">E5*100/J5</f>
        <v>2345.3141091658081</v>
      </c>
      <c r="P5" s="56">
        <f t="shared" ref="P5:P14" si="6">F5*100/K5</f>
        <v>1228.7077189939289</v>
      </c>
    </row>
    <row r="6" spans="1:16">
      <c r="A6" s="66">
        <v>1971</v>
      </c>
      <c r="B6" s="150">
        <v>35228.47</v>
      </c>
      <c r="C6" s="30">
        <f t="shared" si="0"/>
        <v>461.15</v>
      </c>
      <c r="D6" s="150">
        <v>44.21</v>
      </c>
      <c r="E6" s="150">
        <v>261.33</v>
      </c>
      <c r="F6" s="150">
        <v>155.61000000000001</v>
      </c>
      <c r="G6" s="151">
        <v>7.97</v>
      </c>
      <c r="H6" s="28">
        <f t="shared" si="1"/>
        <v>11.723757128916839</v>
      </c>
      <c r="I6" s="151">
        <v>14.74</v>
      </c>
      <c r="J6" s="151">
        <v>11.18</v>
      </c>
      <c r="K6" s="151">
        <v>11.78</v>
      </c>
      <c r="L6" s="56">
        <f t="shared" si="2"/>
        <v>442013.42534504394</v>
      </c>
      <c r="M6" s="56">
        <f t="shared" si="3"/>
        <v>3933.4659949801071</v>
      </c>
      <c r="N6" s="56">
        <f t="shared" si="4"/>
        <v>299.93215739484395</v>
      </c>
      <c r="O6" s="56">
        <f t="shared" si="5"/>
        <v>2337.4776386404292</v>
      </c>
      <c r="P6" s="56">
        <f t="shared" si="6"/>
        <v>1320.9677419354841</v>
      </c>
    </row>
    <row r="7" spans="1:16">
      <c r="A7" s="66">
        <v>1972</v>
      </c>
      <c r="B7" s="150">
        <v>38908.75</v>
      </c>
      <c r="C7" s="30">
        <f t="shared" si="0"/>
        <v>469.40999999999997</v>
      </c>
      <c r="D7" s="150">
        <v>44.2</v>
      </c>
      <c r="E7" s="150">
        <v>255.48</v>
      </c>
      <c r="F7" s="150">
        <v>169.73</v>
      </c>
      <c r="G7" s="151">
        <v>8.5</v>
      </c>
      <c r="H7" s="28">
        <f t="shared" si="1"/>
        <v>12.26432457766132</v>
      </c>
      <c r="I7" s="151">
        <v>16.55</v>
      </c>
      <c r="J7" s="151">
        <v>11.26</v>
      </c>
      <c r="K7" s="151">
        <v>12.66</v>
      </c>
      <c r="L7" s="56">
        <f t="shared" si="2"/>
        <v>457750</v>
      </c>
      <c r="M7" s="56">
        <f t="shared" si="3"/>
        <v>3827.4427346370153</v>
      </c>
      <c r="N7" s="56">
        <f t="shared" si="4"/>
        <v>267.06948640483381</v>
      </c>
      <c r="O7" s="56">
        <f t="shared" si="5"/>
        <v>2268.9165186500891</v>
      </c>
      <c r="P7" s="56">
        <f t="shared" si="6"/>
        <v>1340.6793048973143</v>
      </c>
    </row>
    <row r="8" spans="1:16">
      <c r="A8" s="66">
        <v>1973</v>
      </c>
      <c r="B8" s="150">
        <v>47164.24</v>
      </c>
      <c r="C8" s="30">
        <f t="shared" si="0"/>
        <v>602.90000000000009</v>
      </c>
      <c r="D8" s="150">
        <v>57.47</v>
      </c>
      <c r="E8" s="150">
        <v>322</v>
      </c>
      <c r="F8" s="150">
        <v>223.43</v>
      </c>
      <c r="G8" s="151">
        <v>9.6199999999999992</v>
      </c>
      <c r="H8" s="28">
        <f t="shared" si="1"/>
        <v>13.375252114778569</v>
      </c>
      <c r="I8" s="151">
        <v>20.079999999999998</v>
      </c>
      <c r="J8" s="151">
        <v>12.21</v>
      </c>
      <c r="K8" s="151">
        <v>13.33</v>
      </c>
      <c r="L8" s="56">
        <f t="shared" si="2"/>
        <v>490272.76507276512</v>
      </c>
      <c r="M8" s="56">
        <f t="shared" si="3"/>
        <v>4507.5785848839778</v>
      </c>
      <c r="N8" s="56">
        <f t="shared" si="4"/>
        <v>286.20517928286853</v>
      </c>
      <c r="O8" s="56">
        <f t="shared" si="5"/>
        <v>2637.1826371826369</v>
      </c>
      <c r="P8" s="56">
        <f t="shared" si="6"/>
        <v>1676.1440360090023</v>
      </c>
    </row>
    <row r="9" spans="1:16">
      <c r="A9" s="66">
        <v>1974</v>
      </c>
      <c r="B9" s="150">
        <v>59926.04</v>
      </c>
      <c r="C9" s="30">
        <f t="shared" si="0"/>
        <v>806.06999999999994</v>
      </c>
      <c r="D9" s="150">
        <v>65.349999999999994</v>
      </c>
      <c r="E9" s="150">
        <v>426.38</v>
      </c>
      <c r="F9" s="150">
        <v>314.33999999999997</v>
      </c>
      <c r="G9" s="151">
        <v>11.56</v>
      </c>
      <c r="H9" s="28">
        <f t="shared" si="1"/>
        <v>17.956873596585908</v>
      </c>
      <c r="I9" s="151">
        <v>22.35</v>
      </c>
      <c r="J9" s="151">
        <v>15.91</v>
      </c>
      <c r="K9" s="151">
        <v>19.82</v>
      </c>
      <c r="L9" s="56">
        <f t="shared" si="2"/>
        <v>518391.34948096884</v>
      </c>
      <c r="M9" s="56">
        <f t="shared" si="3"/>
        <v>4488.9217249558178</v>
      </c>
      <c r="N9" s="56">
        <f t="shared" si="4"/>
        <v>292.39373601789703</v>
      </c>
      <c r="O9" s="56">
        <f t="shared" si="5"/>
        <v>2679.9497171590197</v>
      </c>
      <c r="P9" s="56">
        <f t="shared" si="6"/>
        <v>1585.9737638748736</v>
      </c>
    </row>
    <row r="10" spans="1:16">
      <c r="A10" s="66">
        <v>1975</v>
      </c>
      <c r="B10" s="150">
        <v>70070.5</v>
      </c>
      <c r="C10" s="30">
        <f t="shared" si="0"/>
        <v>878.76</v>
      </c>
      <c r="D10" s="150">
        <v>79</v>
      </c>
      <c r="E10" s="150">
        <v>479.69</v>
      </c>
      <c r="F10" s="150">
        <v>320.07</v>
      </c>
      <c r="G10" s="151">
        <v>13.84</v>
      </c>
      <c r="H10" s="28">
        <f t="shared" si="1"/>
        <v>19.804383221812557</v>
      </c>
      <c r="I10" s="151">
        <v>26.17</v>
      </c>
      <c r="J10" s="151">
        <v>16.11</v>
      </c>
      <c r="K10" s="151">
        <v>23.77</v>
      </c>
      <c r="L10" s="56">
        <f t="shared" si="2"/>
        <v>506289.73988439306</v>
      </c>
      <c r="M10" s="56">
        <f t="shared" si="3"/>
        <v>4437.1995338493216</v>
      </c>
      <c r="N10" s="56">
        <f t="shared" si="4"/>
        <v>301.87237294612152</v>
      </c>
      <c r="O10" s="56">
        <f t="shared" si="5"/>
        <v>2977.5915580384853</v>
      </c>
      <c r="P10" s="56">
        <f t="shared" si="6"/>
        <v>1346.5292385359696</v>
      </c>
    </row>
    <row r="11" spans="1:16">
      <c r="A11" s="66">
        <v>1976</v>
      </c>
      <c r="B11" s="150">
        <v>87452.43</v>
      </c>
      <c r="C11" s="30">
        <f t="shared" si="0"/>
        <v>1149.19</v>
      </c>
      <c r="D11" s="150">
        <v>92.39</v>
      </c>
      <c r="E11" s="150">
        <v>641.52</v>
      </c>
      <c r="F11" s="150">
        <v>415.28</v>
      </c>
      <c r="G11" s="151">
        <v>16.14</v>
      </c>
      <c r="H11" s="28">
        <f t="shared" si="1"/>
        <v>21.610038722926582</v>
      </c>
      <c r="I11" s="151">
        <v>32.520000000000003</v>
      </c>
      <c r="J11" s="151">
        <v>20</v>
      </c>
      <c r="K11" s="151">
        <v>21.67</v>
      </c>
      <c r="L11" s="56">
        <f t="shared" si="2"/>
        <v>541836.61710037175</v>
      </c>
      <c r="M11" s="56">
        <f t="shared" si="3"/>
        <v>5317.8525718271767</v>
      </c>
      <c r="N11" s="56">
        <f t="shared" si="4"/>
        <v>284.10209102091017</v>
      </c>
      <c r="O11" s="56">
        <f t="shared" si="5"/>
        <v>3207.6</v>
      </c>
      <c r="P11" s="56">
        <f t="shared" si="6"/>
        <v>1916.382095062298</v>
      </c>
    </row>
    <row r="12" spans="1:16">
      <c r="A12" s="66">
        <v>1977</v>
      </c>
      <c r="B12" s="150">
        <v>105821.36</v>
      </c>
      <c r="C12" s="30">
        <f t="shared" si="0"/>
        <v>1357.04</v>
      </c>
      <c r="D12" s="150">
        <v>107.23</v>
      </c>
      <c r="E12" s="150">
        <v>764.78</v>
      </c>
      <c r="F12" s="150">
        <v>485.03</v>
      </c>
      <c r="G12" s="151">
        <v>19.02</v>
      </c>
      <c r="H12" s="28">
        <f t="shared" si="1"/>
        <v>25.250129104521605</v>
      </c>
      <c r="I12" s="151">
        <v>37.49</v>
      </c>
      <c r="J12" s="151">
        <v>24.46</v>
      </c>
      <c r="K12" s="151">
        <v>23.79</v>
      </c>
      <c r="L12" s="56">
        <f t="shared" si="2"/>
        <v>556368.87486855942</v>
      </c>
      <c r="M12" s="56">
        <f t="shared" si="3"/>
        <v>5374.3883620658062</v>
      </c>
      <c r="N12" s="56">
        <f t="shared" si="4"/>
        <v>286.02293945052014</v>
      </c>
      <c r="O12" s="56">
        <f t="shared" si="5"/>
        <v>3126.6557645134912</v>
      </c>
      <c r="P12" s="56">
        <f t="shared" si="6"/>
        <v>2038.7978142076504</v>
      </c>
    </row>
    <row r="13" spans="1:16">
      <c r="A13" s="66">
        <v>1978</v>
      </c>
      <c r="B13" s="150">
        <v>124653.81</v>
      </c>
      <c r="C13" s="30">
        <f t="shared" si="0"/>
        <v>1628.21</v>
      </c>
      <c r="D13" s="150">
        <v>124.36</v>
      </c>
      <c r="E13" s="150">
        <v>919.62</v>
      </c>
      <c r="F13" s="150">
        <v>584.23</v>
      </c>
      <c r="G13" s="151">
        <v>21.71</v>
      </c>
      <c r="H13" s="28">
        <f t="shared" si="1"/>
        <v>27.732734106779841</v>
      </c>
      <c r="I13" s="151">
        <v>42.98</v>
      </c>
      <c r="J13" s="151">
        <v>26.67</v>
      </c>
      <c r="K13" s="151">
        <v>26.16</v>
      </c>
      <c r="L13" s="56">
        <f t="shared" si="2"/>
        <v>574176.92307692301</v>
      </c>
      <c r="M13" s="56">
        <f t="shared" si="3"/>
        <v>5871.0763739733484</v>
      </c>
      <c r="N13" s="56">
        <f t="shared" si="4"/>
        <v>289.34388087482552</v>
      </c>
      <c r="O13" s="56">
        <f t="shared" si="5"/>
        <v>3448.1439820022497</v>
      </c>
      <c r="P13" s="56">
        <f t="shared" si="6"/>
        <v>2233.2951070336389</v>
      </c>
    </row>
    <row r="14" spans="1:16">
      <c r="A14" s="66">
        <v>1979</v>
      </c>
      <c r="B14" s="30">
        <v>153540.6</v>
      </c>
      <c r="C14" s="30">
        <f>SUM(D14:F14)</f>
        <v>2073.0499999999997</v>
      </c>
      <c r="D14" s="30">
        <v>146.27000000000001</v>
      </c>
      <c r="E14" s="30">
        <v>1174.3699999999999</v>
      </c>
      <c r="F14" s="30">
        <v>752.41</v>
      </c>
      <c r="G14" s="28">
        <v>25.21</v>
      </c>
      <c r="H14" s="28">
        <f t="shared" si="1"/>
        <v>31.390953956730421</v>
      </c>
      <c r="I14" s="28">
        <v>47.63</v>
      </c>
      <c r="J14" s="28">
        <v>30.33</v>
      </c>
      <c r="K14" s="28">
        <v>29.89</v>
      </c>
      <c r="L14" s="56">
        <f t="shared" si="2"/>
        <v>609046.41015470051</v>
      </c>
      <c r="M14" s="56">
        <f t="shared" si="3"/>
        <v>6603.9726057943662</v>
      </c>
      <c r="N14" s="56">
        <f t="shared" si="4"/>
        <v>307.09636783539787</v>
      </c>
      <c r="O14" s="56">
        <f t="shared" si="5"/>
        <v>3871.9749423013513</v>
      </c>
      <c r="P14" s="56">
        <f t="shared" si="6"/>
        <v>2517.2632987621278</v>
      </c>
    </row>
    <row r="15" spans="1:16">
      <c r="A15" s="66">
        <v>1980</v>
      </c>
      <c r="B15" s="30">
        <v>190837.86</v>
      </c>
      <c r="C15" s="30">
        <f t="shared" ref="C15:C42" si="7">SUM(D15:F15)</f>
        <v>2635.29</v>
      </c>
      <c r="D15" s="30">
        <v>172.63</v>
      </c>
      <c r="E15" s="30">
        <v>1532.64</v>
      </c>
      <c r="F15" s="30">
        <v>930.02</v>
      </c>
      <c r="G15" s="28">
        <v>30.25</v>
      </c>
      <c r="H15" s="28">
        <f t="shared" ref="H15:H42" si="8">I15*(D15/C15)+J15*(E15/C15)+K15*(F15/C15)</f>
        <v>37.883004906480885</v>
      </c>
      <c r="I15" s="28">
        <v>54</v>
      </c>
      <c r="J15" s="28">
        <v>37.72</v>
      </c>
      <c r="K15" s="28">
        <v>35.159999999999997</v>
      </c>
      <c r="L15" s="56">
        <f t="shared" ref="L15:P38" si="9">B15*100/G15</f>
        <v>630868.95867768594</v>
      </c>
      <c r="M15" s="56">
        <f t="shared" ref="M15:P29" si="10">C15*100/H15</f>
        <v>6956.3911482353515</v>
      </c>
      <c r="N15" s="56">
        <f t="shared" si="10"/>
        <v>319.68518518518516</v>
      </c>
      <c r="O15" s="56">
        <f t="shared" si="10"/>
        <v>4063.2025450689289</v>
      </c>
      <c r="P15" s="56">
        <f t="shared" si="10"/>
        <v>2645.1080773606373</v>
      </c>
    </row>
    <row r="16" spans="1:16">
      <c r="A16" s="66">
        <v>1981</v>
      </c>
      <c r="B16" s="30">
        <v>229728.45</v>
      </c>
      <c r="C16" s="30">
        <f t="shared" si="7"/>
        <v>2969.38</v>
      </c>
      <c r="D16" s="30">
        <v>193.04</v>
      </c>
      <c r="E16" s="30">
        <v>1747.66</v>
      </c>
      <c r="F16" s="30">
        <v>1028.68</v>
      </c>
      <c r="G16" s="28">
        <v>36.130000000000003</v>
      </c>
      <c r="H16" s="28">
        <f t="shared" si="8"/>
        <v>43.633337868511276</v>
      </c>
      <c r="I16" s="28">
        <v>59.21</v>
      </c>
      <c r="J16" s="28">
        <v>44.64</v>
      </c>
      <c r="K16" s="28">
        <v>39</v>
      </c>
      <c r="L16" s="56">
        <f t="shared" si="9"/>
        <v>635838.49986161082</v>
      </c>
      <c r="M16" s="56">
        <f t="shared" si="10"/>
        <v>6805.3010497345022</v>
      </c>
      <c r="N16" s="56">
        <f t="shared" si="10"/>
        <v>326.02600912008108</v>
      </c>
      <c r="O16" s="56">
        <f t="shared" si="10"/>
        <v>3915.0089605734765</v>
      </c>
      <c r="P16" s="56">
        <f t="shared" si="10"/>
        <v>2637.6410256410259</v>
      </c>
    </row>
    <row r="17" spans="1:16">
      <c r="A17" s="66">
        <v>1982</v>
      </c>
      <c r="B17" s="30">
        <v>269560.27</v>
      </c>
      <c r="C17" s="30">
        <f t="shared" si="7"/>
        <v>3328.25</v>
      </c>
      <c r="D17" s="30">
        <v>215.77</v>
      </c>
      <c r="E17" s="30">
        <v>1920.21</v>
      </c>
      <c r="F17" s="30">
        <v>1192.27</v>
      </c>
      <c r="G17" s="28">
        <v>42.19</v>
      </c>
      <c r="H17" s="28">
        <f t="shared" si="8"/>
        <v>49.467084624051679</v>
      </c>
      <c r="I17" s="28">
        <v>68.260000000000005</v>
      </c>
      <c r="J17" s="28">
        <v>49.03</v>
      </c>
      <c r="K17" s="28">
        <v>46.77</v>
      </c>
      <c r="L17" s="56">
        <f t="shared" si="9"/>
        <v>638919.81512206688</v>
      </c>
      <c r="M17" s="56">
        <f t="shared" si="10"/>
        <v>6728.2113455737235</v>
      </c>
      <c r="N17" s="56">
        <f t="shared" si="10"/>
        <v>316.10020509815411</v>
      </c>
      <c r="O17" s="56">
        <f t="shared" si="10"/>
        <v>3916.3981235977972</v>
      </c>
      <c r="P17" s="56">
        <f t="shared" si="10"/>
        <v>2549.2195852041905</v>
      </c>
    </row>
    <row r="18" spans="1:16">
      <c r="A18" s="66">
        <v>1983</v>
      </c>
      <c r="B18" s="30">
        <v>311587.90000000002</v>
      </c>
      <c r="C18" s="30">
        <f t="shared" si="7"/>
        <v>3749.3599999999997</v>
      </c>
      <c r="D18" s="30">
        <v>253.84</v>
      </c>
      <c r="E18" s="30">
        <v>2157.9899999999998</v>
      </c>
      <c r="F18" s="30">
        <v>1337.53</v>
      </c>
      <c r="G18" s="28">
        <v>48.18</v>
      </c>
      <c r="H18" s="28">
        <f t="shared" si="8"/>
        <v>54.667725131755816</v>
      </c>
      <c r="I18" s="28">
        <v>73.81</v>
      </c>
      <c r="J18" s="28">
        <v>54.46</v>
      </c>
      <c r="K18" s="28">
        <v>51.37</v>
      </c>
      <c r="L18" s="56">
        <f t="shared" si="9"/>
        <v>646716.27231216279</v>
      </c>
      <c r="M18" s="56">
        <f t="shared" si="10"/>
        <v>6858.4525713546509</v>
      </c>
      <c r="N18" s="56">
        <f t="shared" si="10"/>
        <v>343.91003929006911</v>
      </c>
      <c r="O18" s="56">
        <f t="shared" si="10"/>
        <v>3962.5229526257799</v>
      </c>
      <c r="P18" s="56">
        <f t="shared" si="10"/>
        <v>2603.7181234183377</v>
      </c>
    </row>
    <row r="19" spans="1:16">
      <c r="A19" s="66">
        <v>1984</v>
      </c>
      <c r="B19" s="30">
        <v>356566.74</v>
      </c>
      <c r="C19" s="30">
        <f t="shared" si="7"/>
        <v>4172.78</v>
      </c>
      <c r="D19" s="30">
        <v>261.2</v>
      </c>
      <c r="E19" s="30">
        <v>2343.84</v>
      </c>
      <c r="F19" s="30">
        <v>1567.74</v>
      </c>
      <c r="G19" s="28">
        <v>53.39</v>
      </c>
      <c r="H19" s="28">
        <f t="shared" si="8"/>
        <v>57.861194886862002</v>
      </c>
      <c r="I19" s="28">
        <v>77.569999999999993</v>
      </c>
      <c r="J19" s="28">
        <v>56.99</v>
      </c>
      <c r="K19" s="28">
        <v>55.88</v>
      </c>
      <c r="L19" s="56">
        <f t="shared" si="9"/>
        <v>667853.04364113125</v>
      </c>
      <c r="M19" s="56">
        <f t="shared" si="10"/>
        <v>7211.7072731719099</v>
      </c>
      <c r="N19" s="56">
        <f t="shared" si="10"/>
        <v>336.72811653989947</v>
      </c>
      <c r="O19" s="56">
        <f t="shared" si="10"/>
        <v>4112.7215300929984</v>
      </c>
      <c r="P19" s="56">
        <f t="shared" si="10"/>
        <v>2805.5476020042947</v>
      </c>
    </row>
    <row r="20" spans="1:16">
      <c r="A20" s="66">
        <v>1985</v>
      </c>
      <c r="B20" s="30">
        <v>400958.79</v>
      </c>
      <c r="C20" s="30">
        <f t="shared" si="7"/>
        <v>4982.5300000000007</v>
      </c>
      <c r="D20" s="30">
        <v>273.63</v>
      </c>
      <c r="E20" s="30">
        <v>2683.19</v>
      </c>
      <c r="F20" s="30">
        <v>2025.71</v>
      </c>
      <c r="G20" s="28">
        <v>58.37</v>
      </c>
      <c r="H20" s="28">
        <f t="shared" si="8"/>
        <v>63.270252903645329</v>
      </c>
      <c r="I20" s="28">
        <v>80.77</v>
      </c>
      <c r="J20" s="28">
        <v>62.12</v>
      </c>
      <c r="K20" s="28">
        <v>62.43</v>
      </c>
      <c r="L20" s="56">
        <f t="shared" si="9"/>
        <v>686926.14356690086</v>
      </c>
      <c r="M20" s="56">
        <f t="shared" si="10"/>
        <v>7874.9961812037127</v>
      </c>
      <c r="N20" s="56">
        <f t="shared" si="10"/>
        <v>338.77677355453761</v>
      </c>
      <c r="O20" s="56">
        <f t="shared" si="10"/>
        <v>4319.3657437218289</v>
      </c>
      <c r="P20" s="56">
        <f t="shared" si="10"/>
        <v>3244.770142559667</v>
      </c>
    </row>
    <row r="21" spans="1:16">
      <c r="A21" s="66">
        <v>1986</v>
      </c>
      <c r="B21" s="30">
        <v>442367.67</v>
      </c>
      <c r="C21" s="30">
        <f t="shared" si="7"/>
        <v>5519.21</v>
      </c>
      <c r="D21" s="30">
        <v>289.08</v>
      </c>
      <c r="E21" s="30">
        <v>2966.34</v>
      </c>
      <c r="F21" s="30">
        <v>2263.79</v>
      </c>
      <c r="G21" s="28">
        <v>62.71</v>
      </c>
      <c r="H21" s="28">
        <f t="shared" si="8"/>
        <v>68.585860784423858</v>
      </c>
      <c r="I21" s="28">
        <v>82.65</v>
      </c>
      <c r="J21" s="28">
        <v>68.25</v>
      </c>
      <c r="K21" s="28">
        <v>67.23</v>
      </c>
      <c r="L21" s="56">
        <f t="shared" si="9"/>
        <v>705418.0672938925</v>
      </c>
      <c r="M21" s="56">
        <f t="shared" si="10"/>
        <v>8047.1542339429761</v>
      </c>
      <c r="N21" s="56">
        <f t="shared" si="10"/>
        <v>349.76406533575317</v>
      </c>
      <c r="O21" s="56">
        <f t="shared" si="10"/>
        <v>4346.2857142857147</v>
      </c>
      <c r="P21" s="56">
        <f t="shared" si="10"/>
        <v>3367.2318905250631</v>
      </c>
    </row>
    <row r="22" spans="1:16">
      <c r="A22" s="66">
        <v>1987</v>
      </c>
      <c r="B22" s="30">
        <v>480571.59</v>
      </c>
      <c r="C22" s="30">
        <f t="shared" si="7"/>
        <v>5796.15</v>
      </c>
      <c r="D22" s="30">
        <v>299.62</v>
      </c>
      <c r="E22" s="30">
        <v>3128.18</v>
      </c>
      <c r="F22" s="30">
        <v>2368.35</v>
      </c>
      <c r="G22" s="28">
        <v>66</v>
      </c>
      <c r="H22" s="28">
        <f t="shared" si="8"/>
        <v>73.34073509139688</v>
      </c>
      <c r="I22" s="28">
        <v>81.849999999999994</v>
      </c>
      <c r="J22" s="28">
        <v>74.790000000000006</v>
      </c>
      <c r="K22" s="28">
        <v>70.349999999999994</v>
      </c>
      <c r="L22" s="56">
        <f t="shared" si="9"/>
        <v>728138.77272727271</v>
      </c>
      <c r="M22" s="56">
        <f t="shared" si="10"/>
        <v>7903.0432307187339</v>
      </c>
      <c r="N22" s="56">
        <f t="shared" si="10"/>
        <v>366.05986560781923</v>
      </c>
      <c r="O22" s="56">
        <f t="shared" si="10"/>
        <v>4182.6179970584299</v>
      </c>
      <c r="P22" s="56">
        <f t="shared" si="10"/>
        <v>3366.524520255864</v>
      </c>
    </row>
    <row r="23" spans="1:16">
      <c r="A23" s="66">
        <v>1988</v>
      </c>
      <c r="B23" s="30">
        <v>530731.06999999995</v>
      </c>
      <c r="C23" s="30">
        <f t="shared" si="7"/>
        <v>6323.17</v>
      </c>
      <c r="D23" s="30">
        <v>298.88</v>
      </c>
      <c r="E23" s="30">
        <v>3481.65</v>
      </c>
      <c r="F23" s="30">
        <v>2542.64</v>
      </c>
      <c r="G23" s="28">
        <v>69.959999999999994</v>
      </c>
      <c r="H23" s="28">
        <f t="shared" si="8"/>
        <v>76.30637833555005</v>
      </c>
      <c r="I23" s="28">
        <v>82.96</v>
      </c>
      <c r="J23" s="28">
        <v>77.31</v>
      </c>
      <c r="K23" s="28">
        <v>74.150000000000006</v>
      </c>
      <c r="L23" s="56">
        <f t="shared" si="9"/>
        <v>758620.74042309891</v>
      </c>
      <c r="M23" s="56">
        <f t="shared" si="10"/>
        <v>8286.5549878339934</v>
      </c>
      <c r="N23" s="56">
        <f t="shared" si="10"/>
        <v>360.27000964320155</v>
      </c>
      <c r="O23" s="56">
        <f t="shared" si="10"/>
        <v>4503.4924330616996</v>
      </c>
      <c r="P23" s="56">
        <f t="shared" si="10"/>
        <v>3429.0492245448413</v>
      </c>
    </row>
    <row r="24" spans="1:16">
      <c r="A24" s="66">
        <v>1989</v>
      </c>
      <c r="B24" s="30">
        <v>582422.22</v>
      </c>
      <c r="C24" s="30">
        <f t="shared" si="7"/>
        <v>6884.67</v>
      </c>
      <c r="D24" s="30">
        <v>319.93</v>
      </c>
      <c r="E24" s="30">
        <v>3790.35</v>
      </c>
      <c r="F24" s="30">
        <v>2774.39</v>
      </c>
      <c r="G24" s="28">
        <v>74.209999999999994</v>
      </c>
      <c r="H24" s="28">
        <f t="shared" si="8"/>
        <v>80.543602423936065</v>
      </c>
      <c r="I24" s="28">
        <v>87.13</v>
      </c>
      <c r="J24" s="28">
        <v>81.22</v>
      </c>
      <c r="K24" s="28">
        <v>78.86</v>
      </c>
      <c r="L24" s="56">
        <f t="shared" si="9"/>
        <v>784829.83425414376</v>
      </c>
      <c r="M24" s="56">
        <f t="shared" si="10"/>
        <v>8547.7552441260104</v>
      </c>
      <c r="N24" s="56">
        <f t="shared" si="10"/>
        <v>367.18696201078848</v>
      </c>
      <c r="O24" s="56">
        <f t="shared" si="10"/>
        <v>4666.7692686530409</v>
      </c>
      <c r="P24" s="56">
        <f t="shared" si="10"/>
        <v>3518.1207202637584</v>
      </c>
    </row>
    <row r="25" spans="1:16">
      <c r="A25" s="66">
        <v>1990</v>
      </c>
      <c r="B25" s="30">
        <v>639614.43000000005</v>
      </c>
      <c r="C25" s="30">
        <f t="shared" si="7"/>
        <v>7355.79</v>
      </c>
      <c r="D25" s="30">
        <v>325.33999999999997</v>
      </c>
      <c r="E25" s="30">
        <v>4044.66</v>
      </c>
      <c r="F25" s="30">
        <v>2985.79</v>
      </c>
      <c r="G25" s="28">
        <v>79.92</v>
      </c>
      <c r="H25" s="28">
        <f t="shared" si="8"/>
        <v>83.322397689439214</v>
      </c>
      <c r="I25" s="28">
        <v>89.95</v>
      </c>
      <c r="J25" s="28">
        <v>83.64</v>
      </c>
      <c r="K25" s="28">
        <v>82.17</v>
      </c>
      <c r="L25" s="56">
        <f t="shared" si="9"/>
        <v>800318.35585585597</v>
      </c>
      <c r="M25" s="56">
        <f t="shared" si="10"/>
        <v>8828.1064923463164</v>
      </c>
      <c r="N25" s="56">
        <f t="shared" si="10"/>
        <v>361.68982768204552</v>
      </c>
      <c r="O25" s="56">
        <f t="shared" si="10"/>
        <v>4835.7962697274033</v>
      </c>
      <c r="P25" s="56">
        <f t="shared" si="10"/>
        <v>3633.6740903005962</v>
      </c>
    </row>
    <row r="26" spans="1:16">
      <c r="A26" s="66">
        <v>1991</v>
      </c>
      <c r="B26" s="30">
        <v>694927.09</v>
      </c>
      <c r="C26" s="30">
        <f t="shared" si="7"/>
        <v>7853.01</v>
      </c>
      <c r="D26" s="30">
        <v>362.76</v>
      </c>
      <c r="E26" s="30">
        <v>4357.28</v>
      </c>
      <c r="F26" s="30">
        <v>3132.97</v>
      </c>
      <c r="G26" s="28">
        <v>85.59</v>
      </c>
      <c r="H26" s="28">
        <f t="shared" si="8"/>
        <v>88.156432743623128</v>
      </c>
      <c r="I26" s="28">
        <v>91.73</v>
      </c>
      <c r="J26" s="28">
        <v>88.41</v>
      </c>
      <c r="K26" s="28">
        <v>87.39</v>
      </c>
      <c r="L26" s="56">
        <f t="shared" si="9"/>
        <v>811925.56373408111</v>
      </c>
      <c r="M26" s="56">
        <f t="shared" si="10"/>
        <v>8908.0396694795418</v>
      </c>
      <c r="N26" s="56">
        <f t="shared" si="10"/>
        <v>395.46495148806275</v>
      </c>
      <c r="O26" s="56">
        <f t="shared" si="10"/>
        <v>4928.4922520076916</v>
      </c>
      <c r="P26" s="56">
        <f t="shared" si="10"/>
        <v>3585.0440553839112</v>
      </c>
    </row>
    <row r="27" spans="1:16">
      <c r="A27" s="66">
        <v>1992</v>
      </c>
      <c r="B27" s="30">
        <v>728744.81</v>
      </c>
      <c r="C27" s="30">
        <f t="shared" si="7"/>
        <v>8177.57</v>
      </c>
      <c r="D27" s="30">
        <v>366.28</v>
      </c>
      <c r="E27" s="30">
        <v>4467.76</v>
      </c>
      <c r="F27" s="30">
        <v>3343.53</v>
      </c>
      <c r="G27" s="28">
        <v>89.15</v>
      </c>
      <c r="H27" s="28">
        <f t="shared" si="8"/>
        <v>86.129202012333735</v>
      </c>
      <c r="I27" s="28">
        <v>89.9</v>
      </c>
      <c r="J27" s="28">
        <v>90.16</v>
      </c>
      <c r="K27" s="28">
        <v>80.33</v>
      </c>
      <c r="L27" s="56">
        <f t="shared" si="9"/>
        <v>817436.69097027474</v>
      </c>
      <c r="M27" s="56">
        <f t="shared" si="10"/>
        <v>9494.5382157714284</v>
      </c>
      <c r="N27" s="56">
        <f t="shared" si="10"/>
        <v>407.43047830923246</v>
      </c>
      <c r="O27" s="56">
        <f t="shared" si="10"/>
        <v>4955.3682342502216</v>
      </c>
      <c r="P27" s="56">
        <f t="shared" si="10"/>
        <v>4162.2432466077435</v>
      </c>
    </row>
    <row r="28" spans="1:16">
      <c r="A28" s="66">
        <v>1993</v>
      </c>
      <c r="B28" s="30">
        <v>753520.1</v>
      </c>
      <c r="C28" s="30">
        <f t="shared" si="7"/>
        <v>8392.65</v>
      </c>
      <c r="D28" s="30">
        <v>373.83</v>
      </c>
      <c r="E28" s="30">
        <v>4495.1099999999997</v>
      </c>
      <c r="F28" s="30">
        <v>3523.71</v>
      </c>
      <c r="G28" s="28">
        <v>92.74</v>
      </c>
      <c r="H28" s="28">
        <f t="shared" si="8"/>
        <v>88.50724426730531</v>
      </c>
      <c r="I28" s="28">
        <v>89.94</v>
      </c>
      <c r="J28" s="28">
        <v>94.03</v>
      </c>
      <c r="K28" s="28">
        <v>81.31</v>
      </c>
      <c r="L28" s="56">
        <f t="shared" si="9"/>
        <v>812508.19495363382</v>
      </c>
      <c r="M28" s="56">
        <f t="shared" si="10"/>
        <v>9482.4441428239734</v>
      </c>
      <c r="N28" s="56">
        <f t="shared" si="10"/>
        <v>415.64376250833891</v>
      </c>
      <c r="O28" s="56">
        <f t="shared" si="10"/>
        <v>4780.5062214186955</v>
      </c>
      <c r="P28" s="56">
        <f t="shared" si="10"/>
        <v>4333.6735948837777</v>
      </c>
    </row>
    <row r="29" spans="1:16">
      <c r="A29" s="66">
        <v>1994</v>
      </c>
      <c r="B29" s="30">
        <v>795328.11</v>
      </c>
      <c r="C29" s="30">
        <f t="shared" si="7"/>
        <v>9115.130000000001</v>
      </c>
      <c r="D29" s="30">
        <v>415.79</v>
      </c>
      <c r="E29" s="30">
        <v>4745.59</v>
      </c>
      <c r="F29" s="30">
        <v>3953.75</v>
      </c>
      <c r="G29" s="28">
        <v>95.73</v>
      </c>
      <c r="H29" s="28">
        <f t="shared" si="8"/>
        <v>89.351809760255748</v>
      </c>
      <c r="I29" s="28">
        <v>93.71</v>
      </c>
      <c r="J29" s="28">
        <v>95.37</v>
      </c>
      <c r="K29" s="28">
        <v>81.67</v>
      </c>
      <c r="L29" s="56">
        <f t="shared" si="9"/>
        <v>830803.41585709807</v>
      </c>
      <c r="M29" s="56">
        <f t="shared" si="10"/>
        <v>10201.393821185331</v>
      </c>
      <c r="N29" s="56">
        <f t="shared" si="10"/>
        <v>443.69864475509553</v>
      </c>
      <c r="O29" s="56">
        <f t="shared" si="10"/>
        <v>4975.9777707874591</v>
      </c>
      <c r="P29" s="56">
        <f t="shared" si="10"/>
        <v>4841.1289335129177</v>
      </c>
    </row>
    <row r="30" spans="1:16">
      <c r="A30" s="66">
        <v>1995</v>
      </c>
      <c r="B30" s="30">
        <v>853581.69</v>
      </c>
      <c r="C30" s="30">
        <f t="shared" si="7"/>
        <v>10323.349999999999</v>
      </c>
      <c r="D30" s="30">
        <v>389.44</v>
      </c>
      <c r="E30" s="30">
        <v>5064.25</v>
      </c>
      <c r="F30" s="30">
        <v>4869.66</v>
      </c>
      <c r="G30" s="28">
        <v>100</v>
      </c>
      <c r="H30" s="28">
        <f t="shared" si="8"/>
        <v>100</v>
      </c>
      <c r="I30" s="28">
        <v>100</v>
      </c>
      <c r="J30" s="28">
        <v>100</v>
      </c>
      <c r="K30" s="28">
        <v>100</v>
      </c>
      <c r="L30" s="56">
        <f t="shared" si="9"/>
        <v>853581.69</v>
      </c>
      <c r="M30" s="56">
        <f t="shared" si="9"/>
        <v>10323.349999999999</v>
      </c>
      <c r="N30" s="56">
        <f t="shared" si="9"/>
        <v>389.44</v>
      </c>
      <c r="O30" s="56">
        <f t="shared" si="9"/>
        <v>5064.25</v>
      </c>
      <c r="P30" s="56">
        <f t="shared" si="9"/>
        <v>4869.66</v>
      </c>
    </row>
    <row r="31" spans="1:16">
      <c r="A31" s="66">
        <v>1996</v>
      </c>
      <c r="B31" s="30">
        <v>906886.64</v>
      </c>
      <c r="C31" s="30">
        <f t="shared" si="7"/>
        <v>10107.91</v>
      </c>
      <c r="D31" s="30">
        <v>460.22</v>
      </c>
      <c r="E31" s="30">
        <v>5140.16</v>
      </c>
      <c r="F31" s="30">
        <v>4507.53</v>
      </c>
      <c r="G31" s="28">
        <v>105.58</v>
      </c>
      <c r="H31" s="28">
        <f t="shared" si="8"/>
        <v>98.928954145812526</v>
      </c>
      <c r="I31" s="28">
        <v>104.44</v>
      </c>
      <c r="J31" s="28">
        <v>103.17</v>
      </c>
      <c r="K31" s="28">
        <v>93.53</v>
      </c>
      <c r="L31" s="56">
        <f t="shared" si="9"/>
        <v>858956.84788785758</v>
      </c>
      <c r="M31" s="56">
        <f t="shared" si="9"/>
        <v>10217.342422423504</v>
      </c>
      <c r="N31" s="56">
        <f t="shared" si="9"/>
        <v>440.65492148602067</v>
      </c>
      <c r="O31" s="56">
        <f t="shared" si="9"/>
        <v>4982.2235145875738</v>
      </c>
      <c r="P31" s="56">
        <f t="shared" si="9"/>
        <v>4819.3413877900139</v>
      </c>
    </row>
    <row r="32" spans="1:16">
      <c r="A32" s="66">
        <v>1997</v>
      </c>
      <c r="B32" s="30">
        <v>942435.48</v>
      </c>
      <c r="C32" s="30">
        <f t="shared" si="7"/>
        <v>9992.02</v>
      </c>
      <c r="D32" s="30">
        <v>464.76</v>
      </c>
      <c r="E32" s="30">
        <v>5115.58</v>
      </c>
      <c r="F32" s="30">
        <v>4411.68</v>
      </c>
      <c r="G32" s="28">
        <v>107.87</v>
      </c>
      <c r="H32" s="28">
        <f t="shared" si="8"/>
        <v>94.800941811565622</v>
      </c>
      <c r="I32" s="28">
        <v>102.78</v>
      </c>
      <c r="J32" s="28">
        <v>101.39</v>
      </c>
      <c r="K32" s="28">
        <v>86.32</v>
      </c>
      <c r="L32" s="56">
        <f t="shared" si="9"/>
        <v>873677.09279688506</v>
      </c>
      <c r="M32" s="56">
        <f t="shared" si="9"/>
        <v>10540.000773263397</v>
      </c>
      <c r="N32" s="56">
        <f t="shared" si="9"/>
        <v>452.18914185639227</v>
      </c>
      <c r="O32" s="56">
        <f t="shared" si="9"/>
        <v>5045.4482690600653</v>
      </c>
      <c r="P32" s="56">
        <f t="shared" si="9"/>
        <v>5110.8433734939763</v>
      </c>
    </row>
    <row r="33" spans="1:16">
      <c r="A33" s="66">
        <v>1998</v>
      </c>
      <c r="B33" s="30">
        <v>975487.53</v>
      </c>
      <c r="C33" s="30">
        <f t="shared" si="7"/>
        <v>10775.88</v>
      </c>
      <c r="D33" s="30">
        <v>466.7</v>
      </c>
      <c r="E33" s="30">
        <v>5439.94</v>
      </c>
      <c r="F33" s="30">
        <v>4869.24</v>
      </c>
      <c r="G33" s="28">
        <v>110.18</v>
      </c>
      <c r="H33" s="28">
        <f t="shared" si="8"/>
        <v>97.250243933674085</v>
      </c>
      <c r="I33" s="28">
        <v>100.22</v>
      </c>
      <c r="J33" s="28">
        <v>102.59</v>
      </c>
      <c r="K33" s="28">
        <v>91</v>
      </c>
      <c r="L33" s="56">
        <f t="shared" si="9"/>
        <v>885358.07769105094</v>
      </c>
      <c r="M33" s="56">
        <f t="shared" si="9"/>
        <v>11080.568607467236</v>
      </c>
      <c r="N33" s="56">
        <f t="shared" si="9"/>
        <v>465.67551386948713</v>
      </c>
      <c r="O33" s="56">
        <f t="shared" si="9"/>
        <v>5302.6025928453064</v>
      </c>
      <c r="P33" s="56">
        <f t="shared" si="9"/>
        <v>5350.8131868131868</v>
      </c>
    </row>
    <row r="34" spans="1:16">
      <c r="A34" s="66">
        <v>1999</v>
      </c>
      <c r="B34" s="30">
        <v>1005406.1</v>
      </c>
      <c r="C34" s="30">
        <f t="shared" si="7"/>
        <v>10946.5</v>
      </c>
      <c r="D34" s="30">
        <v>444.48</v>
      </c>
      <c r="E34" s="30">
        <v>5630.69</v>
      </c>
      <c r="F34" s="30">
        <v>4871.33</v>
      </c>
      <c r="G34" s="28">
        <v>111.61</v>
      </c>
      <c r="H34" s="28">
        <f t="shared" si="8"/>
        <v>94.043017119627265</v>
      </c>
      <c r="I34" s="28">
        <v>94.6</v>
      </c>
      <c r="J34" s="28">
        <v>99.85</v>
      </c>
      <c r="K34" s="28">
        <v>87.28</v>
      </c>
      <c r="L34" s="56">
        <f t="shared" si="9"/>
        <v>900820.80458740261</v>
      </c>
      <c r="M34" s="56">
        <f t="shared" si="9"/>
        <v>11639.886017348341</v>
      </c>
      <c r="N34" s="56">
        <f t="shared" si="9"/>
        <v>469.85200845665963</v>
      </c>
      <c r="O34" s="56">
        <f t="shared" si="9"/>
        <v>5639.1487230846269</v>
      </c>
      <c r="P34" s="56">
        <f t="shared" si="9"/>
        <v>5581.2671860678274</v>
      </c>
    </row>
    <row r="35" spans="1:16">
      <c r="A35" s="66">
        <v>2000</v>
      </c>
      <c r="B35" s="30">
        <v>1064036.32</v>
      </c>
      <c r="C35" s="30">
        <f t="shared" si="7"/>
        <v>11433.24</v>
      </c>
      <c r="D35" s="30">
        <v>384.79</v>
      </c>
      <c r="E35" s="30">
        <v>5906.67</v>
      </c>
      <c r="F35" s="30">
        <v>5141.78</v>
      </c>
      <c r="G35" s="28">
        <v>114.08</v>
      </c>
      <c r="H35" s="28">
        <f t="shared" si="8"/>
        <v>95.836632074547566</v>
      </c>
      <c r="I35" s="28">
        <v>95.37</v>
      </c>
      <c r="J35" s="28">
        <v>99.32</v>
      </c>
      <c r="K35" s="28">
        <v>91.87</v>
      </c>
      <c r="L35" s="56">
        <f t="shared" si="9"/>
        <v>932710.65918653575</v>
      </c>
      <c r="M35" s="56">
        <f t="shared" si="9"/>
        <v>11929.926743571843</v>
      </c>
      <c r="N35" s="56">
        <f t="shared" si="9"/>
        <v>403.47069309007026</v>
      </c>
      <c r="O35" s="56">
        <f t="shared" si="9"/>
        <v>5947.1103503826025</v>
      </c>
      <c r="P35" s="56">
        <f t="shared" si="9"/>
        <v>5596.7998258408616</v>
      </c>
    </row>
    <row r="36" spans="1:16">
      <c r="A36" s="66">
        <v>2001</v>
      </c>
      <c r="B36" s="30">
        <v>1122977.1499999999</v>
      </c>
      <c r="C36" s="30">
        <f t="shared" si="7"/>
        <v>12272.630000000001</v>
      </c>
      <c r="D36" s="30">
        <v>325.48</v>
      </c>
      <c r="E36" s="30">
        <v>6837.95</v>
      </c>
      <c r="F36" s="30">
        <v>5109.2</v>
      </c>
      <c r="G36" s="28">
        <v>118.21</v>
      </c>
      <c r="H36" s="28">
        <f t="shared" si="8"/>
        <v>101.67112284815886</v>
      </c>
      <c r="I36" s="28">
        <v>97.98</v>
      </c>
      <c r="J36" s="28">
        <v>108.52</v>
      </c>
      <c r="K36" s="28">
        <v>92.74</v>
      </c>
      <c r="L36" s="56">
        <f t="shared" si="9"/>
        <v>949984.89975467382</v>
      </c>
      <c r="M36" s="56">
        <f t="shared" si="9"/>
        <v>12070.910260653467</v>
      </c>
      <c r="N36" s="56">
        <f t="shared" si="9"/>
        <v>332.19024290671564</v>
      </c>
      <c r="O36" s="56">
        <f t="shared" si="9"/>
        <v>6301.0965720604499</v>
      </c>
      <c r="P36" s="56">
        <f t="shared" si="9"/>
        <v>5509.1654086693989</v>
      </c>
    </row>
    <row r="37" spans="1:16">
      <c r="A37" s="66">
        <v>2002</v>
      </c>
      <c r="B37" s="30">
        <v>1165418.71</v>
      </c>
      <c r="C37" s="30">
        <f t="shared" si="7"/>
        <v>11658.529999999999</v>
      </c>
      <c r="D37" s="30">
        <v>334.94</v>
      </c>
      <c r="E37" s="30">
        <v>6380.76</v>
      </c>
      <c r="F37" s="30">
        <v>4942.83</v>
      </c>
      <c r="G37" s="28">
        <v>122.03</v>
      </c>
      <c r="H37" s="28">
        <f t="shared" si="8"/>
        <v>101.46807814535796</v>
      </c>
      <c r="I37" s="28">
        <v>100.08</v>
      </c>
      <c r="J37" s="28">
        <v>108</v>
      </c>
      <c r="K37" s="28">
        <v>93.13</v>
      </c>
      <c r="L37" s="56">
        <f t="shared" si="9"/>
        <v>955026.39514873386</v>
      </c>
      <c r="M37" s="56">
        <f t="shared" si="9"/>
        <v>11489.850022879697</v>
      </c>
      <c r="N37" s="56">
        <f t="shared" si="9"/>
        <v>334.67226219024781</v>
      </c>
      <c r="O37" s="56">
        <f t="shared" si="9"/>
        <v>5908.1111111111113</v>
      </c>
      <c r="P37" s="56">
        <f t="shared" si="9"/>
        <v>5307.4519488886508</v>
      </c>
    </row>
    <row r="38" spans="1:16">
      <c r="A38" s="66">
        <v>2003</v>
      </c>
      <c r="B38" s="30">
        <v>1203739.74</v>
      </c>
      <c r="C38" s="30">
        <f t="shared" si="7"/>
        <v>11411.35</v>
      </c>
      <c r="D38" s="30">
        <v>398.37</v>
      </c>
      <c r="E38" s="30">
        <v>6089.06</v>
      </c>
      <c r="F38" s="30">
        <v>4923.92</v>
      </c>
      <c r="G38" s="28">
        <v>126.4</v>
      </c>
      <c r="H38" s="28">
        <f t="shared" si="8"/>
        <v>100.37488738843345</v>
      </c>
      <c r="I38" s="28">
        <v>107.24</v>
      </c>
      <c r="J38" s="28">
        <v>105.38</v>
      </c>
      <c r="K38" s="28">
        <v>93.63</v>
      </c>
      <c r="L38" s="56">
        <f t="shared" si="9"/>
        <v>952325.74367088603</v>
      </c>
      <c r="M38" s="56">
        <f t="shared" si="9"/>
        <v>11368.730064762165</v>
      </c>
      <c r="N38" s="56">
        <f t="shared" si="9"/>
        <v>371.47519582245434</v>
      </c>
      <c r="O38" s="56">
        <f t="shared" si="9"/>
        <v>5778.1932055418492</v>
      </c>
      <c r="P38" s="56">
        <f t="shared" si="9"/>
        <v>5258.9127416426363</v>
      </c>
    </row>
    <row r="39" spans="1:16">
      <c r="A39" s="66">
        <v>2004</v>
      </c>
      <c r="B39" s="30">
        <v>1251004.78</v>
      </c>
      <c r="C39" s="30">
        <f t="shared" si="7"/>
        <v>11667.689999999999</v>
      </c>
      <c r="D39" s="30">
        <v>373.4</v>
      </c>
      <c r="E39" s="30">
        <v>6194.91</v>
      </c>
      <c r="F39" s="30">
        <v>5099.38</v>
      </c>
      <c r="G39" s="28">
        <v>129.19</v>
      </c>
      <c r="H39" s="28">
        <f t="shared" si="8"/>
        <v>100.93689651507711</v>
      </c>
      <c r="I39" s="28">
        <v>98.29</v>
      </c>
      <c r="J39" s="28">
        <v>107.07</v>
      </c>
      <c r="K39" s="28">
        <v>93.68</v>
      </c>
      <c r="L39" s="56">
        <f t="shared" ref="L39:L42" si="11">B39*100/G39</f>
        <v>968344.90285625821</v>
      </c>
      <c r="M39" s="56">
        <f t="shared" ref="M39:M42" si="12">C39*100/H39</f>
        <v>11559.390473489717</v>
      </c>
      <c r="N39" s="56">
        <f t="shared" ref="N39:N42" si="13">D39*100/I39</f>
        <v>379.89622545528533</v>
      </c>
      <c r="O39" s="56">
        <f t="shared" ref="O39:O42" si="14">E39*100/J39</f>
        <v>5785.8503782572152</v>
      </c>
      <c r="P39" s="56">
        <f t="shared" ref="P39:P42" si="15">F39*100/K39</f>
        <v>5443.4030742954737</v>
      </c>
    </row>
    <row r="40" spans="1:16">
      <c r="A40" s="66">
        <v>2005</v>
      </c>
      <c r="B40" s="30">
        <v>1283376.3700000001</v>
      </c>
      <c r="C40" s="30">
        <f t="shared" si="7"/>
        <v>11282.43</v>
      </c>
      <c r="D40" s="30">
        <v>354.88</v>
      </c>
      <c r="E40" s="30">
        <v>5989.07</v>
      </c>
      <c r="F40" s="30">
        <v>4938.4799999999996</v>
      </c>
      <c r="G40" s="28">
        <v>131.58000000000001</v>
      </c>
      <c r="H40" s="28">
        <f t="shared" si="8"/>
        <v>101.63967861533374</v>
      </c>
      <c r="I40" s="28">
        <v>92.12</v>
      </c>
      <c r="J40" s="28">
        <v>109.6</v>
      </c>
      <c r="K40" s="28">
        <v>92.67</v>
      </c>
      <c r="L40" s="56">
        <f t="shared" si="11"/>
        <v>975358.23833409336</v>
      </c>
      <c r="M40" s="56">
        <f t="shared" si="12"/>
        <v>11100.418806615442</v>
      </c>
      <c r="N40" s="56">
        <f t="shared" si="13"/>
        <v>385.23664785062959</v>
      </c>
      <c r="O40" s="56">
        <f t="shared" si="14"/>
        <v>5464.4799270072999</v>
      </c>
      <c r="P40" s="56">
        <f t="shared" si="15"/>
        <v>5329.1032696665579</v>
      </c>
    </row>
    <row r="41" spans="1:16">
      <c r="A41" s="66">
        <v>2006</v>
      </c>
      <c r="B41" s="30">
        <v>1322721.6200000001</v>
      </c>
      <c r="C41" s="30">
        <f t="shared" si="7"/>
        <v>11641.56</v>
      </c>
      <c r="D41" s="30">
        <v>378.2</v>
      </c>
      <c r="E41" s="30">
        <v>6206.67</v>
      </c>
      <c r="F41" s="30">
        <v>5056.6899999999996</v>
      </c>
      <c r="G41" s="28">
        <v>132.93</v>
      </c>
      <c r="H41" s="28">
        <f t="shared" si="8"/>
        <v>101.67742082676205</v>
      </c>
      <c r="I41" s="28">
        <v>92.54</v>
      </c>
      <c r="J41" s="28">
        <v>110.64</v>
      </c>
      <c r="K41" s="28">
        <v>91.36</v>
      </c>
      <c r="L41" s="56">
        <f t="shared" si="11"/>
        <v>995051.24501617404</v>
      </c>
      <c r="M41" s="56">
        <f t="shared" si="12"/>
        <v>11449.503641358966</v>
      </c>
      <c r="N41" s="56">
        <f t="shared" si="13"/>
        <v>408.68813486060077</v>
      </c>
      <c r="O41" s="56">
        <f t="shared" si="14"/>
        <v>5609.7885032537961</v>
      </c>
      <c r="P41" s="56">
        <f t="shared" si="15"/>
        <v>5534.9058669001743</v>
      </c>
    </row>
    <row r="42" spans="1:16">
      <c r="A42" s="66">
        <v>2007</v>
      </c>
      <c r="B42" s="30">
        <v>1379674.86</v>
      </c>
      <c r="C42" s="30">
        <f t="shared" si="7"/>
        <v>12177.830000000002</v>
      </c>
      <c r="D42" s="30">
        <v>365.98</v>
      </c>
      <c r="E42" s="30">
        <v>6436.71</v>
      </c>
      <c r="F42" s="30">
        <v>5375.14</v>
      </c>
      <c r="G42" s="28">
        <v>136.29</v>
      </c>
      <c r="H42" s="28">
        <f t="shared" si="8"/>
        <v>106.70144616076919</v>
      </c>
      <c r="I42" s="28">
        <v>93.66</v>
      </c>
      <c r="J42" s="28">
        <v>116.63</v>
      </c>
      <c r="K42" s="28">
        <v>95.7</v>
      </c>
      <c r="L42" s="56">
        <f t="shared" si="11"/>
        <v>1012308.2104336342</v>
      </c>
      <c r="M42" s="56">
        <f t="shared" si="12"/>
        <v>11412.994329665808</v>
      </c>
      <c r="N42" s="56">
        <f t="shared" si="13"/>
        <v>390.75379030535981</v>
      </c>
      <c r="O42" s="56">
        <f t="shared" si="14"/>
        <v>5518.9145159907403</v>
      </c>
      <c r="P42" s="56">
        <f t="shared" si="15"/>
        <v>5616.6562173458724</v>
      </c>
    </row>
    <row r="43" spans="1:16">
      <c r="A43" s="66">
        <v>2008</v>
      </c>
      <c r="B43" s="56" t="s">
        <v>22</v>
      </c>
      <c r="C43" s="56" t="s">
        <v>22</v>
      </c>
      <c r="D43" s="56" t="s">
        <v>22</v>
      </c>
      <c r="E43" s="56" t="s">
        <v>22</v>
      </c>
      <c r="F43" s="56" t="s">
        <v>22</v>
      </c>
      <c r="G43" s="56" t="s">
        <v>22</v>
      </c>
      <c r="H43" s="56" t="s">
        <v>22</v>
      </c>
      <c r="I43" s="56" t="s">
        <v>22</v>
      </c>
      <c r="J43" s="56" t="s">
        <v>22</v>
      </c>
      <c r="K43" s="56" t="s">
        <v>22</v>
      </c>
      <c r="L43" s="56" t="s">
        <v>22</v>
      </c>
      <c r="M43" s="56" t="s">
        <v>22</v>
      </c>
      <c r="N43" s="56" t="s">
        <v>22</v>
      </c>
      <c r="O43" s="56" t="s">
        <v>22</v>
      </c>
      <c r="P43" s="56" t="s">
        <v>22</v>
      </c>
    </row>
    <row r="44" spans="1:16">
      <c r="B44" s="57"/>
      <c r="C44" s="57"/>
      <c r="D44" s="57"/>
      <c r="E44" s="57"/>
      <c r="F44" s="57"/>
      <c r="G44" s="57"/>
      <c r="H44" s="57"/>
      <c r="I44" s="57"/>
      <c r="J44" s="57"/>
      <c r="K44" s="57"/>
      <c r="L44" s="57"/>
      <c r="M44" s="57"/>
      <c r="N44" s="57"/>
      <c r="O44" s="57"/>
      <c r="P44" s="57"/>
    </row>
    <row r="45" spans="1:16">
      <c r="A45" s="66" t="s">
        <v>23</v>
      </c>
      <c r="B45" s="56"/>
      <c r="C45" s="56"/>
      <c r="D45" s="56"/>
      <c r="E45" s="56"/>
      <c r="F45" s="56"/>
      <c r="G45" s="56"/>
      <c r="H45" s="56"/>
      <c r="I45" s="56"/>
      <c r="J45" s="56"/>
      <c r="K45" s="56"/>
      <c r="L45" s="57"/>
      <c r="M45" s="57"/>
      <c r="N45" s="57"/>
      <c r="O45" s="57"/>
      <c r="P45" s="57"/>
    </row>
    <row r="46" spans="1:16">
      <c r="A46" s="66" t="s">
        <v>1946</v>
      </c>
      <c r="B46" s="147">
        <f>((B42/B5)^(1/37)-1)*100</f>
        <v>10.693434557142623</v>
      </c>
      <c r="C46" s="147">
        <f t="shared" ref="C46:P46" si="16">((C42/C5)^(1/37)-1)*100</f>
        <v>9.5859899276175007</v>
      </c>
      <c r="D46" s="147">
        <f t="shared" si="16"/>
        <v>6.0018927340311778</v>
      </c>
      <c r="E46" s="147">
        <f t="shared" si="16"/>
        <v>9.4517733913304536</v>
      </c>
      <c r="F46" s="147">
        <f t="shared" si="16"/>
        <v>10.326210094706845</v>
      </c>
      <c r="G46" s="147">
        <f t="shared" si="16"/>
        <v>8.1881303900568128</v>
      </c>
      <c r="H46" s="147">
        <f t="shared" si="16"/>
        <v>6.3910511715784102</v>
      </c>
      <c r="I46" s="147">
        <f t="shared" si="16"/>
        <v>5.2628987565589869</v>
      </c>
      <c r="J46" s="147">
        <f t="shared" si="16"/>
        <v>6.9493467843694257</v>
      </c>
      <c r="K46" s="147">
        <f t="shared" si="16"/>
        <v>5.8863726896237978</v>
      </c>
      <c r="L46" s="147">
        <f t="shared" si="16"/>
        <v>2.3156922649955058</v>
      </c>
      <c r="M46" s="147">
        <f t="shared" si="16"/>
        <v>3.0030145588904489</v>
      </c>
      <c r="N46" s="147">
        <f t="shared" si="16"/>
        <v>0.70204600690435548</v>
      </c>
      <c r="O46" s="147">
        <f t="shared" si="16"/>
        <v>2.3398241150611288</v>
      </c>
      <c r="P46" s="147">
        <f t="shared" si="16"/>
        <v>4.1930205864140424</v>
      </c>
    </row>
    <row r="47" spans="1:16">
      <c r="A47" s="66" t="s">
        <v>2140</v>
      </c>
      <c r="B47" s="147">
        <f>((B25/B5)^(1/20)-1)*100</f>
        <v>16.126816720604296</v>
      </c>
      <c r="C47" s="147">
        <f t="shared" ref="C47:P47" si="17">((C25/C5)^(1/20)-1)*100</f>
        <v>15.504734376539609</v>
      </c>
      <c r="D47" s="147">
        <f t="shared" si="17"/>
        <v>10.732269843217622</v>
      </c>
      <c r="E47" s="147">
        <f t="shared" si="17"/>
        <v>15.471043018439957</v>
      </c>
      <c r="F47" s="147">
        <f t="shared" si="17"/>
        <v>16.463293707845651</v>
      </c>
      <c r="G47" s="147">
        <f t="shared" si="17"/>
        <v>12.626830712990822</v>
      </c>
      <c r="H47" s="147">
        <f t="shared" si="17"/>
        <v>10.765371233483201</v>
      </c>
      <c r="I47" s="147">
        <f t="shared" si="17"/>
        <v>9.731597798428492</v>
      </c>
      <c r="J47" s="147">
        <f t="shared" si="17"/>
        <v>11.367825432432287</v>
      </c>
      <c r="K47" s="147">
        <f t="shared" si="17"/>
        <v>10.31744605384306</v>
      </c>
      <c r="L47" s="147">
        <f t="shared" si="17"/>
        <v>3.1075952199459023</v>
      </c>
      <c r="M47" s="147">
        <f t="shared" si="17"/>
        <v>4.2787408106693015</v>
      </c>
      <c r="N47" s="147">
        <f t="shared" si="17"/>
        <v>0.91192697897948261</v>
      </c>
      <c r="O47" s="147">
        <f t="shared" si="17"/>
        <v>3.6843833217315769</v>
      </c>
      <c r="P47" s="147">
        <f t="shared" si="17"/>
        <v>5.5710568671096583</v>
      </c>
    </row>
    <row r="48" spans="1:16">
      <c r="A48" s="66" t="s">
        <v>660</v>
      </c>
      <c r="B48" s="147">
        <f t="shared" ref="B48:P48" si="18">((B35/B25)^(1/10)-1)*100</f>
        <v>5.2213379842457774</v>
      </c>
      <c r="C48" s="147">
        <f t="shared" si="18"/>
        <v>4.5090740226287229</v>
      </c>
      <c r="D48" s="147">
        <f t="shared" si="18"/>
        <v>1.6924314719501954</v>
      </c>
      <c r="E48" s="147">
        <f t="shared" si="18"/>
        <v>3.8594620478503705</v>
      </c>
      <c r="F48" s="147">
        <f t="shared" si="18"/>
        <v>5.5857777121260943</v>
      </c>
      <c r="G48" s="147">
        <f t="shared" si="18"/>
        <v>3.6228192104916568</v>
      </c>
      <c r="H48" s="147">
        <f t="shared" si="18"/>
        <v>1.4091116868705234</v>
      </c>
      <c r="I48" s="147">
        <f t="shared" si="18"/>
        <v>0.58681609134252355</v>
      </c>
      <c r="J48" s="147">
        <f t="shared" si="18"/>
        <v>1.7330977043381379</v>
      </c>
      <c r="K48" s="147">
        <f t="shared" si="18"/>
        <v>1.1220913676261768</v>
      </c>
      <c r="L48" s="147">
        <f t="shared" si="18"/>
        <v>1.5426320051252551</v>
      </c>
      <c r="M48" s="147">
        <f t="shared" si="18"/>
        <v>3.0568873784539319</v>
      </c>
      <c r="N48" s="147">
        <f t="shared" si="18"/>
        <v>1.099165301746563</v>
      </c>
      <c r="O48" s="147">
        <f t="shared" si="18"/>
        <v>2.0901401721708845</v>
      </c>
      <c r="P48" s="147">
        <f t="shared" si="18"/>
        <v>4.4141554868286192</v>
      </c>
    </row>
    <row r="49" spans="1:16">
      <c r="A49" s="66" t="s">
        <v>588</v>
      </c>
      <c r="B49" s="147">
        <f>((B42/B35)^(1/7)-1)*100</f>
        <v>3.7808409383460972</v>
      </c>
      <c r="C49" s="147">
        <f t="shared" ref="C49:P49" si="19">((C42/C35)^(1/7)-1)*100</f>
        <v>0.90539099583237803</v>
      </c>
      <c r="D49" s="147">
        <f t="shared" si="19"/>
        <v>-0.7134292646172713</v>
      </c>
      <c r="E49" s="147">
        <f t="shared" si="19"/>
        <v>1.2352139393164929</v>
      </c>
      <c r="F49" s="147">
        <f t="shared" si="19"/>
        <v>0.63609018920545157</v>
      </c>
      <c r="G49" s="147">
        <f t="shared" si="19"/>
        <v>2.5737785645748801</v>
      </c>
      <c r="H49" s="147">
        <f t="shared" si="19"/>
        <v>1.5459671646546047</v>
      </c>
      <c r="I49" s="147">
        <f t="shared" si="19"/>
        <v>-0.25813568160343303</v>
      </c>
      <c r="J49" s="147">
        <f t="shared" si="19"/>
        <v>2.3216776391060678</v>
      </c>
      <c r="K49" s="147">
        <f t="shared" si="19"/>
        <v>0.5851879192287246</v>
      </c>
      <c r="L49" s="147">
        <f t="shared" si="19"/>
        <v>1.1767747963104425</v>
      </c>
      <c r="M49" s="147">
        <f t="shared" si="19"/>
        <v>-0.63082383939830899</v>
      </c>
      <c r="N49" s="147">
        <f t="shared" si="19"/>
        <v>-0.45647189986388614</v>
      </c>
      <c r="O49" s="147">
        <f t="shared" si="19"/>
        <v>-1.0618118514647334</v>
      </c>
      <c r="P49" s="147">
        <f t="shared" si="19"/>
        <v>5.0606129023278434E-2</v>
      </c>
    </row>
    <row r="51" spans="1:16">
      <c r="A51" s="137" t="s">
        <v>2039</v>
      </c>
      <c r="B51" s="137"/>
      <c r="C51" s="137"/>
      <c r="D51" s="137"/>
      <c r="E51" s="137"/>
      <c r="F51" s="137"/>
      <c r="G51" s="137"/>
      <c r="H51" s="137"/>
      <c r="I51" s="137"/>
      <c r="J51" s="137"/>
      <c r="K51" s="137"/>
      <c r="L51" s="137"/>
      <c r="M51" s="137"/>
      <c r="N51" s="137"/>
      <c r="O51" s="137"/>
      <c r="P51" s="137"/>
    </row>
    <row r="52" spans="1:16">
      <c r="A52" s="137" t="s">
        <v>193</v>
      </c>
      <c r="B52" s="137"/>
      <c r="C52" s="137"/>
      <c r="D52" s="137"/>
      <c r="E52" s="137"/>
      <c r="F52" s="137"/>
      <c r="G52" s="137"/>
      <c r="H52" s="137"/>
      <c r="I52" s="137"/>
      <c r="J52" s="137"/>
      <c r="K52" s="137"/>
      <c r="L52" s="137"/>
      <c r="M52" s="137"/>
      <c r="N52" s="137"/>
      <c r="O52" s="137"/>
      <c r="P52" s="137"/>
    </row>
    <row r="53" spans="1:16">
      <c r="A53" s="137" t="s">
        <v>527</v>
      </c>
      <c r="B53" s="137"/>
      <c r="C53" s="137"/>
      <c r="D53" s="137"/>
      <c r="E53" s="137"/>
      <c r="F53" s="137"/>
      <c r="G53" s="137"/>
      <c r="H53" s="137"/>
      <c r="I53" s="137"/>
      <c r="J53" s="137"/>
      <c r="K53" s="137"/>
      <c r="L53" s="137"/>
      <c r="M53" s="137"/>
      <c r="N53" s="137"/>
      <c r="O53" s="137"/>
      <c r="P53" s="137"/>
    </row>
    <row r="54" spans="1:16">
      <c r="A54" s="137" t="s">
        <v>543</v>
      </c>
      <c r="B54" s="137"/>
      <c r="C54" s="137"/>
      <c r="D54" s="137"/>
      <c r="E54" s="137"/>
      <c r="F54" s="137"/>
      <c r="G54" s="137"/>
      <c r="H54" s="137"/>
      <c r="I54" s="137"/>
      <c r="J54" s="137"/>
      <c r="K54" s="137"/>
      <c r="L54" s="137"/>
      <c r="M54" s="137"/>
      <c r="N54" s="137"/>
      <c r="O54" s="137"/>
      <c r="P54" s="137"/>
    </row>
  </sheetData>
  <mergeCells count="15">
    <mergeCell ref="A51:P51"/>
    <mergeCell ref="A52:P52"/>
    <mergeCell ref="A53:P53"/>
    <mergeCell ref="A54:P54"/>
    <mergeCell ref="A1:P1"/>
    <mergeCell ref="B2:F2"/>
    <mergeCell ref="G2:K2"/>
    <mergeCell ref="L2:P2"/>
    <mergeCell ref="A3:A4"/>
    <mergeCell ref="B3:B4"/>
    <mergeCell ref="C3:F3"/>
    <mergeCell ref="G3:G4"/>
    <mergeCell ref="H3:K3"/>
    <mergeCell ref="L3:L4"/>
    <mergeCell ref="M3:P3"/>
  </mergeCells>
  <pageMargins left="0.70866141732283472" right="0.70866141732283472" top="0.74803149606299213" bottom="0.74803149606299213" header="0.31496062992125984" footer="0.31496062992125984"/>
  <pageSetup scale="61" orientation="landscape" horizontalDpi="0" verticalDpi="0" r:id="rId1"/>
  <ignoredErrors>
    <ignoredError sqref="C5:C43" formulaRange="1"/>
  </ignoredErrors>
</worksheet>
</file>

<file path=xl/worksheets/sheet153.xml><?xml version="1.0" encoding="utf-8"?>
<worksheet xmlns="http://schemas.openxmlformats.org/spreadsheetml/2006/main" xmlns:r="http://schemas.openxmlformats.org/officeDocument/2006/relationships">
  <sheetPr codeName="Sheet147"/>
  <dimension ref="A1:R51"/>
  <sheetViews>
    <sheetView view="pageBreakPreview" zoomScale="85" zoomScaleNormal="85" zoomScaleSheetLayoutView="85" workbookViewId="0">
      <selection activeCell="AC38" sqref="AC38"/>
    </sheetView>
  </sheetViews>
  <sheetFormatPr defaultRowHeight="15" outlineLevelCol="1"/>
  <cols>
    <col min="1" max="6" width="12.28515625" style="64" customWidth="1"/>
    <col min="7" max="11" width="13.5703125" style="64" customWidth="1"/>
    <col min="12" max="12" width="9.140625" style="64"/>
    <col min="13" max="17" width="9.140625" style="64" hidden="1" customWidth="1" outlineLevel="1"/>
    <col min="18" max="18" width="9.140625" style="64" collapsed="1"/>
    <col min="19" max="16384" width="9.140625" style="64"/>
  </cols>
  <sheetData>
    <row r="1" spans="1:17">
      <c r="A1" s="108" t="s">
        <v>1939</v>
      </c>
      <c r="B1" s="108"/>
      <c r="C1" s="108"/>
      <c r="D1" s="108"/>
      <c r="E1" s="108"/>
      <c r="F1" s="108"/>
      <c r="G1" s="108"/>
      <c r="H1" s="108"/>
      <c r="I1" s="108"/>
      <c r="J1" s="108"/>
      <c r="K1" s="108"/>
    </row>
    <row r="2" spans="1:17">
      <c r="A2" s="66"/>
      <c r="B2" s="111" t="s">
        <v>528</v>
      </c>
      <c r="C2" s="111"/>
      <c r="D2" s="111"/>
      <c r="E2" s="111"/>
      <c r="F2" s="111"/>
      <c r="G2" s="111" t="s">
        <v>531</v>
      </c>
      <c r="H2" s="111"/>
      <c r="I2" s="111"/>
      <c r="J2" s="111"/>
      <c r="K2" s="111"/>
      <c r="M2" s="111" t="s">
        <v>529</v>
      </c>
      <c r="N2" s="111"/>
      <c r="O2" s="111"/>
      <c r="P2" s="111"/>
      <c r="Q2" s="111"/>
    </row>
    <row r="3" spans="1:17" ht="15" customHeight="1">
      <c r="A3" s="149"/>
      <c r="B3" s="97" t="s">
        <v>523</v>
      </c>
      <c r="C3" s="97" t="s">
        <v>37</v>
      </c>
      <c r="D3" s="97"/>
      <c r="E3" s="97"/>
      <c r="F3" s="97"/>
      <c r="G3" s="97" t="s">
        <v>523</v>
      </c>
      <c r="H3" s="97" t="s">
        <v>37</v>
      </c>
      <c r="I3" s="97"/>
      <c r="J3" s="97"/>
      <c r="K3" s="97"/>
      <c r="M3" s="97" t="s">
        <v>523</v>
      </c>
      <c r="N3" s="97" t="s">
        <v>49</v>
      </c>
      <c r="O3" s="97"/>
      <c r="P3" s="97"/>
      <c r="Q3" s="97"/>
    </row>
    <row r="4" spans="1:17" ht="60">
      <c r="A4" s="149"/>
      <c r="B4" s="97"/>
      <c r="C4" s="73" t="s">
        <v>78</v>
      </c>
      <c r="D4" s="73" t="s">
        <v>522</v>
      </c>
      <c r="E4" s="73" t="s">
        <v>524</v>
      </c>
      <c r="F4" s="73" t="s">
        <v>525</v>
      </c>
      <c r="G4" s="97"/>
      <c r="H4" s="73" t="s">
        <v>78</v>
      </c>
      <c r="I4" s="73" t="s">
        <v>522</v>
      </c>
      <c r="J4" s="73" t="s">
        <v>524</v>
      </c>
      <c r="K4" s="73" t="s">
        <v>525</v>
      </c>
      <c r="M4" s="97"/>
      <c r="N4" s="73" t="s">
        <v>50</v>
      </c>
      <c r="O4" s="73" t="s">
        <v>522</v>
      </c>
      <c r="P4" s="73" t="s">
        <v>524</v>
      </c>
      <c r="Q4" s="73" t="s">
        <v>525</v>
      </c>
    </row>
    <row r="5" spans="1:17">
      <c r="A5" s="66">
        <v>1970</v>
      </c>
      <c r="B5" s="150">
        <v>6325.98</v>
      </c>
      <c r="C5" s="56">
        <f t="shared" ref="C5:C13" si="0">SUM(D5:F5)</f>
        <v>306.04999999999995</v>
      </c>
      <c r="D5" s="150">
        <v>98.25</v>
      </c>
      <c r="E5" s="150">
        <v>115.58</v>
      </c>
      <c r="F5" s="150">
        <v>92.22</v>
      </c>
      <c r="G5" s="147">
        <f>'606a'!L5/'606'!B5</f>
        <v>151.89033930217684</v>
      </c>
      <c r="H5" s="147">
        <f>'606a'!M5/'606'!C5</f>
        <v>220.51015517955943</v>
      </c>
      <c r="I5" s="147">
        <f>'606a'!N5/'606'!D5</f>
        <v>287.83040087258223</v>
      </c>
      <c r="J5" s="147">
        <f>'606a'!O5/'606'!E5</f>
        <v>98.204428415446515</v>
      </c>
      <c r="K5" s="147">
        <f>'606a'!P5/'606'!F5</f>
        <v>372.27260354436186</v>
      </c>
      <c r="M5" s="62"/>
      <c r="N5" s="62"/>
      <c r="O5" s="62"/>
      <c r="P5" s="62"/>
      <c r="Q5" s="62"/>
    </row>
    <row r="6" spans="1:17">
      <c r="A6" s="66">
        <v>1971</v>
      </c>
      <c r="B6" s="150">
        <v>6283.51</v>
      </c>
      <c r="C6" s="56">
        <f t="shared" si="0"/>
        <v>298.14</v>
      </c>
      <c r="D6" s="150">
        <v>93.87</v>
      </c>
      <c r="E6" s="150">
        <v>113.86</v>
      </c>
      <c r="F6" s="150">
        <v>90.41</v>
      </c>
      <c r="G6" s="147">
        <f>'606a'!L6/'606'!B6</f>
        <v>156.18368972754203</v>
      </c>
      <c r="H6" s="147">
        <f>'606a'!M6/'606'!C6</f>
        <v>242.21489439254387</v>
      </c>
      <c r="I6" s="147">
        <f>'606a'!N6/'606'!D6</f>
        <v>355.81677996075462</v>
      </c>
      <c r="J6" s="147">
        <f>'606a'!O6/'606'!E6</f>
        <v>102.31938164121499</v>
      </c>
      <c r="K6" s="147">
        <f>'606a'!P6/'606'!F6</f>
        <v>370.10200269512558</v>
      </c>
      <c r="M6" s="62"/>
      <c r="N6" s="62"/>
      <c r="O6" s="62"/>
      <c r="P6" s="62"/>
      <c r="Q6" s="62"/>
    </row>
    <row r="7" spans="1:17">
      <c r="A7" s="66">
        <v>1972</v>
      </c>
      <c r="B7" s="150">
        <v>6249.64</v>
      </c>
      <c r="C7" s="56">
        <f t="shared" si="0"/>
        <v>295.24</v>
      </c>
      <c r="D7" s="150">
        <v>89.8</v>
      </c>
      <c r="E7" s="150">
        <v>112.13</v>
      </c>
      <c r="F7" s="150">
        <v>93.31</v>
      </c>
      <c r="G7" s="147">
        <f>'606a'!L7/'606'!B7</f>
        <v>161.14831934231881</v>
      </c>
      <c r="H7" s="147">
        <f>'606a'!M7/'606'!C7</f>
        <v>233.60057838381982</v>
      </c>
      <c r="I7" s="147">
        <f>'606a'!N7/'606'!D7</f>
        <v>309.85129428079176</v>
      </c>
      <c r="J7" s="147">
        <f>'606a'!O7/'606'!E7</f>
        <v>109.47089819947475</v>
      </c>
      <c r="K7" s="147">
        <f>'606a'!P7/'606'!F7</f>
        <v>380.91241260026732</v>
      </c>
      <c r="M7" s="62"/>
      <c r="N7" s="62"/>
      <c r="O7" s="62"/>
      <c r="P7" s="62"/>
      <c r="Q7" s="62"/>
    </row>
    <row r="8" spans="1:17">
      <c r="A8" s="66">
        <v>1973</v>
      </c>
      <c r="B8" s="150">
        <v>6247.03</v>
      </c>
      <c r="C8" s="56">
        <f t="shared" si="0"/>
        <v>297.16000000000003</v>
      </c>
      <c r="D8" s="150">
        <v>86.36</v>
      </c>
      <c r="E8" s="150">
        <v>117.31</v>
      </c>
      <c r="F8" s="150">
        <v>93.49</v>
      </c>
      <c r="G8" s="147">
        <f>'606a'!L8/'606'!B8</f>
        <v>167.31406117722494</v>
      </c>
      <c r="H8" s="147">
        <f>'606a'!M8/'606'!C8</f>
        <v>250.055336360327</v>
      </c>
      <c r="I8" s="147">
        <f>'606a'!N8/'606'!D8</f>
        <v>338.94991804132695</v>
      </c>
      <c r="J8" s="147">
        <f>'606a'!O8/'606'!E8</f>
        <v>113.03025430022733</v>
      </c>
      <c r="K8" s="147">
        <f>'606a'!P8/'606'!F8</f>
        <v>430.49031574346526</v>
      </c>
      <c r="M8" s="62"/>
      <c r="N8" s="62"/>
      <c r="O8" s="62"/>
      <c r="P8" s="62"/>
      <c r="Q8" s="62"/>
    </row>
    <row r="9" spans="1:17">
      <c r="A9" s="66">
        <v>1974</v>
      </c>
      <c r="B9" s="150">
        <v>6316.72</v>
      </c>
      <c r="C9" s="56">
        <f t="shared" si="0"/>
        <v>293.14999999999998</v>
      </c>
      <c r="D9" s="150">
        <v>82.6</v>
      </c>
      <c r="E9" s="150">
        <v>115.24</v>
      </c>
      <c r="F9" s="150">
        <v>95.31</v>
      </c>
      <c r="G9" s="147">
        <f>'606a'!L9/'606'!B9</f>
        <v>174.62961694564075</v>
      </c>
      <c r="H9" s="147">
        <f>'606a'!M9/'606'!C9</f>
        <v>259.96973873206872</v>
      </c>
      <c r="I9" s="147">
        <f>'606a'!N9/'606'!D9</f>
        <v>356.30594299301828</v>
      </c>
      <c r="J9" s="147">
        <f>'606a'!O9/'606'!E9</f>
        <v>118.03125567163967</v>
      </c>
      <c r="K9" s="147">
        <f>'606a'!P9/'606'!F9</f>
        <v>444.10574043442836</v>
      </c>
      <c r="M9" s="62"/>
      <c r="N9" s="62"/>
      <c r="O9" s="62"/>
      <c r="P9" s="62"/>
      <c r="Q9" s="62"/>
    </row>
    <row r="10" spans="1:17">
      <c r="A10" s="66">
        <v>1975</v>
      </c>
      <c r="B10" s="150">
        <v>6441.67</v>
      </c>
      <c r="C10" s="56">
        <f t="shared" si="0"/>
        <v>283.42999999999995</v>
      </c>
      <c r="D10" s="150">
        <v>81.66</v>
      </c>
      <c r="E10" s="150">
        <v>105.92</v>
      </c>
      <c r="F10" s="150">
        <v>95.85</v>
      </c>
      <c r="G10" s="147">
        <f>'606a'!L10/'606'!B10</f>
        <v>171.58496298007734</v>
      </c>
      <c r="H10" s="147">
        <f>'606a'!M10/'606'!C10</f>
        <v>227.48442903129535</v>
      </c>
      <c r="I10" s="147">
        <f>'606a'!N10/'606'!D10</f>
        <v>321.05138906580174</v>
      </c>
      <c r="J10" s="147">
        <f>'606a'!O10/'606'!E10</f>
        <v>104.25358831177056</v>
      </c>
      <c r="K10" s="147">
        <f>'606a'!P10/'606'!F10</f>
        <v>368.09997153331398</v>
      </c>
      <c r="M10" s="62"/>
      <c r="N10" s="62"/>
      <c r="O10" s="62"/>
      <c r="P10" s="62"/>
      <c r="Q10" s="62"/>
    </row>
    <row r="11" spans="1:17">
      <c r="A11" s="66">
        <v>1976</v>
      </c>
      <c r="B11" s="150">
        <v>6537.9</v>
      </c>
      <c r="C11" s="56">
        <f t="shared" si="0"/>
        <v>282.88</v>
      </c>
      <c r="D11" s="150">
        <v>79.47</v>
      </c>
      <c r="E11" s="150">
        <v>102.47</v>
      </c>
      <c r="F11" s="150">
        <v>100.94</v>
      </c>
      <c r="G11" s="147">
        <f>'606a'!L11/'606'!B11</f>
        <v>172.29817962208611</v>
      </c>
      <c r="H11" s="147">
        <f>'606a'!M11/'606'!C11</f>
        <v>227.81886920792317</v>
      </c>
      <c r="I11" s="147">
        <f>'606a'!N11/'606'!D11</f>
        <v>322.94555732270038</v>
      </c>
      <c r="J11" s="147">
        <f>'606a'!O11/'606'!E11</f>
        <v>112.62327199682325</v>
      </c>
      <c r="K11" s="147">
        <f>'606a'!P11/'606'!F11</f>
        <v>364.56222681578265</v>
      </c>
      <c r="M11" s="62"/>
      <c r="N11" s="62"/>
      <c r="O11" s="62"/>
      <c r="P11" s="62"/>
      <c r="Q11" s="62"/>
    </row>
    <row r="12" spans="1:17">
      <c r="A12" s="66">
        <v>1977</v>
      </c>
      <c r="B12" s="150">
        <v>6556.26</v>
      </c>
      <c r="C12" s="56">
        <f t="shared" si="0"/>
        <v>274.91000000000003</v>
      </c>
      <c r="D12" s="150">
        <v>77.599999999999994</v>
      </c>
      <c r="E12" s="150">
        <v>97.64</v>
      </c>
      <c r="F12" s="150">
        <v>99.67</v>
      </c>
      <c r="G12" s="147">
        <f>'606a'!L12/'606'!B12</f>
        <v>169.98762421855474</v>
      </c>
      <c r="H12" s="147">
        <f>'606a'!M12/'606'!C12</f>
        <v>204.13507675243764</v>
      </c>
      <c r="I12" s="147">
        <f>'606a'!N12/'606'!D12</f>
        <v>285.86821637863773</v>
      </c>
      <c r="J12" s="147">
        <f>'606a'!O12/'606'!E12</f>
        <v>116.3177768564905</v>
      </c>
      <c r="K12" s="147">
        <f>'606a'!P12/'606'!F12</f>
        <v>353.17242957444023</v>
      </c>
      <c r="M12" s="62"/>
      <c r="N12" s="62"/>
      <c r="O12" s="62"/>
      <c r="P12" s="62"/>
      <c r="Q12" s="62"/>
    </row>
    <row r="13" spans="1:17">
      <c r="A13" s="66">
        <v>1978</v>
      </c>
      <c r="B13" s="150">
        <v>6610.02</v>
      </c>
      <c r="C13" s="56">
        <f t="shared" si="0"/>
        <v>270.88</v>
      </c>
      <c r="D13" s="150">
        <v>78.53</v>
      </c>
      <c r="E13" s="150">
        <v>95.23</v>
      </c>
      <c r="F13" s="150">
        <v>97.12</v>
      </c>
      <c r="G13" s="147">
        <f>'606a'!L13/'606'!B13</f>
        <v>171.58434357336449</v>
      </c>
      <c r="H13" s="147">
        <f>'606a'!M13/'606'!C13</f>
        <v>224.1767177732859</v>
      </c>
      <c r="I13" s="147">
        <f>'606a'!N13/'606'!D13</f>
        <v>286.21743153571316</v>
      </c>
      <c r="J13" s="147">
        <f>'606a'!O13/'606'!E13</f>
        <v>121.54589460812483</v>
      </c>
      <c r="K13" s="147">
        <f>'606a'!P13/'606'!F13</f>
        <v>400.31733365367012</v>
      </c>
      <c r="M13" s="62"/>
      <c r="N13" s="62"/>
      <c r="O13" s="62"/>
      <c r="P13" s="62"/>
      <c r="Q13" s="62"/>
    </row>
    <row r="14" spans="1:17">
      <c r="A14" s="66">
        <v>1979</v>
      </c>
      <c r="B14" s="56">
        <v>6678.98</v>
      </c>
      <c r="C14" s="56">
        <f>SUM(D14:F14)</f>
        <v>271.89</v>
      </c>
      <c r="D14" s="56">
        <v>75.72</v>
      </c>
      <c r="E14" s="56">
        <v>98.68</v>
      </c>
      <c r="F14" s="56">
        <v>97.49</v>
      </c>
      <c r="G14" s="147">
        <f>'606a'!L14/'606'!B14</f>
        <v>177.79972148199033</v>
      </c>
      <c r="H14" s="147">
        <f>'606a'!M14/'606'!C14</f>
        <v>247.44881172855145</v>
      </c>
      <c r="I14" s="147">
        <f>'606a'!N14/'606'!D14</f>
        <v>295.6413348091711</v>
      </c>
      <c r="J14" s="147">
        <f>'606a'!O14/'606'!E14</f>
        <v>122.45414896617667</v>
      </c>
      <c r="K14" s="147">
        <f>'606a'!P14/'606'!F14</f>
        <v>433.10352692459912</v>
      </c>
      <c r="L14" s="139"/>
      <c r="M14" s="64">
        <v>6483499.1577320797</v>
      </c>
      <c r="N14" s="64">
        <f>SUM(O14:Q14)</f>
        <v>267647.6500442581</v>
      </c>
      <c r="O14" s="64">
        <v>93245.205523466837</v>
      </c>
      <c r="P14" s="64">
        <v>87295.668589911715</v>
      </c>
      <c r="Q14" s="64">
        <v>87106.77593087955</v>
      </c>
    </row>
    <row r="15" spans="1:17">
      <c r="A15" s="66">
        <v>1980</v>
      </c>
      <c r="B15" s="56">
        <v>6756.9</v>
      </c>
      <c r="C15" s="56">
        <f t="shared" ref="C15:C42" si="1">SUM(D15:F15)</f>
        <v>266.92</v>
      </c>
      <c r="D15" s="56">
        <v>74.150000000000006</v>
      </c>
      <c r="E15" s="56">
        <v>97.64</v>
      </c>
      <c r="F15" s="56">
        <v>95.13</v>
      </c>
      <c r="G15" s="147">
        <f>'606a'!L15/'606'!B15</f>
        <v>178.48129651760362</v>
      </c>
      <c r="H15" s="147">
        <f>'606a'!M15/'606'!C15</f>
        <v>248.37705232167951</v>
      </c>
      <c r="I15" s="147">
        <f>'606a'!N15/'606'!D15</f>
        <v>306.44385182987043</v>
      </c>
      <c r="J15" s="147">
        <f>'606a'!O15/'606'!E15</f>
        <v>122.98320616880486</v>
      </c>
      <c r="K15" s="147">
        <f>'606a'!P15/'606'!F15</f>
        <v>428.11591155962026</v>
      </c>
      <c r="L15" s="152"/>
      <c r="M15" s="64">
        <v>6566675.7645606576</v>
      </c>
      <c r="N15" s="64">
        <f t="shared" ref="N15:N38" si="2">SUM(O15:Q15)</f>
        <v>264614.74754937598</v>
      </c>
      <c r="O15" s="64">
        <v>91415.200741050561</v>
      </c>
      <c r="P15" s="64">
        <v>85268.365997266956</v>
      </c>
      <c r="Q15" s="64">
        <v>87931.180811058468</v>
      </c>
    </row>
    <row r="16" spans="1:17">
      <c r="A16" s="66">
        <v>1981</v>
      </c>
      <c r="B16" s="56">
        <v>6737.01</v>
      </c>
      <c r="C16" s="56">
        <f t="shared" si="1"/>
        <v>254.86</v>
      </c>
      <c r="D16" s="56">
        <v>71.489999999999995</v>
      </c>
      <c r="E16" s="56">
        <v>89</v>
      </c>
      <c r="F16" s="56">
        <v>94.37</v>
      </c>
      <c r="G16" s="147">
        <f>'606a'!L16/'606'!B16</f>
        <v>179.97076879776526</v>
      </c>
      <c r="H16" s="147">
        <f>'606a'!M16/'606'!C16</f>
        <v>248.23104106334296</v>
      </c>
      <c r="I16" s="147">
        <f>'606a'!N16/'606'!D16</f>
        <v>316.38743334417012</v>
      </c>
      <c r="J16" s="147">
        <f>'606a'!O16/'606'!E16</f>
        <v>120.98928064057858</v>
      </c>
      <c r="K16" s="147">
        <f>'606a'!P16/'606'!F16</f>
        <v>416.06517057135659</v>
      </c>
      <c r="L16" s="152"/>
      <c r="M16" s="64">
        <v>6551746.1165000312</v>
      </c>
      <c r="N16" s="64">
        <f t="shared" si="2"/>
        <v>257115.66724760656</v>
      </c>
      <c r="O16" s="64">
        <v>89106.036194258966</v>
      </c>
      <c r="P16" s="64">
        <v>81553.637189448709</v>
      </c>
      <c r="Q16" s="64">
        <v>86455.993863898897</v>
      </c>
    </row>
    <row r="17" spans="1:17">
      <c r="A17" s="66">
        <v>1982</v>
      </c>
      <c r="B17" s="56">
        <v>6735.29</v>
      </c>
      <c r="C17" s="56">
        <f t="shared" si="1"/>
        <v>246.85000000000002</v>
      </c>
      <c r="D17" s="56">
        <v>69.739999999999995</v>
      </c>
      <c r="E17" s="56">
        <v>85.63</v>
      </c>
      <c r="F17" s="56">
        <v>91.48</v>
      </c>
      <c r="G17" s="147">
        <f>'606a'!L17/'606'!B17</f>
        <v>182.93653955418642</v>
      </c>
      <c r="H17" s="147">
        <f>'606a'!M17/'606'!C17</f>
        <v>271.47447617460932</v>
      </c>
      <c r="I17" s="147">
        <f>'606a'!N17/'606'!D17</f>
        <v>331.3527260401973</v>
      </c>
      <c r="J17" s="147">
        <f>'606a'!O17/'606'!E17</f>
        <v>132.85040235271984</v>
      </c>
      <c r="K17" s="147">
        <f>'606a'!P17/'606'!F17</f>
        <v>422.80581268144437</v>
      </c>
      <c r="L17" s="152"/>
      <c r="M17" s="64">
        <v>6560168.1913571116</v>
      </c>
      <c r="N17" s="64">
        <f t="shared" si="2"/>
        <v>250678.18652684256</v>
      </c>
      <c r="O17" s="64">
        <v>89028.999060522416</v>
      </c>
      <c r="P17" s="64">
        <v>79106.508517450566</v>
      </c>
      <c r="Q17" s="64">
        <v>82542.678948869579</v>
      </c>
    </row>
    <row r="18" spans="1:17">
      <c r="A18" s="66">
        <v>1983</v>
      </c>
      <c r="B18" s="56">
        <v>6749.14</v>
      </c>
      <c r="C18" s="56">
        <f t="shared" si="1"/>
        <v>248.06</v>
      </c>
      <c r="D18" s="56">
        <v>68.010000000000005</v>
      </c>
      <c r="E18" s="56">
        <v>87.69</v>
      </c>
      <c r="F18" s="56">
        <v>92.36</v>
      </c>
      <c r="G18" s="147">
        <f>'606a'!L18/'606'!B18</f>
        <v>187.64722175210335</v>
      </c>
      <c r="H18" s="147">
        <f>'606a'!M18/'606'!C18</f>
        <v>300.08256782469635</v>
      </c>
      <c r="I18" s="147">
        <f>'606a'!N18/'606'!D18</f>
        <v>389.19836280165521</v>
      </c>
      <c r="J18" s="147">
        <f>'606a'!O18/'606'!E18</f>
        <v>137.76441081905924</v>
      </c>
      <c r="K18" s="147">
        <f>'606a'!P18/'606'!F18</f>
        <v>462.32869170746744</v>
      </c>
      <c r="L18" s="152"/>
      <c r="M18" s="64">
        <v>6573939.8756217295</v>
      </c>
      <c r="N18" s="64">
        <f t="shared" si="2"/>
        <v>254660.51561129594</v>
      </c>
      <c r="O18" s="64">
        <v>90709.099701025305</v>
      </c>
      <c r="P18" s="64">
        <v>80623.718643934932</v>
      </c>
      <c r="Q18" s="64">
        <v>83327.697266335701</v>
      </c>
    </row>
    <row r="19" spans="1:17">
      <c r="A19" s="66">
        <v>1984</v>
      </c>
      <c r="B19" s="56">
        <v>6874.41</v>
      </c>
      <c r="C19" s="56">
        <f t="shared" si="1"/>
        <v>250.76999999999998</v>
      </c>
      <c r="D19" s="56">
        <v>67.27</v>
      </c>
      <c r="E19" s="56">
        <v>89.5</v>
      </c>
      <c r="F19" s="56">
        <v>94</v>
      </c>
      <c r="G19" s="147">
        <f>'606a'!L19/'606'!B19</f>
        <v>191.83541323818568</v>
      </c>
      <c r="H19" s="147">
        <f>'606a'!M19/'606'!C19</f>
        <v>302.23736498795517</v>
      </c>
      <c r="I19" s="147">
        <f>'606a'!N19/'606'!D19</f>
        <v>387.90956789196872</v>
      </c>
      <c r="J19" s="147">
        <f>'606a'!O19/'606'!E19</f>
        <v>143.13820051250218</v>
      </c>
      <c r="K19" s="147">
        <f>'606a'!P19/'606'!F19</f>
        <v>466.64871667300764</v>
      </c>
      <c r="L19" s="152"/>
      <c r="M19" s="64">
        <v>6698788.5357341859</v>
      </c>
      <c r="N19" s="64">
        <f t="shared" si="2"/>
        <v>254675.56954871613</v>
      </c>
      <c r="O19" s="64">
        <v>88230.671515281079</v>
      </c>
      <c r="P19" s="64">
        <v>81706.396127682223</v>
      </c>
      <c r="Q19" s="64">
        <v>84738.501905752812</v>
      </c>
    </row>
    <row r="20" spans="1:17">
      <c r="A20" s="66">
        <v>1985</v>
      </c>
      <c r="B20" s="56">
        <v>6915.4</v>
      </c>
      <c r="C20" s="56">
        <f t="shared" si="1"/>
        <v>239.68</v>
      </c>
      <c r="D20" s="56">
        <v>64.11</v>
      </c>
      <c r="E20" s="56">
        <v>82.65</v>
      </c>
      <c r="F20" s="56">
        <v>92.92</v>
      </c>
      <c r="G20" s="147">
        <f>'606a'!L20/'606'!B20</f>
        <v>194.7118408935211</v>
      </c>
      <c r="H20" s="147">
        <f>'606a'!M20/'606'!C20</f>
        <v>301.2385460954967</v>
      </c>
      <c r="I20" s="147">
        <f>'606a'!N20/'606'!D20</f>
        <v>387.47386356245016</v>
      </c>
      <c r="J20" s="147">
        <f>'606a'!O20/'606'!E20</f>
        <v>147.68341781922106</v>
      </c>
      <c r="K20" s="147">
        <f>'606a'!P20/'606'!F20</f>
        <v>468.0578794200934</v>
      </c>
      <c r="L20" s="152"/>
      <c r="M20" s="64">
        <v>6743101.7705494463</v>
      </c>
      <c r="N20" s="64">
        <f t="shared" si="2"/>
        <v>248525.01071979239</v>
      </c>
      <c r="O20" s="64">
        <v>86071.264095604842</v>
      </c>
      <c r="P20" s="64">
        <v>76049.230411892757</v>
      </c>
      <c r="Q20" s="64">
        <v>86404.516212294795</v>
      </c>
    </row>
    <row r="21" spans="1:17">
      <c r="A21" s="66">
        <v>1986</v>
      </c>
      <c r="B21" s="56">
        <v>6982.92</v>
      </c>
      <c r="C21" s="56">
        <f t="shared" si="1"/>
        <v>234.28</v>
      </c>
      <c r="D21" s="56">
        <v>62.56</v>
      </c>
      <c r="E21" s="56">
        <v>82.13</v>
      </c>
      <c r="F21" s="56">
        <v>89.59</v>
      </c>
      <c r="G21" s="147">
        <f>'606a'!L21/'606'!B21</f>
        <v>197.45621227285019</v>
      </c>
      <c r="H21" s="147">
        <f>'606a'!M21/'606'!C21</f>
        <v>315.11321775306089</v>
      </c>
      <c r="I21" s="147">
        <f>'606a'!N21/'606'!D21</f>
        <v>400.31450866127471</v>
      </c>
      <c r="J21" s="147">
        <f>'606a'!O21/'606'!E21</f>
        <v>149.22535233128991</v>
      </c>
      <c r="K21" s="147">
        <f>'606a'!P21/'606'!F21</f>
        <v>501.4669321061383</v>
      </c>
      <c r="L21" s="152"/>
      <c r="M21" s="64">
        <v>6815775.5562315807</v>
      </c>
      <c r="N21" s="64">
        <f t="shared" si="2"/>
        <v>247006.73810856411</v>
      </c>
      <c r="O21" s="64">
        <v>83305.122042319825</v>
      </c>
      <c r="P21" s="64">
        <v>76643.241989948147</v>
      </c>
      <c r="Q21" s="64">
        <v>87058.374076296139</v>
      </c>
    </row>
    <row r="22" spans="1:17">
      <c r="A22" s="66">
        <v>1987</v>
      </c>
      <c r="B22" s="56">
        <v>7031.93</v>
      </c>
      <c r="C22" s="56">
        <f t="shared" si="1"/>
        <v>231.12</v>
      </c>
      <c r="D22" s="56">
        <v>58.18</v>
      </c>
      <c r="E22" s="56">
        <v>83.18</v>
      </c>
      <c r="F22" s="56">
        <v>89.76</v>
      </c>
      <c r="G22" s="147">
        <f>'606a'!L22/'606'!B22</f>
        <v>201.91091353190265</v>
      </c>
      <c r="H22" s="147">
        <f>'606a'!M22/'606'!C22</f>
        <v>336.20872155833183</v>
      </c>
      <c r="I22" s="147">
        <f>'606a'!N22/'606'!D22</f>
        <v>437.955739655439</v>
      </c>
      <c r="J22" s="147">
        <f>'606a'!O22/'606'!E22</f>
        <v>157.40832662727897</v>
      </c>
      <c r="K22" s="147">
        <f>'606a'!P22/'606'!F22</f>
        <v>532.76634370621775</v>
      </c>
      <c r="L22" s="152"/>
      <c r="M22" s="64">
        <v>6873699.0646968866</v>
      </c>
      <c r="N22" s="64">
        <f t="shared" si="2"/>
        <v>243635.44666029135</v>
      </c>
      <c r="O22" s="64">
        <v>78819.985679012447</v>
      </c>
      <c r="P22" s="64">
        <v>77206.961896475594</v>
      </c>
      <c r="Q22" s="64">
        <v>87608.49908480329</v>
      </c>
    </row>
    <row r="23" spans="1:17">
      <c r="A23" s="66">
        <v>1988</v>
      </c>
      <c r="B23" s="56">
        <v>7157.78</v>
      </c>
      <c r="C23" s="56">
        <f t="shared" si="1"/>
        <v>231.78</v>
      </c>
      <c r="D23" s="56">
        <v>57.57</v>
      </c>
      <c r="E23" s="56">
        <v>82.77</v>
      </c>
      <c r="F23" s="56">
        <v>91.44</v>
      </c>
      <c r="G23" s="147">
        <f>'606a'!L23/'606'!B23</f>
        <v>203.2981032583786</v>
      </c>
      <c r="H23" s="147">
        <f>'606a'!M23/'606'!C23</f>
        <v>341.68862934921134</v>
      </c>
      <c r="I23" s="147">
        <f>'606a'!N23/'606'!D23</f>
        <v>433.53812275057015</v>
      </c>
      <c r="J23" s="147">
        <f>'606a'!O23/'606'!E23</f>
        <v>160.99813441313111</v>
      </c>
      <c r="K23" s="147">
        <f>'606a'!P23/'606'!F23</f>
        <v>525.67804976085631</v>
      </c>
      <c r="L23" s="152"/>
      <c r="M23" s="64">
        <v>7005601.3730087709</v>
      </c>
      <c r="N23" s="64">
        <f t="shared" si="2"/>
        <v>241787.67534647841</v>
      </c>
      <c r="O23" s="64">
        <v>77095.335715403155</v>
      </c>
      <c r="P23" s="64">
        <v>77072.156158614089</v>
      </c>
      <c r="Q23" s="64">
        <v>87620.183472461184</v>
      </c>
    </row>
    <row r="24" spans="1:17">
      <c r="A24" s="66">
        <v>1989</v>
      </c>
      <c r="B24" s="56">
        <v>7278.98</v>
      </c>
      <c r="C24" s="56">
        <f t="shared" si="1"/>
        <v>231.54000000000002</v>
      </c>
      <c r="D24" s="56">
        <v>57.01</v>
      </c>
      <c r="E24" s="56">
        <v>82.3</v>
      </c>
      <c r="F24" s="56">
        <v>92.23</v>
      </c>
      <c r="G24" s="147">
        <f>'606a'!L24/'606'!B24</f>
        <v>205.33790808337133</v>
      </c>
      <c r="H24" s="147">
        <f>'606a'!M24/'606'!C24</f>
        <v>348.79262759115397</v>
      </c>
      <c r="I24" s="147">
        <f>'606a'!N24/'606'!D24</f>
        <v>456.40015611885542</v>
      </c>
      <c r="J24" s="147">
        <f>'606a'!O24/'606'!E24</f>
        <v>170.31710450971354</v>
      </c>
      <c r="K24" s="147">
        <f>'606a'!P24/'606'!F24</f>
        <v>515.39029479971668</v>
      </c>
      <c r="L24" s="152"/>
      <c r="M24" s="64">
        <v>7125687.2625982584</v>
      </c>
      <c r="N24" s="64">
        <f t="shared" si="2"/>
        <v>243128.36057682446</v>
      </c>
      <c r="O24" s="64">
        <v>75969.105076886059</v>
      </c>
      <c r="P24" s="64">
        <v>78625.953867171396</v>
      </c>
      <c r="Q24" s="64">
        <v>88533.301632767034</v>
      </c>
    </row>
    <row r="25" spans="1:17">
      <c r="A25" s="66">
        <v>1990</v>
      </c>
      <c r="B25" s="56">
        <v>7317.58</v>
      </c>
      <c r="C25" s="56">
        <f t="shared" si="1"/>
        <v>228.56</v>
      </c>
      <c r="D25" s="56">
        <v>56.07</v>
      </c>
      <c r="E25" s="56">
        <v>82.28</v>
      </c>
      <c r="F25" s="56">
        <v>90.21</v>
      </c>
      <c r="G25" s="147">
        <f>'606a'!L25/'606'!B25</f>
        <v>206.43112490550817</v>
      </c>
      <c r="H25" s="147">
        <f>'606a'!M25/'606'!C25</f>
        <v>342.69455130127716</v>
      </c>
      <c r="I25" s="147">
        <f>'606a'!N25/'606'!D25</f>
        <v>461.47629657018979</v>
      </c>
      <c r="J25" s="147">
        <f>'606a'!O25/'606'!E25</f>
        <v>174.25060099102194</v>
      </c>
      <c r="K25" s="147">
        <f>'606a'!P25/'606'!F25</f>
        <v>507.52139397511422</v>
      </c>
      <c r="L25" s="152"/>
      <c r="M25" s="64">
        <v>7168833.7635438582</v>
      </c>
      <c r="N25" s="64">
        <f t="shared" si="2"/>
        <v>241377.11172977742</v>
      </c>
      <c r="O25" s="64">
        <v>75977.900515749614</v>
      </c>
      <c r="P25" s="64">
        <v>79605.595500474694</v>
      </c>
      <c r="Q25" s="64">
        <v>85793.615713553096</v>
      </c>
    </row>
    <row r="26" spans="1:17">
      <c r="A26" s="66">
        <v>1991</v>
      </c>
      <c r="B26" s="56">
        <v>7139.15</v>
      </c>
      <c r="C26" s="56">
        <f t="shared" si="1"/>
        <v>215.36999999999998</v>
      </c>
      <c r="D26" s="56">
        <v>52.14</v>
      </c>
      <c r="E26" s="56">
        <v>77.069999999999993</v>
      </c>
      <c r="F26" s="56">
        <v>86.16</v>
      </c>
      <c r="G26" s="147">
        <f>'606a'!L26/'606'!B26</f>
        <v>209.14840439531025</v>
      </c>
      <c r="H26" s="147">
        <f>'606a'!M26/'606'!C26</f>
        <v>357.62300844066669</v>
      </c>
      <c r="I26" s="147">
        <f>'606a'!N26/'606'!D26</f>
        <v>481.02995002459863</v>
      </c>
      <c r="J26" s="147">
        <f>'606a'!O26/'606'!E26</f>
        <v>170.28179764625</v>
      </c>
      <c r="K26" s="147">
        <f>'606a'!P26/'606'!F26</f>
        <v>534.82952476907315</v>
      </c>
      <c r="L26" s="152"/>
      <c r="M26" s="64">
        <v>7002354.2550367899</v>
      </c>
      <c r="N26" s="64">
        <f t="shared" si="2"/>
        <v>224702.40871611441</v>
      </c>
      <c r="O26" s="64">
        <v>69674.765746219899</v>
      </c>
      <c r="P26" s="64">
        <v>73838.483507621786</v>
      </c>
      <c r="Q26" s="64">
        <v>81189.159462272699</v>
      </c>
    </row>
    <row r="27" spans="1:17">
      <c r="A27" s="66">
        <v>1992</v>
      </c>
      <c r="B27" s="56">
        <v>6847.21</v>
      </c>
      <c r="C27" s="56">
        <f t="shared" si="1"/>
        <v>198.72</v>
      </c>
      <c r="D27" s="56">
        <v>50.96</v>
      </c>
      <c r="E27" s="56">
        <v>68.2</v>
      </c>
      <c r="F27" s="56">
        <v>79.56</v>
      </c>
      <c r="G27" s="147">
        <f>'606a'!L27/'606'!B27</f>
        <v>215.45533863986299</v>
      </c>
      <c r="H27" s="147">
        <f>'606a'!M27/'606'!C27</f>
        <v>388.67614742897661</v>
      </c>
      <c r="I27" s="147">
        <f>'606a'!N27/'606'!D27</f>
        <v>510.84994796682497</v>
      </c>
      <c r="J27" s="147">
        <f>'606a'!O27/'606'!E27</f>
        <v>162.45989383608318</v>
      </c>
      <c r="K27" s="147">
        <f>'606a'!P27/'606'!F27</f>
        <v>573.19658119658118</v>
      </c>
      <c r="L27" s="152"/>
      <c r="M27" s="64">
        <v>6724180.221289414</v>
      </c>
      <c r="N27" s="64">
        <f t="shared" si="2"/>
        <v>205241.84764385835</v>
      </c>
      <c r="O27" s="64">
        <v>62550.739901326931</v>
      </c>
      <c r="P27" s="64">
        <v>66070.662283200043</v>
      </c>
      <c r="Q27" s="64">
        <v>76620.445459331371</v>
      </c>
    </row>
    <row r="28" spans="1:17">
      <c r="A28" s="66">
        <v>1993</v>
      </c>
      <c r="B28" s="56">
        <v>6550.84</v>
      </c>
      <c r="C28" s="56">
        <f t="shared" si="1"/>
        <v>188.79</v>
      </c>
      <c r="D28" s="56">
        <v>49.83</v>
      </c>
      <c r="E28" s="56">
        <v>62.46</v>
      </c>
      <c r="F28" s="56">
        <v>76.5</v>
      </c>
      <c r="G28" s="147">
        <f>'606a'!L28/'606'!B28</f>
        <v>220.76657455988544</v>
      </c>
      <c r="H28" s="147">
        <f>'606a'!M28/'606'!C28</f>
        <v>420.32603698707419</v>
      </c>
      <c r="I28" s="147">
        <f>'606a'!N28/'606'!D28</f>
        <v>510.93535666748312</v>
      </c>
      <c r="J28" s="147">
        <f>'606a'!O28/'606'!E28</f>
        <v>171.02175008576666</v>
      </c>
      <c r="K28" s="147">
        <f>'606a'!P28/'606'!F28</f>
        <v>608.19321286401555</v>
      </c>
      <c r="L28" s="152"/>
      <c r="M28" s="64">
        <v>6452476.2859712224</v>
      </c>
      <c r="N28" s="64">
        <f t="shared" si="2"/>
        <v>192907.56737306999</v>
      </c>
      <c r="O28" s="64">
        <v>59972.886522006156</v>
      </c>
      <c r="P28" s="64">
        <v>60260.000000000007</v>
      </c>
      <c r="Q28" s="64">
        <v>72674.680851063837</v>
      </c>
    </row>
    <row r="29" spans="1:17">
      <c r="A29" s="66">
        <v>1994</v>
      </c>
      <c r="B29" s="56">
        <v>6644.07</v>
      </c>
      <c r="C29" s="56">
        <f t="shared" si="1"/>
        <v>194.23000000000002</v>
      </c>
      <c r="D29" s="56">
        <v>49.39</v>
      </c>
      <c r="E29" s="56">
        <v>67.16</v>
      </c>
      <c r="F29" s="56">
        <v>77.680000000000007</v>
      </c>
      <c r="G29" s="147">
        <f>'606a'!L29/'606'!B29</f>
        <v>226.54312597993504</v>
      </c>
      <c r="H29" s="147">
        <f>'606a'!M29/'606'!C29</f>
        <v>412.50669318738176</v>
      </c>
      <c r="I29" s="147">
        <f>'606a'!N29/'606'!D29</f>
        <v>517.35659505190301</v>
      </c>
      <c r="J29" s="147">
        <f>'606a'!O29/'606'!E29</f>
        <v>170.97308718261041</v>
      </c>
      <c r="K29" s="147">
        <f>'606a'!P29/'606'!F29</f>
        <v>613.14103543884903</v>
      </c>
      <c r="L29" s="152"/>
      <c r="M29" s="64">
        <v>6549334.3069482651</v>
      </c>
      <c r="N29" s="64">
        <f t="shared" si="2"/>
        <v>197216.40469213828</v>
      </c>
      <c r="O29" s="64">
        <v>60238.265157254551</v>
      </c>
      <c r="P29" s="64">
        <v>64810</v>
      </c>
      <c r="Q29" s="64">
        <v>72168.139534883725</v>
      </c>
    </row>
    <row r="30" spans="1:17">
      <c r="A30" s="66">
        <v>1995</v>
      </c>
      <c r="B30" s="56">
        <v>6772.82</v>
      </c>
      <c r="C30" s="56">
        <f t="shared" si="1"/>
        <v>199.06</v>
      </c>
      <c r="D30" s="56">
        <v>51.15</v>
      </c>
      <c r="E30" s="56">
        <v>68.58</v>
      </c>
      <c r="F30" s="56">
        <v>79.33</v>
      </c>
      <c r="G30" s="147">
        <f>'606a'!L30/'606'!B30</f>
        <v>232.21508913569238</v>
      </c>
      <c r="H30" s="147">
        <f>'606a'!M30/'606'!C30</f>
        <v>407.00793730533508</v>
      </c>
      <c r="I30" s="147">
        <f>'606a'!N30/'606'!D30</f>
        <v>507.87878787878788</v>
      </c>
      <c r="J30" s="147">
        <f>'606a'!O30/'606'!E30</f>
        <v>180.98571011956838</v>
      </c>
      <c r="K30" s="147">
        <f>'606a'!P30/'606'!F30</f>
        <v>537.36291440816842</v>
      </c>
      <c r="L30" s="152"/>
      <c r="M30" s="64">
        <v>6672702.8484848496</v>
      </c>
      <c r="N30" s="64">
        <f t="shared" si="2"/>
        <v>189509.19722329761</v>
      </c>
      <c r="O30" s="64">
        <v>48479.589192704894</v>
      </c>
      <c r="P30" s="64">
        <v>66320</v>
      </c>
      <c r="Q30" s="64">
        <v>74709.608030592732</v>
      </c>
    </row>
    <row r="31" spans="1:17">
      <c r="A31" s="66">
        <v>1996</v>
      </c>
      <c r="B31" s="56">
        <v>6770.69</v>
      </c>
      <c r="C31" s="56">
        <f t="shared" si="1"/>
        <v>196.87</v>
      </c>
      <c r="D31" s="56">
        <v>49.64</v>
      </c>
      <c r="E31" s="56">
        <v>69.06</v>
      </c>
      <c r="F31" s="56">
        <v>78.17</v>
      </c>
      <c r="G31" s="147">
        <f>'606a'!L31/'606'!B31</f>
        <v>235.55534962797512</v>
      </c>
      <c r="H31" s="147">
        <f>'606a'!M31/'606'!C31</f>
        <v>410.4633439962235</v>
      </c>
      <c r="I31" s="147">
        <f>'606a'!N31/'606'!D31</f>
        <v>528.49508296905105</v>
      </c>
      <c r="J31" s="147">
        <f>'606a'!O31/'606'!E31</f>
        <v>203.88650463437955</v>
      </c>
      <c r="K31" s="147">
        <f>'606a'!P31/'606'!F31</f>
        <v>529.94875165351937</v>
      </c>
      <c r="L31" s="152"/>
      <c r="M31" s="64">
        <v>6650651.9841269841</v>
      </c>
      <c r="N31" s="64">
        <f t="shared" si="2"/>
        <v>186554.80787799775</v>
      </c>
      <c r="O31" s="64">
        <v>46901.474544664416</v>
      </c>
      <c r="P31" s="64">
        <v>66320</v>
      </c>
      <c r="Q31" s="64">
        <v>73333.333333333328</v>
      </c>
    </row>
    <row r="32" spans="1:17">
      <c r="A32" s="66">
        <v>1997</v>
      </c>
      <c r="B32" s="56">
        <v>6703.5</v>
      </c>
      <c r="C32" s="56">
        <f t="shared" si="1"/>
        <v>195.25</v>
      </c>
      <c r="D32" s="56">
        <v>48.28</v>
      </c>
      <c r="E32" s="56">
        <v>70.430000000000007</v>
      </c>
      <c r="F32" s="56">
        <v>76.540000000000006</v>
      </c>
      <c r="G32" s="147">
        <f>'606a'!L32/'606'!B32</f>
        <v>244.22350797971461</v>
      </c>
      <c r="H32" s="147">
        <f>'606a'!M32/'606'!C32</f>
        <v>423.5801970042948</v>
      </c>
      <c r="I32" s="147">
        <f>'606a'!N32/'606'!D32</f>
        <v>542.43859324434879</v>
      </c>
      <c r="J32" s="147">
        <f>'606a'!O32/'606'!E32</f>
        <v>206.22341379907954</v>
      </c>
      <c r="K32" s="147">
        <f>'606a'!P32/'606'!F32</f>
        <v>586.83732429218071</v>
      </c>
      <c r="L32" s="152"/>
      <c r="M32" s="64">
        <v>6581623.2758620689</v>
      </c>
      <c r="N32" s="64">
        <f t="shared" si="2"/>
        <v>185960.46378968889</v>
      </c>
      <c r="O32" s="64">
        <v>45249.963789688874</v>
      </c>
      <c r="P32" s="64">
        <v>67770</v>
      </c>
      <c r="Q32" s="64">
        <v>72940.5</v>
      </c>
    </row>
    <row r="33" spans="1:17">
      <c r="A33" s="66">
        <v>1998</v>
      </c>
      <c r="B33" s="56">
        <v>6809.79</v>
      </c>
      <c r="C33" s="56">
        <f t="shared" si="1"/>
        <v>194.3</v>
      </c>
      <c r="D33" s="56">
        <v>48.17</v>
      </c>
      <c r="E33" s="56">
        <v>70.52</v>
      </c>
      <c r="F33" s="56">
        <v>75.61</v>
      </c>
      <c r="G33" s="147">
        <f>'606a'!L33/'606'!B33</f>
        <v>249.05274785170911</v>
      </c>
      <c r="H33" s="147">
        <f>'606a'!M33/'606'!C33</f>
        <v>427.63901149124217</v>
      </c>
      <c r="I33" s="147">
        <f>'606a'!N33/'606'!D33</f>
        <v>525.66417943359068</v>
      </c>
      <c r="J33" s="147">
        <f>'606a'!O33/'606'!E33</f>
        <v>216.77452231968479</v>
      </c>
      <c r="K33" s="147">
        <f>'606a'!P33/'606'!F33</f>
        <v>584.27106253051181</v>
      </c>
      <c r="L33" s="152"/>
      <c r="M33" s="64">
        <v>6678290.7692307699</v>
      </c>
      <c r="N33" s="64">
        <f t="shared" si="2"/>
        <v>179701.8218216282</v>
      </c>
      <c r="O33" s="64">
        <v>39815.165670208647</v>
      </c>
      <c r="P33" s="64">
        <v>67610</v>
      </c>
      <c r="Q33" s="64">
        <v>72276.656151419564</v>
      </c>
    </row>
    <row r="34" spans="1:17">
      <c r="A34" s="66">
        <v>1999</v>
      </c>
      <c r="B34" s="56">
        <v>6988.38</v>
      </c>
      <c r="C34" s="56">
        <f t="shared" si="1"/>
        <v>194.61</v>
      </c>
      <c r="D34" s="56">
        <v>48.42</v>
      </c>
      <c r="E34" s="56">
        <v>71.12</v>
      </c>
      <c r="F34" s="56">
        <v>75.069999999999993</v>
      </c>
      <c r="G34" s="147">
        <f>'606a'!L34/'606'!B34</f>
        <v>253.50605988161601</v>
      </c>
      <c r="H34" s="147">
        <f>'606a'!M34/'606'!C34</f>
        <v>450.24197561287912</v>
      </c>
      <c r="I34" s="147">
        <f>'606a'!N34/'606'!D34</f>
        <v>540.52310146477282</v>
      </c>
      <c r="J34" s="147">
        <f>'606a'!O34/'606'!E34</f>
        <v>230.76225864350221</v>
      </c>
      <c r="K34" s="147">
        <f>'606a'!P34/'606'!F34</f>
        <v>623.98705056712583</v>
      </c>
      <c r="L34" s="152"/>
      <c r="M34" s="64">
        <v>6857428.75</v>
      </c>
      <c r="N34" s="64">
        <f t="shared" si="2"/>
        <v>174536.82627884866</v>
      </c>
      <c r="O34" s="64">
        <v>35228.012719526618</v>
      </c>
      <c r="P34" s="64">
        <v>67980</v>
      </c>
      <c r="Q34" s="64">
        <v>71328.813559322036</v>
      </c>
    </row>
    <row r="35" spans="1:17">
      <c r="A35" s="66">
        <v>2000</v>
      </c>
      <c r="B35" s="56">
        <v>7061.95</v>
      </c>
      <c r="C35" s="56">
        <f t="shared" si="1"/>
        <v>199.17000000000002</v>
      </c>
      <c r="D35" s="56">
        <v>49.22</v>
      </c>
      <c r="E35" s="56">
        <v>71.150000000000006</v>
      </c>
      <c r="F35" s="56">
        <v>78.8</v>
      </c>
      <c r="G35" s="147">
        <f>'606a'!L35/'606'!B35</f>
        <v>262.63026093020818</v>
      </c>
      <c r="H35" s="147">
        <f>'606a'!M35/'606'!C35</f>
        <v>460.53983269869934</v>
      </c>
      <c r="I35" s="147">
        <f>'606a'!N35/'606'!D35</f>
        <v>525.44051071344404</v>
      </c>
      <c r="J35" s="147">
        <f>'606a'!O35/'606'!E35</f>
        <v>231.42107658909816</v>
      </c>
      <c r="K35" s="147">
        <f>'606a'!P35/'606'!F35</f>
        <v>627.52274246394109</v>
      </c>
      <c r="L35" s="152"/>
      <c r="M35" s="64">
        <v>6928356.4986737389</v>
      </c>
      <c r="N35" s="64">
        <f t="shared" si="2"/>
        <v>175441.88732668734</v>
      </c>
      <c r="O35" s="64">
        <v>34798.478724536813</v>
      </c>
      <c r="P35" s="64">
        <v>67910</v>
      </c>
      <c r="Q35" s="64">
        <v>72733.40860215055</v>
      </c>
    </row>
    <row r="36" spans="1:17">
      <c r="A36" s="66">
        <v>2001</v>
      </c>
      <c r="B36" s="56">
        <v>7105.7</v>
      </c>
      <c r="C36" s="56">
        <f t="shared" si="1"/>
        <v>199.52</v>
      </c>
      <c r="D36" s="56">
        <v>50.44</v>
      </c>
      <c r="E36" s="56">
        <v>72.900000000000006</v>
      </c>
      <c r="F36" s="56">
        <v>76.180000000000007</v>
      </c>
      <c r="G36" s="147">
        <f>'606a'!L36/'606'!B36</f>
        <v>263.60798361482762</v>
      </c>
      <c r="H36" s="147">
        <f>'606a'!M36/'606'!C36</f>
        <v>457.28539856469217</v>
      </c>
      <c r="I36" s="147">
        <f>'606a'!N36/'606'!D36</f>
        <v>533.91583894036103</v>
      </c>
      <c r="J36" s="147">
        <f>'606a'!O36/'606'!E36</f>
        <v>234.47865174775242</v>
      </c>
      <c r="K36" s="147">
        <f>'606a'!P36/'606'!F36</f>
        <v>620.48990230870447</v>
      </c>
      <c r="L36" s="152"/>
      <c r="M36" s="64">
        <v>6963011.95542775</v>
      </c>
      <c r="N36" s="64">
        <f t="shared" si="2"/>
        <v>172978.46253860451</v>
      </c>
      <c r="O36" s="64">
        <v>33618.816520905377</v>
      </c>
      <c r="P36" s="64">
        <v>69440</v>
      </c>
      <c r="Q36" s="64">
        <v>69919.64601769911</v>
      </c>
    </row>
    <row r="37" spans="1:17">
      <c r="A37" s="66">
        <v>2002</v>
      </c>
      <c r="B37" s="56">
        <v>7006.6</v>
      </c>
      <c r="C37" s="56">
        <f t="shared" si="1"/>
        <v>196.14</v>
      </c>
      <c r="D37" s="56">
        <v>51.01</v>
      </c>
      <c r="E37" s="56">
        <v>70.42</v>
      </c>
      <c r="F37" s="56">
        <v>74.709999999999994</v>
      </c>
      <c r="G37" s="147">
        <f>'606a'!L37/'606'!B37</f>
        <v>273.11581518229963</v>
      </c>
      <c r="H37" s="147">
        <f>'606a'!M37/'606'!C37</f>
        <v>474.53702659387466</v>
      </c>
      <c r="I37" s="147">
        <f>'606a'!N37/'606'!D37</f>
        <v>528.4817055772512</v>
      </c>
      <c r="J37" s="147">
        <f>'606a'!O37/'606'!E37</f>
        <v>238.95313738635534</v>
      </c>
      <c r="K37" s="147">
        <f>'606a'!P37/'606'!F37</f>
        <v>665.96142374750707</v>
      </c>
      <c r="L37" s="152"/>
      <c r="M37" s="64">
        <v>6877378.3046379797</v>
      </c>
      <c r="N37" s="64">
        <f t="shared" si="2"/>
        <v>168883.63574078344</v>
      </c>
      <c r="O37" s="64">
        <v>33032.981780162998</v>
      </c>
      <c r="P37" s="64">
        <v>67060</v>
      </c>
      <c r="Q37" s="64">
        <v>68790.653960620446</v>
      </c>
    </row>
    <row r="38" spans="1:17">
      <c r="A38" s="66">
        <v>2003</v>
      </c>
      <c r="B38" s="56">
        <v>6908.1</v>
      </c>
      <c r="C38" s="56">
        <f t="shared" si="1"/>
        <v>189.18</v>
      </c>
      <c r="D38" s="56">
        <v>47.2</v>
      </c>
      <c r="E38" s="56">
        <v>69.08</v>
      </c>
      <c r="F38" s="56">
        <v>72.900000000000006</v>
      </c>
      <c r="G38" s="147">
        <f>'606a'!L38/'606'!B38</f>
        <v>282.08540195775538</v>
      </c>
      <c r="H38" s="147">
        <f>'606a'!M38/'606'!C38</f>
        <v>516.97090674753258</v>
      </c>
      <c r="I38" s="147">
        <f>'606a'!N38/'606'!D38</f>
        <v>588.83150395690313</v>
      </c>
      <c r="J38" s="147">
        <f>'606a'!O38/'606'!E38</f>
        <v>262.42338894852276</v>
      </c>
      <c r="K38" s="147">
        <f>'606a'!P38/'606'!F38</f>
        <v>741.44290511392899</v>
      </c>
      <c r="L38" s="152"/>
      <c r="M38" s="64">
        <v>6774168.9199167993</v>
      </c>
      <c r="N38" s="64">
        <f t="shared" si="2"/>
        <v>163475.88304493914</v>
      </c>
      <c r="O38" s="64">
        <v>31769.519099495021</v>
      </c>
      <c r="P38" s="64">
        <v>64580</v>
      </c>
      <c r="Q38" s="64">
        <v>67126.363945444129</v>
      </c>
    </row>
    <row r="39" spans="1:17">
      <c r="A39" s="66">
        <v>2004</v>
      </c>
      <c r="B39" s="56">
        <v>6963.43</v>
      </c>
      <c r="C39" s="56">
        <f t="shared" si="1"/>
        <v>190.96</v>
      </c>
      <c r="D39" s="56">
        <v>48.5</v>
      </c>
      <c r="E39" s="56">
        <v>70.790000000000006</v>
      </c>
      <c r="F39" s="56">
        <v>71.67</v>
      </c>
      <c r="G39" s="147">
        <f>'606a'!L39/'606'!B39</f>
        <v>291.84775316013958</v>
      </c>
      <c r="H39" s="147">
        <f>'606a'!M39/'606'!C39</f>
        <v>515.45049585514118</v>
      </c>
      <c r="I39" s="147">
        <f>'606a'!N39/'606'!D39</f>
        <v>592.5537086933939</v>
      </c>
      <c r="J39" s="147">
        <f>'606a'!O39/'606'!E39</f>
        <v>262.96889508773921</v>
      </c>
      <c r="K39" s="147">
        <f>'606a'!P39/'606'!F39</f>
        <v>769.01966871946945</v>
      </c>
    </row>
    <row r="40" spans="1:17">
      <c r="A40" s="66">
        <v>2005</v>
      </c>
      <c r="B40" s="56">
        <v>6979.96</v>
      </c>
      <c r="C40" s="56">
        <f t="shared" si="1"/>
        <v>194.14000000000001</v>
      </c>
      <c r="D40" s="56">
        <v>55.02</v>
      </c>
      <c r="E40" s="56">
        <v>69.56</v>
      </c>
      <c r="F40" s="56">
        <v>69.56</v>
      </c>
      <c r="G40" s="147">
        <f>'606a'!L40/'606'!B40</f>
        <v>300.28568872026716</v>
      </c>
      <c r="H40" s="147">
        <f>'606a'!M40/'606'!C40</f>
        <v>451.73025408423115</v>
      </c>
      <c r="I40" s="147">
        <f>'606a'!N40/'606'!D40</f>
        <v>458.74926600117442</v>
      </c>
      <c r="J40" s="147">
        <f>'606a'!O40/'606'!E40</f>
        <v>282.9690967260189</v>
      </c>
      <c r="K40" s="147">
        <f>'606a'!P40/'606'!F40</f>
        <v>737.48601420665</v>
      </c>
    </row>
    <row r="41" spans="1:17">
      <c r="A41" s="66">
        <v>2006</v>
      </c>
      <c r="B41" s="56">
        <v>7072.91</v>
      </c>
      <c r="C41" s="56">
        <f t="shared" si="1"/>
        <v>191.73</v>
      </c>
      <c r="D41" s="56">
        <v>55.58</v>
      </c>
      <c r="E41" s="56">
        <v>70.08</v>
      </c>
      <c r="F41" s="56">
        <v>66.069999999999993</v>
      </c>
      <c r="G41" s="147">
        <f>'606a'!L41/'606'!B41</f>
        <v>308.9731973741014</v>
      </c>
      <c r="H41" s="147">
        <f>'606a'!M41/'606'!C41</f>
        <v>506.76803165332956</v>
      </c>
      <c r="I41" s="147">
        <f>'606a'!N41/'606'!D41</f>
        <v>602.84491663046492</v>
      </c>
      <c r="J41" s="147">
        <f>'606a'!O41/'606'!E41</f>
        <v>291.31810863824671</v>
      </c>
      <c r="K41" s="147">
        <f>'606a'!P41/'606'!F41</f>
        <v>784.89346741948032</v>
      </c>
    </row>
    <row r="42" spans="1:17">
      <c r="A42" s="66">
        <v>2007</v>
      </c>
      <c r="B42" s="56">
        <v>7297.22</v>
      </c>
      <c r="C42" s="56">
        <f t="shared" si="1"/>
        <v>205.31</v>
      </c>
      <c r="D42" s="56">
        <v>69.540000000000006</v>
      </c>
      <c r="E42" s="56">
        <v>71.77</v>
      </c>
      <c r="F42" s="56">
        <v>64</v>
      </c>
      <c r="G42" s="147">
        <f>'606a'!L42/'606'!B42</f>
        <v>307.96689158653066</v>
      </c>
      <c r="H42" s="147">
        <f>'606a'!M42/'606'!C42</f>
        <v>467.53020824306293</v>
      </c>
      <c r="I42" s="147">
        <f>'606a'!N42/'606'!D42</f>
        <v>478.03466833474505</v>
      </c>
      <c r="J42" s="147">
        <f>'606a'!O42/'606'!E42</f>
        <v>305.23754334259803</v>
      </c>
      <c r="K42" s="147">
        <f>'606a'!P42/'606'!F42</f>
        <v>798.76978039722269</v>
      </c>
    </row>
    <row r="43" spans="1:17">
      <c r="A43" s="66">
        <v>2008</v>
      </c>
      <c r="B43" s="56" t="s">
        <v>22</v>
      </c>
      <c r="C43" s="56" t="s">
        <v>22</v>
      </c>
      <c r="D43" s="56" t="s">
        <v>22</v>
      </c>
      <c r="E43" s="56" t="s">
        <v>22</v>
      </c>
      <c r="F43" s="56" t="s">
        <v>22</v>
      </c>
      <c r="G43" s="56" t="s">
        <v>22</v>
      </c>
      <c r="H43" s="56" t="s">
        <v>22</v>
      </c>
      <c r="I43" s="56" t="s">
        <v>22</v>
      </c>
      <c r="J43" s="56" t="s">
        <v>22</v>
      </c>
      <c r="K43" s="56" t="s">
        <v>22</v>
      </c>
    </row>
    <row r="44" spans="1:17">
      <c r="B44" s="57"/>
      <c r="C44" s="57"/>
      <c r="D44" s="57"/>
      <c r="E44" s="57"/>
      <c r="F44" s="57"/>
      <c r="G44" s="57"/>
      <c r="H44" s="57"/>
      <c r="I44" s="57"/>
      <c r="J44" s="57"/>
      <c r="K44" s="57"/>
    </row>
    <row r="45" spans="1:17">
      <c r="A45" s="66" t="s">
        <v>23</v>
      </c>
      <c r="B45" s="56"/>
      <c r="C45" s="56"/>
      <c r="D45" s="56"/>
      <c r="E45" s="56"/>
      <c r="F45" s="56"/>
      <c r="G45" s="56"/>
      <c r="H45" s="56"/>
      <c r="I45" s="56"/>
      <c r="J45" s="56"/>
      <c r="K45" s="56"/>
    </row>
    <row r="46" spans="1:17">
      <c r="A46" s="66" t="s">
        <v>1946</v>
      </c>
      <c r="B46" s="147">
        <f>((B42/B5)^(1/37)-1)*100</f>
        <v>0.38676897519547282</v>
      </c>
      <c r="C46" s="147">
        <f t="shared" ref="C46:K46" si="3">((C42/C5)^(1/37)-1)*100</f>
        <v>-1.0731928716932404</v>
      </c>
      <c r="D46" s="147">
        <f t="shared" si="3"/>
        <v>-0.92974046050009473</v>
      </c>
      <c r="E46" s="147">
        <f t="shared" si="3"/>
        <v>-1.2795710038375652</v>
      </c>
      <c r="F46" s="147">
        <f t="shared" si="3"/>
        <v>-0.98242330926225918</v>
      </c>
      <c r="G46" s="147">
        <f t="shared" si="3"/>
        <v>1.9287248849403582</v>
      </c>
      <c r="H46" s="147">
        <f t="shared" si="3"/>
        <v>2.0519036453104933</v>
      </c>
      <c r="I46" s="147">
        <f t="shared" si="3"/>
        <v>1.3805559361992348</v>
      </c>
      <c r="J46" s="147">
        <f t="shared" si="3"/>
        <v>3.112424041033468</v>
      </c>
      <c r="K46" s="147">
        <f t="shared" si="3"/>
        <v>2.0848032113318427</v>
      </c>
    </row>
    <row r="47" spans="1:17">
      <c r="A47" s="66" t="s">
        <v>2140</v>
      </c>
      <c r="B47" s="147">
        <f>((B25/B5)^(1/20)-1)*100</f>
        <v>0.73073044406155585</v>
      </c>
      <c r="C47" s="147">
        <f t="shared" ref="C47:K47" si="4">((C25/C5)^(1/20)-1)*100</f>
        <v>-1.4491459698210307</v>
      </c>
      <c r="D47" s="147">
        <f t="shared" si="4"/>
        <v>-2.7656086891407083</v>
      </c>
      <c r="E47" s="147">
        <f t="shared" si="4"/>
        <v>-1.6848197814272825</v>
      </c>
      <c r="F47" s="147">
        <f t="shared" si="4"/>
        <v>-0.11012302559373355</v>
      </c>
      <c r="G47" s="147">
        <f t="shared" si="4"/>
        <v>1.5458668565262013</v>
      </c>
      <c r="H47" s="147">
        <f t="shared" si="4"/>
        <v>2.2289570791390378</v>
      </c>
      <c r="I47" s="147">
        <f t="shared" si="4"/>
        <v>2.3883717975632823</v>
      </c>
      <c r="J47" s="147">
        <f t="shared" si="4"/>
        <v>2.9087162635330621</v>
      </c>
      <c r="K47" s="147">
        <f t="shared" si="4"/>
        <v>1.5616303433064527</v>
      </c>
    </row>
    <row r="48" spans="1:17">
      <c r="A48" s="66" t="s">
        <v>660</v>
      </c>
      <c r="B48" s="147">
        <f t="shared" ref="B48:K48" si="5">((B35/B25)^(1/10)-1)*100</f>
        <v>-0.35495309567349365</v>
      </c>
      <c r="C48" s="147">
        <f t="shared" si="5"/>
        <v>-1.3669711869764622</v>
      </c>
      <c r="D48" s="147">
        <f t="shared" si="5"/>
        <v>-1.2945562456835757</v>
      </c>
      <c r="E48" s="147">
        <f t="shared" si="5"/>
        <v>-1.4428668540416134</v>
      </c>
      <c r="F48" s="147">
        <f t="shared" si="5"/>
        <v>-1.3431707529897308</v>
      </c>
      <c r="G48" s="147">
        <f t="shared" si="5"/>
        <v>2.437025353927269</v>
      </c>
      <c r="H48" s="147">
        <f t="shared" si="5"/>
        <v>2.9997095292124243</v>
      </c>
      <c r="I48" s="147">
        <f t="shared" si="5"/>
        <v>1.3065242868549598</v>
      </c>
      <c r="J48" s="147">
        <f t="shared" si="5"/>
        <v>2.8780828477781739</v>
      </c>
      <c r="K48" s="147">
        <f t="shared" si="5"/>
        <v>2.1450938014405008</v>
      </c>
    </row>
    <row r="49" spans="1:11">
      <c r="A49" s="66" t="s">
        <v>588</v>
      </c>
      <c r="B49" s="147">
        <f>((B42/B35)^(1/7)-1)*100</f>
        <v>0.46927245585601796</v>
      </c>
      <c r="C49" s="147">
        <f t="shared" ref="C49:K49" si="6">((C42/C35)^(1/7)-1)*100</f>
        <v>0.43468919657612126</v>
      </c>
      <c r="D49" s="147">
        <f t="shared" si="6"/>
        <v>5.0610817461445468</v>
      </c>
      <c r="E49" s="147">
        <f t="shared" si="6"/>
        <v>0.12402308661549899</v>
      </c>
      <c r="F49" s="147">
        <f t="shared" si="6"/>
        <v>-2.9281304922364804</v>
      </c>
      <c r="G49" s="147">
        <f t="shared" si="6"/>
        <v>2.3010037505432068</v>
      </c>
      <c r="H49" s="147">
        <f t="shared" si="6"/>
        <v>0.21544048947648164</v>
      </c>
      <c r="I49" s="147">
        <f t="shared" si="6"/>
        <v>-1.3416855178558507</v>
      </c>
      <c r="J49" s="147">
        <f t="shared" si="6"/>
        <v>4.0342724349700543</v>
      </c>
      <c r="K49" s="147">
        <f t="shared" si="6"/>
        <v>3.5071398127966003</v>
      </c>
    </row>
    <row r="51" spans="1:11" ht="30" customHeight="1">
      <c r="A51" s="104" t="s">
        <v>2039</v>
      </c>
      <c r="B51" s="104"/>
      <c r="C51" s="104"/>
      <c r="D51" s="104"/>
      <c r="E51" s="104"/>
      <c r="F51" s="104"/>
      <c r="G51" s="104"/>
      <c r="H51" s="104"/>
      <c r="I51" s="104"/>
      <c r="J51" s="104"/>
      <c r="K51" s="104"/>
    </row>
  </sheetData>
  <mergeCells count="12">
    <mergeCell ref="A51:K51"/>
    <mergeCell ref="A1:K1"/>
    <mergeCell ref="B2:F2"/>
    <mergeCell ref="G2:K2"/>
    <mergeCell ref="M2:Q2"/>
    <mergeCell ref="A3:A4"/>
    <mergeCell ref="B3:B4"/>
    <mergeCell ref="C3:F3"/>
    <mergeCell ref="G3:G4"/>
    <mergeCell ref="H3:K3"/>
    <mergeCell ref="M3:M4"/>
    <mergeCell ref="N3:Q3"/>
  </mergeCells>
  <pageMargins left="0.7" right="0.7" top="0.75" bottom="0.75" header="0.3" footer="0.3"/>
  <pageSetup scale="63" orientation="landscape" horizontalDpi="0" verticalDpi="0" r:id="rId1"/>
</worksheet>
</file>

<file path=xl/worksheets/sheet154.xml><?xml version="1.0" encoding="utf-8"?>
<worksheet xmlns="http://schemas.openxmlformats.org/spreadsheetml/2006/main" xmlns:r="http://schemas.openxmlformats.org/officeDocument/2006/relationships">
  <sheetPr codeName="Sheet148"/>
  <dimension ref="A1:P53"/>
  <sheetViews>
    <sheetView view="pageBreakPreview" zoomScale="85" zoomScaleNormal="85" zoomScaleSheetLayoutView="85" workbookViewId="0">
      <selection activeCell="AC38" sqref="AC38"/>
    </sheetView>
  </sheetViews>
  <sheetFormatPr defaultRowHeight="15"/>
  <cols>
    <col min="1" max="1" width="12" style="64" customWidth="1"/>
    <col min="2" max="16" width="12.42578125" style="64" customWidth="1"/>
    <col min="17" max="16384" width="9.140625" style="64"/>
  </cols>
  <sheetData>
    <row r="1" spans="1:16">
      <c r="A1" s="108" t="s">
        <v>1940</v>
      </c>
      <c r="B1" s="108"/>
      <c r="C1" s="108"/>
      <c r="D1" s="108"/>
      <c r="E1" s="108"/>
      <c r="F1" s="108"/>
      <c r="G1" s="108"/>
      <c r="H1" s="108"/>
      <c r="I1" s="108"/>
      <c r="J1" s="108"/>
      <c r="K1" s="108"/>
      <c r="L1" s="108"/>
      <c r="M1" s="108"/>
      <c r="N1" s="108"/>
      <c r="O1" s="108"/>
      <c r="P1" s="108"/>
    </row>
    <row r="2" spans="1:16">
      <c r="A2" s="66"/>
      <c r="B2" s="107" t="s">
        <v>532</v>
      </c>
      <c r="C2" s="107"/>
      <c r="D2" s="107"/>
      <c r="E2" s="107"/>
      <c r="F2" s="107"/>
      <c r="G2" s="107" t="s">
        <v>530</v>
      </c>
      <c r="H2" s="107"/>
      <c r="I2" s="107"/>
      <c r="J2" s="107"/>
      <c r="K2" s="107"/>
      <c r="L2" s="107" t="s">
        <v>533</v>
      </c>
      <c r="M2" s="107"/>
      <c r="N2" s="107"/>
      <c r="O2" s="107"/>
      <c r="P2" s="107"/>
    </row>
    <row r="3" spans="1:16" ht="15" customHeight="1">
      <c r="A3" s="149"/>
      <c r="B3" s="97" t="s">
        <v>523</v>
      </c>
      <c r="C3" s="97" t="s">
        <v>37</v>
      </c>
      <c r="D3" s="97"/>
      <c r="E3" s="97"/>
      <c r="F3" s="97"/>
      <c r="G3" s="97" t="s">
        <v>523</v>
      </c>
      <c r="H3" s="97" t="s">
        <v>37</v>
      </c>
      <c r="I3" s="97"/>
      <c r="J3" s="97"/>
      <c r="K3" s="97"/>
      <c r="L3" s="97" t="s">
        <v>523</v>
      </c>
      <c r="M3" s="97" t="s">
        <v>37</v>
      </c>
      <c r="N3" s="97"/>
      <c r="O3" s="97"/>
      <c r="P3" s="97"/>
    </row>
    <row r="4" spans="1:16" ht="60">
      <c r="A4" s="149"/>
      <c r="B4" s="97"/>
      <c r="C4" s="73" t="s">
        <v>78</v>
      </c>
      <c r="D4" s="73" t="s">
        <v>522</v>
      </c>
      <c r="E4" s="73" t="s">
        <v>524</v>
      </c>
      <c r="F4" s="73" t="s">
        <v>525</v>
      </c>
      <c r="G4" s="97"/>
      <c r="H4" s="73" t="s">
        <v>78</v>
      </c>
      <c r="I4" s="73" t="s">
        <v>522</v>
      </c>
      <c r="J4" s="73" t="s">
        <v>524</v>
      </c>
      <c r="K4" s="73" t="s">
        <v>525</v>
      </c>
      <c r="L4" s="97"/>
      <c r="M4" s="73" t="s">
        <v>78</v>
      </c>
      <c r="N4" s="73" t="s">
        <v>522</v>
      </c>
      <c r="O4" s="73" t="s">
        <v>524</v>
      </c>
      <c r="P4" s="73" t="s">
        <v>525</v>
      </c>
    </row>
    <row r="5" spans="1:16">
      <c r="A5" s="66">
        <v>1970</v>
      </c>
      <c r="B5" s="150">
        <v>156523.32</v>
      </c>
      <c r="C5" s="30">
        <f t="shared" ref="C5:C13" si="0">SUM(D5:F5)</f>
        <v>9731.57</v>
      </c>
      <c r="D5" s="150">
        <v>4776.38</v>
      </c>
      <c r="E5" s="150">
        <v>1940.93</v>
      </c>
      <c r="F5" s="150">
        <v>3014.26</v>
      </c>
      <c r="G5" s="151">
        <v>16.29</v>
      </c>
      <c r="H5" s="28">
        <f t="shared" ref="H5:H22" si="1">I5*(D5/C5)+J5*(E5/C5)+K5*(F5/C5)</f>
        <v>14.419889493678822</v>
      </c>
      <c r="I5" s="151">
        <v>16.89</v>
      </c>
      <c r="J5" s="151">
        <v>17.100000000000001</v>
      </c>
      <c r="K5" s="151">
        <v>8.7799999999999994</v>
      </c>
      <c r="L5" s="56">
        <f t="shared" ref="L5:L14" si="2">B5*100/G5</f>
        <v>960855.24861878459</v>
      </c>
      <c r="M5" s="56">
        <f t="shared" ref="M5:M14" si="3">C5*100/H5</f>
        <v>67487.132992704152</v>
      </c>
      <c r="N5" s="56">
        <f t="shared" ref="N5:N14" si="4">D5*100/I5</f>
        <v>28279.336885731202</v>
      </c>
      <c r="O5" s="56">
        <f t="shared" ref="O5:O14" si="5">E5*100/J5</f>
        <v>11350.467836257309</v>
      </c>
      <c r="P5" s="56">
        <f t="shared" ref="P5:P14" si="6">F5*100/K5</f>
        <v>34330.979498861052</v>
      </c>
    </row>
    <row r="6" spans="1:16">
      <c r="A6" s="66">
        <v>1971</v>
      </c>
      <c r="B6" s="150">
        <v>170171.6</v>
      </c>
      <c r="C6" s="30">
        <f t="shared" si="0"/>
        <v>10877.46</v>
      </c>
      <c r="D6" s="150">
        <v>5768.27</v>
      </c>
      <c r="E6" s="150">
        <v>2060.9</v>
      </c>
      <c r="F6" s="150">
        <v>3048.29</v>
      </c>
      <c r="G6" s="151">
        <v>17.34</v>
      </c>
      <c r="H6" s="28">
        <f t="shared" si="1"/>
        <v>15.06282402325543</v>
      </c>
      <c r="I6" s="151">
        <v>17.27</v>
      </c>
      <c r="J6" s="151">
        <v>17.690000000000001</v>
      </c>
      <c r="K6" s="151">
        <v>9.11</v>
      </c>
      <c r="L6" s="56">
        <f t="shared" si="2"/>
        <v>981381.77623990772</v>
      </c>
      <c r="M6" s="56">
        <f t="shared" si="3"/>
        <v>72213.948614193025</v>
      </c>
      <c r="N6" s="56">
        <f t="shared" si="4"/>
        <v>33400.521134916038</v>
      </c>
      <c r="O6" s="56">
        <f t="shared" si="5"/>
        <v>11650.084793668739</v>
      </c>
      <c r="P6" s="56">
        <f t="shared" si="6"/>
        <v>33460.922063666301</v>
      </c>
    </row>
    <row r="7" spans="1:16">
      <c r="A7" s="66">
        <v>1972</v>
      </c>
      <c r="B7" s="150">
        <v>184101.35</v>
      </c>
      <c r="C7" s="30">
        <f t="shared" si="0"/>
        <v>10067.07</v>
      </c>
      <c r="D7" s="150">
        <v>4719.0600000000004</v>
      </c>
      <c r="E7" s="150">
        <v>2177.58</v>
      </c>
      <c r="F7" s="150">
        <v>3170.43</v>
      </c>
      <c r="G7" s="151">
        <v>18.28</v>
      </c>
      <c r="H7" s="28">
        <f t="shared" si="1"/>
        <v>14.596676331842335</v>
      </c>
      <c r="I7" s="151">
        <v>16.96</v>
      </c>
      <c r="J7" s="151">
        <v>17.739999999999998</v>
      </c>
      <c r="K7" s="151">
        <v>8.92</v>
      </c>
      <c r="L7" s="56">
        <f t="shared" si="2"/>
        <v>1007118.9824945295</v>
      </c>
      <c r="M7" s="56">
        <f t="shared" si="3"/>
        <v>68968.234762038963</v>
      </c>
      <c r="N7" s="56">
        <f t="shared" si="4"/>
        <v>27824.646226415098</v>
      </c>
      <c r="O7" s="56">
        <f t="shared" si="5"/>
        <v>12274.971815107103</v>
      </c>
      <c r="P7" s="56">
        <f t="shared" si="6"/>
        <v>35542.937219730942</v>
      </c>
    </row>
    <row r="8" spans="1:16">
      <c r="A8" s="66">
        <v>1973</v>
      </c>
      <c r="B8" s="150">
        <v>206952.76</v>
      </c>
      <c r="C8" s="30">
        <f t="shared" si="0"/>
        <v>12294.289999999999</v>
      </c>
      <c r="D8" s="150">
        <v>5257.2</v>
      </c>
      <c r="E8" s="150">
        <v>3024.51</v>
      </c>
      <c r="F8" s="150">
        <v>4012.58</v>
      </c>
      <c r="G8" s="151">
        <v>19.8</v>
      </c>
      <c r="H8" s="28">
        <f t="shared" si="1"/>
        <v>16.545388769908634</v>
      </c>
      <c r="I8" s="151">
        <v>17.96</v>
      </c>
      <c r="J8" s="151">
        <v>22.81</v>
      </c>
      <c r="K8" s="151">
        <v>9.9700000000000006</v>
      </c>
      <c r="L8" s="56">
        <f t="shared" si="2"/>
        <v>1045215.9595959595</v>
      </c>
      <c r="M8" s="56">
        <f t="shared" si="3"/>
        <v>74306.443752834777</v>
      </c>
      <c r="N8" s="56">
        <f t="shared" si="4"/>
        <v>29271.714922048996</v>
      </c>
      <c r="O8" s="56">
        <f t="shared" si="5"/>
        <v>13259.579131959668</v>
      </c>
      <c r="P8" s="56">
        <f t="shared" si="6"/>
        <v>40246.539618856565</v>
      </c>
    </row>
    <row r="9" spans="1:16">
      <c r="A9" s="66">
        <v>1974</v>
      </c>
      <c r="B9" s="150">
        <v>248084.13</v>
      </c>
      <c r="C9" s="30">
        <f t="shared" si="0"/>
        <v>19450.589999999997</v>
      </c>
      <c r="D9" s="150">
        <v>8685.0499999999993</v>
      </c>
      <c r="E9" s="150">
        <v>4458.71</v>
      </c>
      <c r="F9" s="150">
        <v>6306.83</v>
      </c>
      <c r="G9" s="151">
        <v>22.49</v>
      </c>
      <c r="H9" s="28">
        <f t="shared" si="1"/>
        <v>25.522316099408812</v>
      </c>
      <c r="I9" s="151">
        <v>29.51</v>
      </c>
      <c r="J9" s="151">
        <v>32.78</v>
      </c>
      <c r="K9" s="151">
        <v>14.9</v>
      </c>
      <c r="L9" s="56">
        <f t="shared" si="2"/>
        <v>1103086.3939528679</v>
      </c>
      <c r="M9" s="56">
        <f t="shared" si="3"/>
        <v>76210.128909305931</v>
      </c>
      <c r="N9" s="56">
        <f t="shared" si="4"/>
        <v>29430.870891223309</v>
      </c>
      <c r="O9" s="56">
        <f t="shared" si="5"/>
        <v>13601.921903599756</v>
      </c>
      <c r="P9" s="56">
        <f t="shared" si="6"/>
        <v>42327.718120805366</v>
      </c>
    </row>
    <row r="10" spans="1:16">
      <c r="A10" s="66">
        <v>1975</v>
      </c>
      <c r="B10" s="150">
        <v>282844.65999999997</v>
      </c>
      <c r="C10" s="30">
        <f t="shared" si="0"/>
        <v>20264.460000000003</v>
      </c>
      <c r="D10" s="150">
        <v>10313.790000000001</v>
      </c>
      <c r="E10" s="150">
        <v>3582.2</v>
      </c>
      <c r="F10" s="150">
        <v>6368.47</v>
      </c>
      <c r="G10" s="151">
        <v>25.59</v>
      </c>
      <c r="H10" s="28">
        <f t="shared" si="1"/>
        <v>31.429505158291899</v>
      </c>
      <c r="I10" s="151">
        <v>39.340000000000003</v>
      </c>
      <c r="J10" s="151">
        <v>32.44</v>
      </c>
      <c r="K10" s="151">
        <v>18.05</v>
      </c>
      <c r="L10" s="56">
        <f t="shared" si="2"/>
        <v>1105293.7084798748</v>
      </c>
      <c r="M10" s="56">
        <f t="shared" si="3"/>
        <v>64475.911720340031</v>
      </c>
      <c r="N10" s="56">
        <f t="shared" si="4"/>
        <v>26217.056431113371</v>
      </c>
      <c r="O10" s="56">
        <f t="shared" si="5"/>
        <v>11042.540073982738</v>
      </c>
      <c r="P10" s="56">
        <f t="shared" si="6"/>
        <v>35282.382271468145</v>
      </c>
    </row>
    <row r="11" spans="1:16">
      <c r="A11" s="66">
        <v>1976</v>
      </c>
      <c r="B11" s="150">
        <v>318790.52</v>
      </c>
      <c r="C11" s="30">
        <f t="shared" si="0"/>
        <v>20950.61</v>
      </c>
      <c r="D11" s="150">
        <v>10383.85</v>
      </c>
      <c r="E11" s="150">
        <v>4145.3500000000004</v>
      </c>
      <c r="F11" s="150">
        <v>6421.41</v>
      </c>
      <c r="G11" s="151">
        <v>28.3</v>
      </c>
      <c r="H11" s="28">
        <f t="shared" si="1"/>
        <v>32.509084341696976</v>
      </c>
      <c r="I11" s="151">
        <v>40.46</v>
      </c>
      <c r="J11" s="151">
        <v>35.92</v>
      </c>
      <c r="K11" s="151">
        <v>17.45</v>
      </c>
      <c r="L11" s="56">
        <f t="shared" si="2"/>
        <v>1126468.2685512367</v>
      </c>
      <c r="M11" s="56">
        <f t="shared" si="3"/>
        <v>64445.40172153731</v>
      </c>
      <c r="N11" s="56">
        <f t="shared" si="4"/>
        <v>25664.483440434997</v>
      </c>
      <c r="O11" s="56">
        <f t="shared" si="5"/>
        <v>11540.506681514478</v>
      </c>
      <c r="P11" s="56">
        <f t="shared" si="6"/>
        <v>36798.911174785098</v>
      </c>
    </row>
    <row r="12" spans="1:16">
      <c r="A12" s="66">
        <v>1977</v>
      </c>
      <c r="B12" s="150">
        <v>348053.06</v>
      </c>
      <c r="C12" s="30">
        <f t="shared" si="0"/>
        <v>21636.75</v>
      </c>
      <c r="D12" s="150">
        <v>11020.7</v>
      </c>
      <c r="E12" s="150">
        <v>4547.45</v>
      </c>
      <c r="F12" s="150">
        <v>6068.6</v>
      </c>
      <c r="G12" s="151">
        <v>31.23</v>
      </c>
      <c r="H12" s="28">
        <f t="shared" si="1"/>
        <v>38.555279235559865</v>
      </c>
      <c r="I12" s="151">
        <v>49.68</v>
      </c>
      <c r="J12" s="151">
        <v>40.04</v>
      </c>
      <c r="K12" s="151">
        <v>17.239999999999998</v>
      </c>
      <c r="L12" s="56">
        <f t="shared" si="2"/>
        <v>1114483.0611591418</v>
      </c>
      <c r="M12" s="56">
        <f t="shared" si="3"/>
        <v>56118.773950012634</v>
      </c>
      <c r="N12" s="56">
        <f t="shared" si="4"/>
        <v>22183.373590982286</v>
      </c>
      <c r="O12" s="56">
        <f t="shared" si="5"/>
        <v>11357.267732267732</v>
      </c>
      <c r="P12" s="56">
        <f t="shared" si="6"/>
        <v>35200.696055684457</v>
      </c>
    </row>
    <row r="13" spans="1:16">
      <c r="A13" s="66">
        <v>1978</v>
      </c>
      <c r="B13" s="150">
        <v>388001.59</v>
      </c>
      <c r="C13" s="30">
        <f t="shared" si="0"/>
        <v>21611</v>
      </c>
      <c r="D13" s="150">
        <v>10186.42</v>
      </c>
      <c r="E13" s="150">
        <v>4706.32</v>
      </c>
      <c r="F13" s="150">
        <v>6718.26</v>
      </c>
      <c r="G13" s="151">
        <v>34.21</v>
      </c>
      <c r="H13" s="28">
        <f t="shared" si="1"/>
        <v>35.58831421035584</v>
      </c>
      <c r="I13" s="151">
        <v>45.32</v>
      </c>
      <c r="J13" s="151">
        <v>40.659999999999997</v>
      </c>
      <c r="K13" s="151">
        <v>17.28</v>
      </c>
      <c r="L13" s="56">
        <f t="shared" si="2"/>
        <v>1134175.9427068108</v>
      </c>
      <c r="M13" s="56">
        <f t="shared" si="3"/>
        <v>60724.989310427685</v>
      </c>
      <c r="N13" s="56">
        <f t="shared" si="4"/>
        <v>22476.654898499557</v>
      </c>
      <c r="O13" s="56">
        <f t="shared" si="5"/>
        <v>11574.815543531728</v>
      </c>
      <c r="P13" s="56">
        <f t="shared" si="6"/>
        <v>38878.819444444445</v>
      </c>
    </row>
    <row r="14" spans="1:16">
      <c r="A14" s="66">
        <v>1979</v>
      </c>
      <c r="B14" s="30">
        <v>439382.69</v>
      </c>
      <c r="C14" s="30">
        <f>SUM(D14:F14)</f>
        <v>22893.93</v>
      </c>
      <c r="D14" s="30">
        <v>9041.69</v>
      </c>
      <c r="E14" s="30">
        <v>5466.7</v>
      </c>
      <c r="F14" s="30">
        <v>8385.5400000000009</v>
      </c>
      <c r="G14" s="28">
        <v>37</v>
      </c>
      <c r="H14" s="28">
        <f t="shared" si="1"/>
        <v>34.02841676811277</v>
      </c>
      <c r="I14" s="28">
        <v>40.39</v>
      </c>
      <c r="J14" s="28">
        <v>45.24</v>
      </c>
      <c r="K14" s="28">
        <v>19.86</v>
      </c>
      <c r="L14" s="56">
        <f t="shared" si="2"/>
        <v>1187520.7837837837</v>
      </c>
      <c r="M14" s="56">
        <f t="shared" si="3"/>
        <v>67278.857420875851</v>
      </c>
      <c r="N14" s="56">
        <f t="shared" si="4"/>
        <v>22385.961871750435</v>
      </c>
      <c r="O14" s="56">
        <f t="shared" si="5"/>
        <v>12083.775419982316</v>
      </c>
      <c r="P14" s="56">
        <f t="shared" si="6"/>
        <v>42223.262839879164</v>
      </c>
    </row>
    <row r="15" spans="1:16">
      <c r="A15" s="66">
        <v>1980</v>
      </c>
      <c r="B15" s="30">
        <v>495778.49</v>
      </c>
      <c r="C15" s="30">
        <f t="shared" ref="C15:C42" si="7">SUM(D15:F15)</f>
        <v>26402.26</v>
      </c>
      <c r="D15" s="30">
        <v>10409.32</v>
      </c>
      <c r="E15" s="30">
        <v>6523.99</v>
      </c>
      <c r="F15" s="30">
        <v>9468.9500000000007</v>
      </c>
      <c r="G15" s="28">
        <v>41.11</v>
      </c>
      <c r="H15" s="28">
        <f t="shared" si="1"/>
        <v>39.824333727491513</v>
      </c>
      <c r="I15" s="28">
        <v>45.81</v>
      </c>
      <c r="J15" s="28">
        <v>54.33</v>
      </c>
      <c r="K15" s="28">
        <v>23.25</v>
      </c>
      <c r="L15" s="56">
        <f t="shared" ref="L15:L26" si="8">B15*100/G15</f>
        <v>1205980.2724397958</v>
      </c>
      <c r="M15" s="56">
        <f t="shared" ref="M15:P26" si="9">C15*100/H15</f>
        <v>66296.802805702697</v>
      </c>
      <c r="N15" s="56">
        <f t="shared" si="9"/>
        <v>22722.811613184895</v>
      </c>
      <c r="O15" s="56">
        <f t="shared" si="9"/>
        <v>12008.080250322106</v>
      </c>
      <c r="P15" s="56">
        <f t="shared" si="9"/>
        <v>40726.666666666672</v>
      </c>
    </row>
    <row r="16" spans="1:16">
      <c r="A16" s="66">
        <v>1981</v>
      </c>
      <c r="B16" s="30">
        <v>541850.55000000005</v>
      </c>
      <c r="C16" s="30">
        <f t="shared" si="7"/>
        <v>27564.469999999998</v>
      </c>
      <c r="D16" s="30">
        <v>11847.59</v>
      </c>
      <c r="E16" s="30">
        <v>6089.33</v>
      </c>
      <c r="F16" s="30">
        <v>9627.5499999999993</v>
      </c>
      <c r="G16" s="28">
        <v>44.69</v>
      </c>
      <c r="H16" s="28">
        <f t="shared" si="1"/>
        <v>43.570433304177449</v>
      </c>
      <c r="I16" s="28">
        <v>52.38</v>
      </c>
      <c r="J16" s="28">
        <v>56.55</v>
      </c>
      <c r="K16" s="28">
        <v>24.52</v>
      </c>
      <c r="L16" s="56">
        <f t="shared" si="8"/>
        <v>1212464.8690982326</v>
      </c>
      <c r="M16" s="56">
        <f t="shared" si="9"/>
        <v>63264.163125403589</v>
      </c>
      <c r="N16" s="56">
        <f t="shared" si="9"/>
        <v>22618.537609774721</v>
      </c>
      <c r="O16" s="56">
        <f t="shared" si="9"/>
        <v>10768.045977011494</v>
      </c>
      <c r="P16" s="56">
        <f t="shared" si="9"/>
        <v>39264.070146818922</v>
      </c>
    </row>
    <row r="17" spans="1:16">
      <c r="A17" s="66">
        <v>1982</v>
      </c>
      <c r="B17" s="30">
        <v>597460.15</v>
      </c>
      <c r="C17" s="30">
        <f t="shared" si="7"/>
        <v>29920.5</v>
      </c>
      <c r="D17" s="30">
        <v>12259.08</v>
      </c>
      <c r="E17" s="30">
        <v>6355.76</v>
      </c>
      <c r="F17" s="30">
        <v>11305.66</v>
      </c>
      <c r="G17" s="28">
        <v>48.49</v>
      </c>
      <c r="H17" s="28">
        <f t="shared" si="1"/>
        <v>44.64848338095954</v>
      </c>
      <c r="I17" s="28">
        <v>53.05</v>
      </c>
      <c r="J17" s="28">
        <v>55.87</v>
      </c>
      <c r="K17" s="28">
        <v>29.23</v>
      </c>
      <c r="L17" s="56">
        <f t="shared" si="8"/>
        <v>1232130.6454939162</v>
      </c>
      <c r="M17" s="56">
        <f t="shared" si="9"/>
        <v>67013.474443702318</v>
      </c>
      <c r="N17" s="56">
        <f t="shared" si="9"/>
        <v>23108.539114043357</v>
      </c>
      <c r="O17" s="56">
        <f t="shared" si="9"/>
        <v>11375.979953463398</v>
      </c>
      <c r="P17" s="56">
        <f t="shared" si="9"/>
        <v>38678.27574409853</v>
      </c>
    </row>
    <row r="18" spans="1:16">
      <c r="A18" s="66">
        <v>1983</v>
      </c>
      <c r="B18" s="30">
        <v>668436.19999999995</v>
      </c>
      <c r="C18" s="30">
        <f t="shared" si="7"/>
        <v>36820.65</v>
      </c>
      <c r="D18" s="30">
        <v>15214.6</v>
      </c>
      <c r="E18" s="30">
        <v>7749.68</v>
      </c>
      <c r="F18" s="30">
        <v>13856.37</v>
      </c>
      <c r="G18" s="28">
        <v>52.78</v>
      </c>
      <c r="H18" s="28">
        <f t="shared" si="1"/>
        <v>49.464536516873011</v>
      </c>
      <c r="I18" s="28">
        <v>57.48</v>
      </c>
      <c r="J18" s="28">
        <v>64.150000000000006</v>
      </c>
      <c r="K18" s="28">
        <v>32.450000000000003</v>
      </c>
      <c r="L18" s="56">
        <f t="shared" si="8"/>
        <v>1266457.3702159908</v>
      </c>
      <c r="M18" s="56">
        <f t="shared" si="9"/>
        <v>74438.481774594184</v>
      </c>
      <c r="N18" s="56">
        <f t="shared" si="9"/>
        <v>26469.380654140572</v>
      </c>
      <c r="O18" s="56">
        <f t="shared" si="9"/>
        <v>12080.561184723303</v>
      </c>
      <c r="P18" s="56">
        <f t="shared" si="9"/>
        <v>42700.677966101692</v>
      </c>
    </row>
    <row r="19" spans="1:16">
      <c r="A19" s="66">
        <v>1984</v>
      </c>
      <c r="B19" s="30">
        <v>747602.37</v>
      </c>
      <c r="C19" s="30">
        <f t="shared" si="7"/>
        <v>42045.82</v>
      </c>
      <c r="D19" s="30">
        <v>17107.669999999998</v>
      </c>
      <c r="E19" s="30">
        <v>8993.23</v>
      </c>
      <c r="F19" s="30">
        <v>15944.92</v>
      </c>
      <c r="G19" s="28">
        <v>56.69</v>
      </c>
      <c r="H19" s="28">
        <f t="shared" si="1"/>
        <v>55.475227577913813</v>
      </c>
      <c r="I19" s="28">
        <v>65.56</v>
      </c>
      <c r="J19" s="28">
        <v>70.2</v>
      </c>
      <c r="K19" s="28">
        <v>36.35</v>
      </c>
      <c r="L19" s="56">
        <f t="shared" si="8"/>
        <v>1318755.283118716</v>
      </c>
      <c r="M19" s="56">
        <f t="shared" si="9"/>
        <v>75792.064018029516</v>
      </c>
      <c r="N19" s="56">
        <f t="shared" si="9"/>
        <v>26094.676632092735</v>
      </c>
      <c r="O19" s="56">
        <f t="shared" si="9"/>
        <v>12810.868945868946</v>
      </c>
      <c r="P19" s="56">
        <f t="shared" si="9"/>
        <v>43864.97936726272</v>
      </c>
    </row>
    <row r="20" spans="1:16">
      <c r="A20" s="66">
        <v>1985</v>
      </c>
      <c r="B20" s="30">
        <v>809387.32</v>
      </c>
      <c r="C20" s="30">
        <f t="shared" si="7"/>
        <v>42459.08</v>
      </c>
      <c r="D20" s="30">
        <v>18210.900000000001</v>
      </c>
      <c r="E20" s="30">
        <v>8495.4</v>
      </c>
      <c r="F20" s="30">
        <v>15752.78</v>
      </c>
      <c r="G20" s="28">
        <v>60.11</v>
      </c>
      <c r="H20" s="28">
        <f t="shared" si="1"/>
        <v>58.80689385168025</v>
      </c>
      <c r="I20" s="28">
        <v>73.31</v>
      </c>
      <c r="J20" s="28">
        <v>69.599999999999994</v>
      </c>
      <c r="K20" s="28">
        <v>36.22</v>
      </c>
      <c r="L20" s="56">
        <f t="shared" si="8"/>
        <v>1346510.2645150558</v>
      </c>
      <c r="M20" s="56">
        <f t="shared" si="9"/>
        <v>72200.854728168648</v>
      </c>
      <c r="N20" s="56">
        <f t="shared" si="9"/>
        <v>24840.949392988681</v>
      </c>
      <c r="O20" s="56">
        <f t="shared" si="9"/>
        <v>12206.034482758621</v>
      </c>
      <c r="P20" s="56">
        <f t="shared" si="9"/>
        <v>43491.938155715077</v>
      </c>
    </row>
    <row r="21" spans="1:16">
      <c r="A21" s="66">
        <v>1986</v>
      </c>
      <c r="B21" s="30">
        <v>897750.31</v>
      </c>
      <c r="C21" s="30">
        <f t="shared" si="7"/>
        <v>45526.48</v>
      </c>
      <c r="D21" s="30">
        <v>19581.650000000001</v>
      </c>
      <c r="E21" s="30">
        <v>8652.65</v>
      </c>
      <c r="F21" s="30">
        <v>17292.18</v>
      </c>
      <c r="G21" s="28">
        <v>65.11</v>
      </c>
      <c r="H21" s="28">
        <f t="shared" si="1"/>
        <v>61.668337013975162</v>
      </c>
      <c r="I21" s="28">
        <v>78.19</v>
      </c>
      <c r="J21" s="28">
        <v>70.599999999999994</v>
      </c>
      <c r="K21" s="28">
        <v>38.49</v>
      </c>
      <c r="L21" s="56">
        <f t="shared" si="8"/>
        <v>1378820.9338043311</v>
      </c>
      <c r="M21" s="56">
        <f t="shared" si="9"/>
        <v>73824.724655187107</v>
      </c>
      <c r="N21" s="56">
        <f t="shared" si="9"/>
        <v>25043.675661849345</v>
      </c>
      <c r="O21" s="56">
        <f t="shared" si="9"/>
        <v>12255.878186968839</v>
      </c>
      <c r="P21" s="56">
        <f t="shared" si="9"/>
        <v>44926.422447388934</v>
      </c>
    </row>
    <row r="22" spans="1:16">
      <c r="A22" s="66">
        <v>1987</v>
      </c>
      <c r="B22" s="30">
        <v>966757.76</v>
      </c>
      <c r="C22" s="30">
        <f t="shared" si="7"/>
        <v>50088.25</v>
      </c>
      <c r="D22" s="30">
        <v>20774.060000000001</v>
      </c>
      <c r="E22" s="30">
        <v>9874.91</v>
      </c>
      <c r="F22" s="30">
        <v>19439.28</v>
      </c>
      <c r="G22" s="28">
        <v>68.09</v>
      </c>
      <c r="H22" s="28">
        <f t="shared" si="1"/>
        <v>64.459859468038914</v>
      </c>
      <c r="I22" s="28">
        <v>81.53</v>
      </c>
      <c r="J22" s="28">
        <v>75.42</v>
      </c>
      <c r="K22" s="28">
        <v>40.65</v>
      </c>
      <c r="L22" s="56">
        <f t="shared" si="8"/>
        <v>1419823.4101923923</v>
      </c>
      <c r="M22" s="56">
        <f t="shared" si="9"/>
        <v>77704.559726561652</v>
      </c>
      <c r="N22" s="56">
        <f t="shared" si="9"/>
        <v>25480.264933153441</v>
      </c>
      <c r="O22" s="56">
        <f t="shared" si="9"/>
        <v>13093.224608857066</v>
      </c>
      <c r="P22" s="56">
        <f t="shared" si="9"/>
        <v>47821.107011070111</v>
      </c>
    </row>
    <row r="23" spans="1:16">
      <c r="A23" s="66">
        <v>1988</v>
      </c>
      <c r="B23" s="30">
        <v>1053247.05</v>
      </c>
      <c r="C23" s="30">
        <f t="shared" si="7"/>
        <v>54203.78</v>
      </c>
      <c r="D23" s="30">
        <v>21282.36</v>
      </c>
      <c r="E23" s="30">
        <v>10824.56</v>
      </c>
      <c r="F23" s="30">
        <v>22096.86</v>
      </c>
      <c r="G23" s="28">
        <v>72.38</v>
      </c>
      <c r="H23" s="28">
        <f t="shared" ref="H23:H42" si="10">I23*(D23/C23)+J23*(E23/C23)+K23*(F23/C23)</f>
        <v>68.442062531432313</v>
      </c>
      <c r="I23" s="28">
        <v>85.27</v>
      </c>
      <c r="J23" s="28">
        <v>81.23</v>
      </c>
      <c r="K23" s="28">
        <v>45.97</v>
      </c>
      <c r="L23" s="56">
        <f t="shared" si="8"/>
        <v>1455163.0975407572</v>
      </c>
      <c r="M23" s="56">
        <f t="shared" si="9"/>
        <v>79196.5905105602</v>
      </c>
      <c r="N23" s="56">
        <f t="shared" si="9"/>
        <v>24958.789726750325</v>
      </c>
      <c r="O23" s="56">
        <f t="shared" si="9"/>
        <v>13325.815585374861</v>
      </c>
      <c r="P23" s="56">
        <f t="shared" si="9"/>
        <v>48068.000870132695</v>
      </c>
    </row>
    <row r="24" spans="1:16">
      <c r="A24" s="66">
        <v>1989</v>
      </c>
      <c r="B24" s="30">
        <v>1164631.69</v>
      </c>
      <c r="C24" s="30">
        <f t="shared" si="7"/>
        <v>59680.44</v>
      </c>
      <c r="D24" s="30">
        <v>23235.3</v>
      </c>
      <c r="E24" s="30">
        <v>12682.67</v>
      </c>
      <c r="F24" s="30">
        <v>23762.47</v>
      </c>
      <c r="G24" s="28">
        <v>77.92</v>
      </c>
      <c r="H24" s="28">
        <f t="shared" si="10"/>
        <v>73.89902197269322</v>
      </c>
      <c r="I24" s="28">
        <v>89.3</v>
      </c>
      <c r="J24" s="28">
        <v>90.48</v>
      </c>
      <c r="K24" s="28">
        <v>49.99</v>
      </c>
      <c r="L24" s="56">
        <f t="shared" si="8"/>
        <v>1494650.5261806981</v>
      </c>
      <c r="M24" s="56">
        <f t="shared" si="9"/>
        <v>80759.444992455799</v>
      </c>
      <c r="N24" s="56">
        <f t="shared" si="9"/>
        <v>26019.372900335948</v>
      </c>
      <c r="O24" s="56">
        <f t="shared" si="9"/>
        <v>14017.097701149425</v>
      </c>
      <c r="P24" s="56">
        <f t="shared" si="9"/>
        <v>47534.446889377876</v>
      </c>
    </row>
    <row r="25" spans="1:16">
      <c r="A25" s="66">
        <v>1990</v>
      </c>
      <c r="B25" s="30">
        <v>1277645.4099999999</v>
      </c>
      <c r="C25" s="30">
        <f t="shared" si="7"/>
        <v>61391.64</v>
      </c>
      <c r="D25" s="30">
        <v>24206.04</v>
      </c>
      <c r="E25" s="30">
        <v>14064.93</v>
      </c>
      <c r="F25" s="30">
        <v>23120.67</v>
      </c>
      <c r="G25" s="28">
        <v>84.58</v>
      </c>
      <c r="H25" s="28">
        <f t="shared" si="10"/>
        <v>78.379377224651435</v>
      </c>
      <c r="I25" s="28">
        <v>93.55</v>
      </c>
      <c r="J25" s="28">
        <v>98.1</v>
      </c>
      <c r="K25" s="28">
        <v>50.5</v>
      </c>
      <c r="L25" s="56">
        <f t="shared" si="8"/>
        <v>1510576.2709860485</v>
      </c>
      <c r="M25" s="56">
        <f t="shared" si="9"/>
        <v>78326.266645419906</v>
      </c>
      <c r="N25" s="56">
        <f t="shared" si="9"/>
        <v>25874.975948690542</v>
      </c>
      <c r="O25" s="56">
        <f t="shared" si="9"/>
        <v>14337.339449541285</v>
      </c>
      <c r="P25" s="56">
        <f t="shared" si="9"/>
        <v>45783.504950495051</v>
      </c>
    </row>
    <row r="26" spans="1:16">
      <c r="A26" s="66">
        <v>1991</v>
      </c>
      <c r="B26" s="30">
        <v>1330688</v>
      </c>
      <c r="C26" s="30">
        <f t="shared" si="7"/>
        <v>57732.04</v>
      </c>
      <c r="D26" s="30">
        <v>22811.08</v>
      </c>
      <c r="E26" s="30">
        <v>12180.03</v>
      </c>
      <c r="F26" s="30">
        <v>22740.93</v>
      </c>
      <c r="G26" s="28">
        <v>89.12</v>
      </c>
      <c r="H26" s="28">
        <f t="shared" si="10"/>
        <v>74.955972555274343</v>
      </c>
      <c r="I26" s="28">
        <v>90.95</v>
      </c>
      <c r="J26" s="28">
        <v>92.81</v>
      </c>
      <c r="K26" s="28">
        <v>49.35</v>
      </c>
      <c r="L26" s="56">
        <f t="shared" si="8"/>
        <v>1493141.831238779</v>
      </c>
      <c r="M26" s="56">
        <f t="shared" si="9"/>
        <v>77021.267327866371</v>
      </c>
      <c r="N26" s="56">
        <f t="shared" si="9"/>
        <v>25080.901594282572</v>
      </c>
      <c r="O26" s="56">
        <f t="shared" si="9"/>
        <v>13123.618144596487</v>
      </c>
      <c r="P26" s="56">
        <f t="shared" si="9"/>
        <v>46080.911854103339</v>
      </c>
    </row>
    <row r="27" spans="1:16">
      <c r="A27" s="66">
        <v>1992</v>
      </c>
      <c r="B27" s="30">
        <v>1326560.94</v>
      </c>
      <c r="C27" s="30">
        <f t="shared" si="7"/>
        <v>54405.8</v>
      </c>
      <c r="D27" s="30">
        <v>21901.49</v>
      </c>
      <c r="E27" s="30">
        <v>9702.5499999999993</v>
      </c>
      <c r="F27" s="30">
        <v>22801.759999999998</v>
      </c>
      <c r="G27" s="28">
        <v>89.92</v>
      </c>
      <c r="H27" s="28">
        <f t="shared" si="10"/>
        <v>70.439413761032824</v>
      </c>
      <c r="I27" s="28">
        <v>84.13</v>
      </c>
      <c r="J27" s="28">
        <v>87.57</v>
      </c>
      <c r="K27" s="28">
        <v>50</v>
      </c>
      <c r="L27" s="56">
        <f t="shared" ref="L27:L42" si="11">B27*100/G27</f>
        <v>1475267.9492882562</v>
      </c>
      <c r="M27" s="56">
        <f t="shared" ref="M27:M42" si="12">C27*100/H27</f>
        <v>77237.724017086235</v>
      </c>
      <c r="N27" s="56">
        <f t="shared" ref="N27:N42" si="13">D27*100/I27</f>
        <v>26032.9133483894</v>
      </c>
      <c r="O27" s="56">
        <f t="shared" ref="O27:O42" si="14">E27*100/J27</f>
        <v>11079.764759620874</v>
      </c>
      <c r="P27" s="56">
        <f t="shared" ref="P27:P42" si="15">F27*100/K27</f>
        <v>45603.519999999997</v>
      </c>
    </row>
    <row r="28" spans="1:16">
      <c r="A28" s="66">
        <v>1993</v>
      </c>
      <c r="B28" s="30">
        <v>1349021.43</v>
      </c>
      <c r="C28" s="30">
        <f t="shared" si="7"/>
        <v>53961</v>
      </c>
      <c r="D28" s="30">
        <v>18988</v>
      </c>
      <c r="E28" s="30">
        <v>9695</v>
      </c>
      <c r="F28" s="30">
        <v>25278</v>
      </c>
      <c r="G28" s="28">
        <v>93.28</v>
      </c>
      <c r="H28" s="28">
        <f t="shared" si="10"/>
        <v>68.00090769259279</v>
      </c>
      <c r="I28" s="28">
        <v>74.58</v>
      </c>
      <c r="J28" s="28">
        <v>90.76</v>
      </c>
      <c r="K28" s="28">
        <v>54.33</v>
      </c>
      <c r="L28" s="56">
        <f t="shared" si="11"/>
        <v>1446206.50728988</v>
      </c>
      <c r="M28" s="56">
        <f t="shared" si="12"/>
        <v>79353.352522789733</v>
      </c>
      <c r="N28" s="56">
        <f t="shared" si="13"/>
        <v>25459.908822740683</v>
      </c>
      <c r="O28" s="56">
        <f t="shared" si="14"/>
        <v>10682.018510356986</v>
      </c>
      <c r="P28" s="56">
        <f t="shared" si="15"/>
        <v>46526.780784097187</v>
      </c>
    </row>
    <row r="29" spans="1:16">
      <c r="A29" s="66">
        <v>1994</v>
      </c>
      <c r="B29" s="30">
        <v>1443607</v>
      </c>
      <c r="C29" s="30">
        <f t="shared" si="7"/>
        <v>62111</v>
      </c>
      <c r="D29" s="30">
        <v>22279</v>
      </c>
      <c r="E29" s="30">
        <v>11912</v>
      </c>
      <c r="F29" s="30">
        <v>27920</v>
      </c>
      <c r="G29" s="28">
        <v>95.91</v>
      </c>
      <c r="H29" s="28">
        <f t="shared" si="10"/>
        <v>77.521329394149177</v>
      </c>
      <c r="I29" s="28">
        <v>87.19</v>
      </c>
      <c r="J29" s="28">
        <v>103.74</v>
      </c>
      <c r="K29" s="28">
        <v>58.62</v>
      </c>
      <c r="L29" s="56">
        <f t="shared" si="11"/>
        <v>1505168.387029507</v>
      </c>
      <c r="M29" s="56">
        <f t="shared" si="12"/>
        <v>80121.175017785165</v>
      </c>
      <c r="N29" s="56">
        <f t="shared" si="13"/>
        <v>25552.24222961349</v>
      </c>
      <c r="O29" s="56">
        <f t="shared" si="14"/>
        <v>11482.552535184115</v>
      </c>
      <c r="P29" s="56">
        <f t="shared" si="15"/>
        <v>47628.7956328898</v>
      </c>
    </row>
    <row r="30" spans="1:16">
      <c r="A30" s="66">
        <v>1995</v>
      </c>
      <c r="B30" s="30">
        <v>1572751</v>
      </c>
      <c r="C30" s="30">
        <f t="shared" si="7"/>
        <v>81019</v>
      </c>
      <c r="D30" s="30">
        <v>25978</v>
      </c>
      <c r="E30" s="30">
        <v>12412</v>
      </c>
      <c r="F30" s="30">
        <v>42629</v>
      </c>
      <c r="G30" s="28">
        <v>100</v>
      </c>
      <c r="H30" s="28">
        <f t="shared" si="10"/>
        <v>100</v>
      </c>
      <c r="I30" s="28">
        <v>100</v>
      </c>
      <c r="J30" s="28">
        <v>100</v>
      </c>
      <c r="K30" s="28">
        <v>100</v>
      </c>
      <c r="L30" s="56">
        <f t="shared" si="11"/>
        <v>1572751</v>
      </c>
      <c r="M30" s="56">
        <f t="shared" si="12"/>
        <v>81019</v>
      </c>
      <c r="N30" s="56">
        <f t="shared" si="13"/>
        <v>25978</v>
      </c>
      <c r="O30" s="56">
        <f t="shared" si="14"/>
        <v>12412</v>
      </c>
      <c r="P30" s="56">
        <f t="shared" si="15"/>
        <v>42629</v>
      </c>
    </row>
    <row r="31" spans="1:16">
      <c r="A31" s="66">
        <v>1996</v>
      </c>
      <c r="B31" s="30">
        <v>1616722</v>
      </c>
      <c r="C31" s="30">
        <f t="shared" si="7"/>
        <v>68409</v>
      </c>
      <c r="D31" s="30">
        <v>24747</v>
      </c>
      <c r="E31" s="30">
        <v>12609</v>
      </c>
      <c r="F31" s="30">
        <v>31053</v>
      </c>
      <c r="G31" s="28">
        <v>101.37</v>
      </c>
      <c r="H31" s="28">
        <f t="shared" si="10"/>
        <v>84.656307503398665</v>
      </c>
      <c r="I31" s="28">
        <v>94.33</v>
      </c>
      <c r="J31" s="28">
        <v>89.55</v>
      </c>
      <c r="K31" s="28">
        <v>74.959999999999994</v>
      </c>
      <c r="L31" s="56">
        <f t="shared" si="11"/>
        <v>1594872.2501726348</v>
      </c>
      <c r="M31" s="56">
        <f t="shared" si="12"/>
        <v>80807.918532536525</v>
      </c>
      <c r="N31" s="56">
        <f t="shared" si="13"/>
        <v>26234.495918583696</v>
      </c>
      <c r="O31" s="56">
        <f t="shared" si="14"/>
        <v>14080.402010050251</v>
      </c>
      <c r="P31" s="56">
        <f t="shared" si="15"/>
        <v>41426.093916755606</v>
      </c>
    </row>
    <row r="32" spans="1:16">
      <c r="A32" s="66">
        <v>1997</v>
      </c>
      <c r="B32" s="30">
        <v>1686758</v>
      </c>
      <c r="C32" s="30">
        <f t="shared" si="7"/>
        <v>69320</v>
      </c>
      <c r="D32" s="30">
        <v>25089</v>
      </c>
      <c r="E32" s="30">
        <v>14366</v>
      </c>
      <c r="F32" s="30">
        <v>29865</v>
      </c>
      <c r="G32" s="28">
        <v>103.03</v>
      </c>
      <c r="H32" s="28">
        <f t="shared" si="10"/>
        <v>83.816951961915748</v>
      </c>
      <c r="I32" s="28">
        <v>95.8</v>
      </c>
      <c r="J32" s="28">
        <v>98.91</v>
      </c>
      <c r="K32" s="28">
        <v>66.489999999999995</v>
      </c>
      <c r="L32" s="56">
        <f t="shared" si="11"/>
        <v>1637152.285742017</v>
      </c>
      <c r="M32" s="56">
        <f t="shared" si="12"/>
        <v>82704.033465088563</v>
      </c>
      <c r="N32" s="56">
        <f t="shared" si="13"/>
        <v>26188.935281837163</v>
      </c>
      <c r="O32" s="56">
        <f t="shared" si="14"/>
        <v>14524.315033869174</v>
      </c>
      <c r="P32" s="56">
        <f t="shared" si="15"/>
        <v>44916.528801323511</v>
      </c>
    </row>
    <row r="33" spans="1:16">
      <c r="A33" s="66">
        <v>1998</v>
      </c>
      <c r="B33" s="30">
        <v>1757392</v>
      </c>
      <c r="C33" s="30">
        <f t="shared" si="7"/>
        <v>69785</v>
      </c>
      <c r="D33" s="30">
        <v>24435</v>
      </c>
      <c r="E33" s="30">
        <v>13905</v>
      </c>
      <c r="F33" s="30">
        <v>31445</v>
      </c>
      <c r="G33" s="28">
        <v>103.62</v>
      </c>
      <c r="H33" s="28">
        <f t="shared" si="10"/>
        <v>83.986980010030805</v>
      </c>
      <c r="I33" s="28">
        <v>96.5</v>
      </c>
      <c r="J33" s="28">
        <v>90.96</v>
      </c>
      <c r="K33" s="28">
        <v>71.180000000000007</v>
      </c>
      <c r="L33" s="56">
        <f t="shared" si="11"/>
        <v>1695996.9117930902</v>
      </c>
      <c r="M33" s="56">
        <f t="shared" si="12"/>
        <v>83090.259932748362</v>
      </c>
      <c r="N33" s="56">
        <f t="shared" si="13"/>
        <v>25321.243523316061</v>
      </c>
      <c r="O33" s="56">
        <f t="shared" si="14"/>
        <v>15286.93931398417</v>
      </c>
      <c r="P33" s="56">
        <f t="shared" si="15"/>
        <v>44176.735037931998</v>
      </c>
    </row>
    <row r="34" spans="1:16">
      <c r="A34" s="66">
        <v>1999</v>
      </c>
      <c r="B34" s="30">
        <v>1856279</v>
      </c>
      <c r="C34" s="30">
        <f t="shared" si="7"/>
        <v>72065</v>
      </c>
      <c r="D34" s="30">
        <v>24997</v>
      </c>
      <c r="E34" s="30">
        <v>14339</v>
      </c>
      <c r="F34" s="30">
        <v>32729</v>
      </c>
      <c r="G34" s="28">
        <v>104.78</v>
      </c>
      <c r="H34" s="28">
        <f t="shared" si="10"/>
        <v>82.245710539096649</v>
      </c>
      <c r="I34" s="28">
        <v>95.51</v>
      </c>
      <c r="J34" s="28">
        <v>87.37</v>
      </c>
      <c r="K34" s="28">
        <v>69.87</v>
      </c>
      <c r="L34" s="56">
        <f t="shared" si="11"/>
        <v>1771596.6787554878</v>
      </c>
      <c r="M34" s="56">
        <f t="shared" si="12"/>
        <v>87621.590874022411</v>
      </c>
      <c r="N34" s="56">
        <f t="shared" si="13"/>
        <v>26172.128572924299</v>
      </c>
      <c r="O34" s="56">
        <f t="shared" si="14"/>
        <v>16411.811834725879</v>
      </c>
      <c r="P34" s="56">
        <f t="shared" si="15"/>
        <v>46842.707886074131</v>
      </c>
    </row>
    <row r="35" spans="1:16">
      <c r="A35" s="66">
        <v>2000</v>
      </c>
      <c r="B35" s="30">
        <v>1972825</v>
      </c>
      <c r="C35" s="30">
        <f t="shared" si="7"/>
        <v>82650</v>
      </c>
      <c r="D35" s="30">
        <v>23682</v>
      </c>
      <c r="E35" s="30">
        <v>15369</v>
      </c>
      <c r="F35" s="30">
        <v>43599</v>
      </c>
      <c r="G35" s="28">
        <v>106.37</v>
      </c>
      <c r="H35" s="28">
        <f t="shared" si="10"/>
        <v>90.105590199637021</v>
      </c>
      <c r="I35" s="28">
        <v>91.57</v>
      </c>
      <c r="J35" s="28">
        <v>93.34</v>
      </c>
      <c r="K35" s="28">
        <v>88.17</v>
      </c>
      <c r="L35" s="56">
        <f t="shared" si="11"/>
        <v>1854681.7711760835</v>
      </c>
      <c r="M35" s="56">
        <f t="shared" si="12"/>
        <v>91725.718478599956</v>
      </c>
      <c r="N35" s="56">
        <f t="shared" si="13"/>
        <v>25862.181937315716</v>
      </c>
      <c r="O35" s="56">
        <f t="shared" si="14"/>
        <v>16465.609599314335</v>
      </c>
      <c r="P35" s="56">
        <f t="shared" si="15"/>
        <v>49448.792106158558</v>
      </c>
    </row>
    <row r="36" spans="1:16">
      <c r="A36" s="66">
        <v>2001</v>
      </c>
      <c r="B36" s="30">
        <v>2035706</v>
      </c>
      <c r="C36" s="30">
        <f t="shared" si="7"/>
        <v>85198</v>
      </c>
      <c r="D36" s="30">
        <v>24410</v>
      </c>
      <c r="E36" s="30">
        <v>15632</v>
      </c>
      <c r="F36" s="30">
        <v>45156</v>
      </c>
      <c r="G36" s="28">
        <v>108.68</v>
      </c>
      <c r="H36" s="28">
        <f t="shared" si="10"/>
        <v>93.380378412638791</v>
      </c>
      <c r="I36" s="28">
        <v>90.64</v>
      </c>
      <c r="J36" s="28">
        <v>91.45</v>
      </c>
      <c r="K36" s="28">
        <v>95.53</v>
      </c>
      <c r="L36" s="56">
        <f t="shared" si="11"/>
        <v>1873119.2491718805</v>
      </c>
      <c r="M36" s="56">
        <f t="shared" si="12"/>
        <v>91237.58272162739</v>
      </c>
      <c r="N36" s="56">
        <f t="shared" si="13"/>
        <v>26930.71491615181</v>
      </c>
      <c r="O36" s="56">
        <f t="shared" si="14"/>
        <v>17093.493712411153</v>
      </c>
      <c r="P36" s="56">
        <f t="shared" si="15"/>
        <v>47268.920757877109</v>
      </c>
    </row>
    <row r="37" spans="1:16">
      <c r="A37" s="66">
        <v>2002</v>
      </c>
      <c r="B37" s="30">
        <v>2116839</v>
      </c>
      <c r="C37" s="30">
        <f t="shared" si="7"/>
        <v>80946</v>
      </c>
      <c r="D37" s="30">
        <v>23793</v>
      </c>
      <c r="E37" s="30">
        <v>16504</v>
      </c>
      <c r="F37" s="30">
        <v>40649</v>
      </c>
      <c r="G37" s="28">
        <v>110.62</v>
      </c>
      <c r="H37" s="28">
        <f t="shared" si="10"/>
        <v>86.967926765992146</v>
      </c>
      <c r="I37" s="28">
        <v>88.26</v>
      </c>
      <c r="J37" s="28">
        <v>98.08</v>
      </c>
      <c r="K37" s="28">
        <v>81.7</v>
      </c>
      <c r="L37" s="56">
        <f t="shared" si="11"/>
        <v>1913613.2706563007</v>
      </c>
      <c r="M37" s="56">
        <f t="shared" si="12"/>
        <v>93075.692396122569</v>
      </c>
      <c r="N37" s="56">
        <f t="shared" si="13"/>
        <v>26957.851801495581</v>
      </c>
      <c r="O37" s="56">
        <f t="shared" si="14"/>
        <v>16827.079934747144</v>
      </c>
      <c r="P37" s="56">
        <f t="shared" si="15"/>
        <v>49753.977968176252</v>
      </c>
    </row>
    <row r="38" spans="1:16">
      <c r="A38" s="66">
        <v>2003</v>
      </c>
      <c r="B38" s="30">
        <v>2200248</v>
      </c>
      <c r="C38" s="30">
        <f t="shared" si="7"/>
        <v>81650</v>
      </c>
      <c r="D38" s="30">
        <v>25411</v>
      </c>
      <c r="E38" s="30">
        <v>18014</v>
      </c>
      <c r="F38" s="30">
        <v>38225</v>
      </c>
      <c r="G38" s="28">
        <v>112.91</v>
      </c>
      <c r="H38" s="28">
        <f t="shared" si="10"/>
        <v>83.486232823025119</v>
      </c>
      <c r="I38" s="28">
        <v>91.43</v>
      </c>
      <c r="J38" s="28">
        <v>99.37</v>
      </c>
      <c r="K38" s="28">
        <v>70.72</v>
      </c>
      <c r="L38" s="56">
        <f t="shared" si="11"/>
        <v>1948674.1652643699</v>
      </c>
      <c r="M38" s="56">
        <f t="shared" si="12"/>
        <v>97800.556138498214</v>
      </c>
      <c r="N38" s="56">
        <f t="shared" si="13"/>
        <v>27792.846986765831</v>
      </c>
      <c r="O38" s="56">
        <f t="shared" si="14"/>
        <v>18128.20770856395</v>
      </c>
      <c r="P38" s="56">
        <f t="shared" si="15"/>
        <v>54051.187782805428</v>
      </c>
    </row>
    <row r="39" spans="1:16">
      <c r="A39" s="66">
        <v>2004</v>
      </c>
      <c r="B39" s="30">
        <v>2299707</v>
      </c>
      <c r="C39" s="30">
        <f t="shared" si="7"/>
        <v>78002</v>
      </c>
      <c r="D39" s="30">
        <v>26753</v>
      </c>
      <c r="E39" s="30">
        <v>17171</v>
      </c>
      <c r="F39" s="30">
        <v>34078</v>
      </c>
      <c r="G39" s="28">
        <v>113.16</v>
      </c>
      <c r="H39" s="28">
        <f t="shared" si="10"/>
        <v>79.24582126099331</v>
      </c>
      <c r="I39" s="28">
        <v>93.09</v>
      </c>
      <c r="J39" s="28">
        <v>92.24</v>
      </c>
      <c r="K39" s="28">
        <v>61.83</v>
      </c>
      <c r="L39" s="56">
        <f t="shared" si="11"/>
        <v>2032261.399787911</v>
      </c>
      <c r="M39" s="56">
        <f t="shared" si="12"/>
        <v>98430.42668849777</v>
      </c>
      <c r="N39" s="56">
        <f t="shared" si="13"/>
        <v>28738.854871629606</v>
      </c>
      <c r="O39" s="56">
        <f t="shared" si="14"/>
        <v>18615.56808326106</v>
      </c>
      <c r="P39" s="56">
        <f t="shared" si="15"/>
        <v>55115.639657124375</v>
      </c>
    </row>
    <row r="40" spans="1:16">
      <c r="A40" s="66">
        <v>2005</v>
      </c>
      <c r="B40" s="30">
        <v>2388162</v>
      </c>
      <c r="C40" s="30">
        <f t="shared" si="7"/>
        <v>67240</v>
      </c>
      <c r="D40" s="30">
        <v>13650</v>
      </c>
      <c r="E40" s="30">
        <v>22128</v>
      </c>
      <c r="F40" s="30">
        <v>31462</v>
      </c>
      <c r="G40" s="28">
        <v>113.94</v>
      </c>
      <c r="H40" s="28">
        <f t="shared" si="10"/>
        <v>76.671419095776329</v>
      </c>
      <c r="I40" s="28">
        <v>54.08</v>
      </c>
      <c r="J40" s="28">
        <v>112.42</v>
      </c>
      <c r="K40" s="28">
        <v>61.33</v>
      </c>
      <c r="L40" s="56">
        <f t="shared" si="11"/>
        <v>2095982.0958399158</v>
      </c>
      <c r="M40" s="56">
        <f t="shared" si="12"/>
        <v>87698.911527912642</v>
      </c>
      <c r="N40" s="56">
        <f t="shared" si="13"/>
        <v>25240.384615384617</v>
      </c>
      <c r="O40" s="56">
        <f t="shared" si="14"/>
        <v>19683.330368261875</v>
      </c>
      <c r="P40" s="56">
        <f t="shared" si="15"/>
        <v>51299.527148214576</v>
      </c>
    </row>
    <row r="41" spans="1:16">
      <c r="A41" s="66">
        <v>2006</v>
      </c>
      <c r="B41" s="30">
        <v>2536305.16</v>
      </c>
      <c r="C41" s="30">
        <f t="shared" si="7"/>
        <v>75163.87000000001</v>
      </c>
      <c r="D41" s="30">
        <v>20693.38</v>
      </c>
      <c r="E41" s="30">
        <v>23335</v>
      </c>
      <c r="F41" s="30">
        <v>31135.49</v>
      </c>
      <c r="G41" s="28">
        <v>116.06</v>
      </c>
      <c r="H41" s="28">
        <f t="shared" si="10"/>
        <v>77.358822375697258</v>
      </c>
      <c r="I41" s="28">
        <v>61.76</v>
      </c>
      <c r="J41" s="28">
        <v>114.3</v>
      </c>
      <c r="K41" s="28">
        <v>60.04</v>
      </c>
      <c r="L41" s="56">
        <f t="shared" si="11"/>
        <v>2185339.6174392556</v>
      </c>
      <c r="M41" s="56">
        <f t="shared" si="12"/>
        <v>97162.634708892874</v>
      </c>
      <c r="N41" s="56">
        <f t="shared" si="13"/>
        <v>33506.120466321241</v>
      </c>
      <c r="O41" s="56">
        <f t="shared" si="14"/>
        <v>20415.573053368331</v>
      </c>
      <c r="P41" s="56">
        <f t="shared" si="15"/>
        <v>51857.911392405062</v>
      </c>
    </row>
    <row r="42" spans="1:16">
      <c r="A42" s="66">
        <v>2007</v>
      </c>
      <c r="B42" s="30">
        <v>2683503.5099999998</v>
      </c>
      <c r="C42" s="30">
        <f t="shared" si="7"/>
        <v>80831.76999999999</v>
      </c>
      <c r="D42" s="30">
        <v>21830.37</v>
      </c>
      <c r="E42" s="30">
        <v>27342</v>
      </c>
      <c r="F42" s="30">
        <v>31659.4</v>
      </c>
      <c r="G42" s="28">
        <v>119.41</v>
      </c>
      <c r="H42" s="28">
        <f t="shared" si="10"/>
        <v>84.209736591194286</v>
      </c>
      <c r="I42" s="28">
        <v>65.67</v>
      </c>
      <c r="J42" s="28">
        <v>124.81</v>
      </c>
      <c r="K42" s="28">
        <v>61.93</v>
      </c>
      <c r="L42" s="56">
        <f t="shared" si="11"/>
        <v>2247302.1606230633</v>
      </c>
      <c r="M42" s="56">
        <f t="shared" si="12"/>
        <v>95988.627054383251</v>
      </c>
      <c r="N42" s="56">
        <f t="shared" si="13"/>
        <v>33242.530835998172</v>
      </c>
      <c r="O42" s="56">
        <f t="shared" si="14"/>
        <v>21906.898485698261</v>
      </c>
      <c r="P42" s="56">
        <f t="shared" si="15"/>
        <v>51121.265945422252</v>
      </c>
    </row>
    <row r="43" spans="1:16">
      <c r="A43" s="66">
        <v>2008</v>
      </c>
      <c r="B43" s="56" t="s">
        <v>22</v>
      </c>
      <c r="C43" s="56" t="s">
        <v>22</v>
      </c>
      <c r="D43" s="56" t="s">
        <v>22</v>
      </c>
      <c r="E43" s="56" t="s">
        <v>22</v>
      </c>
      <c r="F43" s="56" t="s">
        <v>22</v>
      </c>
      <c r="G43" s="56" t="s">
        <v>22</v>
      </c>
      <c r="H43" s="56" t="s">
        <v>22</v>
      </c>
      <c r="I43" s="56" t="s">
        <v>22</v>
      </c>
      <c r="J43" s="56" t="s">
        <v>22</v>
      </c>
      <c r="K43" s="56" t="s">
        <v>22</v>
      </c>
      <c r="L43" s="56" t="s">
        <v>22</v>
      </c>
      <c r="M43" s="56" t="s">
        <v>22</v>
      </c>
      <c r="N43" s="56" t="s">
        <v>22</v>
      </c>
      <c r="O43" s="56" t="s">
        <v>22</v>
      </c>
      <c r="P43" s="56" t="s">
        <v>22</v>
      </c>
    </row>
    <row r="44" spans="1:16">
      <c r="B44" s="57"/>
      <c r="C44" s="57"/>
      <c r="D44" s="57"/>
      <c r="E44" s="57"/>
      <c r="F44" s="57"/>
      <c r="G44" s="57"/>
      <c r="H44" s="57"/>
      <c r="I44" s="57"/>
      <c r="J44" s="57"/>
      <c r="K44" s="57"/>
      <c r="L44" s="57"/>
      <c r="M44" s="57"/>
      <c r="N44" s="57"/>
      <c r="O44" s="57"/>
      <c r="P44" s="57"/>
    </row>
    <row r="45" spans="1:16">
      <c r="A45" s="66" t="s">
        <v>23</v>
      </c>
      <c r="B45" s="56"/>
      <c r="C45" s="56"/>
      <c r="D45" s="56"/>
      <c r="E45" s="56"/>
      <c r="F45" s="56"/>
      <c r="G45" s="56"/>
      <c r="H45" s="56"/>
      <c r="I45" s="56"/>
      <c r="J45" s="56"/>
      <c r="K45" s="56"/>
      <c r="L45" s="57"/>
      <c r="M45" s="57"/>
      <c r="N45" s="57"/>
      <c r="O45" s="57"/>
      <c r="P45" s="57"/>
    </row>
    <row r="46" spans="1:16">
      <c r="A46" s="66" t="s">
        <v>1946</v>
      </c>
      <c r="B46" s="147">
        <f>((B42/B5)^(1/37)-1)*100</f>
        <v>7.9828234380367347</v>
      </c>
      <c r="C46" s="147">
        <f t="shared" ref="C46:P46" si="16">((C42/C5)^(1/37)-1)*100</f>
        <v>5.8884586068286726</v>
      </c>
      <c r="D46" s="147">
        <f t="shared" si="16"/>
        <v>4.1925859519287512</v>
      </c>
      <c r="E46" s="147">
        <f t="shared" si="16"/>
        <v>7.4111088887073961</v>
      </c>
      <c r="F46" s="147">
        <f t="shared" si="16"/>
        <v>6.5622290643527315</v>
      </c>
      <c r="G46" s="147">
        <f t="shared" si="16"/>
        <v>5.5313785137943716</v>
      </c>
      <c r="H46" s="147">
        <f t="shared" si="16"/>
        <v>4.8850340896104072</v>
      </c>
      <c r="I46" s="147">
        <f t="shared" si="16"/>
        <v>3.7382333530735945</v>
      </c>
      <c r="J46" s="147">
        <f t="shared" si="16"/>
        <v>5.5191221566651238</v>
      </c>
      <c r="K46" s="147">
        <f t="shared" si="16"/>
        <v>5.4216737582534646</v>
      </c>
      <c r="L46" s="147">
        <f t="shared" si="16"/>
        <v>2.3229535696076553</v>
      </c>
      <c r="M46" s="147">
        <f t="shared" si="16"/>
        <v>0.9566898899617593</v>
      </c>
      <c r="N46" s="147">
        <f t="shared" si="16"/>
        <v>0.43797988858047532</v>
      </c>
      <c r="O46" s="147">
        <f t="shared" si="16"/>
        <v>1.7930273616503678</v>
      </c>
      <c r="P46" s="147">
        <f t="shared" si="16"/>
        <v>1.0818983093692003</v>
      </c>
    </row>
    <row r="47" spans="1:16">
      <c r="A47" s="66" t="s">
        <v>2140</v>
      </c>
      <c r="B47" s="147">
        <f>((B25/B5)^(1/20)-1)*100</f>
        <v>11.068668207557408</v>
      </c>
      <c r="C47" s="147">
        <f t="shared" ref="C47:P47" si="17">((C25/C5)^(1/20)-1)*100</f>
        <v>9.6468895598303064</v>
      </c>
      <c r="D47" s="147">
        <f t="shared" si="17"/>
        <v>8.4529185680627847</v>
      </c>
      <c r="E47" s="147">
        <f t="shared" si="17"/>
        <v>10.40948524839016</v>
      </c>
      <c r="F47" s="147">
        <f t="shared" si="17"/>
        <v>10.723800775105286</v>
      </c>
      <c r="G47" s="147">
        <f t="shared" si="17"/>
        <v>8.5843734713954678</v>
      </c>
      <c r="H47" s="147">
        <f t="shared" si="17"/>
        <v>8.8333491006898477</v>
      </c>
      <c r="I47" s="147">
        <f t="shared" si="17"/>
        <v>8.9358200662911003</v>
      </c>
      <c r="J47" s="147">
        <f t="shared" si="17"/>
        <v>9.1273589785987532</v>
      </c>
      <c r="K47" s="147">
        <f t="shared" si="17"/>
        <v>9.1414811120699149</v>
      </c>
      <c r="L47" s="147">
        <f t="shared" si="17"/>
        <v>2.2878934203330648</v>
      </c>
      <c r="M47" s="147">
        <f t="shared" si="17"/>
        <v>0.74751026763661965</v>
      </c>
      <c r="N47" s="147">
        <f t="shared" si="17"/>
        <v>-0.4432899095398346</v>
      </c>
      <c r="O47" s="147">
        <f t="shared" si="17"/>
        <v>1.1748898551121822</v>
      </c>
      <c r="P47" s="147">
        <f t="shared" si="17"/>
        <v>1.4497876031300816</v>
      </c>
    </row>
    <row r="48" spans="1:16">
      <c r="A48" s="66" t="s">
        <v>660</v>
      </c>
      <c r="B48" s="147">
        <f t="shared" ref="B48:P48" si="18">((B35/B25)^(1/10)-1)*100</f>
        <v>4.4402306744819375</v>
      </c>
      <c r="C48" s="147">
        <f t="shared" si="18"/>
        <v>3.0180588458311952</v>
      </c>
      <c r="D48" s="147">
        <f t="shared" si="18"/>
        <v>-0.21862988484325774</v>
      </c>
      <c r="E48" s="147">
        <f t="shared" si="18"/>
        <v>0.8906229398305987</v>
      </c>
      <c r="F48" s="147">
        <f t="shared" si="18"/>
        <v>6.5485665511910041</v>
      </c>
      <c r="G48" s="147">
        <f t="shared" si="18"/>
        <v>2.3187316224797749</v>
      </c>
      <c r="H48" s="147">
        <f t="shared" si="18"/>
        <v>1.4039780835942484</v>
      </c>
      <c r="I48" s="147">
        <f t="shared" si="18"/>
        <v>-0.21369480285606812</v>
      </c>
      <c r="J48" s="147">
        <f t="shared" si="18"/>
        <v>-0.49615134332030575</v>
      </c>
      <c r="K48" s="147">
        <f t="shared" si="18"/>
        <v>5.7311476552011076</v>
      </c>
      <c r="L48" s="147">
        <f t="shared" si="18"/>
        <v>2.0734219613176563</v>
      </c>
      <c r="M48" s="147">
        <f t="shared" si="18"/>
        <v>1.5917331772786536</v>
      </c>
      <c r="N48" s="147">
        <f t="shared" si="18"/>
        <v>-4.9456505854639232E-3</v>
      </c>
      <c r="O48" s="147">
        <f t="shared" si="18"/>
        <v>1.3936890902940924</v>
      </c>
      <c r="P48" s="147">
        <f t="shared" si="18"/>
        <v>0.77311077588562149</v>
      </c>
    </row>
    <row r="49" spans="1:16">
      <c r="A49" s="66" t="s">
        <v>588</v>
      </c>
      <c r="B49" s="147">
        <f>((B42/B35)^(1/7)-1)*100</f>
        <v>4.4931106468788284</v>
      </c>
      <c r="C49" s="147">
        <f t="shared" ref="C49:P49" si="19">((C42/C35)^(1/7)-1)*100</f>
        <v>-0.31727764945418402</v>
      </c>
      <c r="D49" s="147">
        <f t="shared" si="19"/>
        <v>-1.1563077242081721</v>
      </c>
      <c r="E49" s="147">
        <f t="shared" si="19"/>
        <v>8.5777072870862661</v>
      </c>
      <c r="F49" s="147">
        <f t="shared" si="19"/>
        <v>-4.4685008421402328</v>
      </c>
      <c r="G49" s="147">
        <f t="shared" si="19"/>
        <v>1.6657117832981072</v>
      </c>
      <c r="H49" s="147">
        <f t="shared" si="19"/>
        <v>-0.96208005415756581</v>
      </c>
      <c r="I49" s="147">
        <f t="shared" si="19"/>
        <v>-4.6384282937623862</v>
      </c>
      <c r="J49" s="147">
        <f t="shared" si="19"/>
        <v>4.2379690166977513</v>
      </c>
      <c r="K49" s="147">
        <f t="shared" si="19"/>
        <v>-4.9213752499426615</v>
      </c>
      <c r="L49" s="147">
        <f t="shared" si="19"/>
        <v>2.7810741832087427</v>
      </c>
      <c r="M49" s="147">
        <f t="shared" si="19"/>
        <v>0.6510661825853914</v>
      </c>
      <c r="N49" s="147">
        <f t="shared" si="19"/>
        <v>3.6514924274538174</v>
      </c>
      <c r="O49" s="147">
        <f t="shared" si="19"/>
        <v>4.1632989507818907</v>
      </c>
      <c r="P49" s="147">
        <f t="shared" si="19"/>
        <v>0.47631569029626952</v>
      </c>
    </row>
    <row r="50" spans="1:16">
      <c r="A50" s="66"/>
      <c r="B50" s="155"/>
      <c r="C50" s="155"/>
      <c r="D50" s="155"/>
      <c r="E50" s="155"/>
      <c r="F50" s="155"/>
      <c r="G50" s="155"/>
      <c r="H50" s="155"/>
      <c r="I50" s="155"/>
      <c r="J50" s="155"/>
      <c r="K50" s="155"/>
      <c r="L50" s="155"/>
      <c r="M50" s="155"/>
      <c r="N50" s="155"/>
      <c r="O50" s="155"/>
      <c r="P50" s="155"/>
    </row>
    <row r="51" spans="1:16">
      <c r="A51" s="137" t="s">
        <v>2039</v>
      </c>
      <c r="B51" s="137"/>
      <c r="C51" s="137"/>
      <c r="D51" s="137"/>
      <c r="E51" s="137"/>
      <c r="F51" s="137"/>
      <c r="G51" s="137"/>
      <c r="H51" s="137"/>
      <c r="I51" s="137"/>
      <c r="J51" s="137"/>
      <c r="K51" s="137"/>
      <c r="L51" s="137"/>
      <c r="M51" s="137"/>
      <c r="N51" s="137"/>
      <c r="O51" s="137"/>
      <c r="P51" s="137"/>
    </row>
    <row r="52" spans="1:16">
      <c r="A52" s="137" t="s">
        <v>193</v>
      </c>
      <c r="B52" s="137"/>
      <c r="C52" s="137"/>
      <c r="D52" s="137"/>
      <c r="E52" s="137"/>
      <c r="F52" s="137"/>
      <c r="G52" s="137"/>
      <c r="H52" s="137"/>
      <c r="I52" s="137"/>
      <c r="J52" s="137"/>
      <c r="K52" s="137"/>
      <c r="L52" s="137"/>
      <c r="M52" s="137"/>
      <c r="N52" s="137"/>
      <c r="O52" s="137"/>
      <c r="P52" s="137"/>
    </row>
    <row r="53" spans="1:16">
      <c r="A53" s="137" t="s">
        <v>527</v>
      </c>
      <c r="B53" s="137"/>
      <c r="C53" s="137"/>
      <c r="D53" s="137"/>
      <c r="E53" s="137"/>
      <c r="F53" s="137"/>
      <c r="G53" s="137"/>
      <c r="H53" s="137"/>
      <c r="I53" s="137"/>
      <c r="J53" s="137"/>
      <c r="K53" s="137"/>
      <c r="L53" s="137"/>
      <c r="M53" s="137"/>
      <c r="N53" s="137"/>
      <c r="O53" s="137"/>
      <c r="P53" s="137"/>
    </row>
  </sheetData>
  <mergeCells count="14">
    <mergeCell ref="A51:P51"/>
    <mergeCell ref="A52:P52"/>
    <mergeCell ref="A53:P53"/>
    <mergeCell ref="A1:P1"/>
    <mergeCell ref="B2:F2"/>
    <mergeCell ref="G2:K2"/>
    <mergeCell ref="L2:P2"/>
    <mergeCell ref="A3:A4"/>
    <mergeCell ref="B3:B4"/>
    <mergeCell ref="C3:F3"/>
    <mergeCell ref="G3:G4"/>
    <mergeCell ref="H3:K3"/>
    <mergeCell ref="L3:L4"/>
    <mergeCell ref="M3:P3"/>
  </mergeCells>
  <pageMargins left="0.7" right="0.7" top="0.75" bottom="0.75" header="0.3" footer="0.3"/>
  <pageSetup scale="62" orientation="landscape" horizontalDpi="0" verticalDpi="0" r:id="rId1"/>
  <ignoredErrors>
    <ignoredError sqref="C5:C43" formulaRange="1"/>
  </ignoredErrors>
</worksheet>
</file>

<file path=xl/worksheets/sheet155.xml><?xml version="1.0" encoding="utf-8"?>
<worksheet xmlns="http://schemas.openxmlformats.org/spreadsheetml/2006/main" xmlns:r="http://schemas.openxmlformats.org/officeDocument/2006/relationships">
  <sheetPr codeName="Sheet149"/>
  <dimension ref="A1:R51"/>
  <sheetViews>
    <sheetView view="pageBreakPreview" zoomScale="85" zoomScaleNormal="85" zoomScaleSheetLayoutView="85" workbookViewId="0">
      <selection activeCell="AC38" sqref="AC38"/>
    </sheetView>
  </sheetViews>
  <sheetFormatPr defaultRowHeight="15" outlineLevelCol="1"/>
  <cols>
    <col min="1" max="1" width="12.140625" style="64" customWidth="1"/>
    <col min="2" max="6" width="12" style="64" customWidth="1"/>
    <col min="7" max="11" width="14" style="64" customWidth="1"/>
    <col min="12" max="12" width="9.140625" style="64"/>
    <col min="13" max="13" width="18.42578125" style="64" hidden="1" customWidth="1" outlineLevel="1"/>
    <col min="14" max="17" width="9.140625" style="64" hidden="1" customWidth="1" outlineLevel="1"/>
    <col min="18" max="18" width="9.140625" style="64" collapsed="1"/>
    <col min="19" max="16384" width="9.140625" style="64"/>
  </cols>
  <sheetData>
    <row r="1" spans="1:17">
      <c r="A1" s="108" t="s">
        <v>1941</v>
      </c>
      <c r="B1" s="108"/>
      <c r="C1" s="108"/>
      <c r="D1" s="108"/>
      <c r="E1" s="108"/>
      <c r="F1" s="108"/>
      <c r="G1" s="108"/>
      <c r="H1" s="108"/>
      <c r="I1" s="108"/>
      <c r="J1" s="108"/>
      <c r="K1" s="108"/>
    </row>
    <row r="2" spans="1:17">
      <c r="A2" s="66"/>
      <c r="B2" s="111" t="s">
        <v>528</v>
      </c>
      <c r="C2" s="111"/>
      <c r="D2" s="111"/>
      <c r="E2" s="111"/>
      <c r="F2" s="111"/>
      <c r="G2" s="111" t="s">
        <v>546</v>
      </c>
      <c r="H2" s="111"/>
      <c r="I2" s="111"/>
      <c r="J2" s="111"/>
      <c r="K2" s="111"/>
    </row>
    <row r="3" spans="1:17" ht="15" customHeight="1">
      <c r="A3" s="149"/>
      <c r="B3" s="97" t="s">
        <v>523</v>
      </c>
      <c r="C3" s="97" t="s">
        <v>37</v>
      </c>
      <c r="D3" s="97"/>
      <c r="E3" s="97"/>
      <c r="F3" s="97"/>
      <c r="G3" s="97" t="s">
        <v>523</v>
      </c>
      <c r="H3" s="97" t="s">
        <v>37</v>
      </c>
      <c r="I3" s="97"/>
      <c r="J3" s="97"/>
      <c r="K3" s="97"/>
      <c r="M3" s="97" t="s">
        <v>523</v>
      </c>
      <c r="N3" s="97" t="s">
        <v>49</v>
      </c>
      <c r="O3" s="97"/>
      <c r="P3" s="97"/>
      <c r="Q3" s="97"/>
    </row>
    <row r="4" spans="1:17" ht="60">
      <c r="A4" s="149"/>
      <c r="B4" s="97"/>
      <c r="C4" s="73" t="s">
        <v>78</v>
      </c>
      <c r="D4" s="73" t="s">
        <v>522</v>
      </c>
      <c r="E4" s="73" t="s">
        <v>524</v>
      </c>
      <c r="F4" s="73" t="s">
        <v>525</v>
      </c>
      <c r="G4" s="97"/>
      <c r="H4" s="73" t="s">
        <v>78</v>
      </c>
      <c r="I4" s="73" t="s">
        <v>522</v>
      </c>
      <c r="J4" s="73" t="s">
        <v>524</v>
      </c>
      <c r="K4" s="73" t="s">
        <v>525</v>
      </c>
      <c r="M4" s="97"/>
      <c r="N4" s="73" t="s">
        <v>50</v>
      </c>
      <c r="O4" s="73" t="s">
        <v>522</v>
      </c>
      <c r="P4" s="73" t="s">
        <v>524</v>
      </c>
      <c r="Q4" s="73" t="s">
        <v>525</v>
      </c>
    </row>
    <row r="5" spans="1:17">
      <c r="A5" s="66">
        <v>1970</v>
      </c>
      <c r="B5" s="150">
        <v>46800.07</v>
      </c>
      <c r="C5" s="56">
        <f t="shared" ref="C5:C13" si="0">SUM(D5:F5)</f>
        <v>778.55</v>
      </c>
      <c r="D5" s="150">
        <v>85.66</v>
      </c>
      <c r="E5" s="150">
        <v>241.39</v>
      </c>
      <c r="F5" s="150">
        <v>451.5</v>
      </c>
      <c r="G5" s="147">
        <f>'607a'!L5/'607'!B5</f>
        <v>8.8294491714588101</v>
      </c>
      <c r="H5" s="147">
        <f>'607a'!M5/'607'!C5</f>
        <v>7.9312861357547249</v>
      </c>
      <c r="I5" s="147">
        <f>'607a'!N5/'607'!D5</f>
        <v>2.6187220160069629</v>
      </c>
      <c r="J5" s="147">
        <f>'607a'!O5/'607'!E5</f>
        <v>6.7734879854524319</v>
      </c>
      <c r="K5" s="147">
        <f>'607a'!P5/'607'!F5</f>
        <v>9.855032339865506</v>
      </c>
      <c r="M5" s="62"/>
      <c r="N5" s="62"/>
      <c r="O5" s="62"/>
      <c r="P5" s="62"/>
      <c r="Q5" s="62"/>
    </row>
    <row r="6" spans="1:17">
      <c r="A6" s="66">
        <v>1971</v>
      </c>
      <c r="B6" s="150">
        <v>46138.58</v>
      </c>
      <c r="C6" s="56">
        <f t="shared" si="0"/>
        <v>746.02</v>
      </c>
      <c r="D6" s="150">
        <v>83.15</v>
      </c>
      <c r="E6" s="150">
        <v>232.05</v>
      </c>
      <c r="F6" s="150">
        <v>430.82</v>
      </c>
      <c r="G6" s="147">
        <f>'607a'!L6/'607'!B6</f>
        <v>9.0435455638711701</v>
      </c>
      <c r="H6" s="147">
        <f>'607a'!M6/'607'!C6</f>
        <v>7.9263543021513501</v>
      </c>
      <c r="I6" s="147">
        <f>'607a'!N6/'607'!D6</f>
        <v>2.848666238423601</v>
      </c>
      <c r="J6" s="147">
        <f>'607a'!O6/'607'!E6</f>
        <v>7.1804225156553212</v>
      </c>
      <c r="K6" s="147">
        <f>'607a'!P6/'607'!F6</f>
        <v>9.5565992357547316</v>
      </c>
      <c r="M6" s="62"/>
      <c r="N6" s="62"/>
      <c r="O6" s="62"/>
      <c r="P6" s="62"/>
      <c r="Q6" s="62"/>
    </row>
    <row r="7" spans="1:17">
      <c r="A7" s="66">
        <v>1972</v>
      </c>
      <c r="B7" s="150">
        <v>45984.09</v>
      </c>
      <c r="C7" s="56">
        <f t="shared" si="0"/>
        <v>737.25</v>
      </c>
      <c r="D7" s="150">
        <v>82.97</v>
      </c>
      <c r="E7" s="150">
        <v>230.64</v>
      </c>
      <c r="F7" s="150">
        <v>423.64</v>
      </c>
      <c r="G7" s="147">
        <f>'607a'!L7/'607'!B7</f>
        <v>9.3006081016281943</v>
      </c>
      <c r="H7" s="147">
        <f>'607a'!M7/'607'!C7</f>
        <v>8.498195814017599</v>
      </c>
      <c r="I7" s="147">
        <f>'607a'!N7/'607'!D7</f>
        <v>2.9510804736763565</v>
      </c>
      <c r="J7" s="147">
        <f>'607a'!O7/'607'!E7</f>
        <v>7.6999552823366777</v>
      </c>
      <c r="K7" s="147">
        <f>'607a'!P7/'607'!F7</f>
        <v>10.307436849762263</v>
      </c>
      <c r="M7" s="62"/>
      <c r="N7" s="62"/>
      <c r="O7" s="62"/>
      <c r="P7" s="62"/>
      <c r="Q7" s="62"/>
    </row>
    <row r="8" spans="1:17">
      <c r="A8" s="66">
        <v>1973</v>
      </c>
      <c r="B8" s="150">
        <v>47070.86</v>
      </c>
      <c r="C8" s="56">
        <f t="shared" si="0"/>
        <v>752.43000000000006</v>
      </c>
      <c r="D8" s="150">
        <v>77.95</v>
      </c>
      <c r="E8" s="150">
        <v>243.92</v>
      </c>
      <c r="F8" s="150">
        <v>430.56</v>
      </c>
      <c r="G8" s="147">
        <f>'607a'!L8/'607'!B8</f>
        <v>9.5359983892422591</v>
      </c>
      <c r="H8" s="147">
        <f>'607a'!M8/'607'!C8</f>
        <v>9.0851634874474723</v>
      </c>
      <c r="I8" s="147">
        <f>'607a'!N8/'607'!D8</f>
        <v>3.2484609188221572</v>
      </c>
      <c r="J8" s="147">
        <f>'607a'!O8/'607'!E8</f>
        <v>8.3813517904068391</v>
      </c>
      <c r="K8" s="147">
        <f>'607a'!P8/'607'!F8</f>
        <v>11.102801294086657</v>
      </c>
      <c r="M8" s="62"/>
      <c r="N8" s="62"/>
      <c r="O8" s="62"/>
      <c r="P8" s="62"/>
      <c r="Q8" s="62"/>
    </row>
    <row r="9" spans="1:17">
      <c r="A9" s="66">
        <v>1974</v>
      </c>
      <c r="B9" s="150">
        <v>49549.599999999999</v>
      </c>
      <c r="C9" s="56">
        <f t="shared" si="0"/>
        <v>795.5</v>
      </c>
      <c r="D9" s="150">
        <v>81.33</v>
      </c>
      <c r="E9" s="150">
        <v>253.15</v>
      </c>
      <c r="F9" s="150">
        <v>461.02</v>
      </c>
      <c r="G9" s="147">
        <f>'607a'!L9/'607'!B9</f>
        <v>8.9556401483921988</v>
      </c>
      <c r="H9" s="147">
        <f>'607a'!M9/'607'!C9</f>
        <v>8.7960650669806792</v>
      </c>
      <c r="I9" s="147">
        <f>'607a'!N9/'607'!D9</f>
        <v>3.153759229008215</v>
      </c>
      <c r="J9" s="147">
        <f>'607a'!O9/'607'!E9</f>
        <v>7.3679181120541921</v>
      </c>
      <c r="K9" s="147">
        <f>'607a'!P9/'607'!F9</f>
        <v>11.272232438788949</v>
      </c>
      <c r="M9" s="62"/>
      <c r="N9" s="62"/>
      <c r="O9" s="62"/>
      <c r="P9" s="62"/>
      <c r="Q9" s="62"/>
    </row>
    <row r="10" spans="1:17">
      <c r="A10" s="66">
        <v>1975</v>
      </c>
      <c r="B10" s="150">
        <v>48280</v>
      </c>
      <c r="C10" s="56">
        <f t="shared" si="0"/>
        <v>725.1</v>
      </c>
      <c r="D10" s="150">
        <v>78.31</v>
      </c>
      <c r="E10" s="150">
        <v>237.65</v>
      </c>
      <c r="F10" s="150">
        <v>409.14</v>
      </c>
      <c r="G10" s="147">
        <f>'607a'!L10/'607'!B10</f>
        <v>9.070258405226161</v>
      </c>
      <c r="H10" s="147">
        <f>'607a'!M10/'607'!C10</f>
        <v>7.8392452896306075</v>
      </c>
      <c r="I10" s="147">
        <f>'607a'!N10/'607'!D10</f>
        <v>3.0389540723046884</v>
      </c>
      <c r="J10" s="147">
        <f>'607a'!O10/'607'!E10</f>
        <v>7.369637252791124</v>
      </c>
      <c r="K10" s="147">
        <f>'607a'!P10/'607'!F10</f>
        <v>9.6774268416989937</v>
      </c>
      <c r="M10" s="62"/>
      <c r="N10" s="62"/>
      <c r="O10" s="62"/>
      <c r="P10" s="62"/>
      <c r="Q10" s="62"/>
    </row>
    <row r="11" spans="1:17">
      <c r="A11" s="66">
        <v>1976</v>
      </c>
      <c r="B11" s="150">
        <v>47824.67</v>
      </c>
      <c r="C11" s="56">
        <f t="shared" si="0"/>
        <v>705.46</v>
      </c>
      <c r="D11" s="150">
        <v>75.41</v>
      </c>
      <c r="E11" s="150">
        <v>236.01</v>
      </c>
      <c r="F11" s="150">
        <v>394.04</v>
      </c>
      <c r="G11" s="147">
        <f>'607a'!L11/'607'!B11</f>
        <v>9.2246293295172848</v>
      </c>
      <c r="H11" s="147">
        <f>'607a'!M11/'607'!C11</f>
        <v>8.8285576092760465</v>
      </c>
      <c r="I11" s="147">
        <f>'607a'!N11/'607'!D11</f>
        <v>2.8941354362386056</v>
      </c>
      <c r="J11" s="147">
        <f>'607a'!O11/'607'!E11</f>
        <v>7.9240211209274438</v>
      </c>
      <c r="K11" s="147">
        <f>'607a'!P11/'607'!F11</f>
        <v>11.038498761529459</v>
      </c>
      <c r="M11" s="62"/>
      <c r="N11" s="62"/>
      <c r="O11" s="62"/>
      <c r="P11" s="62"/>
      <c r="Q11" s="62"/>
    </row>
    <row r="12" spans="1:17">
      <c r="A12" s="66">
        <v>1977</v>
      </c>
      <c r="B12" s="150">
        <v>47846.55</v>
      </c>
      <c r="C12" s="56">
        <f t="shared" si="0"/>
        <v>703.54</v>
      </c>
      <c r="D12" s="150">
        <v>73.77</v>
      </c>
      <c r="E12" s="150">
        <v>233.47</v>
      </c>
      <c r="F12" s="150">
        <v>396.3</v>
      </c>
      <c r="G12" s="147">
        <f>'607a'!L12/'607'!B12</f>
        <v>9.3598937176137262</v>
      </c>
      <c r="H12" s="147">
        <f>'607a'!M12/'607'!C12</f>
        <v>9.1653006997417759</v>
      </c>
      <c r="I12" s="147">
        <f>'607a'!N12/'607'!D12</f>
        <v>3.3324682833297632</v>
      </c>
      <c r="J12" s="147">
        <f>'607a'!O12/'607'!E12</f>
        <v>8.1471025516314644</v>
      </c>
      <c r="K12" s="147">
        <f>'607a'!P12/'607'!F12</f>
        <v>11.212895311594799</v>
      </c>
      <c r="M12" s="62"/>
      <c r="N12" s="62"/>
      <c r="O12" s="62"/>
      <c r="P12" s="62"/>
      <c r="Q12" s="62"/>
    </row>
    <row r="13" spans="1:17">
      <c r="A13" s="66">
        <v>1978</v>
      </c>
      <c r="B13" s="150">
        <v>47161</v>
      </c>
      <c r="C13" s="56">
        <f t="shared" si="0"/>
        <v>676.06999999999994</v>
      </c>
      <c r="D13" s="150">
        <v>72.55</v>
      </c>
      <c r="E13" s="150">
        <v>216.17</v>
      </c>
      <c r="F13" s="150">
        <v>387.35</v>
      </c>
      <c r="G13" s="147">
        <f>'607a'!L13/'607'!B13</f>
        <v>9.7834645440169172</v>
      </c>
      <c r="H13" s="147">
        <f>'607a'!M13/'607'!C13</f>
        <v>9.9469356074981867</v>
      </c>
      <c r="I13" s="147">
        <f>'607a'!N13/'607'!D13</f>
        <v>3.6395493289030338</v>
      </c>
      <c r="J13" s="147">
        <f>'607a'!O13/'607'!E13</f>
        <v>9.10448743278927</v>
      </c>
      <c r="K13" s="147">
        <f>'607a'!P13/'607'!F13</f>
        <v>11.902285981522342</v>
      </c>
      <c r="M13" s="62"/>
      <c r="N13" s="62"/>
      <c r="O13" s="62"/>
      <c r="P13" s="62"/>
      <c r="Q13" s="62"/>
    </row>
    <row r="14" spans="1:17">
      <c r="A14" s="66">
        <v>1979</v>
      </c>
      <c r="B14" s="56">
        <v>47057.69</v>
      </c>
      <c r="C14" s="56">
        <f>SUM(D14:F14)</f>
        <v>690.5</v>
      </c>
      <c r="D14" s="56">
        <v>69.62</v>
      </c>
      <c r="E14" s="56">
        <v>217.79</v>
      </c>
      <c r="F14" s="56">
        <v>403.09</v>
      </c>
      <c r="G14" s="147">
        <f>'607a'!L14/'607'!B14</f>
        <v>10.057235073149165</v>
      </c>
      <c r="H14" s="147">
        <f>'607a'!M14/'607'!C14</f>
        <v>9.8922319471590754</v>
      </c>
      <c r="I14" s="147">
        <f>'607a'!N14/'607'!D14</f>
        <v>3.71984976698216</v>
      </c>
      <c r="J14" s="147">
        <f>'607a'!O14/'607'!E14</f>
        <v>9.1610247675328669</v>
      </c>
      <c r="K14" s="147">
        <f>'607a'!P14/'607'!F14</f>
        <v>11.575810103105118</v>
      </c>
      <c r="L14" s="139"/>
      <c r="M14" s="32">
        <v>47305560.256890349</v>
      </c>
      <c r="N14" s="32">
        <f>SUM(O14:Q14)</f>
        <v>577696.43015761557</v>
      </c>
      <c r="O14" s="32">
        <v>61119.389867820137</v>
      </c>
      <c r="P14" s="32">
        <v>203089.01479700053</v>
      </c>
      <c r="Q14" s="32">
        <v>313488.02549279499</v>
      </c>
    </row>
    <row r="15" spans="1:17">
      <c r="A15" s="66">
        <v>1980</v>
      </c>
      <c r="B15" s="56">
        <v>46451.77</v>
      </c>
      <c r="C15" s="56">
        <f t="shared" ref="C15:C42" si="1">SUM(D15:F15)</f>
        <v>666.46</v>
      </c>
      <c r="D15" s="56">
        <v>72.11</v>
      </c>
      <c r="E15" s="56">
        <v>205.79</v>
      </c>
      <c r="F15" s="56">
        <v>388.56</v>
      </c>
      <c r="G15" s="147">
        <f>'607a'!L15/'607'!B15</f>
        <v>9.8488025209138357</v>
      </c>
      <c r="H15" s="147">
        <f>'607a'!M15/'607'!C15</f>
        <v>8.4701358950961154</v>
      </c>
      <c r="I15" s="147">
        <f>'607a'!N15/'607'!D15</f>
        <v>3.9656660877964742</v>
      </c>
      <c r="J15" s="147">
        <f>'607a'!O15/'607'!E15</f>
        <v>8.2798773037285027</v>
      </c>
      <c r="K15" s="147">
        <f>'607a'!P15/'607'!F15</f>
        <v>9.5629973217851632</v>
      </c>
      <c r="L15" s="139"/>
      <c r="M15" s="32">
        <v>46655766.709509283</v>
      </c>
      <c r="N15" s="32">
        <f t="shared" ref="N15:N38" si="2">SUM(O15:Q15)</f>
        <v>562458.41097648046</v>
      </c>
      <c r="O15" s="32">
        <v>64277.604877167934</v>
      </c>
      <c r="P15" s="32">
        <v>189680.98158010948</v>
      </c>
      <c r="Q15" s="32">
        <v>308499.82451920304</v>
      </c>
    </row>
    <row r="16" spans="1:17">
      <c r="A16" s="66">
        <v>1981</v>
      </c>
      <c r="B16" s="56">
        <v>44261.41</v>
      </c>
      <c r="C16" s="56">
        <f t="shared" si="1"/>
        <v>612.74</v>
      </c>
      <c r="D16" s="56">
        <v>70.63</v>
      </c>
      <c r="E16" s="56">
        <v>189.84</v>
      </c>
      <c r="F16" s="56">
        <v>352.27</v>
      </c>
      <c r="G16" s="147">
        <f>'607a'!L16/'607'!B16</f>
        <v>10.156693265610329</v>
      </c>
      <c r="H16" s="147">
        <f>'607a'!M16/'607'!C16</f>
        <v>8.4873064000594223</v>
      </c>
      <c r="I16" s="147">
        <f>'607a'!N16/'607'!D16</f>
        <v>4.1541916791521851</v>
      </c>
      <c r="J16" s="147">
        <f>'607a'!O16/'607'!E16</f>
        <v>8.0712958429790476</v>
      </c>
      <c r="K16" s="147">
        <f>'607a'!P16/'607'!F16</f>
        <v>9.7559959146423605</v>
      </c>
      <c r="L16" s="139"/>
      <c r="M16" s="32">
        <v>44436169.182469442</v>
      </c>
      <c r="N16" s="32">
        <f t="shared" si="2"/>
        <v>501150.92869374412</v>
      </c>
      <c r="O16" s="32">
        <v>62272.207931813187</v>
      </c>
      <c r="P16" s="32">
        <v>174771.54521098983</v>
      </c>
      <c r="Q16" s="32">
        <v>264107.17555094109</v>
      </c>
    </row>
    <row r="17" spans="1:17">
      <c r="A17" s="66">
        <v>1982</v>
      </c>
      <c r="B17" s="56">
        <v>43197.72</v>
      </c>
      <c r="C17" s="56">
        <f t="shared" si="1"/>
        <v>590.31999999999994</v>
      </c>
      <c r="D17" s="56">
        <v>73.11</v>
      </c>
      <c r="E17" s="56">
        <v>181.16</v>
      </c>
      <c r="F17" s="56">
        <v>336.05</v>
      </c>
      <c r="G17" s="147">
        <f>'607a'!L17/'607'!B17</f>
        <v>10.597299734599705</v>
      </c>
      <c r="H17" s="147">
        <f>'607a'!M17/'607'!C17</f>
        <v>8.3665757921207558</v>
      </c>
      <c r="I17" s="147">
        <f>'607a'!N17/'607'!D17</f>
        <v>4.3510572964799108</v>
      </c>
      <c r="J17" s="147">
        <f>'607a'!O17/'607'!E17</f>
        <v>8.3307190885383129</v>
      </c>
      <c r="K17" s="147">
        <f>'607a'!P17/'607'!F17</f>
        <v>9.3759071117561685</v>
      </c>
      <c r="L17" s="139"/>
      <c r="M17" s="32">
        <v>43362424.279656515</v>
      </c>
      <c r="N17" s="32">
        <f t="shared" si="2"/>
        <v>472964.87195232825</v>
      </c>
      <c r="O17" s="32">
        <v>64346.029878784349</v>
      </c>
      <c r="P17" s="32">
        <v>164835.15298889362</v>
      </c>
      <c r="Q17" s="32">
        <v>243783.68908465031</v>
      </c>
    </row>
    <row r="18" spans="1:17">
      <c r="A18" s="66">
        <v>1983</v>
      </c>
      <c r="B18" s="56">
        <v>42766.51</v>
      </c>
      <c r="C18" s="56">
        <f t="shared" si="1"/>
        <v>585.30999999999995</v>
      </c>
      <c r="D18" s="56">
        <v>72.459999999999994</v>
      </c>
      <c r="E18" s="56">
        <v>182.3</v>
      </c>
      <c r="F18" s="56">
        <v>330.55</v>
      </c>
      <c r="G18" s="147">
        <f>'607a'!L18/'607'!B18</f>
        <v>11.029849375540239</v>
      </c>
      <c r="H18" s="147">
        <f>'607a'!M18/'607'!C18</f>
        <v>8.9503223873732427</v>
      </c>
      <c r="I18" s="147">
        <f>'607a'!N18/'607'!D18</f>
        <v>4.1518499769162887</v>
      </c>
      <c r="J18" s="147">
        <f>'607a'!O18/'607'!E18</f>
        <v>8.9426708335751925</v>
      </c>
      <c r="K18" s="147">
        <f>'607a'!P18/'607'!F18</f>
        <v>10.119522653691082</v>
      </c>
      <c r="L18" s="139"/>
      <c r="M18" s="32">
        <v>42913292.680742204</v>
      </c>
      <c r="N18" s="32">
        <f t="shared" si="2"/>
        <v>460439.25803410058</v>
      </c>
      <c r="O18" s="32">
        <v>63365.760365470029</v>
      </c>
      <c r="P18" s="32">
        <v>166374.12754988679</v>
      </c>
      <c r="Q18" s="32">
        <v>230699.37011874377</v>
      </c>
    </row>
    <row r="19" spans="1:17">
      <c r="A19" s="66">
        <v>1984</v>
      </c>
      <c r="B19" s="56">
        <v>43643.3</v>
      </c>
      <c r="C19" s="56">
        <f t="shared" si="1"/>
        <v>590.42000000000007</v>
      </c>
      <c r="D19" s="56">
        <v>75.78</v>
      </c>
      <c r="E19" s="56">
        <v>189.16</v>
      </c>
      <c r="F19" s="56">
        <v>325.48</v>
      </c>
      <c r="G19" s="147">
        <f>'607a'!L19/'607'!B19</f>
        <v>11.050875806526992</v>
      </c>
      <c r="H19" s="147">
        <f>'607a'!M19/'607'!C19</f>
        <v>8.9464092729244165</v>
      </c>
      <c r="I19" s="147">
        <f>'607a'!N19/'607'!D19</f>
        <v>4.80927967557672</v>
      </c>
      <c r="J19" s="147">
        <f>'607a'!O19/'607'!E19</f>
        <v>8.9956232326078496</v>
      </c>
      <c r="K19" s="147">
        <f>'607a'!P19/'607'!F19</f>
        <v>9.884111588034159</v>
      </c>
      <c r="L19" s="139"/>
      <c r="M19" s="32">
        <v>43740051.081238709</v>
      </c>
      <c r="N19" s="32">
        <f t="shared" si="2"/>
        <v>460861.55635017611</v>
      </c>
      <c r="O19" s="32">
        <v>65363.432640683546</v>
      </c>
      <c r="P19" s="32">
        <v>169051.09647507261</v>
      </c>
      <c r="Q19" s="32">
        <v>226447.02723441995</v>
      </c>
    </row>
    <row r="20" spans="1:17">
      <c r="A20" s="66">
        <v>1985</v>
      </c>
      <c r="B20" s="56">
        <v>44633.81</v>
      </c>
      <c r="C20" s="56">
        <f t="shared" si="1"/>
        <v>595.38</v>
      </c>
      <c r="D20" s="56">
        <v>68.17</v>
      </c>
      <c r="E20" s="56">
        <v>193.4</v>
      </c>
      <c r="F20" s="56">
        <v>333.81</v>
      </c>
      <c r="G20" s="147">
        <f>'607a'!L20/'607'!B20</f>
        <v>11.258264190446694</v>
      </c>
      <c r="H20" s="147">
        <f>'607a'!M20/'607'!C20</f>
        <v>9.0052689850218783</v>
      </c>
      <c r="I20" s="147">
        <f>'607a'!N20/'607'!D20</f>
        <v>5.0871842330738755</v>
      </c>
      <c r="J20" s="147">
        <f>'607a'!O20/'607'!E20</f>
        <v>8.7488181522234907</v>
      </c>
      <c r="K20" s="147">
        <f>'607a'!P20/'607'!F20</f>
        <v>9.9950260546694594</v>
      </c>
      <c r="L20" s="139"/>
      <c r="M20" s="32">
        <v>44303448.515638493</v>
      </c>
      <c r="N20" s="32">
        <f t="shared" si="2"/>
        <v>459845.71571160463</v>
      </c>
      <c r="O20" s="32">
        <v>61733.168067532919</v>
      </c>
      <c r="P20" s="32">
        <v>174802.11813655833</v>
      </c>
      <c r="Q20" s="32">
        <v>223310.42950751339</v>
      </c>
    </row>
    <row r="21" spans="1:17">
      <c r="A21" s="66">
        <v>1986</v>
      </c>
      <c r="B21" s="56">
        <v>44483.19</v>
      </c>
      <c r="C21" s="56">
        <f t="shared" si="1"/>
        <v>599.58999999999992</v>
      </c>
      <c r="D21" s="56">
        <v>66.87</v>
      </c>
      <c r="E21" s="56">
        <v>198.2</v>
      </c>
      <c r="F21" s="56">
        <v>334.52</v>
      </c>
      <c r="G21" s="147">
        <f>'607a'!L21/'607'!B21</f>
        <v>11.576891317412086</v>
      </c>
      <c r="H21" s="147">
        <f>'607a'!M21/'607'!C21</f>
        <v>9.7779494859315044</v>
      </c>
      <c r="I21" s="147">
        <f>'607a'!N21/'607'!D21</f>
        <v>5.1571771782175011</v>
      </c>
      <c r="J21" s="147">
        <f>'607a'!O21/'607'!E21</f>
        <v>8.7878575370874987</v>
      </c>
      <c r="K21" s="147">
        <f>'607a'!P21/'607'!F21</f>
        <v>11.315492187115055</v>
      </c>
      <c r="L21" s="139"/>
      <c r="M21" s="32">
        <v>44034884.331928104</v>
      </c>
      <c r="N21" s="32">
        <f t="shared" si="2"/>
        <v>461411.60451882868</v>
      </c>
      <c r="O21" s="32">
        <v>60224.258465029103</v>
      </c>
      <c r="P21" s="32">
        <v>179810.54418775663</v>
      </c>
      <c r="Q21" s="32">
        <v>221376.80186604292</v>
      </c>
    </row>
    <row r="22" spans="1:17">
      <c r="A22" s="66">
        <v>1987</v>
      </c>
      <c r="B22" s="56">
        <v>45060.95</v>
      </c>
      <c r="C22" s="56">
        <f t="shared" si="1"/>
        <v>618.54999999999995</v>
      </c>
      <c r="D22" s="56">
        <v>69.61</v>
      </c>
      <c r="E22" s="56">
        <v>213.04</v>
      </c>
      <c r="F22" s="56">
        <v>335.9</v>
      </c>
      <c r="G22" s="147">
        <f>'607a'!L22/'607'!B22</f>
        <v>11.955672323871555</v>
      </c>
      <c r="H22" s="147">
        <f>'607a'!M22/'607'!C22</f>
        <v>10.188892432294599</v>
      </c>
      <c r="I22" s="147">
        <f>'607a'!N22/'607'!D22</f>
        <v>4.8074245866195477</v>
      </c>
      <c r="J22" s="147">
        <f>'607a'!O22/'607'!E22</f>
        <v>9.0093346742575644</v>
      </c>
      <c r="K22" s="147">
        <f>'607a'!P22/'607'!F22</f>
        <v>12.114145968744529</v>
      </c>
      <c r="L22" s="139"/>
      <c r="M22" s="32">
        <v>44855180.698896863</v>
      </c>
      <c r="N22" s="32">
        <f t="shared" si="2"/>
        <v>482192.34884807304</v>
      </c>
      <c r="O22" s="32">
        <v>60245.606740544506</v>
      </c>
      <c r="P22" s="32">
        <v>190091.97831777489</v>
      </c>
      <c r="Q22" s="32">
        <v>231854.76378975363</v>
      </c>
    </row>
    <row r="23" spans="1:17">
      <c r="A23" s="66">
        <v>1988</v>
      </c>
      <c r="B23" s="56">
        <v>47339.02</v>
      </c>
      <c r="C23" s="56">
        <f t="shared" si="1"/>
        <v>654.32999999999993</v>
      </c>
      <c r="D23" s="56">
        <v>89.12</v>
      </c>
      <c r="E23" s="56">
        <v>226.94</v>
      </c>
      <c r="F23" s="56">
        <v>338.27</v>
      </c>
      <c r="G23" s="147">
        <f>'607a'!L23/'607'!B23</f>
        <v>11.970491402009394</v>
      </c>
      <c r="H23" s="147">
        <f>'607a'!M23/'607'!C23</f>
        <v>10.543437730782209</v>
      </c>
      <c r="I23" s="147">
        <f>'607a'!N23/'607'!D23</f>
        <v>3.7941576945868483</v>
      </c>
      <c r="J23" s="147">
        <f>'607a'!O23/'607'!E23</f>
        <v>9.5132901349969412</v>
      </c>
      <c r="K23" s="147">
        <f>'607a'!P23/'607'!F23</f>
        <v>13.087921535503867</v>
      </c>
      <c r="L23" s="139"/>
      <c r="M23" s="32">
        <v>46624914.176482104</v>
      </c>
      <c r="N23" s="32">
        <f t="shared" si="2"/>
        <v>497043.51024997822</v>
      </c>
      <c r="O23" s="32">
        <v>62075.123898974227</v>
      </c>
      <c r="P23" s="32">
        <v>196937.28306000118</v>
      </c>
      <c r="Q23" s="32">
        <v>238031.1032910028</v>
      </c>
    </row>
    <row r="24" spans="1:17">
      <c r="A24" s="66">
        <v>1989</v>
      </c>
      <c r="B24" s="56">
        <v>48206.1</v>
      </c>
      <c r="C24" s="56">
        <f t="shared" si="1"/>
        <v>661.32999999999993</v>
      </c>
      <c r="D24" s="56">
        <v>90.02</v>
      </c>
      <c r="E24" s="56">
        <v>231.97</v>
      </c>
      <c r="F24" s="56">
        <v>339.34</v>
      </c>
      <c r="G24" s="147">
        <f>'607a'!L24/'607'!B24</f>
        <v>11.946481467758966</v>
      </c>
      <c r="H24" s="147">
        <f>'607a'!M24/'607'!C24</f>
        <v>10.146271260082264</v>
      </c>
      <c r="I24" s="147">
        <f>'607a'!N24/'607'!D24</f>
        <v>3.9891173741475372</v>
      </c>
      <c r="J24" s="147">
        <f>'607a'!O24/'607'!E24</f>
        <v>9.2837227843881625</v>
      </c>
      <c r="K24" s="147">
        <f>'607a'!P24/'607'!F24</f>
        <v>12.427367326112558</v>
      </c>
      <c r="L24" s="139"/>
      <c r="M24" s="32">
        <v>47572335.383833304</v>
      </c>
      <c r="N24" s="32">
        <f t="shared" si="2"/>
        <v>493650.51619206474</v>
      </c>
      <c r="O24" s="32">
        <v>61863.145703879796</v>
      </c>
      <c r="P24" s="32">
        <v>195097.41584010271</v>
      </c>
      <c r="Q24" s="32">
        <v>236689.95464808223</v>
      </c>
    </row>
    <row r="25" spans="1:17">
      <c r="A25" s="66">
        <v>1990</v>
      </c>
      <c r="B25" s="56">
        <v>48265.84</v>
      </c>
      <c r="C25" s="56">
        <f t="shared" si="1"/>
        <v>618.93000000000006</v>
      </c>
      <c r="D25" s="56">
        <v>58.12</v>
      </c>
      <c r="E25" s="56">
        <v>221.63</v>
      </c>
      <c r="F25" s="56">
        <v>339.18</v>
      </c>
      <c r="G25" s="147">
        <f>'607a'!L25/'607'!B25</f>
        <v>12.101653123602874</v>
      </c>
      <c r="H25" s="147">
        <f>'607a'!M25/'607'!C25</f>
        <v>10.914553347741283</v>
      </c>
      <c r="I25" s="147">
        <f>'607a'!N25/'607'!D25</f>
        <v>6.2406186667686399</v>
      </c>
      <c r="J25" s="147">
        <f>'607a'!O25/'607'!E25</f>
        <v>9.4067525048420322</v>
      </c>
      <c r="K25" s="147">
        <f>'607a'!P25/'607'!F25</f>
        <v>12.754254313350733</v>
      </c>
      <c r="L25" s="139"/>
      <c r="M25" s="32">
        <v>47700311.884624533</v>
      </c>
      <c r="N25" s="32">
        <f t="shared" si="2"/>
        <v>478437.66539529338</v>
      </c>
      <c r="O25" s="32">
        <v>59872.387325408708</v>
      </c>
      <c r="P25" s="32">
        <v>191319.58680886764</v>
      </c>
      <c r="Q25" s="32">
        <v>227245.69126101705</v>
      </c>
    </row>
    <row r="26" spans="1:17">
      <c r="A26" s="66">
        <v>1991</v>
      </c>
      <c r="B26" s="56">
        <v>46425.65</v>
      </c>
      <c r="C26" s="56">
        <f t="shared" si="1"/>
        <v>592.86</v>
      </c>
      <c r="D26" s="56">
        <v>69.069999999999993</v>
      </c>
      <c r="E26" s="56">
        <v>204.74</v>
      </c>
      <c r="F26" s="56">
        <v>319.05</v>
      </c>
      <c r="G26" s="147">
        <f>'607a'!L26/'607'!B26</f>
        <v>12.513814435664733</v>
      </c>
      <c r="H26" s="147">
        <f>'607a'!M26/'607'!C26</f>
        <v>10.845856905471143</v>
      </c>
      <c r="I26" s="147">
        <f>'607a'!N26/'607'!D26</f>
        <v>5.5300706733309033</v>
      </c>
      <c r="J26" s="147">
        <f>'607a'!O26/'607'!E26</f>
        <v>9.07505847069576</v>
      </c>
      <c r="K26" s="147">
        <f>'607a'!P26/'607'!F26</f>
        <v>13.175201263771534</v>
      </c>
      <c r="L26" s="139"/>
      <c r="M26" s="32">
        <v>45867179.262000062</v>
      </c>
      <c r="N26" s="32">
        <f t="shared" si="2"/>
        <v>435708.46683214634</v>
      </c>
      <c r="O26" s="32">
        <v>58646.703976429199</v>
      </c>
      <c r="P26" s="32">
        <v>169244.57935215972</v>
      </c>
      <c r="Q26" s="32">
        <v>207817.1835035574</v>
      </c>
    </row>
    <row r="27" spans="1:17">
      <c r="A27" s="66">
        <v>1992</v>
      </c>
      <c r="B27" s="56">
        <v>44463.55</v>
      </c>
      <c r="C27" s="56">
        <f t="shared" si="1"/>
        <v>566.90000000000009</v>
      </c>
      <c r="D27" s="56">
        <v>49.33</v>
      </c>
      <c r="E27" s="56">
        <v>202.9</v>
      </c>
      <c r="F27" s="56">
        <v>314.67</v>
      </c>
      <c r="G27" s="147">
        <f>'607a'!L27/'607'!B27</f>
        <v>13.13703768871776</v>
      </c>
      <c r="H27" s="147">
        <f>'607a'!M27/'607'!C27</f>
        <v>11.065887419065527</v>
      </c>
      <c r="I27" s="147">
        <f>'607a'!N27/'607'!D27</f>
        <v>8.0753555549912992</v>
      </c>
      <c r="J27" s="147">
        <f>'607a'!O27/'607'!E27</f>
        <v>9.0664530967635937</v>
      </c>
      <c r="K27" s="147">
        <f>'607a'!P27/'607'!F27</f>
        <v>12.865881073552464</v>
      </c>
      <c r="L27" s="139"/>
      <c r="M27" s="32">
        <v>43912153.201072402</v>
      </c>
      <c r="N27" s="32">
        <f t="shared" si="2"/>
        <v>426891.04162227944</v>
      </c>
      <c r="O27" s="32">
        <v>50862.700603758654</v>
      </c>
      <c r="P27" s="32">
        <v>169452.15959488807</v>
      </c>
      <c r="Q27" s="32">
        <v>206576.18142363275</v>
      </c>
    </row>
    <row r="28" spans="1:17">
      <c r="A28" s="66">
        <v>1993</v>
      </c>
      <c r="B28" s="56">
        <v>43855.23</v>
      </c>
      <c r="C28" s="56">
        <f t="shared" si="1"/>
        <v>508.31</v>
      </c>
      <c r="D28" s="56">
        <v>53.77</v>
      </c>
      <c r="E28" s="56">
        <v>217.55</v>
      </c>
      <c r="F28" s="56">
        <v>236.99</v>
      </c>
      <c r="G28" s="147">
        <f>'607a'!L28/'607'!B28</f>
        <v>13.643794502930502</v>
      </c>
      <c r="H28" s="147">
        <f>'607a'!M28/'607'!C28</f>
        <v>12.250194777635247</v>
      </c>
      <c r="I28" s="147">
        <f>'607a'!N28/'607'!D28</f>
        <v>6.6921609214285249</v>
      </c>
      <c r="J28" s="147">
        <f>'607a'!O28/'607'!E28</f>
        <v>8.5791388302069684</v>
      </c>
      <c r="K28" s="147">
        <f>'607a'!P28/'607'!F28</f>
        <v>16.941861560053866</v>
      </c>
      <c r="L28" s="139"/>
      <c r="M28" s="32">
        <v>43174465.625356756</v>
      </c>
      <c r="N28" s="32">
        <f t="shared" si="2"/>
        <v>440926.14330575574</v>
      </c>
      <c r="O28" s="32">
        <v>47232.403539146311</v>
      </c>
      <c r="P28" s="32">
        <v>178315.94501820521</v>
      </c>
      <c r="Q28" s="32">
        <v>215377.79474840424</v>
      </c>
    </row>
    <row r="29" spans="1:17">
      <c r="A29" s="66">
        <v>1994</v>
      </c>
      <c r="B29" s="56">
        <v>44534.239999999998</v>
      </c>
      <c r="C29" s="56">
        <f t="shared" si="1"/>
        <v>531.11</v>
      </c>
      <c r="D29" s="56">
        <v>52.98</v>
      </c>
      <c r="E29" s="56">
        <v>226.36</v>
      </c>
      <c r="F29" s="56">
        <v>251.77</v>
      </c>
      <c r="G29" s="147">
        <f>'607a'!L29/'607'!B29</f>
        <v>13.97002983513284</v>
      </c>
      <c r="H29" s="147">
        <f>'607a'!M29/'607'!C29</f>
        <v>12.629114571531241</v>
      </c>
      <c r="I29" s="147">
        <f>'607a'!N29/'607'!D29</f>
        <v>7.3178658882476082</v>
      </c>
      <c r="J29" s="147">
        <f>'607a'!O29/'607'!E29</f>
        <v>8.8969616608368955</v>
      </c>
      <c r="K29" s="147">
        <f>'607a'!P29/'607'!F29</f>
        <v>17.161297840567482</v>
      </c>
      <c r="L29" s="139"/>
      <c r="M29" s="32">
        <v>43757164.162462577</v>
      </c>
      <c r="N29" s="32">
        <f t="shared" si="2"/>
        <v>448225.10558213736</v>
      </c>
      <c r="O29" s="32">
        <v>46540.100276252386</v>
      </c>
      <c r="P29" s="32">
        <v>180721.39965688699</v>
      </c>
      <c r="Q29" s="32">
        <v>220963.60564899803</v>
      </c>
    </row>
    <row r="30" spans="1:17">
      <c r="A30" s="66">
        <v>1995</v>
      </c>
      <c r="B30" s="56">
        <v>45165.2</v>
      </c>
      <c r="C30" s="56">
        <f t="shared" si="1"/>
        <v>499.78</v>
      </c>
      <c r="D30" s="56">
        <v>54.81</v>
      </c>
      <c r="E30" s="56">
        <v>203.95</v>
      </c>
      <c r="F30" s="56">
        <v>241.02</v>
      </c>
      <c r="G30" s="147">
        <f>'607a'!L30/'607'!B30</f>
        <v>14.179415567737994</v>
      </c>
      <c r="H30" s="147">
        <f>'607a'!M30/'607'!C30</f>
        <v>13.298411300972433</v>
      </c>
      <c r="I30" s="147">
        <f>'607a'!N30/'607'!D30</f>
        <v>6.312716657544243</v>
      </c>
      <c r="J30" s="147">
        <f>'607a'!O30/'607'!E30</f>
        <v>9.156312821770042</v>
      </c>
      <c r="K30" s="147">
        <f>'607a'!P30/'607'!F30</f>
        <v>18.392042154178078</v>
      </c>
      <c r="L30" s="139"/>
      <c r="M30" s="32">
        <v>44624924.094221488</v>
      </c>
      <c r="N30" s="32">
        <f t="shared" si="2"/>
        <v>427495.35173077567</v>
      </c>
      <c r="O30" s="32">
        <v>38727.621266303213</v>
      </c>
      <c r="P30" s="32">
        <v>171466.80593767748</v>
      </c>
      <c r="Q30" s="32">
        <v>217300.92452679499</v>
      </c>
    </row>
    <row r="31" spans="1:17">
      <c r="A31" s="66">
        <v>1996</v>
      </c>
      <c r="B31" s="56">
        <v>45417.14</v>
      </c>
      <c r="C31" s="56">
        <f t="shared" si="1"/>
        <v>497.26</v>
      </c>
      <c r="D31" s="56">
        <v>52.69</v>
      </c>
      <c r="E31" s="56">
        <v>203.03</v>
      </c>
      <c r="F31" s="56">
        <v>241.54</v>
      </c>
      <c r="G31" s="147">
        <f>'607a'!L31/'607'!B31</f>
        <v>14.558527283722281</v>
      </c>
      <c r="H31" s="147">
        <f>'607a'!M31/'607'!C31</f>
        <v>12.833822700700278</v>
      </c>
      <c r="I31" s="147">
        <f>'607a'!N31/'607'!D31</f>
        <v>5.8186595843912947</v>
      </c>
      <c r="J31" s="147">
        <f>'607a'!O31/'607'!E31</f>
        <v>9.1158893876403813</v>
      </c>
      <c r="K31" s="147">
        <f>'607a'!P31/'607'!F31</f>
        <v>17.492322606170639</v>
      </c>
      <c r="L31" s="139"/>
      <c r="M31" s="32">
        <v>44862078.311863959</v>
      </c>
      <c r="N31" s="32">
        <f t="shared" si="2"/>
        <v>435136.27679578715</v>
      </c>
      <c r="O31" s="32">
        <v>41587.148371474606</v>
      </c>
      <c r="P31" s="32">
        <v>176860.39073459787</v>
      </c>
      <c r="Q31" s="32">
        <v>216688.7376897147</v>
      </c>
    </row>
    <row r="32" spans="1:17">
      <c r="A32" s="66">
        <v>1997</v>
      </c>
      <c r="B32" s="56">
        <v>46330.86</v>
      </c>
      <c r="C32" s="56">
        <f t="shared" si="1"/>
        <v>509.68999999999994</v>
      </c>
      <c r="D32" s="56">
        <v>49.56</v>
      </c>
      <c r="E32" s="56">
        <v>199.54</v>
      </c>
      <c r="F32" s="56">
        <v>260.58999999999997</v>
      </c>
      <c r="G32" s="147">
        <f>'607a'!L32/'607'!B32</f>
        <v>14.743006101306294</v>
      </c>
      <c r="H32" s="147">
        <f>'607a'!M32/'607'!C32</f>
        <v>12.028070733236666</v>
      </c>
      <c r="I32" s="147">
        <f>'607a'!N32/'607'!D32</f>
        <v>6.7823739665357667</v>
      </c>
      <c r="J32" s="147">
        <f>'607a'!O32/'607'!E32</f>
        <v>9.0628728744100506</v>
      </c>
      <c r="K32" s="147">
        <f>'607a'!P32/'607'!F32</f>
        <v>15.469689694129176</v>
      </c>
      <c r="L32" s="139"/>
      <c r="M32" s="32">
        <v>45721398.424134262</v>
      </c>
      <c r="N32" s="32">
        <f t="shared" si="2"/>
        <v>431376.64499551209</v>
      </c>
      <c r="O32" s="32">
        <v>47829.839451721848</v>
      </c>
      <c r="P32" s="32">
        <v>174325.73396793057</v>
      </c>
      <c r="Q32" s="32">
        <v>209221.07157585971</v>
      </c>
    </row>
    <row r="33" spans="1:17">
      <c r="A33" s="66">
        <v>1998</v>
      </c>
      <c r="B33" s="56">
        <v>46568.01</v>
      </c>
      <c r="C33" s="56">
        <f t="shared" si="1"/>
        <v>477.66999999999996</v>
      </c>
      <c r="D33" s="56">
        <v>41.2</v>
      </c>
      <c r="E33" s="56">
        <v>199.64</v>
      </c>
      <c r="F33" s="56">
        <v>236.83</v>
      </c>
      <c r="G33" s="147">
        <f>'607a'!L33/'607'!B33</f>
        <v>15.128453506382206</v>
      </c>
      <c r="H33" s="147">
        <f>'607a'!M33/'607'!C33</f>
        <v>12.0596331611859</v>
      </c>
      <c r="I33" s="147">
        <f>'607a'!N33/'607'!D33</f>
        <v>8.5858274036457924</v>
      </c>
      <c r="J33" s="147">
        <f>'607a'!O33/'607'!E33</f>
        <v>8.8650569006518118</v>
      </c>
      <c r="K33" s="147">
        <f>'607a'!P33/'607'!F33</f>
        <v>15.6954310359173</v>
      </c>
      <c r="L33" s="139"/>
      <c r="M33" s="32">
        <v>46257987.19512102</v>
      </c>
      <c r="N33" s="32">
        <f t="shared" si="2"/>
        <v>423377.98374916805</v>
      </c>
      <c r="O33" s="32">
        <v>47451.348262033294</v>
      </c>
      <c r="P33" s="32">
        <v>172107.57652261676</v>
      </c>
      <c r="Q33" s="32">
        <v>203819.05896451802</v>
      </c>
    </row>
    <row r="34" spans="1:17">
      <c r="A34" s="66">
        <v>1999</v>
      </c>
      <c r="B34" s="56">
        <v>46801.47</v>
      </c>
      <c r="C34" s="56">
        <f t="shared" si="1"/>
        <v>450.1</v>
      </c>
      <c r="D34" s="56">
        <v>38.54</v>
      </c>
      <c r="E34" s="56">
        <v>194.78</v>
      </c>
      <c r="F34" s="56">
        <v>216.78</v>
      </c>
      <c r="G34" s="147">
        <f>'607a'!L34/'607'!B34</f>
        <v>15.497858667561323</v>
      </c>
      <c r="H34" s="147">
        <f>'607a'!M34/'607'!C34</f>
        <v>12.331002343377857</v>
      </c>
      <c r="I34" s="147">
        <f>'607a'!N34/'607'!D34</f>
        <v>9.5603990887201409</v>
      </c>
      <c r="J34" s="147">
        <f>'607a'!O34/'607'!E34</f>
        <v>8.6924881098638256</v>
      </c>
      <c r="K34" s="147">
        <f>'607a'!P34/'607'!F34</f>
        <v>16.463895125215899</v>
      </c>
      <c r="L34" s="139"/>
      <c r="M34" s="32">
        <v>46966853.434691206</v>
      </c>
      <c r="N34" s="32">
        <f t="shared" si="2"/>
        <v>408349.19153190718</v>
      </c>
      <c r="O34" s="32">
        <v>48621.295261480278</v>
      </c>
      <c r="P34" s="32">
        <v>164917.42191277788</v>
      </c>
      <c r="Q34" s="32">
        <v>194810.47435764907</v>
      </c>
    </row>
    <row r="35" spans="1:17">
      <c r="A35" s="66">
        <v>2000</v>
      </c>
      <c r="B35" s="56">
        <v>47385.33</v>
      </c>
      <c r="C35" s="56">
        <f t="shared" si="1"/>
        <v>417.59000000000003</v>
      </c>
      <c r="D35" s="56">
        <v>28.43</v>
      </c>
      <c r="E35" s="56">
        <v>189.26</v>
      </c>
      <c r="F35" s="56">
        <v>199.9</v>
      </c>
      <c r="G35" s="147">
        <f>'607a'!L35/'607'!B35</f>
        <v>15.824936055295908</v>
      </c>
      <c r="H35" s="147">
        <f>'607a'!M35/'607'!C35</f>
        <v>12.685018255603136</v>
      </c>
      <c r="I35" s="147">
        <f>'607a'!N35/'607'!D35</f>
        <v>13.90628315874107</v>
      </c>
      <c r="J35" s="147">
        <f>'607a'!O35/'607'!E35</f>
        <v>9.0755545751047713</v>
      </c>
      <c r="K35" s="147">
        <f>'607a'!P35/'607'!F35</f>
        <v>16.393753104402492</v>
      </c>
      <c r="L35" s="139"/>
      <c r="M35" s="32">
        <v>47323269.536970116</v>
      </c>
      <c r="N35" s="32">
        <f t="shared" si="2"/>
        <v>390710.77556646825</v>
      </c>
      <c r="O35" s="32">
        <v>46225.483537170847</v>
      </c>
      <c r="P35" s="32">
        <v>163065.26945975848</v>
      </c>
      <c r="Q35" s="32">
        <v>181420.02256953891</v>
      </c>
    </row>
    <row r="36" spans="1:17">
      <c r="A36" s="66">
        <v>2001</v>
      </c>
      <c r="B36" s="56">
        <v>47848.82</v>
      </c>
      <c r="C36" s="56">
        <f t="shared" si="1"/>
        <v>434.20000000000005</v>
      </c>
      <c r="D36" s="56">
        <v>47.31</v>
      </c>
      <c r="E36" s="56">
        <v>189.43</v>
      </c>
      <c r="F36" s="56">
        <v>197.46</v>
      </c>
      <c r="G36" s="147">
        <f>'607a'!L36/'607'!B36</f>
        <v>16.041034268817747</v>
      </c>
      <c r="H36" s="147">
        <f>'607a'!M36/'607'!C36</f>
        <v>12.177423692464725</v>
      </c>
      <c r="I36" s="147">
        <f>'607a'!N36/'607'!D36</f>
        <v>8.0866075583387893</v>
      </c>
      <c r="J36" s="147">
        <f>'607a'!O36/'607'!E36</f>
        <v>9.143591393281989</v>
      </c>
      <c r="K36" s="147">
        <f>'607a'!P36/'607'!F36</f>
        <v>16.486843560160938</v>
      </c>
      <c r="L36" s="139"/>
      <c r="M36" s="32">
        <v>47759178.2737725</v>
      </c>
      <c r="N36" s="32">
        <f t="shared" si="2"/>
        <v>365818.99800710252</v>
      </c>
      <c r="O36" s="32">
        <v>40832.252359088234</v>
      </c>
      <c r="P36" s="32">
        <v>155141.3549437733</v>
      </c>
      <c r="Q36" s="32">
        <v>169845.390704241</v>
      </c>
    </row>
    <row r="37" spans="1:17">
      <c r="A37" s="66">
        <v>2002</v>
      </c>
      <c r="B37" s="56">
        <v>47751.01</v>
      </c>
      <c r="C37" s="56">
        <f t="shared" si="1"/>
        <v>454.6</v>
      </c>
      <c r="D37" s="56">
        <v>50.24</v>
      </c>
      <c r="E37" s="56">
        <v>197.01</v>
      </c>
      <c r="F37" s="56">
        <v>207.35</v>
      </c>
      <c r="G37" s="147">
        <f>'607a'!L37/'607'!B37</f>
        <v>16.304500986597731</v>
      </c>
      <c r="H37" s="147">
        <f>'607a'!M37/'607'!C37</f>
        <v>11.783157714888594</v>
      </c>
      <c r="I37" s="147">
        <f>'607a'!N37/'607'!D37</f>
        <v>8.5077101211139041</v>
      </c>
      <c r="J37" s="147">
        <f>'607a'!O37/'607'!E37</f>
        <v>9.0162671530266802</v>
      </c>
      <c r="K37" s="147">
        <f>'607a'!P37/'607'!F37</f>
        <v>15.775046609345742</v>
      </c>
      <c r="L37" s="139"/>
      <c r="M37" s="32">
        <v>47415340.073177367</v>
      </c>
      <c r="N37" s="32">
        <f t="shared" si="2"/>
        <v>362482.23950485163</v>
      </c>
      <c r="O37" s="32">
        <v>36044.803018182654</v>
      </c>
      <c r="P37" s="32">
        <v>160348.27901457026</v>
      </c>
      <c r="Q37" s="32">
        <v>166089.15747209868</v>
      </c>
    </row>
    <row r="38" spans="1:17">
      <c r="A38" s="66">
        <v>2003</v>
      </c>
      <c r="B38" s="56">
        <v>48647.85</v>
      </c>
      <c r="C38" s="56">
        <f t="shared" si="1"/>
        <v>430.03999999999996</v>
      </c>
      <c r="D38" s="56">
        <v>47.49</v>
      </c>
      <c r="E38" s="56">
        <v>181.32</v>
      </c>
      <c r="F38" s="56">
        <v>201.23</v>
      </c>
      <c r="G38" s="147">
        <f>'607a'!L38/'607'!B38</f>
        <v>16.444013642759323</v>
      </c>
      <c r="H38" s="147">
        <f>'607a'!M38/'607'!C38</f>
        <v>12.062512578896673</v>
      </c>
      <c r="I38" s="147">
        <f>'607a'!N38/'607'!D38</f>
        <v>8.2138134021688192</v>
      </c>
      <c r="J38" s="147">
        <f>'607a'!O38/'607'!E38</f>
        <v>9.8659215138368008</v>
      </c>
      <c r="K38" s="147">
        <f>'607a'!P38/'607'!F38</f>
        <v>15.590976679756531</v>
      </c>
      <c r="L38" s="139"/>
      <c r="M38" s="32">
        <v>47595480.225511745</v>
      </c>
      <c r="N38" s="32">
        <f t="shared" si="2"/>
        <v>346461.6416569057</v>
      </c>
      <c r="O38" s="32">
        <v>31418.881786714574</v>
      </c>
      <c r="P38" s="32">
        <v>153051.49900855517</v>
      </c>
      <c r="Q38" s="32">
        <v>161991.26086163596</v>
      </c>
    </row>
    <row r="39" spans="1:17">
      <c r="A39" s="66">
        <v>2004</v>
      </c>
      <c r="B39" s="56">
        <v>48956.639999999999</v>
      </c>
      <c r="C39" s="56">
        <f t="shared" si="1"/>
        <v>414.51</v>
      </c>
      <c r="D39" s="56">
        <v>50.27</v>
      </c>
      <c r="E39" s="56">
        <v>181.03</v>
      </c>
      <c r="F39" s="56">
        <v>183.21</v>
      </c>
      <c r="G39" s="147">
        <f>'607a'!L39/'607'!B39</f>
        <v>16.79070347922173</v>
      </c>
      <c r="H39" s="147">
        <f>'607a'!M39/'607'!C39</f>
        <v>12.651085655804597</v>
      </c>
      <c r="I39" s="147">
        <f>'607a'!N39/'607'!D39</f>
        <v>7.7738814128667117</v>
      </c>
      <c r="J39" s="147">
        <f>'607a'!O39/'607'!E39</f>
        <v>10.401216691243452</v>
      </c>
      <c r="K39" s="147">
        <f>'607a'!P39/'607'!F39</f>
        <v>16.750199277760679</v>
      </c>
      <c r="L39" s="139"/>
      <c r="M39" s="32"/>
      <c r="N39" s="32"/>
      <c r="O39" s="32"/>
      <c r="P39" s="32"/>
      <c r="Q39" s="32"/>
    </row>
    <row r="40" spans="1:17">
      <c r="A40" s="66">
        <v>2005</v>
      </c>
      <c r="B40" s="56">
        <v>49244.65</v>
      </c>
      <c r="C40" s="56">
        <f t="shared" si="1"/>
        <v>396.39</v>
      </c>
      <c r="D40" s="56">
        <v>51.65</v>
      </c>
      <c r="E40" s="56">
        <v>174.29</v>
      </c>
      <c r="F40" s="56">
        <v>170.45</v>
      </c>
      <c r="G40" s="147">
        <f>'607a'!L40/'607'!B40</f>
        <v>17.075217464221289</v>
      </c>
      <c r="H40" s="147">
        <f>'607a'!M40/'607'!C40</f>
        <v>12.740928021849555</v>
      </c>
      <c r="I40" s="147">
        <f>'607a'!N40/'607'!D40</f>
        <v>9.6404155109370055</v>
      </c>
      <c r="J40" s="147">
        <f>'607a'!O40/'607'!E40</f>
        <v>10.388524512071793</v>
      </c>
      <c r="K40" s="147">
        <f>'607a'!P40/'607'!F40</f>
        <v>17.428460370387217</v>
      </c>
      <c r="L40" s="139"/>
      <c r="M40" s="32"/>
      <c r="N40" s="32"/>
      <c r="O40" s="32"/>
      <c r="P40" s="32"/>
      <c r="Q40" s="32"/>
    </row>
    <row r="41" spans="1:17">
      <c r="A41" s="66">
        <v>2006</v>
      </c>
      <c r="B41" s="56">
        <v>49662.49</v>
      </c>
      <c r="C41" s="56">
        <f t="shared" si="1"/>
        <v>392.05</v>
      </c>
      <c r="D41" s="56">
        <v>48.25</v>
      </c>
      <c r="E41" s="56">
        <v>176</v>
      </c>
      <c r="F41" s="56">
        <v>167.8</v>
      </c>
      <c r="G41" s="147">
        <f>'607a'!L41/'607'!B41</f>
        <v>17.394394635212354</v>
      </c>
      <c r="H41" s="147">
        <f>'607a'!M41/'607'!C41</f>
        <v>12.383831646987515</v>
      </c>
      <c r="I41" s="147">
        <f>'607a'!N41/'607'!D41</f>
        <v>10.31193679803572</v>
      </c>
      <c r="J41" s="147">
        <f>'607a'!O41/'607'!E41</f>
        <v>10.050925715066496</v>
      </c>
      <c r="K41" s="147">
        <f>'607a'!P41/'607'!F41</f>
        <v>16.871281638203865</v>
      </c>
      <c r="L41" s="139"/>
      <c r="M41" s="32"/>
      <c r="N41" s="32"/>
      <c r="O41" s="32"/>
      <c r="P41" s="32"/>
      <c r="Q41" s="32"/>
    </row>
    <row r="42" spans="1:17">
      <c r="A42" s="66">
        <v>2007</v>
      </c>
      <c r="B42" s="56">
        <v>49985.23</v>
      </c>
      <c r="C42" s="56">
        <f t="shared" si="1"/>
        <v>387.96000000000004</v>
      </c>
      <c r="D42" s="56">
        <v>45.84</v>
      </c>
      <c r="E42" s="56">
        <v>176.68</v>
      </c>
      <c r="F42" s="56">
        <v>165.44</v>
      </c>
      <c r="G42" s="147">
        <f>'607a'!L42/'607'!B42</f>
        <v>17.74504992411655</v>
      </c>
      <c r="H42" s="147">
        <f>'607a'!M42/'607'!C42</f>
        <v>12.960142796065252</v>
      </c>
      <c r="I42" s="147">
        <f>'607a'!N42/'607'!D42</f>
        <v>10.284218399401645</v>
      </c>
      <c r="J42" s="147">
        <f>'607a'!O42/'607'!E42</f>
        <v>10.432342784085185</v>
      </c>
      <c r="K42" s="147">
        <f>'607a'!P42/'607'!F42</f>
        <v>17.634517320203976</v>
      </c>
      <c r="L42" s="139"/>
      <c r="M42" s="32"/>
      <c r="N42" s="32"/>
      <c r="O42" s="32"/>
      <c r="P42" s="32"/>
      <c r="Q42" s="32"/>
    </row>
    <row r="43" spans="1:17">
      <c r="A43" s="66">
        <v>2008</v>
      </c>
      <c r="B43" s="56" t="s">
        <v>22</v>
      </c>
      <c r="C43" s="56" t="s">
        <v>22</v>
      </c>
      <c r="D43" s="56" t="s">
        <v>22</v>
      </c>
      <c r="E43" s="56" t="s">
        <v>22</v>
      </c>
      <c r="F43" s="56" t="s">
        <v>22</v>
      </c>
      <c r="G43" s="56" t="s">
        <v>22</v>
      </c>
      <c r="H43" s="56" t="s">
        <v>22</v>
      </c>
      <c r="I43" s="56" t="s">
        <v>22</v>
      </c>
      <c r="J43" s="56" t="s">
        <v>22</v>
      </c>
      <c r="K43" s="56" t="s">
        <v>22</v>
      </c>
      <c r="L43" s="139"/>
      <c r="M43" s="32"/>
      <c r="N43" s="32"/>
      <c r="O43" s="32"/>
      <c r="P43" s="32"/>
      <c r="Q43" s="32"/>
    </row>
    <row r="44" spans="1:17">
      <c r="B44" s="57"/>
      <c r="C44" s="57"/>
      <c r="D44" s="57"/>
      <c r="E44" s="57"/>
      <c r="F44" s="57"/>
      <c r="G44" s="57"/>
      <c r="H44" s="57"/>
      <c r="I44" s="57"/>
      <c r="J44" s="57"/>
      <c r="K44" s="57"/>
    </row>
    <row r="45" spans="1:17">
      <c r="A45" s="66" t="s">
        <v>23</v>
      </c>
      <c r="B45" s="56"/>
      <c r="C45" s="56"/>
      <c r="D45" s="56"/>
      <c r="E45" s="56"/>
      <c r="F45" s="56"/>
      <c r="G45" s="56"/>
      <c r="H45" s="56"/>
      <c r="I45" s="56"/>
      <c r="J45" s="56"/>
      <c r="K45" s="56"/>
    </row>
    <row r="46" spans="1:17">
      <c r="A46" s="66" t="s">
        <v>1946</v>
      </c>
      <c r="B46" s="147">
        <f>((B42/B5)^(1/37)-1)*100</f>
        <v>0.17811211569498386</v>
      </c>
      <c r="C46" s="147">
        <f t="shared" ref="C46:K46" si="3">((C42/C5)^(1/37)-1)*100</f>
        <v>-1.8649074785708764</v>
      </c>
      <c r="D46" s="147">
        <f t="shared" si="3"/>
        <v>-1.6756106654008618</v>
      </c>
      <c r="E46" s="147">
        <f t="shared" si="3"/>
        <v>-0.83989542547544538</v>
      </c>
      <c r="F46" s="147">
        <f t="shared" si="3"/>
        <v>-2.6769411129024312</v>
      </c>
      <c r="G46" s="147">
        <f t="shared" si="3"/>
        <v>1.9044315385127852</v>
      </c>
      <c r="H46" s="147">
        <f t="shared" si="3"/>
        <v>1.336045024237742</v>
      </c>
      <c r="I46" s="147">
        <f t="shared" si="3"/>
        <v>3.7662847053345549</v>
      </c>
      <c r="J46" s="147">
        <f t="shared" si="3"/>
        <v>1.1741222987514011</v>
      </c>
      <c r="K46" s="147">
        <f t="shared" si="3"/>
        <v>1.5850687854552126</v>
      </c>
    </row>
    <row r="47" spans="1:17">
      <c r="A47" s="66" t="s">
        <v>2140</v>
      </c>
      <c r="B47" s="147">
        <f>((B25/B5)^(1/20)-1)*100</f>
        <v>0.15431577151590048</v>
      </c>
      <c r="C47" s="147">
        <f t="shared" ref="C47:K47" si="4">((C25/C5)^(1/20)-1)*100</f>
        <v>-1.1406498661048148</v>
      </c>
      <c r="D47" s="147">
        <f t="shared" si="4"/>
        <v>-1.9206956666213526</v>
      </c>
      <c r="E47" s="147">
        <f t="shared" si="4"/>
        <v>-0.4261123441475223</v>
      </c>
      <c r="F47" s="147">
        <f t="shared" si="4"/>
        <v>-1.4200430731641012</v>
      </c>
      <c r="G47" s="147">
        <f t="shared" si="4"/>
        <v>1.5887354743050697</v>
      </c>
      <c r="H47" s="147">
        <f t="shared" si="4"/>
        <v>1.6092199908757987</v>
      </c>
      <c r="I47" s="147">
        <f t="shared" si="4"/>
        <v>4.4376070318464356</v>
      </c>
      <c r="J47" s="147">
        <f t="shared" si="4"/>
        <v>1.6556139539489312</v>
      </c>
      <c r="K47" s="147">
        <f t="shared" si="4"/>
        <v>1.2977621055466182</v>
      </c>
    </row>
    <row r="48" spans="1:17">
      <c r="A48" s="66" t="s">
        <v>660</v>
      </c>
      <c r="B48" s="147">
        <f t="shared" ref="B48:K48" si="5">((B35/B25)^(1/10)-1)*100</f>
        <v>-0.18394438394871981</v>
      </c>
      <c r="C48" s="147">
        <f t="shared" si="5"/>
        <v>-3.8585084294338601</v>
      </c>
      <c r="D48" s="147">
        <f t="shared" si="5"/>
        <v>-6.9009765765307378</v>
      </c>
      <c r="E48" s="147">
        <f t="shared" si="5"/>
        <v>-1.5664770310081177</v>
      </c>
      <c r="F48" s="147">
        <f t="shared" si="5"/>
        <v>-5.1497989399649002</v>
      </c>
      <c r="G48" s="147">
        <f t="shared" si="5"/>
        <v>2.7187501382832213</v>
      </c>
      <c r="H48" s="147">
        <f t="shared" si="5"/>
        <v>1.5146012065316405</v>
      </c>
      <c r="I48" s="147">
        <f t="shared" si="5"/>
        <v>8.3423726569600944</v>
      </c>
      <c r="J48" s="147">
        <f t="shared" si="5"/>
        <v>-0.35779134068049112</v>
      </c>
      <c r="K48" s="147">
        <f t="shared" si="5"/>
        <v>2.5421293958417079</v>
      </c>
    </row>
    <row r="49" spans="1:11">
      <c r="A49" s="66" t="s">
        <v>588</v>
      </c>
      <c r="B49" s="147">
        <f>((B42/B35)^(1/7)-1)*100</f>
        <v>0.76598843381401327</v>
      </c>
      <c r="C49" s="147">
        <f t="shared" ref="C49:K49" si="6">((C42/C35)^(1/7)-1)*100</f>
        <v>-1.0458899673012945</v>
      </c>
      <c r="D49" s="147">
        <f t="shared" si="6"/>
        <v>7.0627143709971474</v>
      </c>
      <c r="E49" s="147">
        <f t="shared" si="6"/>
        <v>-0.97778181353760374</v>
      </c>
      <c r="F49" s="147">
        <f t="shared" si="6"/>
        <v>-2.6667771186749345</v>
      </c>
      <c r="G49" s="147">
        <f t="shared" si="6"/>
        <v>1.6494509989370298</v>
      </c>
      <c r="H49" s="147">
        <f t="shared" si="6"/>
        <v>0.30699995229186428</v>
      </c>
      <c r="I49" s="147">
        <f t="shared" si="6"/>
        <v>-4.2188533738717338</v>
      </c>
      <c r="J49" s="147">
        <f t="shared" si="6"/>
        <v>2.0103168598129217</v>
      </c>
      <c r="K49" s="147">
        <f t="shared" si="6"/>
        <v>1.0477052343485171</v>
      </c>
    </row>
    <row r="51" spans="1:11" ht="30" customHeight="1">
      <c r="A51" s="104" t="s">
        <v>2039</v>
      </c>
      <c r="B51" s="104"/>
      <c r="C51" s="104"/>
      <c r="D51" s="104"/>
      <c r="E51" s="104"/>
      <c r="F51" s="104"/>
      <c r="G51" s="104"/>
      <c r="H51" s="104"/>
      <c r="I51" s="104"/>
      <c r="J51" s="104"/>
      <c r="K51" s="104"/>
    </row>
  </sheetData>
  <mergeCells count="11">
    <mergeCell ref="A51:K51"/>
    <mergeCell ref="A1:K1"/>
    <mergeCell ref="M3:M4"/>
    <mergeCell ref="N3:Q3"/>
    <mergeCell ref="B2:F2"/>
    <mergeCell ref="G2:K2"/>
    <mergeCell ref="A3:A4"/>
    <mergeCell ref="B3:B4"/>
    <mergeCell ref="C3:F3"/>
    <mergeCell ref="G3:G4"/>
    <mergeCell ref="H3:K3"/>
  </mergeCells>
  <pageMargins left="0.7" right="0.7" top="0.75" bottom="0.75" header="0.3" footer="0.3"/>
  <pageSetup scale="63" orientation="landscape" horizontalDpi="0" verticalDpi="0" r:id="rId1"/>
</worksheet>
</file>

<file path=xl/worksheets/sheet156.xml><?xml version="1.0" encoding="utf-8"?>
<worksheet xmlns="http://schemas.openxmlformats.org/spreadsheetml/2006/main" xmlns:r="http://schemas.openxmlformats.org/officeDocument/2006/relationships">
  <sheetPr codeName="Sheet150"/>
  <dimension ref="A1:S53"/>
  <sheetViews>
    <sheetView view="pageBreakPreview" zoomScale="85" zoomScaleNormal="85" zoomScaleSheetLayoutView="85" workbookViewId="0">
      <selection activeCell="AC38" sqref="AC38"/>
    </sheetView>
  </sheetViews>
  <sheetFormatPr defaultRowHeight="15"/>
  <cols>
    <col min="1" max="1" width="12.28515625" style="64" customWidth="1"/>
    <col min="2" max="16" width="10.7109375" style="64" customWidth="1"/>
    <col min="17" max="16384" width="9.140625" style="64"/>
  </cols>
  <sheetData>
    <row r="1" spans="1:17">
      <c r="A1" s="108" t="s">
        <v>1942</v>
      </c>
      <c r="B1" s="108"/>
      <c r="C1" s="108"/>
      <c r="D1" s="108"/>
      <c r="E1" s="108"/>
      <c r="F1" s="108"/>
      <c r="G1" s="108"/>
      <c r="H1" s="108"/>
      <c r="I1" s="108"/>
      <c r="J1" s="108"/>
      <c r="K1" s="108"/>
      <c r="L1" s="108"/>
      <c r="M1" s="108"/>
      <c r="N1" s="108"/>
      <c r="O1" s="108"/>
      <c r="P1" s="108"/>
    </row>
    <row r="2" spans="1:17">
      <c r="A2" s="66"/>
      <c r="B2" s="107" t="s">
        <v>545</v>
      </c>
      <c r="C2" s="107"/>
      <c r="D2" s="107"/>
      <c r="E2" s="107"/>
      <c r="F2" s="107"/>
      <c r="G2" s="107" t="s">
        <v>530</v>
      </c>
      <c r="H2" s="107"/>
      <c r="I2" s="107"/>
      <c r="J2" s="107"/>
      <c r="K2" s="107"/>
      <c r="L2" s="107" t="s">
        <v>544</v>
      </c>
      <c r="M2" s="107"/>
      <c r="N2" s="107"/>
      <c r="O2" s="107"/>
      <c r="P2" s="107"/>
    </row>
    <row r="3" spans="1:17" ht="15" customHeight="1">
      <c r="A3" s="149"/>
      <c r="B3" s="97" t="s">
        <v>523</v>
      </c>
      <c r="C3" s="97" t="s">
        <v>37</v>
      </c>
      <c r="D3" s="97"/>
      <c r="E3" s="97"/>
      <c r="F3" s="97"/>
      <c r="G3" s="97" t="s">
        <v>523</v>
      </c>
      <c r="H3" s="97" t="s">
        <v>37</v>
      </c>
      <c r="I3" s="97"/>
      <c r="J3" s="97"/>
      <c r="K3" s="97"/>
      <c r="L3" s="97" t="s">
        <v>523</v>
      </c>
      <c r="M3" s="97" t="s">
        <v>37</v>
      </c>
      <c r="N3" s="97"/>
      <c r="O3" s="97"/>
      <c r="P3" s="97"/>
    </row>
    <row r="4" spans="1:17" ht="60">
      <c r="A4" s="149"/>
      <c r="B4" s="97"/>
      <c r="C4" s="73" t="s">
        <v>78</v>
      </c>
      <c r="D4" s="73" t="s">
        <v>522</v>
      </c>
      <c r="E4" s="73" t="s">
        <v>524</v>
      </c>
      <c r="F4" s="73" t="s">
        <v>525</v>
      </c>
      <c r="G4" s="97"/>
      <c r="H4" s="73" t="s">
        <v>78</v>
      </c>
      <c r="I4" s="73" t="s">
        <v>522</v>
      </c>
      <c r="J4" s="73" t="s">
        <v>524</v>
      </c>
      <c r="K4" s="73" t="s">
        <v>525</v>
      </c>
      <c r="L4" s="97"/>
      <c r="M4" s="73" t="s">
        <v>78</v>
      </c>
      <c r="N4" s="73" t="s">
        <v>522</v>
      </c>
      <c r="O4" s="73" t="s">
        <v>524</v>
      </c>
      <c r="P4" s="73" t="s">
        <v>525</v>
      </c>
    </row>
    <row r="5" spans="1:17">
      <c r="A5" s="66">
        <v>1970</v>
      </c>
      <c r="B5" s="150">
        <v>46280.51</v>
      </c>
      <c r="C5" s="30">
        <f t="shared" ref="C5:C13" si="0">SUM(D5:F5)</f>
        <v>765.43000000000006</v>
      </c>
      <c r="D5" s="150">
        <v>39.57</v>
      </c>
      <c r="E5" s="150">
        <v>234.63</v>
      </c>
      <c r="F5" s="150">
        <v>491.23</v>
      </c>
      <c r="G5" s="151">
        <v>11.2</v>
      </c>
      <c r="H5" s="31">
        <f t="shared" ref="H5:H19" si="1">I5*(D5/C5)+J5*(E5/C5)+K5*(F5/C5)</f>
        <v>12.395822609513605</v>
      </c>
      <c r="I5" s="151">
        <v>17.64</v>
      </c>
      <c r="J5" s="151">
        <v>14.35</v>
      </c>
      <c r="K5" s="151">
        <v>11.04</v>
      </c>
      <c r="L5" s="30">
        <f t="shared" ref="L5:L11" si="2">B5*100/G5</f>
        <v>413218.83928571432</v>
      </c>
      <c r="M5" s="30">
        <f t="shared" ref="M5:M11" si="3">C5*100/H5</f>
        <v>6174.9028209918406</v>
      </c>
      <c r="N5" s="30">
        <f t="shared" ref="N5:N11" si="4">D5*100/I5</f>
        <v>224.31972789115645</v>
      </c>
      <c r="O5" s="30">
        <f t="shared" ref="O5:O11" si="5">E5*100/J5</f>
        <v>1635.0522648083625</v>
      </c>
      <c r="P5" s="30">
        <f t="shared" ref="P5:P11" si="6">F5*100/K5</f>
        <v>4449.5471014492759</v>
      </c>
    </row>
    <row r="6" spans="1:17">
      <c r="A6" s="66">
        <v>1971</v>
      </c>
      <c r="B6" s="150">
        <v>51906.69</v>
      </c>
      <c r="C6" s="30">
        <f t="shared" si="0"/>
        <v>844.98</v>
      </c>
      <c r="D6" s="150">
        <v>45.81</v>
      </c>
      <c r="E6" s="150">
        <v>271.76</v>
      </c>
      <c r="F6" s="150">
        <v>527.41</v>
      </c>
      <c r="G6" s="151">
        <v>12.44</v>
      </c>
      <c r="H6" s="31">
        <f t="shared" si="1"/>
        <v>14.289679164003882</v>
      </c>
      <c r="I6" s="151">
        <v>19.34</v>
      </c>
      <c r="J6" s="151">
        <v>16.309999999999999</v>
      </c>
      <c r="K6" s="151">
        <v>12.81</v>
      </c>
      <c r="L6" s="30">
        <f t="shared" si="2"/>
        <v>417256.35048231512</v>
      </c>
      <c r="M6" s="30">
        <f t="shared" si="3"/>
        <v>5913.2188364909498</v>
      </c>
      <c r="N6" s="30">
        <f t="shared" si="4"/>
        <v>236.86659772492243</v>
      </c>
      <c r="O6" s="30">
        <f t="shared" si="5"/>
        <v>1666.2170447578173</v>
      </c>
      <c r="P6" s="30">
        <f t="shared" si="6"/>
        <v>4117.1740827478534</v>
      </c>
    </row>
    <row r="7" spans="1:17">
      <c r="A7" s="66">
        <v>1972</v>
      </c>
      <c r="B7" s="150">
        <v>59233.68</v>
      </c>
      <c r="C7" s="30">
        <f t="shared" si="0"/>
        <v>972.95</v>
      </c>
      <c r="D7" s="150">
        <v>50.17</v>
      </c>
      <c r="E7" s="150">
        <v>319.31</v>
      </c>
      <c r="F7" s="150">
        <v>603.47</v>
      </c>
      <c r="G7" s="151">
        <v>13.85</v>
      </c>
      <c r="H7" s="31">
        <f t="shared" si="1"/>
        <v>15.529197286602599</v>
      </c>
      <c r="I7" s="151">
        <v>20.49</v>
      </c>
      <c r="J7" s="151">
        <v>17.98</v>
      </c>
      <c r="K7" s="151">
        <v>13.82</v>
      </c>
      <c r="L7" s="30">
        <f t="shared" si="2"/>
        <v>427680</v>
      </c>
      <c r="M7" s="30">
        <f t="shared" si="3"/>
        <v>6265.2948638844755</v>
      </c>
      <c r="N7" s="30">
        <f t="shared" si="4"/>
        <v>244.85114690092729</v>
      </c>
      <c r="O7" s="30">
        <f t="shared" si="5"/>
        <v>1775.9176863181312</v>
      </c>
      <c r="P7" s="30">
        <f t="shared" si="6"/>
        <v>4366.6425470332852</v>
      </c>
    </row>
    <row r="8" spans="1:17">
      <c r="A8" s="66">
        <v>1973</v>
      </c>
      <c r="B8" s="150">
        <v>68811.41</v>
      </c>
      <c r="C8" s="30">
        <f t="shared" si="0"/>
        <v>1104.7</v>
      </c>
      <c r="D8" s="150">
        <v>64.14</v>
      </c>
      <c r="E8" s="150">
        <v>383.73</v>
      </c>
      <c r="F8" s="150">
        <v>656.83</v>
      </c>
      <c r="G8" s="151">
        <v>15.33</v>
      </c>
      <c r="H8" s="31">
        <f t="shared" si="1"/>
        <v>16.160154340544945</v>
      </c>
      <c r="I8" s="151">
        <v>25.33</v>
      </c>
      <c r="J8" s="151">
        <v>18.77</v>
      </c>
      <c r="K8" s="151">
        <v>13.74</v>
      </c>
      <c r="L8" s="30">
        <f t="shared" si="2"/>
        <v>448867.64514024789</v>
      </c>
      <c r="M8" s="30">
        <f t="shared" si="3"/>
        <v>6835.9495628601017</v>
      </c>
      <c r="N8" s="30">
        <f t="shared" si="4"/>
        <v>253.21752862218716</v>
      </c>
      <c r="O8" s="30">
        <f t="shared" si="5"/>
        <v>2044.3793287160363</v>
      </c>
      <c r="P8" s="30">
        <f t="shared" si="6"/>
        <v>4780.4221251819508</v>
      </c>
    </row>
    <row r="9" spans="1:17">
      <c r="A9" s="66">
        <v>1974</v>
      </c>
      <c r="B9" s="150">
        <v>78410.34</v>
      </c>
      <c r="C9" s="30">
        <f t="shared" si="0"/>
        <v>1265.3599999999999</v>
      </c>
      <c r="D9" s="150">
        <v>67.33</v>
      </c>
      <c r="E9" s="150">
        <v>420.6</v>
      </c>
      <c r="F9" s="150">
        <v>777.43</v>
      </c>
      <c r="G9" s="151">
        <v>17.670000000000002</v>
      </c>
      <c r="H9" s="31">
        <f t="shared" si="1"/>
        <v>18.083624660175765</v>
      </c>
      <c r="I9" s="151">
        <v>26.25</v>
      </c>
      <c r="J9" s="151">
        <v>22.55</v>
      </c>
      <c r="K9" s="151">
        <v>14.96</v>
      </c>
      <c r="L9" s="30">
        <f t="shared" si="2"/>
        <v>443748.38709677412</v>
      </c>
      <c r="M9" s="30">
        <f t="shared" si="3"/>
        <v>6997.2697607831296</v>
      </c>
      <c r="N9" s="30">
        <f t="shared" si="4"/>
        <v>256.49523809523811</v>
      </c>
      <c r="O9" s="30">
        <f t="shared" si="5"/>
        <v>1865.1884700665187</v>
      </c>
      <c r="P9" s="30">
        <f t="shared" si="6"/>
        <v>5196.7245989304811</v>
      </c>
    </row>
    <row r="10" spans="1:17">
      <c r="A10" s="66">
        <v>1975</v>
      </c>
      <c r="B10" s="150">
        <v>99362.25</v>
      </c>
      <c r="C10" s="30">
        <f t="shared" si="0"/>
        <v>1432</v>
      </c>
      <c r="D10" s="150">
        <v>82.96</v>
      </c>
      <c r="E10" s="150">
        <v>540.13</v>
      </c>
      <c r="F10" s="150">
        <v>808.91</v>
      </c>
      <c r="G10" s="151">
        <v>22.69</v>
      </c>
      <c r="H10" s="31">
        <f t="shared" si="1"/>
        <v>25.192476326815644</v>
      </c>
      <c r="I10" s="151">
        <v>34.86</v>
      </c>
      <c r="J10" s="151">
        <v>30.84</v>
      </c>
      <c r="K10" s="151">
        <v>20.43</v>
      </c>
      <c r="L10" s="30">
        <f t="shared" si="2"/>
        <v>437912.07580431906</v>
      </c>
      <c r="M10" s="30">
        <f t="shared" si="3"/>
        <v>5684.2367595111537</v>
      </c>
      <c r="N10" s="30">
        <f t="shared" si="4"/>
        <v>237.98049340218014</v>
      </c>
      <c r="O10" s="30">
        <f t="shared" si="5"/>
        <v>1751.3942931258107</v>
      </c>
      <c r="P10" s="30">
        <f t="shared" si="6"/>
        <v>3959.4224180127262</v>
      </c>
    </row>
    <row r="11" spans="1:17">
      <c r="A11" s="66">
        <v>1976</v>
      </c>
      <c r="B11" s="150">
        <v>115982.24</v>
      </c>
      <c r="C11" s="30">
        <f t="shared" si="0"/>
        <v>1647.25</v>
      </c>
      <c r="D11" s="150">
        <v>100.83</v>
      </c>
      <c r="E11" s="150">
        <v>542.53</v>
      </c>
      <c r="F11" s="150">
        <v>1003.89</v>
      </c>
      <c r="G11" s="151">
        <v>26.29</v>
      </c>
      <c r="H11" s="31">
        <f t="shared" si="1"/>
        <v>26.448275914402792</v>
      </c>
      <c r="I11" s="151">
        <v>46.2</v>
      </c>
      <c r="J11" s="151">
        <v>29.01</v>
      </c>
      <c r="K11" s="151">
        <v>23.08</v>
      </c>
      <c r="L11" s="30">
        <f t="shared" si="2"/>
        <v>441164.85355648538</v>
      </c>
      <c r="M11" s="30">
        <f t="shared" si="3"/>
        <v>6228.1942510398803</v>
      </c>
      <c r="N11" s="30">
        <f t="shared" si="4"/>
        <v>218.24675324675323</v>
      </c>
      <c r="O11" s="30">
        <f t="shared" si="5"/>
        <v>1870.148224750086</v>
      </c>
      <c r="P11" s="30">
        <f t="shared" si="6"/>
        <v>4349.6100519930678</v>
      </c>
    </row>
    <row r="12" spans="1:17">
      <c r="A12" s="66">
        <v>1977</v>
      </c>
      <c r="B12" s="150">
        <v>134620.29</v>
      </c>
      <c r="C12" s="30">
        <f t="shared" si="0"/>
        <v>1945.1100000000001</v>
      </c>
      <c r="D12" s="150">
        <v>107.75</v>
      </c>
      <c r="E12" s="150">
        <v>650.9</v>
      </c>
      <c r="F12" s="150">
        <v>1186.46</v>
      </c>
      <c r="G12" s="151">
        <v>30.06</v>
      </c>
      <c r="H12" s="31">
        <f t="shared" si="1"/>
        <v>30.165369824842809</v>
      </c>
      <c r="I12" s="151">
        <v>43.83</v>
      </c>
      <c r="J12" s="151">
        <v>34.22</v>
      </c>
      <c r="K12" s="151">
        <v>26.7</v>
      </c>
      <c r="L12" s="30">
        <f t="shared" ref="L12:L42" si="7">B12*100/G12</f>
        <v>447838.62275449105</v>
      </c>
      <c r="M12" s="30">
        <f t="shared" ref="M12:M42" si="8">C12*100/H12</f>
        <v>6448.1556542963281</v>
      </c>
      <c r="N12" s="30">
        <f t="shared" ref="N12:N42" si="9">D12*100/I12</f>
        <v>245.83618526123661</v>
      </c>
      <c r="O12" s="30">
        <f t="shared" ref="O12:O42" si="10">E12*100/J12</f>
        <v>1902.1040327293981</v>
      </c>
      <c r="P12" s="30">
        <f t="shared" ref="P12:P42" si="11">F12*100/K12</f>
        <v>4443.6704119850192</v>
      </c>
    </row>
    <row r="13" spans="1:17">
      <c r="A13" s="66">
        <v>1978</v>
      </c>
      <c r="B13" s="150">
        <v>154660.6</v>
      </c>
      <c r="C13" s="30">
        <f t="shared" si="0"/>
        <v>2296.69</v>
      </c>
      <c r="D13" s="150">
        <v>115.68</v>
      </c>
      <c r="E13" s="150">
        <v>773.47</v>
      </c>
      <c r="F13" s="150">
        <v>1407.54</v>
      </c>
      <c r="G13" s="151">
        <v>33.520000000000003</v>
      </c>
      <c r="H13" s="31">
        <f t="shared" si="1"/>
        <v>34.152414126416716</v>
      </c>
      <c r="I13" s="151">
        <v>43.81</v>
      </c>
      <c r="J13" s="151">
        <v>39.299999999999997</v>
      </c>
      <c r="K13" s="151">
        <v>30.53</v>
      </c>
      <c r="L13" s="30">
        <f t="shared" si="7"/>
        <v>461397.97136038181</v>
      </c>
      <c r="M13" s="30">
        <f t="shared" si="8"/>
        <v>6724.8247561612989</v>
      </c>
      <c r="N13" s="30">
        <f t="shared" si="9"/>
        <v>264.04930381191508</v>
      </c>
      <c r="O13" s="30">
        <f t="shared" si="10"/>
        <v>1968.1170483460562</v>
      </c>
      <c r="P13" s="30">
        <f t="shared" si="11"/>
        <v>4610.3504749426793</v>
      </c>
    </row>
    <row r="14" spans="1:17">
      <c r="A14" s="66">
        <v>1979</v>
      </c>
      <c r="B14" s="30">
        <v>179606.06</v>
      </c>
      <c r="C14" s="30">
        <f>SUM(D14:F14)</f>
        <v>2570.77</v>
      </c>
      <c r="D14" s="30">
        <v>125.94</v>
      </c>
      <c r="E14" s="30">
        <v>844.36</v>
      </c>
      <c r="F14" s="30">
        <v>1600.47</v>
      </c>
      <c r="G14" s="31">
        <v>37.950000000000003</v>
      </c>
      <c r="H14" s="31">
        <f t="shared" si="1"/>
        <v>37.63615508194043</v>
      </c>
      <c r="I14" s="31">
        <v>48.63</v>
      </c>
      <c r="J14" s="31">
        <v>42.32</v>
      </c>
      <c r="K14" s="31">
        <v>34.299999999999997</v>
      </c>
      <c r="L14" s="30">
        <f t="shared" si="7"/>
        <v>473270.25032938074</v>
      </c>
      <c r="M14" s="30">
        <f t="shared" si="8"/>
        <v>6830.586159513341</v>
      </c>
      <c r="N14" s="30">
        <f t="shared" si="9"/>
        <v>258.97594077729798</v>
      </c>
      <c r="O14" s="30">
        <f t="shared" si="10"/>
        <v>1995.179584120983</v>
      </c>
      <c r="P14" s="30">
        <f t="shared" si="11"/>
        <v>4666.093294460642</v>
      </c>
      <c r="Q14" s="152"/>
    </row>
    <row r="15" spans="1:17">
      <c r="A15" s="66">
        <v>1980</v>
      </c>
      <c r="B15" s="30">
        <v>209029.15</v>
      </c>
      <c r="C15" s="30">
        <f t="shared" ref="C15:C42" si="12">SUM(D15:F15)</f>
        <v>2591.0699999999997</v>
      </c>
      <c r="D15" s="30">
        <v>137.32</v>
      </c>
      <c r="E15" s="30">
        <v>892</v>
      </c>
      <c r="F15" s="30">
        <v>1561.75</v>
      </c>
      <c r="G15" s="31">
        <v>45.69</v>
      </c>
      <c r="H15" s="31">
        <f t="shared" si="1"/>
        <v>45.900210685160971</v>
      </c>
      <c r="I15" s="31">
        <v>48.02</v>
      </c>
      <c r="J15" s="31">
        <v>52.35</v>
      </c>
      <c r="K15" s="31">
        <v>42.03</v>
      </c>
      <c r="L15" s="30">
        <f t="shared" si="7"/>
        <v>457494.30947690964</v>
      </c>
      <c r="M15" s="30">
        <f t="shared" si="8"/>
        <v>5645.0067686457569</v>
      </c>
      <c r="N15" s="30">
        <f t="shared" si="9"/>
        <v>285.96418159100375</v>
      </c>
      <c r="O15" s="30">
        <f t="shared" si="10"/>
        <v>1703.9159503342885</v>
      </c>
      <c r="P15" s="30">
        <f t="shared" si="11"/>
        <v>3715.7982393528432</v>
      </c>
      <c r="Q15" s="152"/>
    </row>
    <row r="16" spans="1:17">
      <c r="A16" s="66">
        <v>1981</v>
      </c>
      <c r="B16" s="30">
        <v>227292.26</v>
      </c>
      <c r="C16" s="30">
        <f t="shared" si="12"/>
        <v>2679.02</v>
      </c>
      <c r="D16" s="30">
        <v>154.51</v>
      </c>
      <c r="E16" s="30">
        <v>909.24</v>
      </c>
      <c r="F16" s="30">
        <v>1615.27</v>
      </c>
      <c r="G16" s="31">
        <v>50.56</v>
      </c>
      <c r="H16" s="31">
        <f t="shared" si="1"/>
        <v>51.514541959373204</v>
      </c>
      <c r="I16" s="31">
        <v>52.66</v>
      </c>
      <c r="J16" s="31">
        <v>59.34</v>
      </c>
      <c r="K16" s="31">
        <v>47</v>
      </c>
      <c r="L16" s="30">
        <f t="shared" si="7"/>
        <v>449549.56487341772</v>
      </c>
      <c r="M16" s="30">
        <f t="shared" si="8"/>
        <v>5200.5121235724109</v>
      </c>
      <c r="N16" s="30">
        <f t="shared" si="9"/>
        <v>293.41055829851882</v>
      </c>
      <c r="O16" s="30">
        <f t="shared" si="10"/>
        <v>1532.2548028311426</v>
      </c>
      <c r="P16" s="30">
        <f t="shared" si="11"/>
        <v>3436.744680851064</v>
      </c>
      <c r="Q16" s="152"/>
    </row>
    <row r="17" spans="1:19">
      <c r="A17" s="66">
        <v>1982</v>
      </c>
      <c r="B17" s="30">
        <v>247658.54</v>
      </c>
      <c r="C17" s="30">
        <f t="shared" si="12"/>
        <v>2811.84</v>
      </c>
      <c r="D17" s="30">
        <v>174.99</v>
      </c>
      <c r="E17" s="30">
        <v>966.94</v>
      </c>
      <c r="F17" s="30">
        <v>1669.91</v>
      </c>
      <c r="G17" s="31">
        <v>54.1</v>
      </c>
      <c r="H17" s="31">
        <f t="shared" si="1"/>
        <v>56.931858036019122</v>
      </c>
      <c r="I17" s="31">
        <v>55.01</v>
      </c>
      <c r="J17" s="31">
        <v>64.069999999999993</v>
      </c>
      <c r="K17" s="31">
        <v>53</v>
      </c>
      <c r="L17" s="30">
        <f t="shared" si="7"/>
        <v>457779.18669131235</v>
      </c>
      <c r="M17" s="30">
        <f t="shared" si="8"/>
        <v>4938.9570216047241</v>
      </c>
      <c r="N17" s="30">
        <f t="shared" si="9"/>
        <v>318.10579894564626</v>
      </c>
      <c r="O17" s="30">
        <f t="shared" si="10"/>
        <v>1509.1930700796006</v>
      </c>
      <c r="P17" s="30">
        <f t="shared" si="11"/>
        <v>3150.7735849056603</v>
      </c>
      <c r="Q17" s="152"/>
    </row>
    <row r="18" spans="1:19">
      <c r="A18" s="66">
        <v>1983</v>
      </c>
      <c r="B18" s="30">
        <v>273307.71000000002</v>
      </c>
      <c r="C18" s="30">
        <f t="shared" si="12"/>
        <v>3068.1000000000004</v>
      </c>
      <c r="D18" s="30">
        <v>167.72</v>
      </c>
      <c r="E18" s="30">
        <v>1067.6500000000001</v>
      </c>
      <c r="F18" s="30">
        <v>1832.73</v>
      </c>
      <c r="G18" s="31">
        <v>57.94</v>
      </c>
      <c r="H18" s="31">
        <f t="shared" si="1"/>
        <v>58.56590893386786</v>
      </c>
      <c r="I18" s="31">
        <v>55.75</v>
      </c>
      <c r="J18" s="31">
        <v>65.489999999999995</v>
      </c>
      <c r="K18" s="31">
        <v>54.79</v>
      </c>
      <c r="L18" s="30">
        <f t="shared" si="7"/>
        <v>471708.16361753544</v>
      </c>
      <c r="M18" s="30">
        <f t="shared" si="8"/>
        <v>5238.7131965534318</v>
      </c>
      <c r="N18" s="30">
        <f t="shared" si="9"/>
        <v>300.84304932735427</v>
      </c>
      <c r="O18" s="30">
        <f t="shared" si="10"/>
        <v>1630.2488929607578</v>
      </c>
      <c r="P18" s="30">
        <f t="shared" si="11"/>
        <v>3345.0082131775871</v>
      </c>
      <c r="Q18" s="152"/>
    </row>
    <row r="19" spans="1:19">
      <c r="A19" s="66">
        <v>1984</v>
      </c>
      <c r="B19" s="30">
        <v>292705.86</v>
      </c>
      <c r="C19" s="30">
        <f t="shared" si="12"/>
        <v>3109.02</v>
      </c>
      <c r="D19" s="30">
        <v>204.71</v>
      </c>
      <c r="E19" s="30">
        <v>1013.31</v>
      </c>
      <c r="F19" s="30">
        <v>1891</v>
      </c>
      <c r="G19" s="31">
        <v>60.69</v>
      </c>
      <c r="H19" s="31">
        <f t="shared" si="1"/>
        <v>58.859110330586482</v>
      </c>
      <c r="I19" s="31">
        <v>56.17</v>
      </c>
      <c r="J19" s="31">
        <v>59.55</v>
      </c>
      <c r="K19" s="31">
        <v>58.78</v>
      </c>
      <c r="L19" s="30">
        <f t="shared" si="7"/>
        <v>482296.68808699952</v>
      </c>
      <c r="M19" s="30">
        <f t="shared" si="8"/>
        <v>5282.1389629200348</v>
      </c>
      <c r="N19" s="30">
        <f t="shared" si="9"/>
        <v>364.44721381520384</v>
      </c>
      <c r="O19" s="30">
        <f t="shared" si="10"/>
        <v>1701.6120906801009</v>
      </c>
      <c r="P19" s="30">
        <f t="shared" si="11"/>
        <v>3217.0806396733583</v>
      </c>
      <c r="Q19" s="152"/>
    </row>
    <row r="20" spans="1:19">
      <c r="A20" s="66">
        <v>1985</v>
      </c>
      <c r="B20" s="30">
        <v>324112</v>
      </c>
      <c r="C20" s="30">
        <f t="shared" si="12"/>
        <v>3553.02</v>
      </c>
      <c r="D20" s="30">
        <v>189.8</v>
      </c>
      <c r="E20" s="30">
        <v>1168.51</v>
      </c>
      <c r="F20" s="30">
        <v>2194.71</v>
      </c>
      <c r="G20" s="31">
        <v>64.5</v>
      </c>
      <c r="H20" s="31">
        <f t="shared" ref="H20:H42" si="13">I20*(D20/C20)+J20*(E20/C20)+K20*(F20/C20)</f>
        <v>66.268435978407098</v>
      </c>
      <c r="I20" s="31">
        <v>54.73</v>
      </c>
      <c r="J20" s="31">
        <v>69.06</v>
      </c>
      <c r="K20" s="31">
        <v>65.78</v>
      </c>
      <c r="L20" s="30">
        <f t="shared" si="7"/>
        <v>502499.22480620153</v>
      </c>
      <c r="M20" s="30">
        <f t="shared" si="8"/>
        <v>5361.5570483023257</v>
      </c>
      <c r="N20" s="30">
        <f t="shared" si="9"/>
        <v>346.7933491686461</v>
      </c>
      <c r="O20" s="30">
        <f t="shared" si="10"/>
        <v>1692.021430640023</v>
      </c>
      <c r="P20" s="30">
        <f t="shared" si="11"/>
        <v>3336.4396473092124</v>
      </c>
      <c r="Q20" s="152"/>
    </row>
    <row r="21" spans="1:19">
      <c r="A21" s="66">
        <v>1986</v>
      </c>
      <c r="B21" s="30">
        <v>342511.24</v>
      </c>
      <c r="C21" s="30">
        <f t="shared" si="12"/>
        <v>4083.63</v>
      </c>
      <c r="D21" s="30">
        <v>206.33</v>
      </c>
      <c r="E21" s="30">
        <v>1255.6300000000001</v>
      </c>
      <c r="F21" s="30">
        <v>2621.67</v>
      </c>
      <c r="G21" s="31">
        <v>66.510000000000005</v>
      </c>
      <c r="H21" s="31">
        <f t="shared" si="13"/>
        <v>69.653703886003385</v>
      </c>
      <c r="I21" s="31">
        <v>59.83</v>
      </c>
      <c r="J21" s="31">
        <v>72.09</v>
      </c>
      <c r="K21" s="31">
        <v>69.260000000000005</v>
      </c>
      <c r="L21" s="30">
        <f t="shared" si="7"/>
        <v>514977.05608179217</v>
      </c>
      <c r="M21" s="30">
        <f t="shared" si="8"/>
        <v>5862.7607322696704</v>
      </c>
      <c r="N21" s="30">
        <f t="shared" si="9"/>
        <v>344.86043790740433</v>
      </c>
      <c r="O21" s="30">
        <f t="shared" si="10"/>
        <v>1741.7533638507423</v>
      </c>
      <c r="P21" s="30">
        <f t="shared" si="11"/>
        <v>3785.2584464337278</v>
      </c>
      <c r="Q21" s="152"/>
    </row>
    <row r="22" spans="1:19">
      <c r="A22" s="66">
        <v>1987</v>
      </c>
      <c r="B22" s="30">
        <v>365261.62</v>
      </c>
      <c r="C22" s="30">
        <f t="shared" si="12"/>
        <v>4565.7699999999995</v>
      </c>
      <c r="D22" s="30">
        <v>218.59</v>
      </c>
      <c r="E22" s="30">
        <v>1502.85</v>
      </c>
      <c r="F22" s="30">
        <v>2844.33</v>
      </c>
      <c r="G22" s="31">
        <v>67.8</v>
      </c>
      <c r="H22" s="31">
        <f t="shared" si="13"/>
        <v>72.445638041338043</v>
      </c>
      <c r="I22" s="31">
        <v>65.319999999999993</v>
      </c>
      <c r="J22" s="31">
        <v>78.3</v>
      </c>
      <c r="K22" s="31">
        <v>69.900000000000006</v>
      </c>
      <c r="L22" s="30">
        <f t="shared" si="7"/>
        <v>538733.95280235994</v>
      </c>
      <c r="M22" s="30">
        <f t="shared" si="8"/>
        <v>6302.3394139958236</v>
      </c>
      <c r="N22" s="30">
        <f t="shared" si="9"/>
        <v>334.6448254745867</v>
      </c>
      <c r="O22" s="30">
        <f t="shared" si="10"/>
        <v>1919.3486590038315</v>
      </c>
      <c r="P22" s="30">
        <f t="shared" si="11"/>
        <v>4069.141630901287</v>
      </c>
      <c r="Q22" s="152"/>
    </row>
    <row r="23" spans="1:19">
      <c r="A23" s="66">
        <v>1988</v>
      </c>
      <c r="B23" s="30">
        <v>418656.78</v>
      </c>
      <c r="C23" s="30">
        <f t="shared" si="12"/>
        <v>5143.04</v>
      </c>
      <c r="D23" s="30">
        <v>220.87</v>
      </c>
      <c r="E23" s="30">
        <v>1741.19</v>
      </c>
      <c r="F23" s="30">
        <v>3180.98</v>
      </c>
      <c r="G23" s="31">
        <v>73.88</v>
      </c>
      <c r="H23" s="31">
        <f t="shared" si="13"/>
        <v>74.548830049931553</v>
      </c>
      <c r="I23" s="31">
        <v>65.319999999999993</v>
      </c>
      <c r="J23" s="31">
        <v>80.650000000000006</v>
      </c>
      <c r="K23" s="31">
        <v>71.849999999999994</v>
      </c>
      <c r="L23" s="30">
        <f t="shared" si="7"/>
        <v>566671.33188955067</v>
      </c>
      <c r="M23" s="30">
        <f t="shared" si="8"/>
        <v>6898.8876103827224</v>
      </c>
      <c r="N23" s="30">
        <f t="shared" si="9"/>
        <v>338.13533374157993</v>
      </c>
      <c r="O23" s="30">
        <f t="shared" si="10"/>
        <v>2158.9460632362056</v>
      </c>
      <c r="P23" s="30">
        <f t="shared" si="11"/>
        <v>4427.2512178148927</v>
      </c>
      <c r="Q23" s="152"/>
    </row>
    <row r="24" spans="1:19">
      <c r="A24" s="66">
        <v>1989</v>
      </c>
      <c r="B24" s="30">
        <v>455934.71</v>
      </c>
      <c r="C24" s="30">
        <f t="shared" si="12"/>
        <v>5266.41</v>
      </c>
      <c r="D24" s="30">
        <v>259.45</v>
      </c>
      <c r="E24" s="30">
        <v>1816.3</v>
      </c>
      <c r="F24" s="30">
        <v>3190.66</v>
      </c>
      <c r="G24" s="31">
        <v>79.17</v>
      </c>
      <c r="H24" s="31">
        <f t="shared" si="13"/>
        <v>78.485598367768546</v>
      </c>
      <c r="I24" s="31">
        <v>72.25</v>
      </c>
      <c r="J24" s="31">
        <v>84.34</v>
      </c>
      <c r="K24" s="31">
        <v>75.66</v>
      </c>
      <c r="L24" s="30">
        <f t="shared" si="7"/>
        <v>575893.28028293548</v>
      </c>
      <c r="M24" s="30">
        <f t="shared" si="8"/>
        <v>6710.0335724302022</v>
      </c>
      <c r="N24" s="30">
        <f t="shared" si="9"/>
        <v>359.10034602076126</v>
      </c>
      <c r="O24" s="30">
        <f t="shared" si="10"/>
        <v>2153.545174294522</v>
      </c>
      <c r="P24" s="30">
        <f t="shared" si="11"/>
        <v>4217.1028284430349</v>
      </c>
      <c r="Q24" s="152"/>
    </row>
    <row r="25" spans="1:19">
      <c r="A25" s="66">
        <v>1990</v>
      </c>
      <c r="B25" s="30">
        <v>495722.66</v>
      </c>
      <c r="C25" s="30">
        <f t="shared" si="12"/>
        <v>5474.73</v>
      </c>
      <c r="D25" s="30">
        <v>276.77999999999997</v>
      </c>
      <c r="E25" s="30">
        <v>1815.46</v>
      </c>
      <c r="F25" s="30">
        <v>3382.49</v>
      </c>
      <c r="G25" s="31">
        <v>84.87</v>
      </c>
      <c r="H25" s="31">
        <f t="shared" si="13"/>
        <v>81.042943067512013</v>
      </c>
      <c r="I25" s="31">
        <v>76.31</v>
      </c>
      <c r="J25" s="31">
        <v>87.08</v>
      </c>
      <c r="K25" s="31">
        <v>78.19</v>
      </c>
      <c r="L25" s="30">
        <f t="shared" si="7"/>
        <v>584096.45339931652</v>
      </c>
      <c r="M25" s="30">
        <f t="shared" si="8"/>
        <v>6755.3445035175127</v>
      </c>
      <c r="N25" s="30">
        <f t="shared" si="9"/>
        <v>362.70475691259333</v>
      </c>
      <c r="O25" s="30">
        <f t="shared" si="10"/>
        <v>2084.8185576481396</v>
      </c>
      <c r="P25" s="30">
        <f t="shared" si="11"/>
        <v>4325.987978002302</v>
      </c>
      <c r="Q25" s="152"/>
    </row>
    <row r="26" spans="1:19">
      <c r="A26" s="66">
        <v>1991</v>
      </c>
      <c r="B26" s="30">
        <v>519844.77</v>
      </c>
      <c r="C26" s="30">
        <f t="shared" si="12"/>
        <v>5444.37</v>
      </c>
      <c r="D26" s="30">
        <v>275.27999999999997</v>
      </c>
      <c r="E26" s="30">
        <v>1650.3</v>
      </c>
      <c r="F26" s="30">
        <v>3518.79</v>
      </c>
      <c r="G26" s="31">
        <v>89.48</v>
      </c>
      <c r="H26" s="31">
        <f t="shared" si="13"/>
        <v>84.670400156491922</v>
      </c>
      <c r="I26" s="31">
        <v>72.069999999999993</v>
      </c>
      <c r="J26" s="31">
        <v>88.82</v>
      </c>
      <c r="K26" s="31">
        <v>83.71</v>
      </c>
      <c r="L26" s="30">
        <f t="shared" si="7"/>
        <v>580961.96915511845</v>
      </c>
      <c r="M26" s="30">
        <f t="shared" si="8"/>
        <v>6430.0747249776223</v>
      </c>
      <c r="N26" s="30">
        <f t="shared" si="9"/>
        <v>381.96198140696544</v>
      </c>
      <c r="O26" s="30">
        <f t="shared" si="10"/>
        <v>1858.0274712902501</v>
      </c>
      <c r="P26" s="30">
        <f t="shared" si="11"/>
        <v>4203.5479632063079</v>
      </c>
      <c r="Q26" s="152"/>
    </row>
    <row r="27" spans="1:19">
      <c r="A27" s="66">
        <v>1992</v>
      </c>
      <c r="B27" s="30">
        <v>547495.05000000005</v>
      </c>
      <c r="C27" s="30">
        <f t="shared" si="12"/>
        <v>5575.34</v>
      </c>
      <c r="D27" s="30">
        <v>291</v>
      </c>
      <c r="E27" s="30">
        <v>1651.21</v>
      </c>
      <c r="F27" s="30">
        <v>3633.13</v>
      </c>
      <c r="G27" s="31">
        <v>93.73</v>
      </c>
      <c r="H27" s="31">
        <f t="shared" si="13"/>
        <v>88.874803294507601</v>
      </c>
      <c r="I27" s="31">
        <v>73.05</v>
      </c>
      <c r="J27" s="31">
        <v>89.76</v>
      </c>
      <c r="K27" s="31">
        <v>89.74</v>
      </c>
      <c r="L27" s="30">
        <f t="shared" si="7"/>
        <v>584119.33212418656</v>
      </c>
      <c r="M27" s="30">
        <f t="shared" si="8"/>
        <v>6273.2515778682482</v>
      </c>
      <c r="N27" s="30">
        <f t="shared" si="9"/>
        <v>398.35728952772075</v>
      </c>
      <c r="O27" s="30">
        <f t="shared" si="10"/>
        <v>1839.5833333333333</v>
      </c>
      <c r="P27" s="30">
        <f t="shared" si="11"/>
        <v>4048.5067974147541</v>
      </c>
      <c r="Q27" s="152"/>
    </row>
    <row r="28" spans="1:19">
      <c r="A28" s="66">
        <v>1993</v>
      </c>
      <c r="B28" s="30">
        <v>575734.05000000005</v>
      </c>
      <c r="C28" s="30">
        <f t="shared" si="12"/>
        <v>5532.09</v>
      </c>
      <c r="D28" s="30">
        <v>310</v>
      </c>
      <c r="E28" s="30">
        <v>1538.28</v>
      </c>
      <c r="F28" s="30">
        <v>3683.81</v>
      </c>
      <c r="G28" s="31">
        <v>96.22</v>
      </c>
      <c r="H28" s="31">
        <f t="shared" si="13"/>
        <v>88.841849120314379</v>
      </c>
      <c r="I28" s="31">
        <v>86.15</v>
      </c>
      <c r="J28" s="31">
        <v>82.42</v>
      </c>
      <c r="K28" s="31">
        <v>91.75</v>
      </c>
      <c r="L28" s="30">
        <f t="shared" si="7"/>
        <v>598351.74599875289</v>
      </c>
      <c r="M28" s="30">
        <f t="shared" si="8"/>
        <v>6226.8965074197722</v>
      </c>
      <c r="N28" s="30">
        <f t="shared" si="9"/>
        <v>359.83749274521182</v>
      </c>
      <c r="O28" s="30">
        <f t="shared" si="10"/>
        <v>1866.3916525115262</v>
      </c>
      <c r="P28" s="30">
        <f t="shared" si="11"/>
        <v>4015.051771117166</v>
      </c>
      <c r="Q28" s="152"/>
    </row>
    <row r="29" spans="1:19">
      <c r="A29" s="66">
        <v>1994</v>
      </c>
      <c r="B29" s="30">
        <v>608333.05000000005</v>
      </c>
      <c r="C29" s="30">
        <f t="shared" si="12"/>
        <v>6094.89</v>
      </c>
      <c r="D29" s="30">
        <v>348</v>
      </c>
      <c r="E29" s="30">
        <v>1697.53</v>
      </c>
      <c r="F29" s="30">
        <v>4049.36</v>
      </c>
      <c r="G29" s="31">
        <v>97.78</v>
      </c>
      <c r="H29" s="31">
        <f t="shared" si="13"/>
        <v>90.867481267094234</v>
      </c>
      <c r="I29" s="31">
        <v>89.76</v>
      </c>
      <c r="J29" s="31">
        <v>84.29</v>
      </c>
      <c r="K29" s="31">
        <v>93.72</v>
      </c>
      <c r="L29" s="30">
        <f t="shared" si="7"/>
        <v>622144.66148496629</v>
      </c>
      <c r="M29" s="30">
        <f t="shared" si="8"/>
        <v>6707.4490400859577</v>
      </c>
      <c r="N29" s="30">
        <f t="shared" si="9"/>
        <v>387.70053475935828</v>
      </c>
      <c r="O29" s="30">
        <f t="shared" si="10"/>
        <v>2013.9162415470398</v>
      </c>
      <c r="P29" s="30">
        <f t="shared" si="11"/>
        <v>4320.6999573196754</v>
      </c>
      <c r="Q29" s="152"/>
    </row>
    <row r="30" spans="1:19">
      <c r="A30" s="66">
        <v>1995</v>
      </c>
      <c r="B30" s="30">
        <v>640416.14</v>
      </c>
      <c r="C30" s="30">
        <f t="shared" si="12"/>
        <v>6646.2800000000007</v>
      </c>
      <c r="D30" s="30">
        <v>346</v>
      </c>
      <c r="E30" s="30">
        <v>1867.43</v>
      </c>
      <c r="F30" s="30">
        <v>4432.8500000000004</v>
      </c>
      <c r="G30" s="31">
        <v>100</v>
      </c>
      <c r="H30" s="31">
        <f t="shared" si="13"/>
        <v>100</v>
      </c>
      <c r="I30" s="31">
        <v>100</v>
      </c>
      <c r="J30" s="31">
        <v>100</v>
      </c>
      <c r="K30" s="31">
        <v>100</v>
      </c>
      <c r="L30" s="30">
        <f t="shared" si="7"/>
        <v>640416.14</v>
      </c>
      <c r="M30" s="30">
        <f t="shared" si="8"/>
        <v>6646.2800000000016</v>
      </c>
      <c r="N30" s="30">
        <f t="shared" si="9"/>
        <v>346</v>
      </c>
      <c r="O30" s="30">
        <f t="shared" si="10"/>
        <v>1867.43</v>
      </c>
      <c r="P30" s="30">
        <f t="shared" si="11"/>
        <v>4432.8500000000004</v>
      </c>
      <c r="Q30" s="152"/>
    </row>
    <row r="31" spans="1:19">
      <c r="A31" s="66">
        <v>1996</v>
      </c>
      <c r="B31" s="30">
        <v>681836.32</v>
      </c>
      <c r="C31" s="30">
        <f t="shared" si="12"/>
        <v>6699.33</v>
      </c>
      <c r="D31" s="30">
        <v>311</v>
      </c>
      <c r="E31" s="30">
        <v>1968.88</v>
      </c>
      <c r="F31" s="30">
        <v>4419.45</v>
      </c>
      <c r="G31" s="31">
        <v>103.12</v>
      </c>
      <c r="H31" s="31">
        <f t="shared" si="13"/>
        <v>104.97643262833745</v>
      </c>
      <c r="I31" s="31">
        <v>101.44</v>
      </c>
      <c r="J31" s="31">
        <v>106.38</v>
      </c>
      <c r="K31" s="31">
        <v>104.6</v>
      </c>
      <c r="L31" s="30">
        <f t="shared" si="7"/>
        <v>661206.67183863453</v>
      </c>
      <c r="M31" s="30">
        <f t="shared" si="8"/>
        <v>6381.7466761502201</v>
      </c>
      <c r="N31" s="30">
        <f t="shared" si="9"/>
        <v>306.58517350157729</v>
      </c>
      <c r="O31" s="30">
        <f t="shared" si="10"/>
        <v>1850.7990223726265</v>
      </c>
      <c r="P31" s="30">
        <f t="shared" si="11"/>
        <v>4225.0956022944556</v>
      </c>
      <c r="Q31" s="152"/>
      <c r="R31" s="153"/>
      <c r="S31" s="138"/>
    </row>
    <row r="32" spans="1:19">
      <c r="A32" s="66">
        <v>1997</v>
      </c>
      <c r="B32" s="30">
        <v>720624.24</v>
      </c>
      <c r="C32" s="30">
        <f t="shared" si="12"/>
        <v>6711.28</v>
      </c>
      <c r="D32" s="30">
        <v>280</v>
      </c>
      <c r="E32" s="30">
        <v>2187.9899999999998</v>
      </c>
      <c r="F32" s="30">
        <v>4243.29</v>
      </c>
      <c r="G32" s="31">
        <v>105.5</v>
      </c>
      <c r="H32" s="31">
        <f t="shared" si="13"/>
        <v>109.47205533072677</v>
      </c>
      <c r="I32" s="31">
        <v>83.3</v>
      </c>
      <c r="J32" s="31">
        <v>120.99</v>
      </c>
      <c r="K32" s="31">
        <v>105.26</v>
      </c>
      <c r="L32" s="30">
        <f t="shared" si="7"/>
        <v>683056.15165876772</v>
      </c>
      <c r="M32" s="30">
        <f t="shared" si="8"/>
        <v>6130.5873720233958</v>
      </c>
      <c r="N32" s="30">
        <f t="shared" si="9"/>
        <v>336.1344537815126</v>
      </c>
      <c r="O32" s="30">
        <f t="shared" si="10"/>
        <v>1808.4056533597816</v>
      </c>
      <c r="P32" s="30">
        <f t="shared" si="11"/>
        <v>4031.2464373931216</v>
      </c>
      <c r="Q32" s="152"/>
      <c r="R32" s="153"/>
      <c r="S32" s="138"/>
    </row>
    <row r="33" spans="1:19">
      <c r="A33" s="66">
        <v>1998</v>
      </c>
      <c r="B33" s="30">
        <v>763680.14</v>
      </c>
      <c r="C33" s="30">
        <f t="shared" si="12"/>
        <v>6568.43</v>
      </c>
      <c r="D33" s="30">
        <v>267</v>
      </c>
      <c r="E33" s="30">
        <v>2280.59</v>
      </c>
      <c r="F33" s="30">
        <v>4020.84</v>
      </c>
      <c r="G33" s="31">
        <v>108.4</v>
      </c>
      <c r="H33" s="31">
        <f t="shared" si="13"/>
        <v>114.02485071775143</v>
      </c>
      <c r="I33" s="31">
        <v>75.48</v>
      </c>
      <c r="J33" s="31">
        <v>128.86000000000001</v>
      </c>
      <c r="K33" s="31">
        <v>108.17</v>
      </c>
      <c r="L33" s="30">
        <f t="shared" si="7"/>
        <v>704501.97416974162</v>
      </c>
      <c r="M33" s="30">
        <f t="shared" si="8"/>
        <v>5760.524972103668</v>
      </c>
      <c r="N33" s="30">
        <f t="shared" si="9"/>
        <v>353.73608903020664</v>
      </c>
      <c r="O33" s="30">
        <f t="shared" si="10"/>
        <v>1769.8199596461275</v>
      </c>
      <c r="P33" s="30">
        <f t="shared" si="11"/>
        <v>3717.1489322362945</v>
      </c>
      <c r="Q33" s="152"/>
      <c r="R33" s="153"/>
      <c r="S33" s="138"/>
    </row>
    <row r="34" spans="1:19">
      <c r="A34" s="66">
        <v>1999</v>
      </c>
      <c r="B34" s="30">
        <v>800611.05</v>
      </c>
      <c r="C34" s="30">
        <f t="shared" si="12"/>
        <v>6487.33</v>
      </c>
      <c r="D34" s="30">
        <v>264</v>
      </c>
      <c r="E34" s="30">
        <v>2198.52</v>
      </c>
      <c r="F34" s="30">
        <v>4024.81</v>
      </c>
      <c r="G34" s="31">
        <v>110.38</v>
      </c>
      <c r="H34" s="31">
        <f t="shared" si="13"/>
        <v>116.88495046498328</v>
      </c>
      <c r="I34" s="31">
        <v>71.650000000000006</v>
      </c>
      <c r="J34" s="31">
        <v>129.85</v>
      </c>
      <c r="K34" s="31">
        <v>112.77</v>
      </c>
      <c r="L34" s="30">
        <f t="shared" si="7"/>
        <v>725322.56749411125</v>
      </c>
      <c r="M34" s="30">
        <f t="shared" si="8"/>
        <v>5550.1841547543736</v>
      </c>
      <c r="N34" s="30">
        <f t="shared" si="9"/>
        <v>368.4577808792742</v>
      </c>
      <c r="O34" s="30">
        <f t="shared" si="10"/>
        <v>1693.1228340392761</v>
      </c>
      <c r="P34" s="30">
        <f t="shared" si="11"/>
        <v>3569.0431852443025</v>
      </c>
      <c r="Q34" s="152"/>
      <c r="R34" s="153"/>
      <c r="S34" s="138"/>
    </row>
    <row r="35" spans="1:19">
      <c r="A35" s="66">
        <v>2000</v>
      </c>
      <c r="B35" s="30">
        <v>840979</v>
      </c>
      <c r="C35" s="30">
        <f t="shared" si="12"/>
        <v>6322.0599999999995</v>
      </c>
      <c r="D35" s="30">
        <v>270.7</v>
      </c>
      <c r="E35" s="30">
        <v>2260.0700000000002</v>
      </c>
      <c r="F35" s="30">
        <v>3791.29</v>
      </c>
      <c r="G35" s="31">
        <v>112.15</v>
      </c>
      <c r="H35" s="31">
        <f t="shared" si="13"/>
        <v>119.34862682416809</v>
      </c>
      <c r="I35" s="31">
        <v>68.47</v>
      </c>
      <c r="J35" s="31">
        <v>131.58000000000001</v>
      </c>
      <c r="K35" s="31">
        <v>115.69</v>
      </c>
      <c r="L35" s="30">
        <f t="shared" si="7"/>
        <v>749869.81720909488</v>
      </c>
      <c r="M35" s="30">
        <f t="shared" si="8"/>
        <v>5297.1367733573143</v>
      </c>
      <c r="N35" s="30">
        <f t="shared" si="9"/>
        <v>395.35563020300862</v>
      </c>
      <c r="O35" s="30">
        <f t="shared" si="10"/>
        <v>1717.6394588843291</v>
      </c>
      <c r="P35" s="30">
        <f t="shared" si="11"/>
        <v>3277.1112455700581</v>
      </c>
      <c r="Q35" s="152"/>
      <c r="R35" s="153"/>
      <c r="S35" s="138"/>
    </row>
    <row r="36" spans="1:19">
      <c r="A36" s="66">
        <v>2001</v>
      </c>
      <c r="B36" s="30">
        <v>882753</v>
      </c>
      <c r="C36" s="30">
        <f t="shared" si="12"/>
        <v>6354.58</v>
      </c>
      <c r="D36" s="30">
        <v>281.73</v>
      </c>
      <c r="E36" s="30">
        <v>2308.85</v>
      </c>
      <c r="F36" s="30">
        <v>3764</v>
      </c>
      <c r="G36" s="31">
        <v>115.01</v>
      </c>
      <c r="H36" s="31">
        <f t="shared" si="13"/>
        <v>120.18260564820964</v>
      </c>
      <c r="I36" s="31">
        <v>73.64</v>
      </c>
      <c r="J36" s="31">
        <v>133.30000000000001</v>
      </c>
      <c r="K36" s="31">
        <v>115.62</v>
      </c>
      <c r="L36" s="30">
        <f t="shared" si="7"/>
        <v>767544.56134249188</v>
      </c>
      <c r="M36" s="30">
        <f t="shared" si="8"/>
        <v>5287.4373672681841</v>
      </c>
      <c r="N36" s="30">
        <f t="shared" si="9"/>
        <v>382.57740358500814</v>
      </c>
      <c r="O36" s="30">
        <f t="shared" si="10"/>
        <v>1732.0705176294073</v>
      </c>
      <c r="P36" s="30">
        <f t="shared" si="11"/>
        <v>3255.492129389379</v>
      </c>
      <c r="Q36" s="152"/>
      <c r="R36" s="153"/>
      <c r="S36" s="138"/>
    </row>
    <row r="37" spans="1:19">
      <c r="A37" s="66">
        <v>2002</v>
      </c>
      <c r="B37" s="30">
        <v>930297.03</v>
      </c>
      <c r="C37" s="30">
        <f t="shared" si="12"/>
        <v>6497.2300000000005</v>
      </c>
      <c r="D37" s="30">
        <v>301.55</v>
      </c>
      <c r="E37" s="30">
        <v>2448.8000000000002</v>
      </c>
      <c r="F37" s="30">
        <v>3746.88</v>
      </c>
      <c r="G37" s="31">
        <v>119.49</v>
      </c>
      <c r="H37" s="31">
        <f t="shared" si="13"/>
        <v>121.29338571976058</v>
      </c>
      <c r="I37" s="31">
        <v>70.55</v>
      </c>
      <c r="J37" s="31">
        <v>137.86000000000001</v>
      </c>
      <c r="K37" s="31">
        <v>114.55</v>
      </c>
      <c r="L37" s="30">
        <f t="shared" si="7"/>
        <v>778556.38965603814</v>
      </c>
      <c r="M37" s="30">
        <f t="shared" si="8"/>
        <v>5356.623497188355</v>
      </c>
      <c r="N37" s="30">
        <f t="shared" si="9"/>
        <v>427.42735648476258</v>
      </c>
      <c r="O37" s="30">
        <f t="shared" si="10"/>
        <v>1776.2947918177863</v>
      </c>
      <c r="P37" s="30">
        <f t="shared" si="11"/>
        <v>3270.9559144478394</v>
      </c>
      <c r="Q37" s="152"/>
      <c r="R37" s="153"/>
      <c r="S37" s="138"/>
    </row>
    <row r="38" spans="1:19">
      <c r="A38" s="66">
        <v>2003</v>
      </c>
      <c r="B38" s="30">
        <v>985558</v>
      </c>
      <c r="C38" s="30">
        <f t="shared" si="12"/>
        <v>6516.5599999999995</v>
      </c>
      <c r="D38" s="30">
        <v>305.74</v>
      </c>
      <c r="E38" s="30">
        <v>2619.4699999999998</v>
      </c>
      <c r="F38" s="30">
        <v>3591.35</v>
      </c>
      <c r="G38" s="31">
        <v>123.2</v>
      </c>
      <c r="H38" s="31">
        <f t="shared" si="13"/>
        <v>125.62375360619714</v>
      </c>
      <c r="I38" s="31">
        <v>78.38</v>
      </c>
      <c r="J38" s="31">
        <v>146.43</v>
      </c>
      <c r="K38" s="31">
        <v>114.47</v>
      </c>
      <c r="L38" s="30">
        <f t="shared" si="7"/>
        <v>799965.90909090906</v>
      </c>
      <c r="M38" s="30">
        <f t="shared" si="8"/>
        <v>5187.3629094287244</v>
      </c>
      <c r="N38" s="30">
        <f t="shared" si="9"/>
        <v>390.07399846899722</v>
      </c>
      <c r="O38" s="30">
        <f t="shared" si="10"/>
        <v>1788.8888888888887</v>
      </c>
      <c r="P38" s="30">
        <f t="shared" si="11"/>
        <v>3137.3722372674065</v>
      </c>
      <c r="Q38" s="152"/>
      <c r="R38" s="153"/>
      <c r="S38" s="138"/>
    </row>
    <row r="39" spans="1:19">
      <c r="A39" s="66">
        <v>2004</v>
      </c>
      <c r="B39" s="30">
        <v>1039932.98</v>
      </c>
      <c r="C39" s="30">
        <f t="shared" si="12"/>
        <v>6592.12</v>
      </c>
      <c r="D39" s="30">
        <v>333.62</v>
      </c>
      <c r="E39" s="30">
        <v>2707.28</v>
      </c>
      <c r="F39" s="30">
        <v>3551.22</v>
      </c>
      <c r="G39" s="31">
        <v>126.51</v>
      </c>
      <c r="H39" s="31">
        <f t="shared" si="13"/>
        <v>125.70782027632993</v>
      </c>
      <c r="I39" s="31">
        <v>85.37</v>
      </c>
      <c r="J39" s="31">
        <v>143.78</v>
      </c>
      <c r="K39" s="31">
        <v>115.72</v>
      </c>
      <c r="L39" s="30">
        <f t="shared" si="7"/>
        <v>822016.42557900562</v>
      </c>
      <c r="M39" s="30">
        <f t="shared" si="8"/>
        <v>5244.0015151875632</v>
      </c>
      <c r="N39" s="30">
        <f t="shared" si="9"/>
        <v>390.79301862480963</v>
      </c>
      <c r="O39" s="30">
        <f t="shared" si="10"/>
        <v>1882.932257615802</v>
      </c>
      <c r="P39" s="30">
        <f t="shared" si="11"/>
        <v>3068.8040096785344</v>
      </c>
      <c r="Q39" s="152"/>
      <c r="R39" s="153"/>
      <c r="S39" s="138"/>
    </row>
    <row r="40" spans="1:19">
      <c r="A40" s="66">
        <v>2005</v>
      </c>
      <c r="B40" s="30">
        <v>1084461.1499999999</v>
      </c>
      <c r="C40" s="30">
        <f t="shared" si="12"/>
        <v>6520.73</v>
      </c>
      <c r="D40" s="30">
        <v>278.69</v>
      </c>
      <c r="E40" s="30">
        <v>2722.08</v>
      </c>
      <c r="F40" s="30">
        <v>3519.96</v>
      </c>
      <c r="G40" s="31">
        <v>128.97</v>
      </c>
      <c r="H40" s="31">
        <f t="shared" si="13"/>
        <v>129.11374139091791</v>
      </c>
      <c r="I40" s="31">
        <v>55.97</v>
      </c>
      <c r="J40" s="31">
        <v>150.34</v>
      </c>
      <c r="K40" s="31">
        <v>118.49</v>
      </c>
      <c r="L40" s="30">
        <f t="shared" si="7"/>
        <v>840863.10769946489</v>
      </c>
      <c r="M40" s="30">
        <f t="shared" si="8"/>
        <v>5050.3764585809449</v>
      </c>
      <c r="N40" s="30">
        <f t="shared" si="9"/>
        <v>497.92746113989637</v>
      </c>
      <c r="O40" s="30">
        <f t="shared" si="10"/>
        <v>1810.6159372089928</v>
      </c>
      <c r="P40" s="30">
        <f t="shared" si="11"/>
        <v>2970.6810701325007</v>
      </c>
      <c r="Q40" s="152"/>
      <c r="R40" s="153"/>
      <c r="S40" s="138"/>
    </row>
    <row r="41" spans="1:19">
      <c r="A41" s="66">
        <v>2006</v>
      </c>
      <c r="B41" s="30">
        <v>1147277.79</v>
      </c>
      <c r="C41" s="30">
        <f t="shared" si="12"/>
        <v>6590.82</v>
      </c>
      <c r="D41" s="30">
        <v>290.52</v>
      </c>
      <c r="E41" s="30">
        <v>2824.68</v>
      </c>
      <c r="F41" s="30">
        <v>3475.62</v>
      </c>
      <c r="G41" s="31">
        <v>132.81</v>
      </c>
      <c r="H41" s="31">
        <f t="shared" si="13"/>
        <v>135.75097371798955</v>
      </c>
      <c r="I41" s="31">
        <v>58.39</v>
      </c>
      <c r="J41" s="31">
        <v>159.68</v>
      </c>
      <c r="K41" s="31">
        <v>122.77</v>
      </c>
      <c r="L41" s="30">
        <f t="shared" si="7"/>
        <v>863848.9496272871</v>
      </c>
      <c r="M41" s="30">
        <f t="shared" si="8"/>
        <v>4855.0811972014553</v>
      </c>
      <c r="N41" s="30">
        <f t="shared" si="9"/>
        <v>497.55095050522351</v>
      </c>
      <c r="O41" s="30">
        <f t="shared" si="10"/>
        <v>1768.9629258517034</v>
      </c>
      <c r="P41" s="30">
        <f t="shared" si="11"/>
        <v>2831.0010588906084</v>
      </c>
      <c r="Q41" s="152"/>
      <c r="R41" s="153"/>
      <c r="S41" s="138"/>
    </row>
    <row r="42" spans="1:19">
      <c r="A42" s="66">
        <v>2007</v>
      </c>
      <c r="B42" s="30">
        <v>1209677.51</v>
      </c>
      <c r="C42" s="30">
        <f t="shared" si="12"/>
        <v>6845.66</v>
      </c>
      <c r="D42" s="30">
        <v>339.9</v>
      </c>
      <c r="E42" s="30">
        <v>2975.64</v>
      </c>
      <c r="F42" s="30">
        <v>3530.12</v>
      </c>
      <c r="G42" s="31">
        <v>136.38</v>
      </c>
      <c r="H42" s="31">
        <f t="shared" si="13"/>
        <v>136.15029545726782</v>
      </c>
      <c r="I42" s="31">
        <v>72.099999999999994</v>
      </c>
      <c r="J42" s="31">
        <v>161.44</v>
      </c>
      <c r="K42" s="31">
        <v>121</v>
      </c>
      <c r="L42" s="30">
        <f t="shared" si="7"/>
        <v>886990.40181844844</v>
      </c>
      <c r="M42" s="30">
        <f t="shared" si="8"/>
        <v>5028.0169991614757</v>
      </c>
      <c r="N42" s="30">
        <f t="shared" si="9"/>
        <v>471.42857142857144</v>
      </c>
      <c r="O42" s="30">
        <f t="shared" si="10"/>
        <v>1843.1863230921706</v>
      </c>
      <c r="P42" s="30">
        <f t="shared" si="11"/>
        <v>2917.4545454545455</v>
      </c>
      <c r="Q42" s="152"/>
      <c r="R42" s="153"/>
      <c r="S42" s="138"/>
    </row>
    <row r="43" spans="1:19">
      <c r="A43" s="66">
        <v>2008</v>
      </c>
      <c r="B43" s="30" t="s">
        <v>22</v>
      </c>
      <c r="C43" s="30" t="s">
        <v>22</v>
      </c>
      <c r="D43" s="30" t="s">
        <v>22</v>
      </c>
      <c r="E43" s="30" t="s">
        <v>22</v>
      </c>
      <c r="F43" s="30" t="s">
        <v>22</v>
      </c>
      <c r="G43" s="30" t="s">
        <v>22</v>
      </c>
      <c r="H43" s="30" t="s">
        <v>22</v>
      </c>
      <c r="I43" s="30" t="s">
        <v>22</v>
      </c>
      <c r="J43" s="30" t="s">
        <v>22</v>
      </c>
      <c r="K43" s="30" t="s">
        <v>22</v>
      </c>
      <c r="L43" s="30" t="s">
        <v>22</v>
      </c>
      <c r="M43" s="30" t="s">
        <v>22</v>
      </c>
      <c r="N43" s="30" t="s">
        <v>22</v>
      </c>
      <c r="O43" s="30" t="s">
        <v>22</v>
      </c>
      <c r="P43" s="30" t="s">
        <v>22</v>
      </c>
      <c r="Q43" s="152"/>
      <c r="R43" s="153"/>
      <c r="S43" s="138"/>
    </row>
    <row r="44" spans="1:19">
      <c r="A44" s="66"/>
      <c r="B44" s="135"/>
      <c r="C44" s="135"/>
      <c r="D44" s="135"/>
      <c r="E44" s="135"/>
      <c r="F44" s="135"/>
      <c r="G44" s="135"/>
      <c r="H44" s="135"/>
      <c r="I44" s="135"/>
      <c r="J44" s="135"/>
      <c r="K44" s="135"/>
      <c r="L44" s="135"/>
      <c r="M44" s="135"/>
      <c r="N44" s="135"/>
      <c r="O44" s="135"/>
      <c r="P44" s="135"/>
    </row>
    <row r="45" spans="1:19">
      <c r="A45" s="66" t="s">
        <v>23</v>
      </c>
      <c r="B45" s="30"/>
      <c r="C45" s="30"/>
      <c r="D45" s="30"/>
      <c r="E45" s="30"/>
      <c r="F45" s="30"/>
      <c r="G45" s="30"/>
      <c r="H45" s="30"/>
      <c r="I45" s="30"/>
      <c r="J45" s="30"/>
      <c r="K45" s="30"/>
      <c r="L45" s="135"/>
      <c r="M45" s="135"/>
      <c r="N45" s="135"/>
      <c r="O45" s="135"/>
      <c r="P45" s="135"/>
    </row>
    <row r="46" spans="1:19">
      <c r="A46" s="66" t="s">
        <v>1946</v>
      </c>
      <c r="B46" s="147">
        <f>((B42/B5)^(1/37)-1)*100</f>
        <v>9.2206191995545694</v>
      </c>
      <c r="C46" s="147">
        <f t="shared" ref="C46:P46" si="14">((C42/C5)^(1/37)-1)*100</f>
        <v>6.1002683473856845</v>
      </c>
      <c r="D46" s="147">
        <f t="shared" si="14"/>
        <v>5.984618512749762</v>
      </c>
      <c r="E46" s="147">
        <f t="shared" si="14"/>
        <v>7.1065747853505945</v>
      </c>
      <c r="F46" s="147">
        <f t="shared" si="14"/>
        <v>5.474815073900019</v>
      </c>
      <c r="G46" s="147">
        <f t="shared" si="14"/>
        <v>6.9888995723954572</v>
      </c>
      <c r="H46" s="147">
        <f t="shared" si="14"/>
        <v>6.6911006794525996</v>
      </c>
      <c r="I46" s="147">
        <f t="shared" si="14"/>
        <v>3.8784153195241311</v>
      </c>
      <c r="J46" s="147">
        <f t="shared" si="14"/>
        <v>6.7602812931047973</v>
      </c>
      <c r="K46" s="147">
        <f t="shared" si="14"/>
        <v>6.6849463521747809</v>
      </c>
      <c r="L46" s="147">
        <f t="shared" si="14"/>
        <v>2.0859356775129845</v>
      </c>
      <c r="M46" s="147">
        <f t="shared" si="14"/>
        <v>-0.55377845790721691</v>
      </c>
      <c r="N46" s="147">
        <f t="shared" si="14"/>
        <v>2.0275657717217621</v>
      </c>
      <c r="O46" s="147">
        <f t="shared" si="14"/>
        <v>0.32436547379925962</v>
      </c>
      <c r="P46" s="147">
        <f t="shared" si="14"/>
        <v>-1.1343036854328359</v>
      </c>
    </row>
    <row r="47" spans="1:19">
      <c r="A47" s="66" t="s">
        <v>2140</v>
      </c>
      <c r="B47" s="147">
        <f>((B25/B5)^(1/20)-1)*100</f>
        <v>12.587981157982719</v>
      </c>
      <c r="C47" s="147">
        <f t="shared" ref="C47:P47" si="15">((C25/C5)^(1/20)-1)*100</f>
        <v>10.337429294756495</v>
      </c>
      <c r="D47" s="147">
        <f t="shared" si="15"/>
        <v>10.214423351097125</v>
      </c>
      <c r="E47" s="147">
        <f t="shared" si="15"/>
        <v>10.772040856452158</v>
      </c>
      <c r="F47" s="147">
        <f t="shared" si="15"/>
        <v>10.127956832048945</v>
      </c>
      <c r="G47" s="147">
        <f t="shared" si="15"/>
        <v>10.65646926114383</v>
      </c>
      <c r="H47" s="147">
        <f t="shared" si="15"/>
        <v>9.8429005642786791</v>
      </c>
      <c r="I47" s="147">
        <f t="shared" si="15"/>
        <v>7.5979863167518147</v>
      </c>
      <c r="J47" s="147">
        <f t="shared" si="15"/>
        <v>9.434265146450894</v>
      </c>
      <c r="K47" s="147">
        <f t="shared" si="15"/>
        <v>10.283135955293353</v>
      </c>
      <c r="L47" s="147">
        <f t="shared" si="15"/>
        <v>1.7455029152255053</v>
      </c>
      <c r="M47" s="147">
        <f t="shared" si="15"/>
        <v>0.45021455909974861</v>
      </c>
      <c r="N47" s="147">
        <f t="shared" si="15"/>
        <v>2.43167843926273</v>
      </c>
      <c r="O47" s="147">
        <f t="shared" si="15"/>
        <v>1.2224468343722039</v>
      </c>
      <c r="P47" s="147">
        <f t="shared" si="15"/>
        <v>-0.14070974850344253</v>
      </c>
    </row>
    <row r="48" spans="1:19">
      <c r="A48" s="66" t="s">
        <v>660</v>
      </c>
      <c r="B48" s="147">
        <f t="shared" ref="B48:P48" si="16">((B35/B25)^(1/10)-1)*100</f>
        <v>5.4276771524548684</v>
      </c>
      <c r="C48" s="147">
        <f t="shared" si="16"/>
        <v>1.4494252078469438</v>
      </c>
      <c r="D48" s="147">
        <f t="shared" si="16"/>
        <v>-0.2218712029476988</v>
      </c>
      <c r="E48" s="147">
        <f t="shared" si="16"/>
        <v>2.2147381933296018</v>
      </c>
      <c r="F48" s="147">
        <f t="shared" si="16"/>
        <v>1.1474756274415299</v>
      </c>
      <c r="G48" s="147">
        <f t="shared" si="16"/>
        <v>2.8263707250033798</v>
      </c>
      <c r="H48" s="147">
        <f t="shared" si="16"/>
        <v>3.9465841405420532</v>
      </c>
      <c r="I48" s="147">
        <f t="shared" si="16"/>
        <v>-1.0782279789260496</v>
      </c>
      <c r="J48" s="147">
        <f t="shared" si="16"/>
        <v>4.2142593074014911</v>
      </c>
      <c r="K48" s="147">
        <f t="shared" si="16"/>
        <v>3.9954792845212639</v>
      </c>
      <c r="L48" s="147">
        <f t="shared" si="16"/>
        <v>2.5298047661415302</v>
      </c>
      <c r="M48" s="147">
        <f t="shared" si="16"/>
        <v>-2.4023482381285488</v>
      </c>
      <c r="N48" s="147">
        <f t="shared" si="16"/>
        <v>0.86569089744563676</v>
      </c>
      <c r="O48" s="147">
        <f t="shared" si="16"/>
        <v>-1.9186636525179157</v>
      </c>
      <c r="P48" s="147">
        <f t="shared" si="16"/>
        <v>-2.7385840968027875</v>
      </c>
    </row>
    <row r="49" spans="1:16">
      <c r="A49" s="66" t="s">
        <v>588</v>
      </c>
      <c r="B49" s="147">
        <f>((B42/B35)^(1/7)-1)*100</f>
        <v>5.3306883036515318</v>
      </c>
      <c r="C49" s="147">
        <f t="shared" ref="C49:P49" si="17">((C42/C35)^(1/7)-1)*100</f>
        <v>1.1431961145963898</v>
      </c>
      <c r="D49" s="147">
        <f t="shared" si="17"/>
        <v>3.3054592411116301</v>
      </c>
      <c r="E49" s="147">
        <f t="shared" si="17"/>
        <v>4.0077016869619841</v>
      </c>
      <c r="F49" s="147">
        <f t="shared" si="17"/>
        <v>-1.0144545696687768</v>
      </c>
      <c r="G49" s="147">
        <f t="shared" si="17"/>
        <v>2.8338073270706587</v>
      </c>
      <c r="H49" s="147">
        <f t="shared" si="17"/>
        <v>1.8993924194834921</v>
      </c>
      <c r="I49" s="147">
        <f t="shared" si="17"/>
        <v>0.74070620213735339</v>
      </c>
      <c r="J49" s="147">
        <f t="shared" si="17"/>
        <v>2.9647933974473073</v>
      </c>
      <c r="K49" s="147">
        <f t="shared" si="17"/>
        <v>0.64315003540049709</v>
      </c>
      <c r="L49" s="147">
        <f t="shared" si="17"/>
        <v>2.4280740366243281</v>
      </c>
      <c r="M49" s="147">
        <f t="shared" si="17"/>
        <v>-0.74210089671007395</v>
      </c>
      <c r="N49" s="147">
        <f t="shared" si="17"/>
        <v>2.5458954335976891</v>
      </c>
      <c r="O49" s="147">
        <f t="shared" si="17"/>
        <v>1.0128785336255719</v>
      </c>
      <c r="P49" s="147">
        <f t="shared" si="17"/>
        <v>-1.6470118477871831</v>
      </c>
    </row>
    <row r="51" spans="1:16">
      <c r="A51" s="137" t="s">
        <v>2039</v>
      </c>
      <c r="B51" s="137"/>
      <c r="C51" s="137"/>
      <c r="D51" s="137"/>
      <c r="E51" s="137"/>
      <c r="F51" s="137"/>
      <c r="G51" s="137"/>
      <c r="H51" s="137"/>
      <c r="I51" s="137"/>
      <c r="J51" s="137"/>
      <c r="K51" s="137"/>
      <c r="L51" s="137"/>
      <c r="M51" s="137"/>
      <c r="N51" s="137"/>
      <c r="O51" s="137"/>
      <c r="P51" s="137"/>
    </row>
    <row r="52" spans="1:16">
      <c r="A52" s="137" t="s">
        <v>193</v>
      </c>
      <c r="B52" s="137"/>
      <c r="C52" s="137"/>
      <c r="D52" s="137"/>
      <c r="E52" s="137"/>
      <c r="F52" s="137"/>
      <c r="G52" s="137"/>
      <c r="H52" s="137"/>
      <c r="I52" s="137"/>
      <c r="J52" s="137"/>
      <c r="K52" s="137"/>
      <c r="L52" s="137"/>
      <c r="M52" s="137"/>
      <c r="N52" s="137"/>
      <c r="O52" s="137"/>
      <c r="P52" s="137"/>
    </row>
    <row r="53" spans="1:16">
      <c r="A53" s="137" t="s">
        <v>527</v>
      </c>
      <c r="B53" s="137"/>
      <c r="C53" s="137"/>
      <c r="D53" s="137"/>
      <c r="E53" s="137"/>
      <c r="F53" s="137"/>
      <c r="G53" s="137"/>
      <c r="H53" s="137"/>
      <c r="I53" s="137"/>
      <c r="J53" s="137"/>
      <c r="K53" s="137"/>
      <c r="L53" s="137"/>
      <c r="M53" s="137"/>
      <c r="N53" s="137"/>
      <c r="O53" s="137"/>
      <c r="P53" s="137"/>
    </row>
  </sheetData>
  <mergeCells count="14">
    <mergeCell ref="A1:P1"/>
    <mergeCell ref="A51:P51"/>
    <mergeCell ref="A52:P52"/>
    <mergeCell ref="A53:P53"/>
    <mergeCell ref="B2:F2"/>
    <mergeCell ref="G2:K2"/>
    <mergeCell ref="L2:P2"/>
    <mergeCell ref="A3:A4"/>
    <mergeCell ref="B3:B4"/>
    <mergeCell ref="C3:F3"/>
    <mergeCell ref="G3:G4"/>
    <mergeCell ref="H3:K3"/>
    <mergeCell ref="L3:L4"/>
    <mergeCell ref="M3:P3"/>
  </mergeCells>
  <pageMargins left="0.7" right="0.7" top="0.75" bottom="0.75" header="0.3" footer="0.3"/>
  <pageSetup scale="62" orientation="landscape" horizontalDpi="0" verticalDpi="0" r:id="rId1"/>
  <ignoredErrors>
    <ignoredError sqref="C5:C43" formulaRange="1"/>
  </ignoredErrors>
</worksheet>
</file>

<file path=xl/worksheets/sheet157.xml><?xml version="1.0" encoding="utf-8"?>
<worksheet xmlns="http://schemas.openxmlformats.org/spreadsheetml/2006/main" xmlns:r="http://schemas.openxmlformats.org/officeDocument/2006/relationships">
  <sheetPr codeName="Sheet151"/>
  <dimension ref="A1:R52"/>
  <sheetViews>
    <sheetView view="pageBreakPre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Col="1"/>
  <cols>
    <col min="1" max="1" width="15.140625" style="64" customWidth="1"/>
    <col min="2" max="6" width="12" style="64" customWidth="1"/>
    <col min="7" max="11" width="14" style="64" customWidth="1"/>
    <col min="12" max="12" width="9.140625" style="64"/>
    <col min="13" max="17" width="9.140625" style="64" hidden="1" customWidth="1" outlineLevel="1"/>
    <col min="18" max="18" width="9.140625" style="64" collapsed="1"/>
    <col min="19" max="16384" width="9.140625" style="64"/>
  </cols>
  <sheetData>
    <row r="1" spans="1:17">
      <c r="A1" s="108" t="s">
        <v>1943</v>
      </c>
      <c r="B1" s="108"/>
      <c r="C1" s="108"/>
      <c r="D1" s="108"/>
      <c r="E1" s="108"/>
      <c r="F1" s="108"/>
      <c r="G1" s="108"/>
      <c r="H1" s="108"/>
      <c r="I1" s="108"/>
      <c r="J1" s="108"/>
      <c r="K1" s="108"/>
    </row>
    <row r="2" spans="1:17">
      <c r="A2" s="66"/>
      <c r="B2" s="111" t="s">
        <v>528</v>
      </c>
      <c r="C2" s="111"/>
      <c r="D2" s="111"/>
      <c r="E2" s="111"/>
      <c r="F2" s="111"/>
      <c r="G2" s="111" t="s">
        <v>540</v>
      </c>
      <c r="H2" s="111"/>
      <c r="I2" s="111"/>
      <c r="J2" s="111"/>
      <c r="K2" s="111"/>
    </row>
    <row r="3" spans="1:17" ht="15" customHeight="1">
      <c r="A3" s="149"/>
      <c r="B3" s="97" t="s">
        <v>523</v>
      </c>
      <c r="C3" s="97" t="s">
        <v>37</v>
      </c>
      <c r="D3" s="97"/>
      <c r="E3" s="97"/>
      <c r="F3" s="97"/>
      <c r="G3" s="97" t="s">
        <v>523</v>
      </c>
      <c r="H3" s="97" t="s">
        <v>37</v>
      </c>
      <c r="I3" s="97"/>
      <c r="J3" s="97"/>
      <c r="K3" s="97"/>
      <c r="M3" s="154" t="s">
        <v>523</v>
      </c>
      <c r="N3" s="154" t="s">
        <v>49</v>
      </c>
      <c r="O3" s="154"/>
      <c r="P3" s="154"/>
      <c r="Q3" s="154"/>
    </row>
    <row r="4" spans="1:17" ht="60">
      <c r="A4" s="149"/>
      <c r="B4" s="97"/>
      <c r="C4" s="73" t="s">
        <v>78</v>
      </c>
      <c r="D4" s="73" t="s">
        <v>522</v>
      </c>
      <c r="E4" s="73" t="s">
        <v>524</v>
      </c>
      <c r="F4" s="73" t="s">
        <v>525</v>
      </c>
      <c r="G4" s="97"/>
      <c r="H4" s="73" t="s">
        <v>78</v>
      </c>
      <c r="I4" s="73" t="s">
        <v>522</v>
      </c>
      <c r="J4" s="73" t="s">
        <v>524</v>
      </c>
      <c r="K4" s="73" t="s">
        <v>525</v>
      </c>
      <c r="M4" s="154"/>
      <c r="N4" s="117" t="s">
        <v>50</v>
      </c>
      <c r="O4" s="117" t="s">
        <v>522</v>
      </c>
      <c r="P4" s="117" t="s">
        <v>524</v>
      </c>
      <c r="Q4" s="117" t="s">
        <v>525</v>
      </c>
    </row>
    <row r="5" spans="1:17">
      <c r="A5" s="66">
        <v>1970</v>
      </c>
      <c r="B5" s="150"/>
      <c r="C5" s="56"/>
      <c r="D5" s="150"/>
      <c r="E5" s="150"/>
      <c r="F5" s="150"/>
      <c r="G5" s="62"/>
      <c r="H5" s="62"/>
      <c r="I5" s="62"/>
      <c r="J5" s="62"/>
      <c r="K5" s="62"/>
      <c r="M5" s="117"/>
      <c r="N5" s="117"/>
      <c r="O5" s="117"/>
      <c r="P5" s="117"/>
      <c r="Q5" s="117"/>
    </row>
    <row r="6" spans="1:17">
      <c r="A6" s="66">
        <v>1971</v>
      </c>
      <c r="B6" s="150"/>
      <c r="C6" s="56"/>
      <c r="D6" s="150"/>
      <c r="E6" s="150"/>
      <c r="F6" s="150"/>
      <c r="G6" s="62"/>
      <c r="H6" s="62"/>
      <c r="I6" s="62"/>
      <c r="J6" s="62"/>
      <c r="K6" s="62"/>
      <c r="M6" s="117"/>
      <c r="N6" s="117"/>
      <c r="O6" s="117"/>
      <c r="P6" s="117"/>
      <c r="Q6" s="117"/>
    </row>
    <row r="7" spans="1:17">
      <c r="A7" s="66">
        <v>1972</v>
      </c>
      <c r="B7" s="150"/>
      <c r="C7" s="56"/>
      <c r="D7" s="150"/>
      <c r="E7" s="150"/>
      <c r="F7" s="150"/>
      <c r="G7" s="62"/>
      <c r="H7" s="62"/>
      <c r="I7" s="62"/>
      <c r="J7" s="62"/>
      <c r="K7" s="62"/>
      <c r="M7" s="117"/>
      <c r="N7" s="117"/>
      <c r="O7" s="117"/>
      <c r="P7" s="117"/>
      <c r="Q7" s="117"/>
    </row>
    <row r="8" spans="1:17">
      <c r="A8" s="66">
        <v>1973</v>
      </c>
      <c r="B8" s="150"/>
      <c r="C8" s="56"/>
      <c r="D8" s="150"/>
      <c r="E8" s="150"/>
      <c r="F8" s="150"/>
      <c r="G8" s="62"/>
      <c r="H8" s="62"/>
      <c r="I8" s="62"/>
      <c r="J8" s="62"/>
      <c r="K8" s="62"/>
      <c r="M8" s="117"/>
      <c r="N8" s="117"/>
      <c r="O8" s="117"/>
      <c r="P8" s="117"/>
      <c r="Q8" s="117"/>
    </row>
    <row r="9" spans="1:17">
      <c r="A9" s="66">
        <v>1974</v>
      </c>
      <c r="B9" s="150"/>
      <c r="C9" s="56"/>
      <c r="D9" s="150"/>
      <c r="E9" s="150"/>
      <c r="F9" s="150"/>
      <c r="G9" s="62"/>
      <c r="H9" s="62"/>
      <c r="I9" s="62"/>
      <c r="J9" s="62"/>
      <c r="K9" s="62"/>
      <c r="M9" s="117"/>
      <c r="N9" s="117"/>
      <c r="O9" s="117"/>
      <c r="P9" s="117"/>
      <c r="Q9" s="117"/>
    </row>
    <row r="10" spans="1:17">
      <c r="A10" s="66">
        <v>1975</v>
      </c>
      <c r="B10" s="150"/>
      <c r="C10" s="56"/>
      <c r="D10" s="150"/>
      <c r="E10" s="150"/>
      <c r="F10" s="150"/>
      <c r="G10" s="62"/>
      <c r="H10" s="62"/>
      <c r="I10" s="62"/>
      <c r="J10" s="62"/>
      <c r="K10" s="62"/>
      <c r="M10" s="117"/>
      <c r="N10" s="117"/>
      <c r="O10" s="117"/>
      <c r="P10" s="117"/>
      <c r="Q10" s="117"/>
    </row>
    <row r="11" spans="1:17">
      <c r="A11" s="66">
        <v>1976</v>
      </c>
      <c r="B11" s="150"/>
      <c r="C11" s="56"/>
      <c r="D11" s="150"/>
      <c r="E11" s="150"/>
      <c r="F11" s="150"/>
      <c r="G11" s="62"/>
      <c r="H11" s="62"/>
      <c r="I11" s="62"/>
      <c r="J11" s="62"/>
      <c r="K11" s="62"/>
      <c r="M11" s="117"/>
      <c r="N11" s="117"/>
      <c r="O11" s="117"/>
      <c r="P11" s="117"/>
      <c r="Q11" s="117"/>
    </row>
    <row r="12" spans="1:17">
      <c r="A12" s="66">
        <v>1977</v>
      </c>
      <c r="B12" s="150">
        <v>183123.91</v>
      </c>
      <c r="C12" s="56"/>
      <c r="D12" s="150"/>
      <c r="E12" s="150">
        <v>1258.3399999999999</v>
      </c>
      <c r="F12" s="150"/>
      <c r="G12" s="62"/>
      <c r="H12" s="62"/>
      <c r="I12" s="62"/>
      <c r="J12" s="62"/>
      <c r="K12" s="62"/>
      <c r="M12" s="117"/>
      <c r="N12" s="117"/>
      <c r="O12" s="117"/>
      <c r="P12" s="117"/>
      <c r="Q12" s="117"/>
    </row>
    <row r="13" spans="1:17">
      <c r="A13" s="66">
        <v>1978</v>
      </c>
      <c r="B13" s="150">
        <v>191782.63</v>
      </c>
      <c r="C13" s="56"/>
      <c r="D13" s="150"/>
      <c r="E13" s="150">
        <v>1320.43</v>
      </c>
      <c r="F13" s="150"/>
      <c r="G13" s="62"/>
      <c r="H13" s="62"/>
      <c r="I13" s="62"/>
      <c r="J13" s="62"/>
      <c r="K13" s="62"/>
      <c r="M13" s="117"/>
      <c r="N13" s="117"/>
      <c r="O13" s="117"/>
      <c r="P13" s="117"/>
      <c r="Q13" s="117"/>
    </row>
    <row r="14" spans="1:17">
      <c r="A14" s="66">
        <v>1979</v>
      </c>
      <c r="B14" s="56">
        <v>198163.81</v>
      </c>
      <c r="C14" s="56">
        <f>SUM(D14:F14)</f>
        <v>3922.6767212048626</v>
      </c>
      <c r="D14" s="56">
        <f t="shared" ref="D14:F29" si="0">O14/1000</f>
        <v>1093.5615249384005</v>
      </c>
      <c r="E14" s="56">
        <v>1322.8</v>
      </c>
      <c r="F14" s="56">
        <f t="shared" si="0"/>
        <v>1506.3151962664622</v>
      </c>
      <c r="G14" s="50">
        <f>'608a'!L14/'608'!B14</f>
        <v>23.818512528082032</v>
      </c>
      <c r="H14" s="50" t="s">
        <v>22</v>
      </c>
      <c r="I14" s="50" t="s">
        <v>22</v>
      </c>
      <c r="J14" s="50">
        <f>'608a'!O14/'608'!E14</f>
        <v>17.22594322283587</v>
      </c>
      <c r="K14" s="50" t="s">
        <v>22</v>
      </c>
      <c r="L14" s="139"/>
      <c r="M14" s="32">
        <v>197833689.4118228</v>
      </c>
      <c r="N14" s="32">
        <f>SUM(O14:Q14)</f>
        <v>3909106.4981779866</v>
      </c>
      <c r="O14" s="32">
        <v>1093561.5249384004</v>
      </c>
      <c r="P14" s="32">
        <v>1309229.7769731239</v>
      </c>
      <c r="Q14" s="32">
        <v>1506315.1962664621</v>
      </c>
    </row>
    <row r="15" spans="1:17">
      <c r="A15" s="66">
        <v>1980</v>
      </c>
      <c r="B15" s="56">
        <v>198116.79</v>
      </c>
      <c r="C15" s="56">
        <f t="shared" ref="C15:C42" si="1">SUM(D15:F15)</f>
        <v>3725.7132065820733</v>
      </c>
      <c r="D15" s="56">
        <f t="shared" si="0"/>
        <v>1088.321900257429</v>
      </c>
      <c r="E15" s="56">
        <v>1166.67</v>
      </c>
      <c r="F15" s="56">
        <f t="shared" si="0"/>
        <v>1470.7213063246445</v>
      </c>
      <c r="G15" s="50">
        <f>'608a'!L15/'608'!B15</f>
        <v>23.600767557393791</v>
      </c>
      <c r="H15" s="50" t="s">
        <v>22</v>
      </c>
      <c r="I15" s="50" t="s">
        <v>22</v>
      </c>
      <c r="J15" s="50">
        <f>'608a'!O15/'608'!E15</f>
        <v>17.311462144642974</v>
      </c>
      <c r="K15" s="50" t="s">
        <v>22</v>
      </c>
      <c r="L15" s="139"/>
      <c r="M15" s="32">
        <v>197794713.9832454</v>
      </c>
      <c r="N15" s="32">
        <f t="shared" ref="N15:N39" si="2">SUM(O15:Q15)</f>
        <v>3716764.2571868221</v>
      </c>
      <c r="O15" s="32">
        <v>1088321.9002574289</v>
      </c>
      <c r="P15" s="32">
        <v>1157721.050604749</v>
      </c>
      <c r="Q15" s="32">
        <v>1470721.3063246445</v>
      </c>
    </row>
    <row r="16" spans="1:17">
      <c r="A16" s="66">
        <v>1981</v>
      </c>
      <c r="B16" s="56">
        <v>199625.38</v>
      </c>
      <c r="C16" s="56">
        <f t="shared" si="1"/>
        <v>3666.2608543911001</v>
      </c>
      <c r="D16" s="56">
        <f t="shared" si="0"/>
        <v>1055.5622893376872</v>
      </c>
      <c r="E16" s="56">
        <v>1133.53</v>
      </c>
      <c r="F16" s="56">
        <f t="shared" si="0"/>
        <v>1477.1685650534125</v>
      </c>
      <c r="G16" s="50">
        <f>'608a'!L16/'608'!B16</f>
        <v>23.890489617737721</v>
      </c>
      <c r="H16" s="50" t="s">
        <v>22</v>
      </c>
      <c r="I16" s="50" t="s">
        <v>22</v>
      </c>
      <c r="J16" s="50">
        <f>'608a'!O16/'608'!E16</f>
        <v>16.545028110668191</v>
      </c>
      <c r="K16" s="50" t="s">
        <v>22</v>
      </c>
      <c r="L16" s="139"/>
      <c r="M16" s="32">
        <v>199312403.91191366</v>
      </c>
      <c r="N16" s="32">
        <f t="shared" si="2"/>
        <v>3659711.6401073309</v>
      </c>
      <c r="O16" s="32">
        <v>1055562.2893376872</v>
      </c>
      <c r="P16" s="32">
        <v>1126980.7857162314</v>
      </c>
      <c r="Q16" s="32">
        <v>1477168.5650534125</v>
      </c>
    </row>
    <row r="17" spans="1:17">
      <c r="A17" s="66">
        <v>1982</v>
      </c>
      <c r="B17" s="56">
        <v>196017.84</v>
      </c>
      <c r="C17" s="56">
        <f t="shared" si="1"/>
        <v>3453.0498687593017</v>
      </c>
      <c r="D17" s="56">
        <f t="shared" si="0"/>
        <v>1046.731814074549</v>
      </c>
      <c r="E17" s="56">
        <v>1000.33</v>
      </c>
      <c r="F17" s="56">
        <f t="shared" si="0"/>
        <v>1405.9880546847526</v>
      </c>
      <c r="G17" s="50">
        <f>'608a'!L17/'608'!B17</f>
        <v>23.737198477109676</v>
      </c>
      <c r="H17" s="50" t="s">
        <v>22</v>
      </c>
      <c r="I17" s="50" t="s">
        <v>22</v>
      </c>
      <c r="J17" s="50">
        <f>'608a'!O17/'608'!E17</f>
        <v>17.29643920357536</v>
      </c>
      <c r="K17" s="50" t="s">
        <v>22</v>
      </c>
      <c r="L17" s="139"/>
      <c r="M17" s="32">
        <v>195710389.72841573</v>
      </c>
      <c r="N17" s="32">
        <f t="shared" si="2"/>
        <v>3449201.148395984</v>
      </c>
      <c r="O17" s="32">
        <v>1046731.814074549</v>
      </c>
      <c r="P17" s="32">
        <v>996481.27963668224</v>
      </c>
      <c r="Q17" s="32">
        <v>1405988.0546847526</v>
      </c>
    </row>
    <row r="18" spans="1:17">
      <c r="A18" s="66">
        <v>1983</v>
      </c>
      <c r="B18" s="56">
        <v>198632.89</v>
      </c>
      <c r="C18" s="56">
        <f t="shared" si="1"/>
        <v>3603.360973243789</v>
      </c>
      <c r="D18" s="56">
        <f t="shared" si="0"/>
        <v>1049.8120924955931</v>
      </c>
      <c r="E18" s="56">
        <v>1131.55</v>
      </c>
      <c r="F18" s="56">
        <f t="shared" si="0"/>
        <v>1421.9988807481959</v>
      </c>
      <c r="G18" s="50">
        <f>'608a'!L18/'608'!B18</f>
        <v>24.578166131741874</v>
      </c>
      <c r="H18" s="50" t="s">
        <v>22</v>
      </c>
      <c r="I18" s="50" t="s">
        <v>22</v>
      </c>
      <c r="J18" s="50">
        <f>'608a'!O18/'608'!E18</f>
        <v>19.196555419398202</v>
      </c>
      <c r="K18" s="50" t="s">
        <v>22</v>
      </c>
      <c r="L18" s="139"/>
      <c r="M18" s="32">
        <v>198276657.92369238</v>
      </c>
      <c r="N18" s="32">
        <f t="shared" si="2"/>
        <v>3600624.0910149151</v>
      </c>
      <c r="O18" s="32">
        <v>1049812.092495593</v>
      </c>
      <c r="P18" s="32">
        <v>1128813.1177711261</v>
      </c>
      <c r="Q18" s="32">
        <v>1421998.8807481958</v>
      </c>
    </row>
    <row r="19" spans="1:17">
      <c r="A19" s="66">
        <v>1984</v>
      </c>
      <c r="B19" s="56">
        <v>208358.31</v>
      </c>
      <c r="C19" s="56">
        <f t="shared" si="1"/>
        <v>3785.6172163023289</v>
      </c>
      <c r="D19" s="56">
        <f t="shared" si="0"/>
        <v>1103.0283795289365</v>
      </c>
      <c r="E19" s="56">
        <v>1203.57</v>
      </c>
      <c r="F19" s="56">
        <f t="shared" si="0"/>
        <v>1479.0188367733922</v>
      </c>
      <c r="G19" s="50">
        <f>'608a'!L19/'608'!B19</f>
        <v>24.98883716733533</v>
      </c>
      <c r="H19" s="50" t="s">
        <v>22</v>
      </c>
      <c r="I19" s="50" t="s">
        <v>22</v>
      </c>
      <c r="J19" s="50">
        <f>'608a'!O19/'608'!E19</f>
        <v>20.184439584789843</v>
      </c>
      <c r="K19" s="50" t="s">
        <v>22</v>
      </c>
      <c r="L19" s="139"/>
      <c r="M19" s="32">
        <v>207955762.6852845</v>
      </c>
      <c r="N19" s="32">
        <f t="shared" si="2"/>
        <v>3784492.0769317271</v>
      </c>
      <c r="O19" s="32">
        <v>1103028.3795289365</v>
      </c>
      <c r="P19" s="32">
        <v>1202444.8606293984</v>
      </c>
      <c r="Q19" s="32">
        <v>1479018.8367733923</v>
      </c>
    </row>
    <row r="20" spans="1:17">
      <c r="A20" s="66">
        <v>1985</v>
      </c>
      <c r="B20" s="56">
        <v>212206.33</v>
      </c>
      <c r="C20" s="56">
        <f t="shared" si="1"/>
        <v>3696.0402009004993</v>
      </c>
      <c r="D20" s="56">
        <f t="shared" si="0"/>
        <v>1074.4022626474298</v>
      </c>
      <c r="E20" s="56">
        <v>1165.19</v>
      </c>
      <c r="F20" s="56">
        <f t="shared" si="0"/>
        <v>1456.4479382530694</v>
      </c>
      <c r="G20" s="50">
        <f>'608a'!L20/'608'!B20</f>
        <v>25.668029113620818</v>
      </c>
      <c r="H20" s="50" t="s">
        <v>22</v>
      </c>
      <c r="I20" s="50" t="s">
        <v>22</v>
      </c>
      <c r="J20" s="50">
        <f>'608a'!O20/'608'!E20</f>
        <v>21.836644115920766</v>
      </c>
      <c r="K20" s="50" t="s">
        <v>22</v>
      </c>
      <c r="L20" s="139"/>
      <c r="M20" s="32">
        <v>211925896.69655034</v>
      </c>
      <c r="N20" s="32">
        <f t="shared" si="2"/>
        <v>3694213.0853881994</v>
      </c>
      <c r="O20" s="32">
        <v>1074402.2626474297</v>
      </c>
      <c r="P20" s="32">
        <v>1163362.8844877</v>
      </c>
      <c r="Q20" s="32">
        <v>1456447.9382530695</v>
      </c>
    </row>
    <row r="21" spans="1:17">
      <c r="A21" s="66">
        <v>1986</v>
      </c>
      <c r="B21" s="56">
        <v>215485.09</v>
      </c>
      <c r="C21" s="56">
        <f t="shared" si="1"/>
        <v>3721.3603644824011</v>
      </c>
      <c r="D21" s="56">
        <f t="shared" si="0"/>
        <v>1074.7073461095767</v>
      </c>
      <c r="E21" s="56">
        <v>1194.96</v>
      </c>
      <c r="F21" s="56">
        <f t="shared" si="0"/>
        <v>1451.6930183728241</v>
      </c>
      <c r="G21" s="50">
        <f>'608a'!L21/'608'!B21</f>
        <v>26.059390794062242</v>
      </c>
      <c r="H21" s="50" t="s">
        <v>22</v>
      </c>
      <c r="I21" s="50" t="s">
        <v>22</v>
      </c>
      <c r="J21" s="50">
        <f>'608a'!O21/'608'!E21</f>
        <v>23.876615272685811</v>
      </c>
      <c r="K21" s="50" t="s">
        <v>22</v>
      </c>
      <c r="L21" s="139"/>
      <c r="M21" s="32">
        <v>215191488.37569034</v>
      </c>
      <c r="N21" s="32">
        <f t="shared" si="2"/>
        <v>3720224.0013392456</v>
      </c>
      <c r="O21" s="32">
        <v>1074707.3461095768</v>
      </c>
      <c r="P21" s="32">
        <v>1193823.6368568449</v>
      </c>
      <c r="Q21" s="32">
        <v>1451693.0183728242</v>
      </c>
    </row>
    <row r="22" spans="1:17">
      <c r="A22" s="66">
        <v>1987</v>
      </c>
      <c r="B22" s="56">
        <v>221510.44</v>
      </c>
      <c r="C22" s="56">
        <f t="shared" si="1"/>
        <v>3841.7728001280425</v>
      </c>
      <c r="D22" s="56">
        <f t="shared" si="0"/>
        <v>1099.5248873716846</v>
      </c>
      <c r="E22" s="56">
        <v>1264.9000000000001</v>
      </c>
      <c r="F22" s="56">
        <f t="shared" si="0"/>
        <v>1477.3479127563578</v>
      </c>
      <c r="G22" s="50">
        <f>'608a'!L22/'608'!B22</f>
        <v>26.148986441840457</v>
      </c>
      <c r="H22" s="50" t="s">
        <v>22</v>
      </c>
      <c r="I22" s="50" t="s">
        <v>22</v>
      </c>
      <c r="J22" s="50">
        <f>'608a'!O22/'608'!E22</f>
        <v>24.164041229383567</v>
      </c>
      <c r="K22" s="50" t="s">
        <v>22</v>
      </c>
      <c r="L22" s="139"/>
      <c r="M22" s="32">
        <v>221202557.90256694</v>
      </c>
      <c r="N22" s="32">
        <f t="shared" si="2"/>
        <v>3840822.96907293</v>
      </c>
      <c r="O22" s="32">
        <v>1099524.8873716847</v>
      </c>
      <c r="P22" s="32">
        <v>1263950.1689448878</v>
      </c>
      <c r="Q22" s="32">
        <v>1477347.9127563578</v>
      </c>
    </row>
    <row r="23" spans="1:17">
      <c r="A23" s="66">
        <v>1988</v>
      </c>
      <c r="B23" s="56">
        <v>227282.12</v>
      </c>
      <c r="C23" s="56">
        <f t="shared" si="1"/>
        <v>3828.5435003962366</v>
      </c>
      <c r="D23" s="56">
        <f t="shared" si="0"/>
        <v>1060.4678456916172</v>
      </c>
      <c r="E23" s="56">
        <v>1264.46</v>
      </c>
      <c r="F23" s="56">
        <f t="shared" si="0"/>
        <v>1503.6156547046194</v>
      </c>
      <c r="G23" s="50">
        <f>'608a'!L23/'608'!B23</f>
        <v>26.512335018927956</v>
      </c>
      <c r="H23" s="50" t="s">
        <v>22</v>
      </c>
      <c r="I23" s="50" t="s">
        <v>22</v>
      </c>
      <c r="J23" s="50">
        <f>'608a'!O23/'608'!E23</f>
        <v>24.649826592898293</v>
      </c>
      <c r="K23" s="50" t="s">
        <v>22</v>
      </c>
      <c r="L23" s="139"/>
      <c r="M23" s="32">
        <v>226974905.92615661</v>
      </c>
      <c r="N23" s="32">
        <f t="shared" si="2"/>
        <v>3827062.2839362212</v>
      </c>
      <c r="O23" s="32">
        <v>1060467.8456916171</v>
      </c>
      <c r="P23" s="32">
        <v>1262978.7835399851</v>
      </c>
      <c r="Q23" s="32">
        <v>1503615.6547046194</v>
      </c>
    </row>
    <row r="24" spans="1:17">
      <c r="A24" s="66">
        <v>1989</v>
      </c>
      <c r="B24" s="56">
        <v>232184.48</v>
      </c>
      <c r="C24" s="56">
        <f t="shared" si="1"/>
        <v>3890.913674113237</v>
      </c>
      <c r="D24" s="56">
        <f t="shared" si="0"/>
        <v>1125.0275083061313</v>
      </c>
      <c r="E24" s="56">
        <v>1245.27</v>
      </c>
      <c r="F24" s="56">
        <f t="shared" si="0"/>
        <v>1520.616165807106</v>
      </c>
      <c r="G24" s="50">
        <f>'608a'!L24/'608'!B24</f>
        <v>26.88914968317269</v>
      </c>
      <c r="H24" s="50" t="s">
        <v>22</v>
      </c>
      <c r="I24" s="50" t="s">
        <v>22</v>
      </c>
      <c r="J24" s="50">
        <f>'608a'!O24/'608'!E24</f>
        <v>24.977592580042725</v>
      </c>
      <c r="K24" s="50" t="s">
        <v>22</v>
      </c>
      <c r="L24" s="139"/>
      <c r="M24" s="32">
        <v>231865241.69164753</v>
      </c>
      <c r="N24" s="32">
        <f t="shared" si="2"/>
        <v>3889540.8748642947</v>
      </c>
      <c r="O24" s="32">
        <v>1125027.5083061312</v>
      </c>
      <c r="P24" s="32">
        <v>1243897.2007510576</v>
      </c>
      <c r="Q24" s="32">
        <v>1520616.1658071061</v>
      </c>
    </row>
    <row r="25" spans="1:17">
      <c r="A25" s="66">
        <v>1990</v>
      </c>
      <c r="B25" s="56">
        <v>233597.42</v>
      </c>
      <c r="C25" s="56">
        <f t="shared" si="1"/>
        <v>3853.6642317872361</v>
      </c>
      <c r="D25" s="56">
        <f t="shared" si="0"/>
        <v>1070.9300521061023</v>
      </c>
      <c r="E25" s="56">
        <v>1237.7</v>
      </c>
      <c r="F25" s="56">
        <f t="shared" si="0"/>
        <v>1545.034179681134</v>
      </c>
      <c r="G25" s="50">
        <f>'608a'!L25/'608'!B25</f>
        <v>27.175707138016787</v>
      </c>
      <c r="H25" s="50" t="s">
        <v>22</v>
      </c>
      <c r="I25" s="50" t="s">
        <v>22</v>
      </c>
      <c r="J25" s="50">
        <f>'608a'!O25/'608'!E25</f>
        <v>24.832790446182774</v>
      </c>
      <c r="K25" s="50" t="s">
        <v>22</v>
      </c>
      <c r="L25" s="139"/>
      <c r="M25" s="32">
        <v>233311227.1792061</v>
      </c>
      <c r="N25" s="32">
        <f t="shared" si="2"/>
        <v>3852985.5047271615</v>
      </c>
      <c r="O25" s="32">
        <v>1070930.0521061022</v>
      </c>
      <c r="P25" s="32">
        <v>1237021.2729399253</v>
      </c>
      <c r="Q25" s="32">
        <v>1545034.1796811339</v>
      </c>
    </row>
    <row r="26" spans="1:17">
      <c r="A26" s="66">
        <v>1991</v>
      </c>
      <c r="B26" s="56">
        <v>230377.7</v>
      </c>
      <c r="C26" s="56">
        <f t="shared" si="1"/>
        <v>3659.0264787017618</v>
      </c>
      <c r="D26" s="56">
        <f t="shared" si="0"/>
        <v>1003.0140411284711</v>
      </c>
      <c r="E26" s="56">
        <v>1133.1500000000001</v>
      </c>
      <c r="F26" s="56">
        <f t="shared" si="0"/>
        <v>1522.8624375732907</v>
      </c>
      <c r="G26" s="50">
        <f>'608a'!L26/'608'!B26</f>
        <v>27.48815771278284</v>
      </c>
      <c r="H26" s="50" t="s">
        <v>22</v>
      </c>
      <c r="I26" s="50" t="s">
        <v>22</v>
      </c>
      <c r="J26" s="50">
        <f>'608a'!O26/'608'!E26</f>
        <v>25.051296851630884</v>
      </c>
      <c r="K26" s="50" t="s">
        <v>22</v>
      </c>
      <c r="L26" s="139"/>
      <c r="M26" s="32">
        <v>230090697.60448167</v>
      </c>
      <c r="N26" s="32">
        <f t="shared" si="2"/>
        <v>3658809.7487196904</v>
      </c>
      <c r="O26" s="32">
        <v>1003014.0411284711</v>
      </c>
      <c r="P26" s="32">
        <v>1132933.2700179287</v>
      </c>
      <c r="Q26" s="32">
        <v>1522862.4375732907</v>
      </c>
    </row>
    <row r="27" spans="1:17">
      <c r="A27" s="66">
        <v>1992</v>
      </c>
      <c r="B27" s="56">
        <v>230707.5</v>
      </c>
      <c r="C27" s="56">
        <f t="shared" si="1"/>
        <v>3712.4321741064164</v>
      </c>
      <c r="D27" s="56">
        <f t="shared" si="0"/>
        <v>1021.8622355273943</v>
      </c>
      <c r="E27" s="56">
        <v>1160.1099999999999</v>
      </c>
      <c r="F27" s="56">
        <f t="shared" si="0"/>
        <v>1530.459938579022</v>
      </c>
      <c r="G27" s="50">
        <f>'608a'!L27/'608'!B27</f>
        <v>28.313846144975937</v>
      </c>
      <c r="H27" s="50" t="s">
        <v>22</v>
      </c>
      <c r="I27" s="50" t="s">
        <v>22</v>
      </c>
      <c r="J27" s="50">
        <f>'608a'!O27/'608'!E27</f>
        <v>22.249421713487902</v>
      </c>
      <c r="K27" s="50" t="s">
        <v>22</v>
      </c>
      <c r="L27" s="139"/>
      <c r="M27" s="32">
        <v>230422284.34988183</v>
      </c>
      <c r="N27" s="32">
        <f t="shared" si="2"/>
        <v>3712134.6907229405</v>
      </c>
      <c r="O27" s="32">
        <v>1021862.2355273943</v>
      </c>
      <c r="P27" s="32">
        <v>1159812.5166165244</v>
      </c>
      <c r="Q27" s="32">
        <v>1530459.938579022</v>
      </c>
    </row>
    <row r="28" spans="1:17">
      <c r="A28" s="66">
        <v>1993</v>
      </c>
      <c r="B28" s="56">
        <v>235679.54</v>
      </c>
      <c r="C28" s="56">
        <f t="shared" si="1"/>
        <v>3811.4941667816011</v>
      </c>
      <c r="D28" s="56">
        <f t="shared" si="0"/>
        <v>1063.1242415636368</v>
      </c>
      <c r="E28" s="56">
        <v>1218.45</v>
      </c>
      <c r="F28" s="56">
        <f t="shared" si="0"/>
        <v>1529.9199252179644</v>
      </c>
      <c r="G28" s="50">
        <f>'608a'!L28/'608'!B28</f>
        <v>28.318102682495741</v>
      </c>
      <c r="H28" s="50" t="s">
        <v>22</v>
      </c>
      <c r="I28" s="50" t="s">
        <v>22</v>
      </c>
      <c r="J28" s="50">
        <f>'608a'!O28/'608'!E28</f>
        <v>19.005445287148902</v>
      </c>
      <c r="K28" s="50" t="s">
        <v>22</v>
      </c>
      <c r="L28" s="139"/>
      <c r="M28" s="32">
        <v>235369884.92209166</v>
      </c>
      <c r="N28" s="32">
        <f t="shared" si="2"/>
        <v>3810608.8490253696</v>
      </c>
      <c r="O28" s="32">
        <v>1063124.2415636368</v>
      </c>
      <c r="P28" s="32">
        <v>1217564.6822437684</v>
      </c>
      <c r="Q28" s="32">
        <v>1529919.9252179645</v>
      </c>
    </row>
    <row r="29" spans="1:17">
      <c r="A29" s="66">
        <v>1994</v>
      </c>
      <c r="B29" s="56">
        <v>241294.91</v>
      </c>
      <c r="C29" s="56">
        <f t="shared" si="1"/>
        <v>3804.6488388847538</v>
      </c>
      <c r="D29" s="56">
        <f t="shared" si="0"/>
        <v>962.11042533813952</v>
      </c>
      <c r="E29" s="56">
        <v>1312.48</v>
      </c>
      <c r="F29" s="56">
        <f t="shared" si="0"/>
        <v>1530.058413546614</v>
      </c>
      <c r="G29" s="50">
        <f>'608a'!L29/'608'!B29</f>
        <v>28.707519067391772</v>
      </c>
      <c r="H29" s="50" t="s">
        <v>22</v>
      </c>
      <c r="I29" s="50" t="s">
        <v>22</v>
      </c>
      <c r="J29" s="50">
        <f>'608a'!O29/'608'!E29</f>
        <v>18.798468780237425</v>
      </c>
      <c r="K29" s="50" t="s">
        <v>22</v>
      </c>
      <c r="L29" s="139"/>
      <c r="M29" s="32">
        <v>240983707.97275993</v>
      </c>
      <c r="N29" s="32">
        <f t="shared" si="2"/>
        <v>3802834.9218197856</v>
      </c>
      <c r="O29" s="32">
        <v>962110.42533813952</v>
      </c>
      <c r="P29" s="32">
        <v>1310666.082935032</v>
      </c>
      <c r="Q29" s="32">
        <v>1530058.4135466141</v>
      </c>
    </row>
    <row r="30" spans="1:17">
      <c r="A30" s="66">
        <v>1995</v>
      </c>
      <c r="B30" s="56">
        <v>245649.25</v>
      </c>
      <c r="C30" s="56">
        <f t="shared" si="1"/>
        <v>3785.186264242996</v>
      </c>
      <c r="D30" s="56">
        <f t="shared" ref="D30:D39" si="3">O30/1000</f>
        <v>951.86947437914375</v>
      </c>
      <c r="E30" s="56">
        <v>1324.19</v>
      </c>
      <c r="F30" s="56">
        <f t="shared" ref="F30:F39" si="4">Q30/1000</f>
        <v>1509.1267898638523</v>
      </c>
      <c r="G30" s="50">
        <f>'608a'!L30/'608'!B30</f>
        <v>28.817642960440548</v>
      </c>
      <c r="H30" s="50" t="s">
        <v>22</v>
      </c>
      <c r="I30" s="50" t="s">
        <v>22</v>
      </c>
      <c r="J30" s="50">
        <f>'608a'!O30/'608'!E30</f>
        <v>20.576933823695995</v>
      </c>
      <c r="K30" s="50" t="s">
        <v>22</v>
      </c>
      <c r="L30" s="139"/>
      <c r="M30" s="32">
        <v>245307272.91590106</v>
      </c>
      <c r="N30" s="32">
        <f t="shared" si="2"/>
        <v>3782537.2073350959</v>
      </c>
      <c r="O30" s="32">
        <v>951869.47437914379</v>
      </c>
      <c r="P30" s="32">
        <v>1321540.9430920996</v>
      </c>
      <c r="Q30" s="32">
        <v>1509126.7898638523</v>
      </c>
    </row>
    <row r="31" spans="1:17">
      <c r="A31" s="66">
        <v>1996</v>
      </c>
      <c r="B31" s="56">
        <v>249927.87</v>
      </c>
      <c r="C31" s="56">
        <f t="shared" si="1"/>
        <v>3735.2937975988684</v>
      </c>
      <c r="D31" s="56">
        <f t="shared" si="3"/>
        <v>903.47357355054396</v>
      </c>
      <c r="E31" s="56">
        <v>1340.69</v>
      </c>
      <c r="F31" s="56">
        <f t="shared" si="4"/>
        <v>1491.1302240483242</v>
      </c>
      <c r="G31" s="50">
        <f>'608a'!L31/'608'!B31</f>
        <v>29.417196286864673</v>
      </c>
      <c r="H31" s="50" t="s">
        <v>22</v>
      </c>
      <c r="I31" s="50" t="s">
        <v>22</v>
      </c>
      <c r="J31" s="50">
        <f>'608a'!O31/'608'!E31</f>
        <v>19.957980476410444</v>
      </c>
      <c r="K31" s="50" t="s">
        <v>22</v>
      </c>
      <c r="L31" s="139"/>
      <c r="M31" s="32">
        <v>249552847.21786046</v>
      </c>
      <c r="N31" s="32">
        <f t="shared" si="2"/>
        <v>3732996.5995355574</v>
      </c>
      <c r="O31" s="32">
        <v>903473.57355054398</v>
      </c>
      <c r="P31" s="32">
        <v>1338392.8019366893</v>
      </c>
      <c r="Q31" s="32">
        <v>1491130.2240483242</v>
      </c>
    </row>
    <row r="32" spans="1:17">
      <c r="A32" s="66">
        <v>1997</v>
      </c>
      <c r="B32" s="56">
        <v>256308.84</v>
      </c>
      <c r="C32" s="56">
        <f t="shared" si="1"/>
        <v>3804.1062043285083</v>
      </c>
      <c r="D32" s="56">
        <f t="shared" si="3"/>
        <v>939.72198325233319</v>
      </c>
      <c r="E32" s="56">
        <v>1363.13</v>
      </c>
      <c r="F32" s="56">
        <f t="shared" si="4"/>
        <v>1501.2542210761749</v>
      </c>
      <c r="G32" s="50">
        <f>'608a'!L32/'608'!B32</f>
        <v>29.933047174339247</v>
      </c>
      <c r="H32" s="50" t="s">
        <v>22</v>
      </c>
      <c r="I32" s="50" t="s">
        <v>22</v>
      </c>
      <c r="J32" s="50">
        <f>'608a'!O32/'608'!E32</f>
        <v>19.269671660123947</v>
      </c>
      <c r="K32" s="50" t="s">
        <v>22</v>
      </c>
      <c r="L32" s="139"/>
      <c r="M32" s="32">
        <v>255923548.73381215</v>
      </c>
      <c r="N32" s="32">
        <f t="shared" si="2"/>
        <v>3802115.0571554238</v>
      </c>
      <c r="O32" s="32">
        <v>939721.98325233324</v>
      </c>
      <c r="P32" s="32">
        <v>1361138.8528269161</v>
      </c>
      <c r="Q32" s="32">
        <v>1501254.2210761749</v>
      </c>
    </row>
    <row r="33" spans="1:17">
      <c r="A33" s="66">
        <v>1998</v>
      </c>
      <c r="B33" s="56">
        <v>261810.33</v>
      </c>
      <c r="C33" s="56">
        <f t="shared" si="1"/>
        <v>3538.4602144694163</v>
      </c>
      <c r="D33" s="56">
        <f t="shared" si="3"/>
        <v>648.05988191729273</v>
      </c>
      <c r="E33" s="56">
        <v>1405.71</v>
      </c>
      <c r="F33" s="56">
        <f t="shared" si="4"/>
        <v>1484.6903325521237</v>
      </c>
      <c r="G33" s="50">
        <f>'608a'!L33/'608'!B33</f>
        <v>30.372616856047458</v>
      </c>
      <c r="H33" s="50" t="s">
        <v>22</v>
      </c>
      <c r="I33" s="50" t="s">
        <v>22</v>
      </c>
      <c r="J33" s="50">
        <f>'608a'!O33/'608'!E33</f>
        <v>19.103749544596177</v>
      </c>
      <c r="K33" s="50" t="s">
        <v>22</v>
      </c>
      <c r="L33" s="139"/>
      <c r="M33" s="32">
        <v>261416081.69125238</v>
      </c>
      <c r="N33" s="32">
        <f t="shared" si="2"/>
        <v>3538612.0951423896</v>
      </c>
      <c r="O33" s="32">
        <v>648059.88191729272</v>
      </c>
      <c r="P33" s="32">
        <v>1405861.8806729733</v>
      </c>
      <c r="Q33" s="32">
        <v>1484690.3325521236</v>
      </c>
    </row>
    <row r="34" spans="1:17">
      <c r="A34" s="66">
        <v>1999</v>
      </c>
      <c r="B34" s="56">
        <v>266622.57</v>
      </c>
      <c r="C34" s="56">
        <f t="shared" si="1"/>
        <v>3599.6497332994395</v>
      </c>
      <c r="D34" s="56">
        <f t="shared" si="3"/>
        <v>714.69773828824043</v>
      </c>
      <c r="E34" s="56">
        <v>1425.69</v>
      </c>
      <c r="F34" s="56">
        <f t="shared" si="4"/>
        <v>1459.2619950111987</v>
      </c>
      <c r="G34" s="50">
        <f>'608a'!L34/'608'!B34</f>
        <v>31.230371060299699</v>
      </c>
      <c r="H34" s="50" t="s">
        <v>22</v>
      </c>
      <c r="I34" s="50" t="s">
        <v>22</v>
      </c>
      <c r="J34" s="50">
        <f>'608a'!O34/'608'!E34</f>
        <v>19.1430331979012</v>
      </c>
      <c r="K34" s="50" t="s">
        <v>22</v>
      </c>
      <c r="L34" s="139"/>
      <c r="M34" s="32">
        <v>266227629.2299993</v>
      </c>
      <c r="N34" s="32">
        <f t="shared" si="2"/>
        <v>3599794.4962757351</v>
      </c>
      <c r="O34" s="32">
        <v>714697.73828824039</v>
      </c>
      <c r="P34" s="32">
        <v>1425834.7629762962</v>
      </c>
      <c r="Q34" s="32">
        <v>1459261.9950111986</v>
      </c>
    </row>
    <row r="35" spans="1:17">
      <c r="A35" s="66">
        <v>2000</v>
      </c>
      <c r="B35" s="56">
        <v>272168.94</v>
      </c>
      <c r="C35" s="56">
        <f t="shared" si="1"/>
        <v>3560.7144639623621</v>
      </c>
      <c r="D35" s="56">
        <f t="shared" si="3"/>
        <v>719.68157843246979</v>
      </c>
      <c r="E35" s="56">
        <v>1417.54</v>
      </c>
      <c r="F35" s="56">
        <f t="shared" si="4"/>
        <v>1423.492885529892</v>
      </c>
      <c r="G35" s="50">
        <f>'608a'!L35/'608'!B35</f>
        <v>31.892058198448105</v>
      </c>
      <c r="H35" s="50" t="s">
        <v>22</v>
      </c>
      <c r="I35" s="50" t="s">
        <v>22</v>
      </c>
      <c r="J35" s="50">
        <f>'608a'!O35/'608'!E35</f>
        <v>19.871339593884613</v>
      </c>
      <c r="K35" s="50" t="s">
        <v>22</v>
      </c>
      <c r="L35" s="139"/>
      <c r="M35" s="32">
        <v>271752444.15750837</v>
      </c>
      <c r="N35" s="32">
        <f t="shared" si="2"/>
        <v>3560847.6342865</v>
      </c>
      <c r="O35" s="32">
        <v>719681.57843246975</v>
      </c>
      <c r="P35" s="32">
        <v>1417673.1703241381</v>
      </c>
      <c r="Q35" s="32">
        <v>1423492.8855298921</v>
      </c>
    </row>
    <row r="36" spans="1:17">
      <c r="A36" s="66">
        <v>2001</v>
      </c>
      <c r="B36" s="56">
        <v>269138.17</v>
      </c>
      <c r="C36" s="56">
        <f t="shared" si="1"/>
        <v>3431.6777040687584</v>
      </c>
      <c r="D36" s="56">
        <f t="shared" si="3"/>
        <v>772.14537527383573</v>
      </c>
      <c r="E36" s="56">
        <v>1316.16</v>
      </c>
      <c r="F36" s="56">
        <f t="shared" si="4"/>
        <v>1343.3723287949222</v>
      </c>
      <c r="G36" s="50">
        <f>'608a'!L36/'608'!B36</f>
        <v>32.516332206318538</v>
      </c>
      <c r="H36" s="50" t="s">
        <v>22</v>
      </c>
      <c r="I36" s="50" t="s">
        <v>22</v>
      </c>
      <c r="J36" s="50">
        <f>'608a'!O36/'608'!E36</f>
        <v>20.988038352277993</v>
      </c>
      <c r="K36" s="50" t="s">
        <v>22</v>
      </c>
      <c r="L36" s="139"/>
      <c r="M36" s="32">
        <v>268668691.73118132</v>
      </c>
      <c r="N36" s="32">
        <f t="shared" si="2"/>
        <v>3431784.9038207047</v>
      </c>
      <c r="O36" s="32">
        <v>772145.37527383573</v>
      </c>
      <c r="P36" s="32">
        <v>1316267.1997519468</v>
      </c>
      <c r="Q36" s="32">
        <v>1343372.3287949222</v>
      </c>
    </row>
    <row r="37" spans="1:17">
      <c r="A37" s="66">
        <v>2002</v>
      </c>
      <c r="B37" s="56">
        <v>265728.07</v>
      </c>
      <c r="C37" s="56">
        <f t="shared" si="1"/>
        <v>3204.3666765335747</v>
      </c>
      <c r="D37" s="56">
        <f t="shared" si="3"/>
        <v>704.67874715672542</v>
      </c>
      <c r="E37" s="56">
        <v>1249.23</v>
      </c>
      <c r="F37" s="56">
        <f t="shared" si="4"/>
        <v>1250.4579293768493</v>
      </c>
      <c r="G37" s="50">
        <f>'608a'!L37/'608'!B37</f>
        <v>33.299973748658509</v>
      </c>
      <c r="H37" s="50" t="s">
        <v>22</v>
      </c>
      <c r="I37" s="50" t="s">
        <v>22</v>
      </c>
      <c r="J37" s="50">
        <f>'608a'!O37/'608'!E37</f>
        <v>21.756522835255669</v>
      </c>
      <c r="K37" s="50" t="s">
        <v>22</v>
      </c>
      <c r="L37" s="139"/>
      <c r="M37" s="32">
        <v>265276831.97080857</v>
      </c>
      <c r="N37" s="32">
        <f t="shared" si="2"/>
        <v>3204477.3914496703</v>
      </c>
      <c r="O37" s="32">
        <v>704678.74715672538</v>
      </c>
      <c r="P37" s="32">
        <v>1249340.7149160958</v>
      </c>
      <c r="Q37" s="32">
        <v>1250457.9293768492</v>
      </c>
    </row>
    <row r="38" spans="1:17">
      <c r="A38" s="66">
        <v>2003</v>
      </c>
      <c r="B38" s="56">
        <v>264751.65000000002</v>
      </c>
      <c r="C38" s="56">
        <f t="shared" si="1"/>
        <v>2993.317880121605</v>
      </c>
      <c r="D38" s="56">
        <f t="shared" si="3"/>
        <v>609.54292911286689</v>
      </c>
      <c r="E38" s="56">
        <v>1209.31</v>
      </c>
      <c r="F38" s="56">
        <f t="shared" si="4"/>
        <v>1174.4649510087381</v>
      </c>
      <c r="G38" s="50">
        <f>'608a'!L38/'608'!B38</f>
        <v>34.295270418686989</v>
      </c>
      <c r="H38" s="50" t="s">
        <v>22</v>
      </c>
      <c r="I38" s="50" t="s">
        <v>22</v>
      </c>
      <c r="J38" s="50">
        <f>'608a'!O38/'608'!E38</f>
        <v>22.524597854612402</v>
      </c>
      <c r="K38" s="50" t="s">
        <v>22</v>
      </c>
      <c r="L38" s="139"/>
      <c r="M38" s="32">
        <v>264291579.42585742</v>
      </c>
      <c r="N38" s="32">
        <f t="shared" si="2"/>
        <v>2993104.9185624453</v>
      </c>
      <c r="O38" s="32">
        <v>609542.92911286687</v>
      </c>
      <c r="P38" s="32">
        <v>1209097.0384408406</v>
      </c>
      <c r="Q38" s="32">
        <v>1174464.951008738</v>
      </c>
    </row>
    <row r="39" spans="1:17">
      <c r="A39" s="66">
        <v>2004</v>
      </c>
      <c r="B39" s="56">
        <v>268542.7</v>
      </c>
      <c r="C39" s="56">
        <f t="shared" si="1"/>
        <v>3107.5691515562048</v>
      </c>
      <c r="D39" s="56">
        <f t="shared" si="3"/>
        <v>699.91036195546462</v>
      </c>
      <c r="E39" s="56">
        <v>1262.98</v>
      </c>
      <c r="F39" s="56">
        <f t="shared" si="4"/>
        <v>1144.6787896007399</v>
      </c>
      <c r="G39" s="50">
        <f>'608a'!L39/'608'!B39</f>
        <v>35.194068357305071</v>
      </c>
      <c r="H39" s="50" t="s">
        <v>22</v>
      </c>
      <c r="I39" s="50" t="s">
        <v>22</v>
      </c>
      <c r="J39" s="50">
        <f>'608a'!O39/'608'!E39</f>
        <v>21.724648654280152</v>
      </c>
      <c r="K39" s="50" t="s">
        <v>22</v>
      </c>
      <c r="L39" s="139"/>
      <c r="M39" s="32">
        <v>267167014.62574732</v>
      </c>
      <c r="N39" s="32">
        <f t="shared" si="2"/>
        <v>3095203.1132056173</v>
      </c>
      <c r="O39" s="32">
        <v>699910.36195546458</v>
      </c>
      <c r="P39" s="32">
        <v>1250613.9616494125</v>
      </c>
      <c r="Q39" s="32">
        <v>1144678.78960074</v>
      </c>
    </row>
    <row r="40" spans="1:17">
      <c r="A40" s="66">
        <v>2005</v>
      </c>
      <c r="B40" s="56">
        <v>272241.84999999998</v>
      </c>
      <c r="C40" s="56">
        <f t="shared" si="1"/>
        <v>1260.49</v>
      </c>
      <c r="D40" s="56"/>
      <c r="E40" s="56">
        <v>1260.49</v>
      </c>
      <c r="F40" s="56"/>
      <c r="G40" s="50"/>
      <c r="H40" s="50" t="s">
        <v>22</v>
      </c>
      <c r="I40" s="50" t="s">
        <v>22</v>
      </c>
      <c r="J40" s="50">
        <f>'608a'!O40/'608'!E40</f>
        <v>22.747604641785763</v>
      </c>
      <c r="K40" s="50" t="s">
        <v>22</v>
      </c>
      <c r="L40" s="139"/>
      <c r="M40" s="32"/>
      <c r="N40" s="32"/>
      <c r="O40" s="32"/>
      <c r="P40" s="32"/>
      <c r="Q40" s="32"/>
    </row>
    <row r="41" spans="1:17">
      <c r="A41" s="66">
        <v>2006</v>
      </c>
      <c r="B41" s="56">
        <v>277476.90999999997</v>
      </c>
      <c r="C41" s="56">
        <f t="shared" si="1"/>
        <v>1231.52</v>
      </c>
      <c r="D41" s="56"/>
      <c r="E41" s="56">
        <v>1231.52</v>
      </c>
      <c r="F41" s="56"/>
      <c r="G41" s="50"/>
      <c r="H41" s="50" t="s">
        <v>22</v>
      </c>
      <c r="I41" s="50" t="s">
        <v>22</v>
      </c>
      <c r="J41" s="50">
        <f>'608a'!O41/'608'!E41</f>
        <v>21.813330273036613</v>
      </c>
      <c r="K41" s="50" t="s">
        <v>22</v>
      </c>
      <c r="L41" s="139"/>
      <c r="M41" s="32"/>
      <c r="N41" s="32"/>
      <c r="O41" s="32"/>
      <c r="P41" s="32"/>
      <c r="Q41" s="32"/>
    </row>
    <row r="42" spans="1:17">
      <c r="A42" s="66">
        <v>2007</v>
      </c>
      <c r="B42" s="56">
        <v>280162</v>
      </c>
      <c r="C42" s="56">
        <f t="shared" si="1"/>
        <v>1137.95</v>
      </c>
      <c r="D42" s="56"/>
      <c r="E42" s="56">
        <v>1137.95</v>
      </c>
      <c r="F42" s="56"/>
      <c r="G42" s="50"/>
      <c r="H42" s="50" t="s">
        <v>22</v>
      </c>
      <c r="I42" s="50" t="s">
        <v>22</v>
      </c>
      <c r="J42" s="50">
        <f>'608a'!O42/'608'!E42</f>
        <v>25.045796310601915</v>
      </c>
      <c r="K42" s="50" t="s">
        <v>22</v>
      </c>
      <c r="L42" s="139"/>
      <c r="M42" s="32"/>
      <c r="N42" s="32"/>
      <c r="O42" s="32"/>
      <c r="P42" s="32"/>
      <c r="Q42" s="32"/>
    </row>
    <row r="43" spans="1:17">
      <c r="A43" s="66">
        <v>2008</v>
      </c>
      <c r="B43" s="30" t="s">
        <v>22</v>
      </c>
      <c r="C43" s="30" t="s">
        <v>22</v>
      </c>
      <c r="D43" s="30" t="s">
        <v>22</v>
      </c>
      <c r="E43" s="30" t="s">
        <v>22</v>
      </c>
      <c r="F43" s="30" t="s">
        <v>22</v>
      </c>
      <c r="G43" s="30" t="s">
        <v>22</v>
      </c>
      <c r="H43" s="30" t="s">
        <v>22</v>
      </c>
      <c r="I43" s="30" t="s">
        <v>22</v>
      </c>
      <c r="J43" s="30" t="s">
        <v>22</v>
      </c>
      <c r="K43" s="30" t="s">
        <v>22</v>
      </c>
      <c r="L43" s="139"/>
      <c r="M43" s="32"/>
      <c r="N43" s="32"/>
      <c r="O43" s="32"/>
      <c r="P43" s="32"/>
      <c r="Q43" s="32"/>
    </row>
    <row r="44" spans="1:17">
      <c r="B44" s="135"/>
      <c r="C44" s="135"/>
      <c r="D44" s="135"/>
      <c r="E44" s="135"/>
      <c r="F44" s="135"/>
      <c r="G44" s="135"/>
      <c r="H44" s="135"/>
      <c r="I44" s="135"/>
      <c r="J44" s="135"/>
      <c r="K44" s="135"/>
    </row>
    <row r="45" spans="1:17">
      <c r="A45" s="66" t="s">
        <v>23</v>
      </c>
      <c r="B45" s="30"/>
      <c r="C45" s="30"/>
      <c r="D45" s="30"/>
      <c r="E45" s="30"/>
      <c r="F45" s="30"/>
      <c r="G45" s="30"/>
      <c r="H45" s="30"/>
      <c r="I45" s="30"/>
      <c r="J45" s="30"/>
      <c r="K45" s="30"/>
    </row>
    <row r="46" spans="1:17">
      <c r="A46" s="66" t="s">
        <v>1946</v>
      </c>
      <c r="B46" s="147" t="s">
        <v>22</v>
      </c>
      <c r="C46" s="147" t="s">
        <v>22</v>
      </c>
      <c r="D46" s="147" t="s">
        <v>22</v>
      </c>
      <c r="E46" s="147" t="s">
        <v>22</v>
      </c>
      <c r="F46" s="147" t="s">
        <v>22</v>
      </c>
      <c r="G46" s="147" t="s">
        <v>22</v>
      </c>
      <c r="H46" s="147" t="s">
        <v>22</v>
      </c>
      <c r="I46" s="147" t="s">
        <v>22</v>
      </c>
      <c r="J46" s="147" t="s">
        <v>22</v>
      </c>
      <c r="K46" s="147" t="s">
        <v>22</v>
      </c>
      <c r="L46" s="155"/>
      <c r="M46" s="155"/>
      <c r="N46" s="155"/>
      <c r="O46" s="155"/>
      <c r="P46" s="155"/>
    </row>
    <row r="47" spans="1:17">
      <c r="A47" s="66" t="s">
        <v>2140</v>
      </c>
      <c r="B47" s="147" t="s">
        <v>22</v>
      </c>
      <c r="C47" s="147" t="s">
        <v>22</v>
      </c>
      <c r="D47" s="147" t="s">
        <v>22</v>
      </c>
      <c r="E47" s="147" t="s">
        <v>22</v>
      </c>
      <c r="F47" s="147" t="s">
        <v>22</v>
      </c>
      <c r="G47" s="147" t="s">
        <v>22</v>
      </c>
      <c r="H47" s="147" t="s">
        <v>22</v>
      </c>
      <c r="I47" s="147" t="s">
        <v>22</v>
      </c>
      <c r="J47" s="147" t="s">
        <v>22</v>
      </c>
      <c r="K47" s="147" t="s">
        <v>22</v>
      </c>
      <c r="L47" s="155"/>
      <c r="M47" s="155"/>
      <c r="N47" s="155"/>
      <c r="O47" s="155"/>
      <c r="P47" s="155"/>
    </row>
    <row r="48" spans="1:17">
      <c r="A48" s="66" t="s">
        <v>660</v>
      </c>
      <c r="B48" s="147">
        <f t="shared" ref="B48:J48" si="5">((B35/B25)^(1/10)-1)*100</f>
        <v>1.5399749678390418</v>
      </c>
      <c r="C48" s="147">
        <f t="shared" si="5"/>
        <v>-0.7875149972302653</v>
      </c>
      <c r="D48" s="147">
        <f t="shared" si="5"/>
        <v>-3.8967824735527401</v>
      </c>
      <c r="E48" s="147">
        <f t="shared" si="5"/>
        <v>1.3659262475169243</v>
      </c>
      <c r="F48" s="147">
        <f t="shared" si="5"/>
        <v>-0.81597671892118528</v>
      </c>
      <c r="G48" s="147">
        <f t="shared" si="5"/>
        <v>1.6132096067273505</v>
      </c>
      <c r="H48" s="147" t="s">
        <v>22</v>
      </c>
      <c r="I48" s="147" t="s">
        <v>22</v>
      </c>
      <c r="J48" s="147">
        <f t="shared" si="5"/>
        <v>-2.2042093541826846</v>
      </c>
      <c r="K48" s="147" t="s">
        <v>22</v>
      </c>
      <c r="L48" s="155"/>
      <c r="M48" s="155"/>
      <c r="N48" s="155"/>
      <c r="O48" s="155"/>
      <c r="P48" s="155"/>
    </row>
    <row r="49" spans="1:16">
      <c r="A49" s="66" t="s">
        <v>588</v>
      </c>
      <c r="B49" s="147">
        <f>((B42/B35)^(1/7)-1)*100</f>
        <v>0.41435653346735268</v>
      </c>
      <c r="C49" s="147">
        <f t="shared" ref="C49:J49" si="6">((C42/C35)^(1/7)-1)*100</f>
        <v>-15.0376383144327</v>
      </c>
      <c r="D49" s="147">
        <f t="shared" si="6"/>
        <v>-100</v>
      </c>
      <c r="E49" s="147">
        <f t="shared" si="6"/>
        <v>-3.0897544604458926</v>
      </c>
      <c r="F49" s="147">
        <f t="shared" si="6"/>
        <v>-100</v>
      </c>
      <c r="G49" s="147">
        <f t="shared" si="6"/>
        <v>-100</v>
      </c>
      <c r="H49" s="147" t="s">
        <v>22</v>
      </c>
      <c r="I49" s="147" t="s">
        <v>22</v>
      </c>
      <c r="J49" s="147">
        <f t="shared" si="6"/>
        <v>3.3613665902371359</v>
      </c>
      <c r="K49" s="147" t="s">
        <v>22</v>
      </c>
      <c r="L49" s="155"/>
      <c r="M49" s="155"/>
      <c r="N49" s="155"/>
      <c r="O49" s="155"/>
      <c r="P49" s="155"/>
    </row>
    <row r="50" spans="1:16">
      <c r="B50" s="135"/>
      <c r="C50" s="135"/>
      <c r="D50" s="135"/>
      <c r="E50" s="135"/>
      <c r="F50" s="135"/>
      <c r="G50" s="135"/>
      <c r="H50" s="135"/>
      <c r="I50" s="135"/>
      <c r="J50" s="135"/>
      <c r="K50" s="135"/>
    </row>
    <row r="52" spans="1:16" ht="30.75" customHeight="1">
      <c r="A52" s="104" t="s">
        <v>2039</v>
      </c>
      <c r="B52" s="104"/>
      <c r="C52" s="104"/>
      <c r="D52" s="104"/>
      <c r="E52" s="104"/>
      <c r="F52" s="104"/>
      <c r="G52" s="104"/>
      <c r="H52" s="104"/>
      <c r="I52" s="104"/>
      <c r="J52" s="104"/>
      <c r="K52" s="104"/>
    </row>
  </sheetData>
  <mergeCells count="11">
    <mergeCell ref="A52:K52"/>
    <mergeCell ref="A1:K1"/>
    <mergeCell ref="N3:Q3"/>
    <mergeCell ref="A3:A4"/>
    <mergeCell ref="G3:G4"/>
    <mergeCell ref="H3:K3"/>
    <mergeCell ref="B2:F2"/>
    <mergeCell ref="G2:K2"/>
    <mergeCell ref="C3:F3"/>
    <mergeCell ref="B3:B4"/>
    <mergeCell ref="M3:M4"/>
  </mergeCells>
  <pageMargins left="0.7" right="0.7" top="0.75" bottom="0.75" header="0.3" footer="0.3"/>
  <pageSetup scale="59" orientation="landscape" horizontalDpi="0" verticalDpi="0" r:id="rId1"/>
</worksheet>
</file>

<file path=xl/worksheets/sheet158.xml><?xml version="1.0" encoding="utf-8"?>
<worksheet xmlns="http://schemas.openxmlformats.org/spreadsheetml/2006/main" xmlns:r="http://schemas.openxmlformats.org/officeDocument/2006/relationships">
  <sheetPr codeName="Sheet152"/>
  <dimension ref="A1:S53"/>
  <sheetViews>
    <sheetView view="pageBreakPreview" zoomScale="60" zoomScaleNormal="85" workbookViewId="0">
      <pane xSplit="1" ySplit="4" topLeftCell="B11"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13.42578125" style="64" customWidth="1"/>
    <col min="2" max="2" width="12.42578125" style="64" customWidth="1"/>
    <col min="3" max="11" width="10.7109375" style="64" customWidth="1"/>
    <col min="12" max="12" width="12.5703125" style="64" customWidth="1"/>
    <col min="13" max="16" width="10.7109375" style="64" customWidth="1"/>
    <col min="17" max="16384" width="9.140625" style="64"/>
  </cols>
  <sheetData>
    <row r="1" spans="1:17">
      <c r="A1" s="108" t="s">
        <v>1944</v>
      </c>
      <c r="B1" s="108"/>
      <c r="C1" s="108"/>
      <c r="D1" s="108"/>
      <c r="E1" s="108"/>
      <c r="F1" s="108"/>
      <c r="G1" s="108"/>
      <c r="H1" s="108"/>
      <c r="I1" s="108"/>
      <c r="J1" s="108"/>
      <c r="K1" s="108"/>
      <c r="L1" s="108"/>
      <c r="M1" s="108"/>
      <c r="N1" s="108"/>
      <c r="O1" s="108"/>
      <c r="P1" s="108"/>
    </row>
    <row r="2" spans="1:17">
      <c r="A2" s="66"/>
      <c r="B2" s="107" t="s">
        <v>526</v>
      </c>
      <c r="C2" s="107"/>
      <c r="D2" s="107"/>
      <c r="E2" s="107"/>
      <c r="F2" s="107"/>
      <c r="G2" s="107" t="s">
        <v>530</v>
      </c>
      <c r="H2" s="107"/>
      <c r="I2" s="107"/>
      <c r="J2" s="107"/>
      <c r="K2" s="107"/>
      <c r="L2" s="107" t="s">
        <v>541</v>
      </c>
      <c r="M2" s="107"/>
      <c r="N2" s="107"/>
      <c r="O2" s="107"/>
      <c r="P2" s="107"/>
    </row>
    <row r="3" spans="1:17" ht="15" customHeight="1">
      <c r="A3" s="149"/>
      <c r="B3" s="97" t="s">
        <v>523</v>
      </c>
      <c r="C3" s="97" t="s">
        <v>37</v>
      </c>
      <c r="D3" s="97"/>
      <c r="E3" s="97"/>
      <c r="F3" s="97"/>
      <c r="G3" s="97" t="s">
        <v>523</v>
      </c>
      <c r="H3" s="97" t="s">
        <v>37</v>
      </c>
      <c r="I3" s="97"/>
      <c r="J3" s="97"/>
      <c r="K3" s="97"/>
      <c r="L3" s="97" t="s">
        <v>523</v>
      </c>
      <c r="M3" s="97" t="s">
        <v>37</v>
      </c>
      <c r="N3" s="97"/>
      <c r="O3" s="97"/>
      <c r="P3" s="97"/>
    </row>
    <row r="4" spans="1:17" ht="60">
      <c r="A4" s="149"/>
      <c r="B4" s="97"/>
      <c r="C4" s="73" t="s">
        <v>78</v>
      </c>
      <c r="D4" s="73" t="s">
        <v>522</v>
      </c>
      <c r="E4" s="73" t="s">
        <v>524</v>
      </c>
      <c r="F4" s="73" t="s">
        <v>525</v>
      </c>
      <c r="G4" s="97"/>
      <c r="H4" s="73" t="s">
        <v>78</v>
      </c>
      <c r="I4" s="73" t="s">
        <v>522</v>
      </c>
      <c r="J4" s="73" t="s">
        <v>524</v>
      </c>
      <c r="K4" s="73" t="s">
        <v>525</v>
      </c>
      <c r="L4" s="97"/>
      <c r="M4" s="73" t="s">
        <v>78</v>
      </c>
      <c r="N4" s="73" t="s">
        <v>522</v>
      </c>
      <c r="O4" s="73" t="s">
        <v>524</v>
      </c>
      <c r="P4" s="73" t="s">
        <v>525</v>
      </c>
    </row>
    <row r="5" spans="1:17">
      <c r="A5" s="66">
        <v>1970</v>
      </c>
      <c r="B5" s="62" t="s">
        <v>2083</v>
      </c>
      <c r="C5" s="62"/>
      <c r="D5" s="62"/>
      <c r="E5" s="62"/>
      <c r="F5" s="62"/>
      <c r="G5" s="62"/>
      <c r="H5" s="31" t="s">
        <v>22</v>
      </c>
      <c r="I5" s="62" t="s">
        <v>22</v>
      </c>
      <c r="J5" s="62"/>
      <c r="K5" s="62" t="s">
        <v>22</v>
      </c>
      <c r="L5" s="62"/>
      <c r="M5" s="62"/>
      <c r="N5" s="62"/>
      <c r="O5" s="62"/>
      <c r="P5" s="62"/>
    </row>
    <row r="6" spans="1:17">
      <c r="A6" s="66">
        <v>1971</v>
      </c>
      <c r="B6" s="62"/>
      <c r="C6" s="62"/>
      <c r="D6" s="62"/>
      <c r="E6" s="62"/>
      <c r="F6" s="62"/>
      <c r="G6" s="62"/>
      <c r="H6" s="31" t="s">
        <v>22</v>
      </c>
      <c r="I6" s="62" t="s">
        <v>22</v>
      </c>
      <c r="J6" s="62"/>
      <c r="K6" s="62" t="s">
        <v>22</v>
      </c>
      <c r="L6" s="62"/>
      <c r="M6" s="62"/>
      <c r="N6" s="62"/>
      <c r="O6" s="62"/>
      <c r="P6" s="62"/>
    </row>
    <row r="7" spans="1:17">
      <c r="A7" s="66">
        <v>1972</v>
      </c>
      <c r="B7" s="62"/>
      <c r="C7" s="62"/>
      <c r="D7" s="62"/>
      <c r="E7" s="62"/>
      <c r="F7" s="62"/>
      <c r="G7" s="62"/>
      <c r="H7" s="31" t="s">
        <v>22</v>
      </c>
      <c r="I7" s="62" t="s">
        <v>22</v>
      </c>
      <c r="J7" s="62"/>
      <c r="K7" s="62" t="s">
        <v>22</v>
      </c>
      <c r="L7" s="62"/>
      <c r="M7" s="62"/>
      <c r="N7" s="62"/>
      <c r="O7" s="62"/>
      <c r="P7" s="62"/>
    </row>
    <row r="8" spans="1:17">
      <c r="A8" s="66">
        <v>1973</v>
      </c>
      <c r="B8" s="62"/>
      <c r="C8" s="62"/>
      <c r="D8" s="62"/>
      <c r="E8" s="62"/>
      <c r="F8" s="62"/>
      <c r="G8" s="62"/>
      <c r="H8" s="31" t="s">
        <v>22</v>
      </c>
      <c r="I8" s="62" t="s">
        <v>22</v>
      </c>
      <c r="J8" s="62"/>
      <c r="K8" s="62" t="s">
        <v>22</v>
      </c>
      <c r="L8" s="62"/>
      <c r="M8" s="62"/>
      <c r="N8" s="62"/>
      <c r="O8" s="62"/>
      <c r="P8" s="62"/>
    </row>
    <row r="9" spans="1:17">
      <c r="A9" s="66">
        <v>1974</v>
      </c>
      <c r="B9" s="62"/>
      <c r="C9" s="62"/>
      <c r="D9" s="62"/>
      <c r="E9" s="62"/>
      <c r="F9" s="62"/>
      <c r="G9" s="62"/>
      <c r="H9" s="31" t="s">
        <v>22</v>
      </c>
      <c r="I9" s="62" t="s">
        <v>22</v>
      </c>
      <c r="J9" s="62"/>
      <c r="K9" s="62" t="s">
        <v>22</v>
      </c>
      <c r="L9" s="62"/>
      <c r="M9" s="62"/>
      <c r="N9" s="62"/>
      <c r="O9" s="62"/>
      <c r="P9" s="62"/>
    </row>
    <row r="10" spans="1:17">
      <c r="A10" s="66">
        <v>1975</v>
      </c>
      <c r="B10" s="62"/>
      <c r="C10" s="62"/>
      <c r="D10" s="62"/>
      <c r="E10" s="62"/>
      <c r="F10" s="62"/>
      <c r="G10" s="62"/>
      <c r="H10" s="31" t="s">
        <v>22</v>
      </c>
      <c r="I10" s="62" t="s">
        <v>22</v>
      </c>
      <c r="J10" s="62"/>
      <c r="K10" s="62" t="s">
        <v>22</v>
      </c>
      <c r="L10" s="62"/>
      <c r="M10" s="62"/>
      <c r="N10" s="62"/>
      <c r="O10" s="62"/>
      <c r="P10" s="62"/>
    </row>
    <row r="11" spans="1:17">
      <c r="A11" s="66">
        <v>1976</v>
      </c>
      <c r="B11" s="62"/>
      <c r="C11" s="62"/>
      <c r="D11" s="62"/>
      <c r="E11" s="62"/>
      <c r="F11" s="62"/>
      <c r="G11" s="62"/>
      <c r="H11" s="31" t="s">
        <v>22</v>
      </c>
      <c r="I11" s="62" t="s">
        <v>22</v>
      </c>
      <c r="J11" s="62"/>
      <c r="K11" s="62" t="s">
        <v>22</v>
      </c>
      <c r="L11" s="62"/>
      <c r="M11" s="62"/>
      <c r="N11" s="62"/>
      <c r="O11" s="62"/>
      <c r="P11" s="62"/>
    </row>
    <row r="12" spans="1:17">
      <c r="A12" s="66">
        <v>1977</v>
      </c>
      <c r="B12" s="150">
        <v>1943998.67</v>
      </c>
      <c r="C12" s="150"/>
      <c r="D12" s="150"/>
      <c r="E12" s="150">
        <v>10949.07</v>
      </c>
      <c r="F12" s="150"/>
      <c r="G12" s="151">
        <v>45</v>
      </c>
      <c r="H12" s="31" t="s">
        <v>22</v>
      </c>
      <c r="I12" s="151" t="s">
        <v>22</v>
      </c>
      <c r="J12" s="151">
        <v>48.78</v>
      </c>
      <c r="K12" s="62" t="s">
        <v>22</v>
      </c>
      <c r="L12" s="62"/>
      <c r="M12" s="62"/>
      <c r="N12" s="62"/>
      <c r="O12" s="62"/>
      <c r="P12" s="62"/>
    </row>
    <row r="13" spans="1:17">
      <c r="A13" s="66">
        <v>1978</v>
      </c>
      <c r="B13" s="150">
        <v>2198153.2999999998</v>
      </c>
      <c r="C13" s="150"/>
      <c r="D13" s="150"/>
      <c r="E13" s="150">
        <v>13406.35</v>
      </c>
      <c r="F13" s="150"/>
      <c r="G13" s="151">
        <v>48.07</v>
      </c>
      <c r="H13" s="31" t="s">
        <v>22</v>
      </c>
      <c r="I13" s="151" t="s">
        <v>22</v>
      </c>
      <c r="J13" s="151">
        <v>58.58</v>
      </c>
      <c r="K13" s="62" t="s">
        <v>22</v>
      </c>
      <c r="L13" s="62"/>
      <c r="M13" s="62"/>
      <c r="N13" s="62"/>
      <c r="O13" s="62"/>
      <c r="P13" s="62"/>
    </row>
    <row r="14" spans="1:17">
      <c r="A14" s="66">
        <v>1979</v>
      </c>
      <c r="B14" s="30">
        <v>2460046.9</v>
      </c>
      <c r="C14" s="30">
        <f>SUM(D14:F14)</f>
        <v>14710.95</v>
      </c>
      <c r="D14" s="30"/>
      <c r="E14" s="30">
        <v>14710.95</v>
      </c>
      <c r="F14" s="30"/>
      <c r="G14" s="31">
        <v>52.12</v>
      </c>
      <c r="H14" s="31" t="s">
        <v>22</v>
      </c>
      <c r="I14" s="31" t="s">
        <v>22</v>
      </c>
      <c r="J14" s="31">
        <v>64.56</v>
      </c>
      <c r="K14" s="62" t="s">
        <v>22</v>
      </c>
      <c r="L14" s="30">
        <f>B14*100/G14</f>
        <v>4719967.1910974672</v>
      </c>
      <c r="M14" s="30" t="s">
        <v>22</v>
      </c>
      <c r="N14" s="30" t="s">
        <v>22</v>
      </c>
      <c r="O14" s="30">
        <f>E14*100/J14</f>
        <v>22786.477695167287</v>
      </c>
      <c r="P14" s="30" t="s">
        <v>22</v>
      </c>
      <c r="Q14" s="152"/>
    </row>
    <row r="15" spans="1:17">
      <c r="A15" s="66">
        <v>1980</v>
      </c>
      <c r="B15" s="30">
        <v>2672634.87</v>
      </c>
      <c r="C15" s="30">
        <f t="shared" ref="C15:C39" si="0">SUM(D15:F15)</f>
        <v>12231.16</v>
      </c>
      <c r="D15" s="30"/>
      <c r="E15" s="30">
        <v>12231.16</v>
      </c>
      <c r="F15" s="30"/>
      <c r="G15" s="31">
        <v>57.16</v>
      </c>
      <c r="H15" s="31" t="s">
        <v>22</v>
      </c>
      <c r="I15" s="31" t="s">
        <v>22</v>
      </c>
      <c r="J15" s="31">
        <v>60.56</v>
      </c>
      <c r="K15" s="62" t="s">
        <v>22</v>
      </c>
      <c r="L15" s="30">
        <f t="shared" ref="L15:L42" si="1">B15*100/G15</f>
        <v>4675708.3100069985</v>
      </c>
      <c r="M15" s="30" t="s">
        <v>22</v>
      </c>
      <c r="N15" s="30" t="s">
        <v>22</v>
      </c>
      <c r="O15" s="30">
        <f t="shared" ref="O15:O42" si="2">E15*100/J15</f>
        <v>20196.76354029062</v>
      </c>
      <c r="P15" s="30" t="s">
        <v>22</v>
      </c>
      <c r="Q15" s="152"/>
    </row>
    <row r="16" spans="1:17">
      <c r="A16" s="66">
        <v>1981</v>
      </c>
      <c r="B16" s="30">
        <v>2987394.35</v>
      </c>
      <c r="C16" s="30">
        <f t="shared" si="0"/>
        <v>11290.08</v>
      </c>
      <c r="D16" s="30"/>
      <c r="E16" s="30">
        <v>11290.08</v>
      </c>
      <c r="F16" s="30"/>
      <c r="G16" s="31">
        <v>62.64</v>
      </c>
      <c r="H16" s="31" t="s">
        <v>22</v>
      </c>
      <c r="I16" s="31" t="s">
        <v>22</v>
      </c>
      <c r="J16" s="31">
        <v>60.2</v>
      </c>
      <c r="K16" s="62" t="s">
        <v>22</v>
      </c>
      <c r="L16" s="30">
        <f t="shared" si="1"/>
        <v>4769148.0683269473</v>
      </c>
      <c r="M16" s="30" t="s">
        <v>22</v>
      </c>
      <c r="N16" s="30" t="s">
        <v>22</v>
      </c>
      <c r="O16" s="30">
        <f t="shared" si="2"/>
        <v>18754.285714285714</v>
      </c>
      <c r="P16" s="30" t="s">
        <v>22</v>
      </c>
      <c r="Q16" s="152"/>
    </row>
    <row r="17" spans="1:19">
      <c r="A17" s="66">
        <v>1982</v>
      </c>
      <c r="B17" s="30">
        <v>3117452.63</v>
      </c>
      <c r="C17" s="30">
        <f t="shared" si="0"/>
        <v>10073.31</v>
      </c>
      <c r="D17" s="30"/>
      <c r="E17" s="30">
        <v>10073.31</v>
      </c>
      <c r="F17" s="30"/>
      <c r="G17" s="31">
        <v>67</v>
      </c>
      <c r="H17" s="31" t="s">
        <v>22</v>
      </c>
      <c r="I17" s="31" t="s">
        <v>22</v>
      </c>
      <c r="J17" s="31">
        <v>58.22</v>
      </c>
      <c r="K17" s="62" t="s">
        <v>22</v>
      </c>
      <c r="L17" s="30">
        <f t="shared" si="1"/>
        <v>4652914.3731343281</v>
      </c>
      <c r="M17" s="30" t="s">
        <v>22</v>
      </c>
      <c r="N17" s="30" t="s">
        <v>22</v>
      </c>
      <c r="O17" s="30">
        <f t="shared" si="2"/>
        <v>17302.14702851254</v>
      </c>
      <c r="P17" s="30" t="s">
        <v>22</v>
      </c>
      <c r="Q17" s="152"/>
    </row>
    <row r="18" spans="1:19">
      <c r="A18" s="66">
        <v>1983</v>
      </c>
      <c r="B18" s="30">
        <v>3384224.7</v>
      </c>
      <c r="C18" s="30">
        <f t="shared" si="0"/>
        <v>13880.27</v>
      </c>
      <c r="D18" s="30"/>
      <c r="E18" s="30">
        <v>13880.27</v>
      </c>
      <c r="F18" s="30"/>
      <c r="G18" s="31">
        <v>69.319999999999993</v>
      </c>
      <c r="H18" s="31" t="s">
        <v>22</v>
      </c>
      <c r="I18" s="31" t="s">
        <v>22</v>
      </c>
      <c r="J18" s="31">
        <v>63.9</v>
      </c>
      <c r="K18" s="62" t="s">
        <v>22</v>
      </c>
      <c r="L18" s="30">
        <f t="shared" si="1"/>
        <v>4882032.1696480094</v>
      </c>
      <c r="M18" s="30" t="s">
        <v>22</v>
      </c>
      <c r="N18" s="30" t="s">
        <v>22</v>
      </c>
      <c r="O18" s="30">
        <f t="shared" si="2"/>
        <v>21721.862284820032</v>
      </c>
      <c r="P18" s="30" t="s">
        <v>22</v>
      </c>
      <c r="Q18" s="152"/>
    </row>
    <row r="19" spans="1:19">
      <c r="A19" s="66">
        <v>1984</v>
      </c>
      <c r="B19" s="30">
        <v>3764394.85</v>
      </c>
      <c r="C19" s="30">
        <f t="shared" si="0"/>
        <v>15389.86</v>
      </c>
      <c r="D19" s="30"/>
      <c r="E19" s="30">
        <v>15389.86</v>
      </c>
      <c r="F19" s="30"/>
      <c r="G19" s="31">
        <v>72.3</v>
      </c>
      <c r="H19" s="31" t="s">
        <v>22</v>
      </c>
      <c r="I19" s="31" t="s">
        <v>22</v>
      </c>
      <c r="J19" s="31">
        <v>63.35</v>
      </c>
      <c r="K19" s="62" t="s">
        <v>22</v>
      </c>
      <c r="L19" s="30">
        <f t="shared" si="1"/>
        <v>5206631.8810511762</v>
      </c>
      <c r="M19" s="30" t="s">
        <v>22</v>
      </c>
      <c r="N19" s="30" t="s">
        <v>22</v>
      </c>
      <c r="O19" s="30">
        <f t="shared" si="2"/>
        <v>24293.385951065509</v>
      </c>
      <c r="P19" s="30" t="s">
        <v>22</v>
      </c>
      <c r="Q19" s="152"/>
    </row>
    <row r="20" spans="1:19">
      <c r="A20" s="66">
        <v>1985</v>
      </c>
      <c r="B20" s="30">
        <v>4042702.73</v>
      </c>
      <c r="C20" s="30">
        <f t="shared" si="0"/>
        <v>15838.79</v>
      </c>
      <c r="D20" s="30"/>
      <c r="E20" s="30">
        <v>15838.79</v>
      </c>
      <c r="F20" s="30"/>
      <c r="G20" s="31">
        <v>74.22</v>
      </c>
      <c r="H20" s="31" t="s">
        <v>22</v>
      </c>
      <c r="I20" s="31" t="s">
        <v>22</v>
      </c>
      <c r="J20" s="31">
        <v>62.25</v>
      </c>
      <c r="K20" s="62" t="s">
        <v>22</v>
      </c>
      <c r="L20" s="30">
        <f t="shared" si="1"/>
        <v>5446918.2565346267</v>
      </c>
      <c r="M20" s="30" t="s">
        <v>22</v>
      </c>
      <c r="N20" s="30" t="s">
        <v>22</v>
      </c>
      <c r="O20" s="30">
        <f t="shared" si="2"/>
        <v>25443.839357429719</v>
      </c>
      <c r="P20" s="30" t="s">
        <v>22</v>
      </c>
      <c r="Q20" s="152"/>
    </row>
    <row r="21" spans="1:19">
      <c r="A21" s="66">
        <v>1986</v>
      </c>
      <c r="B21" s="30">
        <v>4278942.55</v>
      </c>
      <c r="C21" s="30">
        <f t="shared" si="0"/>
        <v>18382.91</v>
      </c>
      <c r="D21" s="30"/>
      <c r="E21" s="30">
        <v>18382.91</v>
      </c>
      <c r="F21" s="30"/>
      <c r="G21" s="31">
        <v>76.2</v>
      </c>
      <c r="H21" s="31" t="s">
        <v>22</v>
      </c>
      <c r="I21" s="31" t="s">
        <v>22</v>
      </c>
      <c r="J21" s="31">
        <v>64.430000000000007</v>
      </c>
      <c r="K21" s="62" t="s">
        <v>22</v>
      </c>
      <c r="L21" s="30">
        <f t="shared" si="1"/>
        <v>5615410.1706036739</v>
      </c>
      <c r="M21" s="30" t="s">
        <v>22</v>
      </c>
      <c r="N21" s="30" t="s">
        <v>22</v>
      </c>
      <c r="O21" s="30">
        <f t="shared" si="2"/>
        <v>28531.600186248637</v>
      </c>
      <c r="P21" s="30" t="s">
        <v>22</v>
      </c>
      <c r="Q21" s="152"/>
    </row>
    <row r="22" spans="1:19">
      <c r="A22" s="66">
        <v>1987</v>
      </c>
      <c r="B22" s="30">
        <v>4542880.0999999996</v>
      </c>
      <c r="C22" s="30">
        <f t="shared" si="0"/>
        <v>20429.71</v>
      </c>
      <c r="D22" s="30"/>
      <c r="E22" s="30">
        <v>20429.71</v>
      </c>
      <c r="F22" s="30"/>
      <c r="G22" s="31">
        <v>78.430000000000007</v>
      </c>
      <c r="H22" s="31" t="s">
        <v>22</v>
      </c>
      <c r="I22" s="31" t="s">
        <v>22</v>
      </c>
      <c r="J22" s="31">
        <v>66.84</v>
      </c>
      <c r="K22" s="62" t="s">
        <v>22</v>
      </c>
      <c r="L22" s="30">
        <f t="shared" si="1"/>
        <v>5792273.492286114</v>
      </c>
      <c r="M22" s="30" t="s">
        <v>22</v>
      </c>
      <c r="N22" s="30" t="s">
        <v>22</v>
      </c>
      <c r="O22" s="30">
        <f t="shared" si="2"/>
        <v>30565.095751047276</v>
      </c>
      <c r="P22" s="30" t="s">
        <v>22</v>
      </c>
      <c r="Q22" s="152"/>
    </row>
    <row r="23" spans="1:19">
      <c r="A23" s="66">
        <v>1988</v>
      </c>
      <c r="B23" s="30">
        <v>4891125.3899999997</v>
      </c>
      <c r="C23" s="30">
        <f t="shared" si="0"/>
        <v>20596.29</v>
      </c>
      <c r="D23" s="30"/>
      <c r="E23" s="30">
        <v>20596.29</v>
      </c>
      <c r="F23" s="30"/>
      <c r="G23" s="31">
        <v>81.17</v>
      </c>
      <c r="H23" s="31" t="s">
        <v>22</v>
      </c>
      <c r="I23" s="31" t="s">
        <v>22</v>
      </c>
      <c r="J23" s="31">
        <v>66.08</v>
      </c>
      <c r="K23" s="62" t="s">
        <v>22</v>
      </c>
      <c r="L23" s="30">
        <f t="shared" si="1"/>
        <v>6025779.7092521861</v>
      </c>
      <c r="M23" s="30" t="s">
        <v>22</v>
      </c>
      <c r="N23" s="30" t="s">
        <v>22</v>
      </c>
      <c r="O23" s="30">
        <f t="shared" si="2"/>
        <v>31168.719733656177</v>
      </c>
      <c r="P23" s="30" t="s">
        <v>22</v>
      </c>
      <c r="Q23" s="152"/>
    </row>
    <row r="24" spans="1:19">
      <c r="A24" s="66">
        <v>1989</v>
      </c>
      <c r="B24" s="30">
        <v>5261805.4000000004</v>
      </c>
      <c r="C24" s="30">
        <f t="shared" si="0"/>
        <v>21427.439999999999</v>
      </c>
      <c r="D24" s="30"/>
      <c r="E24" s="30">
        <v>21427.439999999999</v>
      </c>
      <c r="F24" s="30"/>
      <c r="G24" s="31">
        <v>84.28</v>
      </c>
      <c r="H24" s="31" t="s">
        <v>22</v>
      </c>
      <c r="I24" s="31" t="s">
        <v>22</v>
      </c>
      <c r="J24" s="31">
        <v>68.89</v>
      </c>
      <c r="K24" s="62" t="s">
        <v>22</v>
      </c>
      <c r="L24" s="30">
        <f t="shared" si="1"/>
        <v>6243243.2368296161</v>
      </c>
      <c r="M24" s="30" t="s">
        <v>22</v>
      </c>
      <c r="N24" s="30" t="s">
        <v>22</v>
      </c>
      <c r="O24" s="30">
        <f t="shared" si="2"/>
        <v>31103.846712149803</v>
      </c>
      <c r="P24" s="30" t="s">
        <v>22</v>
      </c>
      <c r="Q24" s="152"/>
    </row>
    <row r="25" spans="1:19">
      <c r="A25" s="66">
        <v>1990</v>
      </c>
      <c r="B25" s="30">
        <v>5567349.54</v>
      </c>
      <c r="C25" s="30">
        <f t="shared" si="0"/>
        <v>20199.400000000001</v>
      </c>
      <c r="D25" s="30"/>
      <c r="E25" s="30">
        <v>20199.400000000001</v>
      </c>
      <c r="F25" s="30"/>
      <c r="G25" s="31">
        <v>87.7</v>
      </c>
      <c r="H25" s="31" t="s">
        <v>22</v>
      </c>
      <c r="I25" s="31" t="s">
        <v>22</v>
      </c>
      <c r="J25" s="31">
        <v>65.72</v>
      </c>
      <c r="K25" s="62" t="s">
        <v>22</v>
      </c>
      <c r="L25" s="30">
        <f t="shared" si="1"/>
        <v>6348175.0741163054</v>
      </c>
      <c r="M25" s="30" t="s">
        <v>22</v>
      </c>
      <c r="N25" s="30" t="s">
        <v>22</v>
      </c>
      <c r="O25" s="30">
        <f t="shared" si="2"/>
        <v>30735.544735240419</v>
      </c>
      <c r="P25" s="30" t="s">
        <v>22</v>
      </c>
      <c r="Q25" s="152"/>
    </row>
    <row r="26" spans="1:19">
      <c r="A26" s="66">
        <v>1991</v>
      </c>
      <c r="B26" s="30">
        <v>5743088.04</v>
      </c>
      <c r="C26" s="30">
        <f t="shared" si="0"/>
        <v>19251.98</v>
      </c>
      <c r="D26" s="30"/>
      <c r="E26" s="30">
        <v>19251.98</v>
      </c>
      <c r="F26" s="30"/>
      <c r="G26" s="31">
        <v>90.69</v>
      </c>
      <c r="H26" s="31" t="s">
        <v>22</v>
      </c>
      <c r="I26" s="31" t="s">
        <v>22</v>
      </c>
      <c r="J26" s="31">
        <v>67.819999999999993</v>
      </c>
      <c r="K26" s="62" t="s">
        <v>22</v>
      </c>
      <c r="L26" s="30">
        <f t="shared" si="1"/>
        <v>6332658.5511081712</v>
      </c>
      <c r="M26" s="30" t="s">
        <v>22</v>
      </c>
      <c r="N26" s="30" t="s">
        <v>22</v>
      </c>
      <c r="O26" s="30">
        <f t="shared" si="2"/>
        <v>28386.87702742554</v>
      </c>
      <c r="P26" s="30" t="s">
        <v>22</v>
      </c>
      <c r="Q26" s="152"/>
    </row>
    <row r="27" spans="1:19">
      <c r="A27" s="66">
        <v>1992</v>
      </c>
      <c r="B27" s="30">
        <v>6069735.7199999997</v>
      </c>
      <c r="C27" s="30">
        <f t="shared" si="0"/>
        <v>20383.560000000001</v>
      </c>
      <c r="D27" s="30"/>
      <c r="E27" s="30">
        <v>20383.560000000001</v>
      </c>
      <c r="F27" s="30"/>
      <c r="G27" s="31">
        <v>92.92</v>
      </c>
      <c r="H27" s="31" t="s">
        <v>22</v>
      </c>
      <c r="I27" s="31" t="s">
        <v>22</v>
      </c>
      <c r="J27" s="31">
        <v>78.97</v>
      </c>
      <c r="K27" s="62" t="s">
        <v>22</v>
      </c>
      <c r="L27" s="30">
        <f t="shared" si="1"/>
        <v>6532216.6594920363</v>
      </c>
      <c r="M27" s="30" t="s">
        <v>22</v>
      </c>
      <c r="N27" s="30" t="s">
        <v>22</v>
      </c>
      <c r="O27" s="30">
        <f t="shared" si="2"/>
        <v>25811.776624034446</v>
      </c>
      <c r="P27" s="30" t="s">
        <v>22</v>
      </c>
      <c r="Q27" s="152"/>
    </row>
    <row r="28" spans="1:19">
      <c r="A28" s="66">
        <v>1993</v>
      </c>
      <c r="B28" s="30">
        <v>6374334.9299999997</v>
      </c>
      <c r="C28" s="30">
        <f t="shared" si="0"/>
        <v>22867.72</v>
      </c>
      <c r="D28" s="30"/>
      <c r="E28" s="30">
        <v>22867.72</v>
      </c>
      <c r="F28" s="30"/>
      <c r="G28" s="31">
        <v>95.51</v>
      </c>
      <c r="H28" s="31" t="s">
        <v>22</v>
      </c>
      <c r="I28" s="31" t="s">
        <v>22</v>
      </c>
      <c r="J28" s="31">
        <v>98.75</v>
      </c>
      <c r="K28" s="62" t="s">
        <v>22</v>
      </c>
      <c r="L28" s="30">
        <f t="shared" si="1"/>
        <v>6673997.4138833629</v>
      </c>
      <c r="M28" s="30" t="s">
        <v>22</v>
      </c>
      <c r="N28" s="30" t="s">
        <v>22</v>
      </c>
      <c r="O28" s="30">
        <f t="shared" si="2"/>
        <v>23157.184810126582</v>
      </c>
      <c r="P28" s="30" t="s">
        <v>22</v>
      </c>
      <c r="Q28" s="152"/>
    </row>
    <row r="29" spans="1:19">
      <c r="A29" s="66">
        <v>1994</v>
      </c>
      <c r="B29" s="30">
        <v>6761423.4500000002</v>
      </c>
      <c r="C29" s="30">
        <f t="shared" si="0"/>
        <v>26009.87</v>
      </c>
      <c r="D29" s="30"/>
      <c r="E29" s="30">
        <v>26009.87</v>
      </c>
      <c r="F29" s="30"/>
      <c r="G29" s="31">
        <v>97.61</v>
      </c>
      <c r="H29" s="31" t="s">
        <v>22</v>
      </c>
      <c r="I29" s="31" t="s">
        <v>22</v>
      </c>
      <c r="J29" s="31">
        <v>105.42</v>
      </c>
      <c r="K29" s="62" t="s">
        <v>22</v>
      </c>
      <c r="L29" s="30">
        <f t="shared" si="1"/>
        <v>6926978.2296895813</v>
      </c>
      <c r="M29" s="30" t="s">
        <v>22</v>
      </c>
      <c r="N29" s="30" t="s">
        <v>22</v>
      </c>
      <c r="O29" s="30">
        <f t="shared" si="2"/>
        <v>24672.614304686016</v>
      </c>
      <c r="P29" s="30" t="s">
        <v>22</v>
      </c>
      <c r="Q29" s="152"/>
    </row>
    <row r="30" spans="1:19">
      <c r="A30" s="66">
        <v>1995</v>
      </c>
      <c r="B30" s="30">
        <v>7079032.3799999999</v>
      </c>
      <c r="C30" s="30">
        <f t="shared" si="0"/>
        <v>27247.77</v>
      </c>
      <c r="D30" s="30"/>
      <c r="E30" s="30">
        <v>27247.77</v>
      </c>
      <c r="F30" s="30"/>
      <c r="G30" s="31">
        <v>100</v>
      </c>
      <c r="H30" s="31" t="s">
        <v>22</v>
      </c>
      <c r="I30" s="31" t="s">
        <v>22</v>
      </c>
      <c r="J30" s="31">
        <v>100</v>
      </c>
      <c r="K30" s="62" t="s">
        <v>22</v>
      </c>
      <c r="L30" s="30">
        <f t="shared" si="1"/>
        <v>7079032.3799999999</v>
      </c>
      <c r="M30" s="30" t="s">
        <v>22</v>
      </c>
      <c r="N30" s="30" t="s">
        <v>22</v>
      </c>
      <c r="O30" s="30">
        <f t="shared" si="2"/>
        <v>27247.77</v>
      </c>
      <c r="P30" s="30" t="s">
        <v>22</v>
      </c>
      <c r="Q30" s="152"/>
    </row>
    <row r="31" spans="1:19">
      <c r="A31" s="66">
        <v>1996</v>
      </c>
      <c r="B31" s="30">
        <v>7487457.2699999996</v>
      </c>
      <c r="C31" s="30">
        <f t="shared" si="0"/>
        <v>26829.71</v>
      </c>
      <c r="D31" s="30"/>
      <c r="E31" s="30">
        <v>26829.71</v>
      </c>
      <c r="F31" s="30"/>
      <c r="G31" s="31">
        <v>101.84</v>
      </c>
      <c r="H31" s="31" t="s">
        <v>22</v>
      </c>
      <c r="I31" s="31" t="s">
        <v>22</v>
      </c>
      <c r="J31" s="31">
        <v>100.27</v>
      </c>
      <c r="K31" s="62" t="s">
        <v>22</v>
      </c>
      <c r="L31" s="30">
        <f t="shared" si="1"/>
        <v>7352177.2093479969</v>
      </c>
      <c r="M31" s="30" t="s">
        <v>22</v>
      </c>
      <c r="N31" s="30" t="s">
        <v>22</v>
      </c>
      <c r="O31" s="30">
        <f t="shared" si="2"/>
        <v>26757.464844918719</v>
      </c>
      <c r="P31" s="30" t="s">
        <v>22</v>
      </c>
      <c r="Q31" s="152"/>
      <c r="R31" s="153"/>
      <c r="S31" s="138"/>
    </row>
    <row r="32" spans="1:19">
      <c r="A32" s="66">
        <v>1997</v>
      </c>
      <c r="B32" s="30">
        <v>7957506.8899999997</v>
      </c>
      <c r="C32" s="30">
        <f t="shared" si="0"/>
        <v>28394.7</v>
      </c>
      <c r="D32" s="30"/>
      <c r="E32" s="30">
        <v>28394.7</v>
      </c>
      <c r="F32" s="30"/>
      <c r="G32" s="31">
        <v>103.72</v>
      </c>
      <c r="H32" s="31" t="s">
        <v>22</v>
      </c>
      <c r="I32" s="31" t="s">
        <v>22</v>
      </c>
      <c r="J32" s="31">
        <v>108.1</v>
      </c>
      <c r="K32" s="62" t="s">
        <v>22</v>
      </c>
      <c r="L32" s="30">
        <f t="shared" si="1"/>
        <v>7672104.5989201702</v>
      </c>
      <c r="M32" s="30" t="s">
        <v>22</v>
      </c>
      <c r="N32" s="30" t="s">
        <v>22</v>
      </c>
      <c r="O32" s="30">
        <f t="shared" si="2"/>
        <v>26267.067530064756</v>
      </c>
      <c r="P32" s="30" t="s">
        <v>22</v>
      </c>
      <c r="Q32" s="152"/>
      <c r="R32" s="153"/>
      <c r="S32" s="138"/>
    </row>
    <row r="33" spans="1:19">
      <c r="A33" s="66">
        <v>1998</v>
      </c>
      <c r="B33" s="30">
        <v>8382060.7300000004</v>
      </c>
      <c r="C33" s="30">
        <f t="shared" si="0"/>
        <v>29819.05</v>
      </c>
      <c r="D33" s="30"/>
      <c r="E33" s="30">
        <v>29819.05</v>
      </c>
      <c r="F33" s="30"/>
      <c r="G33" s="31">
        <v>105.41</v>
      </c>
      <c r="H33" s="31" t="s">
        <v>22</v>
      </c>
      <c r="I33" s="31" t="s">
        <v>22</v>
      </c>
      <c r="J33" s="31">
        <v>111.04</v>
      </c>
      <c r="K33" s="62" t="s">
        <v>22</v>
      </c>
      <c r="L33" s="30">
        <f t="shared" si="1"/>
        <v>7951864.8420453472</v>
      </c>
      <c r="M33" s="30" t="s">
        <v>22</v>
      </c>
      <c r="N33" s="30" t="s">
        <v>22</v>
      </c>
      <c r="O33" s="30">
        <f t="shared" si="2"/>
        <v>26854.331772334292</v>
      </c>
      <c r="P33" s="30" t="s">
        <v>22</v>
      </c>
      <c r="Q33" s="152"/>
      <c r="R33" s="153"/>
      <c r="S33" s="138"/>
    </row>
    <row r="34" spans="1:19">
      <c r="A34" s="66">
        <v>1999</v>
      </c>
      <c r="B34" s="30">
        <v>8882946.8100000005</v>
      </c>
      <c r="C34" s="30">
        <f t="shared" si="0"/>
        <v>32398.37</v>
      </c>
      <c r="D34" s="30"/>
      <c r="E34" s="30">
        <v>32398.37</v>
      </c>
      <c r="F34" s="30"/>
      <c r="G34" s="31">
        <v>106.68</v>
      </c>
      <c r="H34" s="31" t="s">
        <v>22</v>
      </c>
      <c r="I34" s="31" t="s">
        <v>22</v>
      </c>
      <c r="J34" s="31">
        <v>118.71</v>
      </c>
      <c r="K34" s="62" t="s">
        <v>22</v>
      </c>
      <c r="L34" s="30">
        <f t="shared" si="1"/>
        <v>8326721.7941507306</v>
      </c>
      <c r="M34" s="30" t="s">
        <v>22</v>
      </c>
      <c r="N34" s="30" t="s">
        <v>22</v>
      </c>
      <c r="O34" s="30">
        <f t="shared" si="2"/>
        <v>27292.030999915762</v>
      </c>
      <c r="P34" s="30" t="s">
        <v>22</v>
      </c>
      <c r="Q34" s="152"/>
      <c r="R34" s="153"/>
      <c r="S34" s="138"/>
    </row>
    <row r="35" spans="1:19">
      <c r="A35" s="66">
        <v>2000</v>
      </c>
      <c r="B35" s="30">
        <v>9412622.0099999998</v>
      </c>
      <c r="C35" s="30">
        <f t="shared" si="0"/>
        <v>31886.65</v>
      </c>
      <c r="D35" s="30"/>
      <c r="E35" s="30">
        <v>31886.65</v>
      </c>
      <c r="F35" s="30"/>
      <c r="G35" s="31">
        <v>108.44</v>
      </c>
      <c r="H35" s="31" t="s">
        <v>22</v>
      </c>
      <c r="I35" s="31" t="s">
        <v>22</v>
      </c>
      <c r="J35" s="31">
        <v>113.2</v>
      </c>
      <c r="K35" s="62" t="s">
        <v>22</v>
      </c>
      <c r="L35" s="30">
        <f t="shared" si="1"/>
        <v>8680027.6742899306</v>
      </c>
      <c r="M35" s="30" t="s">
        <v>22</v>
      </c>
      <c r="N35" s="30" t="s">
        <v>22</v>
      </c>
      <c r="O35" s="30">
        <f t="shared" si="2"/>
        <v>28168.418727915192</v>
      </c>
      <c r="P35" s="30" t="s">
        <v>22</v>
      </c>
      <c r="Q35" s="152"/>
      <c r="R35" s="153"/>
      <c r="S35" s="138"/>
    </row>
    <row r="36" spans="1:19">
      <c r="A36" s="66">
        <v>2001</v>
      </c>
      <c r="B36" s="30">
        <v>9721039.7300000004</v>
      </c>
      <c r="C36" s="30">
        <f t="shared" si="0"/>
        <v>31698.1</v>
      </c>
      <c r="D36" s="30"/>
      <c r="E36" s="30">
        <v>31698.1</v>
      </c>
      <c r="F36" s="30"/>
      <c r="G36" s="31">
        <v>111.08</v>
      </c>
      <c r="H36" s="31" t="s">
        <v>22</v>
      </c>
      <c r="I36" s="31" t="s">
        <v>22</v>
      </c>
      <c r="J36" s="31">
        <v>114.75</v>
      </c>
      <c r="K36" s="62" t="s">
        <v>22</v>
      </c>
      <c r="L36" s="30">
        <f t="shared" si="1"/>
        <v>8751386.1451206338</v>
      </c>
      <c r="M36" s="30" t="s">
        <v>22</v>
      </c>
      <c r="N36" s="30" t="s">
        <v>22</v>
      </c>
      <c r="O36" s="30">
        <f t="shared" si="2"/>
        <v>27623.616557734204</v>
      </c>
      <c r="P36" s="30" t="s">
        <v>22</v>
      </c>
      <c r="Q36" s="152"/>
      <c r="R36" s="153"/>
      <c r="S36" s="138"/>
    </row>
    <row r="37" spans="1:19">
      <c r="A37" s="66">
        <v>2002</v>
      </c>
      <c r="B37" s="30">
        <v>10052166.09</v>
      </c>
      <c r="C37" s="30">
        <f t="shared" si="0"/>
        <v>30864.36</v>
      </c>
      <c r="D37" s="30"/>
      <c r="E37" s="30">
        <v>30864.36</v>
      </c>
      <c r="F37" s="30"/>
      <c r="G37" s="31">
        <v>113.6</v>
      </c>
      <c r="H37" s="31" t="s">
        <v>22</v>
      </c>
      <c r="I37" s="31" t="s">
        <v>22</v>
      </c>
      <c r="J37" s="31">
        <v>113.56</v>
      </c>
      <c r="K37" s="62" t="s">
        <v>22</v>
      </c>
      <c r="L37" s="30">
        <f t="shared" si="1"/>
        <v>8848737.7552816905</v>
      </c>
      <c r="M37" s="30" t="s">
        <v>22</v>
      </c>
      <c r="N37" s="30" t="s">
        <v>22</v>
      </c>
      <c r="O37" s="30">
        <f t="shared" si="2"/>
        <v>27178.901021486439</v>
      </c>
      <c r="P37" s="30" t="s">
        <v>22</v>
      </c>
      <c r="Q37" s="152"/>
      <c r="R37" s="153"/>
      <c r="S37" s="138"/>
    </row>
    <row r="38" spans="1:19">
      <c r="A38" s="66">
        <v>2003</v>
      </c>
      <c r="B38" s="30">
        <v>10523406.41</v>
      </c>
      <c r="C38" s="30">
        <f t="shared" si="0"/>
        <v>32537.25</v>
      </c>
      <c r="D38" s="30"/>
      <c r="E38" s="30">
        <v>32537.25</v>
      </c>
      <c r="F38" s="30"/>
      <c r="G38" s="31">
        <v>115.9</v>
      </c>
      <c r="H38" s="31" t="s">
        <v>22</v>
      </c>
      <c r="I38" s="31" t="s">
        <v>22</v>
      </c>
      <c r="J38" s="31">
        <v>119.45</v>
      </c>
      <c r="K38" s="62" t="s">
        <v>22</v>
      </c>
      <c r="L38" s="30">
        <f t="shared" si="1"/>
        <v>9079729.4305435717</v>
      </c>
      <c r="M38" s="30" t="s">
        <v>22</v>
      </c>
      <c r="N38" s="30" t="s">
        <v>22</v>
      </c>
      <c r="O38" s="30">
        <f t="shared" si="2"/>
        <v>27239.221431561324</v>
      </c>
      <c r="P38" s="30" t="s">
        <v>22</v>
      </c>
      <c r="Q38" s="152"/>
      <c r="R38" s="153"/>
      <c r="S38" s="138"/>
    </row>
    <row r="39" spans="1:19">
      <c r="A39" s="66">
        <v>2004</v>
      </c>
      <c r="B39" s="30">
        <v>11221303.07</v>
      </c>
      <c r="C39" s="30">
        <f t="shared" si="0"/>
        <v>37908.06</v>
      </c>
      <c r="D39" s="30"/>
      <c r="E39" s="30">
        <v>37908.06</v>
      </c>
      <c r="F39" s="30"/>
      <c r="G39" s="31">
        <v>118.73</v>
      </c>
      <c r="H39" s="31" t="s">
        <v>22</v>
      </c>
      <c r="I39" s="31" t="s">
        <v>22</v>
      </c>
      <c r="J39" s="31">
        <v>138.16</v>
      </c>
      <c r="K39" s="62" t="s">
        <v>22</v>
      </c>
      <c r="L39" s="30">
        <f t="shared" si="1"/>
        <v>9451110.140655268</v>
      </c>
      <c r="M39" s="30" t="s">
        <v>22</v>
      </c>
      <c r="N39" s="30" t="s">
        <v>22</v>
      </c>
      <c r="O39" s="30">
        <f t="shared" si="2"/>
        <v>27437.796757382745</v>
      </c>
      <c r="P39" s="30" t="s">
        <v>22</v>
      </c>
      <c r="Q39" s="152"/>
      <c r="R39" s="153"/>
      <c r="S39" s="138"/>
    </row>
    <row r="40" spans="1:19">
      <c r="A40" s="66">
        <v>2005</v>
      </c>
      <c r="B40" s="30">
        <v>11923617.35</v>
      </c>
      <c r="C40" s="30"/>
      <c r="D40" s="30"/>
      <c r="E40" s="30">
        <v>38946.71</v>
      </c>
      <c r="F40" s="30"/>
      <c r="G40" s="31">
        <v>122.43</v>
      </c>
      <c r="H40" s="31" t="s">
        <v>22</v>
      </c>
      <c r="I40" s="31" t="s">
        <v>22</v>
      </c>
      <c r="J40" s="31">
        <v>135.83000000000001</v>
      </c>
      <c r="K40" s="62" t="s">
        <v>22</v>
      </c>
      <c r="L40" s="30">
        <f t="shared" si="1"/>
        <v>9739130.4010454956</v>
      </c>
      <c r="M40" s="30" t="s">
        <v>22</v>
      </c>
      <c r="N40" s="30" t="s">
        <v>22</v>
      </c>
      <c r="O40" s="30">
        <f t="shared" si="2"/>
        <v>28673.128174924535</v>
      </c>
      <c r="P40" s="30" t="s">
        <v>22</v>
      </c>
      <c r="Q40" s="152"/>
      <c r="R40" s="153"/>
      <c r="S40" s="138"/>
    </row>
    <row r="41" spans="1:19">
      <c r="A41" s="66">
        <v>2006</v>
      </c>
      <c r="B41" s="30">
        <v>12658845.32</v>
      </c>
      <c r="C41" s="30"/>
      <c r="D41" s="30"/>
      <c r="E41" s="30">
        <v>34361.17</v>
      </c>
      <c r="F41" s="30"/>
      <c r="G41" s="31">
        <v>126.34</v>
      </c>
      <c r="H41" s="31" t="s">
        <v>22</v>
      </c>
      <c r="I41" s="31" t="s">
        <v>22</v>
      </c>
      <c r="J41" s="31">
        <v>127.91</v>
      </c>
      <c r="K41" s="62" t="s">
        <v>22</v>
      </c>
      <c r="L41" s="30">
        <f t="shared" si="1"/>
        <v>10019665.442456862</v>
      </c>
      <c r="M41" s="30" t="s">
        <v>22</v>
      </c>
      <c r="N41" s="30" t="s">
        <v>22</v>
      </c>
      <c r="O41" s="30">
        <f t="shared" si="2"/>
        <v>26863.552497850051</v>
      </c>
      <c r="P41" s="30" t="s">
        <v>22</v>
      </c>
      <c r="Q41" s="152"/>
      <c r="R41" s="153"/>
      <c r="S41" s="138"/>
    </row>
    <row r="42" spans="1:19">
      <c r="A42" s="66">
        <v>2007</v>
      </c>
      <c r="B42" s="30">
        <v>13273328.6</v>
      </c>
      <c r="C42" s="30"/>
      <c r="D42" s="30"/>
      <c r="E42" s="30">
        <v>32000.77</v>
      </c>
      <c r="F42" s="30"/>
      <c r="G42" s="31">
        <v>130.03</v>
      </c>
      <c r="H42" s="31" t="s">
        <v>22</v>
      </c>
      <c r="I42" s="31" t="s">
        <v>22</v>
      </c>
      <c r="J42" s="31">
        <v>112.28</v>
      </c>
      <c r="K42" s="62" t="s">
        <v>22</v>
      </c>
      <c r="L42" s="30">
        <f t="shared" si="1"/>
        <v>10207897.100669077</v>
      </c>
      <c r="M42" s="30" t="s">
        <v>22</v>
      </c>
      <c r="N42" s="30" t="s">
        <v>22</v>
      </c>
      <c r="O42" s="30">
        <f t="shared" si="2"/>
        <v>28500.863911649449</v>
      </c>
      <c r="P42" s="30" t="s">
        <v>22</v>
      </c>
      <c r="Q42" s="152"/>
      <c r="R42" s="153"/>
      <c r="S42" s="138"/>
    </row>
    <row r="43" spans="1:19">
      <c r="A43" s="66">
        <v>2008</v>
      </c>
      <c r="B43" s="30" t="s">
        <v>22</v>
      </c>
      <c r="C43" s="30" t="s">
        <v>22</v>
      </c>
      <c r="D43" s="30" t="s">
        <v>22</v>
      </c>
      <c r="E43" s="30" t="s">
        <v>22</v>
      </c>
      <c r="F43" s="30" t="s">
        <v>22</v>
      </c>
      <c r="G43" s="30" t="s">
        <v>22</v>
      </c>
      <c r="H43" s="30" t="s">
        <v>22</v>
      </c>
      <c r="I43" s="30" t="s">
        <v>22</v>
      </c>
      <c r="J43" s="30" t="s">
        <v>22</v>
      </c>
      <c r="K43" s="30" t="s">
        <v>22</v>
      </c>
      <c r="L43" s="30" t="s">
        <v>22</v>
      </c>
      <c r="M43" s="30" t="s">
        <v>22</v>
      </c>
      <c r="N43" s="30" t="s">
        <v>22</v>
      </c>
      <c r="O43" s="30" t="s">
        <v>22</v>
      </c>
      <c r="P43" s="30" t="s">
        <v>22</v>
      </c>
      <c r="Q43" s="152"/>
      <c r="R43" s="153"/>
      <c r="S43" s="138"/>
    </row>
    <row r="44" spans="1:19">
      <c r="A44" s="66"/>
      <c r="B44" s="30"/>
      <c r="C44" s="30"/>
      <c r="D44" s="30"/>
      <c r="E44" s="30"/>
      <c r="F44" s="30"/>
      <c r="G44" s="31"/>
      <c r="H44" s="31"/>
      <c r="I44" s="31"/>
      <c r="J44" s="31"/>
      <c r="K44" s="31"/>
      <c r="L44" s="30"/>
      <c r="M44" s="30"/>
      <c r="N44" s="30"/>
      <c r="O44" s="30"/>
      <c r="P44" s="30"/>
      <c r="Q44" s="152"/>
      <c r="R44" s="153"/>
      <c r="S44" s="138"/>
    </row>
    <row r="45" spans="1:19">
      <c r="A45" s="66" t="s">
        <v>23</v>
      </c>
      <c r="B45" s="30"/>
      <c r="C45" s="30"/>
      <c r="D45" s="30"/>
      <c r="E45" s="30"/>
      <c r="F45" s="30"/>
      <c r="G45" s="30"/>
      <c r="H45" s="30"/>
      <c r="I45" s="30"/>
      <c r="J45" s="30"/>
      <c r="K45" s="30"/>
      <c r="L45" s="135"/>
      <c r="M45" s="135"/>
      <c r="N45" s="135"/>
      <c r="O45" s="135"/>
      <c r="P45" s="135"/>
    </row>
    <row r="46" spans="1:19">
      <c r="A46" s="66" t="s">
        <v>1946</v>
      </c>
      <c r="B46" s="147" t="s">
        <v>22</v>
      </c>
      <c r="C46" s="147" t="s">
        <v>22</v>
      </c>
      <c r="D46" s="147" t="s">
        <v>22</v>
      </c>
      <c r="E46" s="147" t="s">
        <v>22</v>
      </c>
      <c r="F46" s="147" t="s">
        <v>22</v>
      </c>
      <c r="G46" s="147" t="s">
        <v>22</v>
      </c>
      <c r="H46" s="147" t="s">
        <v>22</v>
      </c>
      <c r="I46" s="147" t="s">
        <v>22</v>
      </c>
      <c r="J46" s="147" t="s">
        <v>22</v>
      </c>
      <c r="K46" s="147" t="s">
        <v>22</v>
      </c>
      <c r="L46" s="147" t="s">
        <v>22</v>
      </c>
      <c r="M46" s="147" t="s">
        <v>22</v>
      </c>
      <c r="N46" s="147" t="s">
        <v>22</v>
      </c>
      <c r="O46" s="147" t="s">
        <v>22</v>
      </c>
      <c r="P46" s="147" t="s">
        <v>22</v>
      </c>
    </row>
    <row r="47" spans="1:19">
      <c r="A47" s="66" t="s">
        <v>2140</v>
      </c>
      <c r="B47" s="147" t="s">
        <v>22</v>
      </c>
      <c r="C47" s="147" t="s">
        <v>22</v>
      </c>
      <c r="D47" s="147" t="s">
        <v>22</v>
      </c>
      <c r="E47" s="147" t="s">
        <v>22</v>
      </c>
      <c r="F47" s="147" t="s">
        <v>22</v>
      </c>
      <c r="G47" s="147" t="s">
        <v>22</v>
      </c>
      <c r="H47" s="147" t="s">
        <v>22</v>
      </c>
      <c r="I47" s="147" t="s">
        <v>22</v>
      </c>
      <c r="J47" s="147" t="s">
        <v>22</v>
      </c>
      <c r="K47" s="147" t="s">
        <v>22</v>
      </c>
      <c r="L47" s="147" t="s">
        <v>22</v>
      </c>
      <c r="M47" s="147" t="s">
        <v>22</v>
      </c>
      <c r="N47" s="147" t="s">
        <v>22</v>
      </c>
      <c r="O47" s="147" t="s">
        <v>22</v>
      </c>
      <c r="P47" s="147" t="s">
        <v>22</v>
      </c>
    </row>
    <row r="48" spans="1:19">
      <c r="A48" s="66" t="s">
        <v>660</v>
      </c>
      <c r="B48" s="147">
        <f t="shared" ref="B48:O48" si="3">((B35/B25)^(1/10)-1)*100</f>
        <v>5.3916522217501095</v>
      </c>
      <c r="C48" s="147">
        <f t="shared" si="3"/>
        <v>4.671161289912229</v>
      </c>
      <c r="D48" s="147" t="s">
        <v>22</v>
      </c>
      <c r="E48" s="147">
        <f t="shared" si="3"/>
        <v>4.671161289912229</v>
      </c>
      <c r="F48" s="147" t="s">
        <v>22</v>
      </c>
      <c r="G48" s="147">
        <f t="shared" si="3"/>
        <v>2.1454418877546511</v>
      </c>
      <c r="H48" s="147" t="s">
        <v>22</v>
      </c>
      <c r="I48" s="147" t="s">
        <v>22</v>
      </c>
      <c r="J48" s="147">
        <f t="shared" si="3"/>
        <v>5.5880786416199646</v>
      </c>
      <c r="K48" s="147" t="s">
        <v>22</v>
      </c>
      <c r="L48" s="147">
        <f t="shared" si="3"/>
        <v>3.1780275986887707</v>
      </c>
      <c r="M48" s="147" t="s">
        <v>22</v>
      </c>
      <c r="N48" s="147" t="s">
        <v>22</v>
      </c>
      <c r="O48" s="147">
        <f t="shared" si="3"/>
        <v>-0.86839098078476118</v>
      </c>
      <c r="P48" s="147" t="s">
        <v>22</v>
      </c>
    </row>
    <row r="49" spans="1:16">
      <c r="A49" s="66" t="s">
        <v>588</v>
      </c>
      <c r="B49" s="147">
        <f>((B42/B35)^(1/7)-1)*100</f>
        <v>5.0326142929318474</v>
      </c>
      <c r="C49" s="147">
        <f t="shared" ref="C49:O49" si="4">((C42/C35)^(1/7)-1)*100</f>
        <v>-100</v>
      </c>
      <c r="D49" s="147" t="s">
        <v>22</v>
      </c>
      <c r="E49" s="147">
        <f t="shared" si="4"/>
        <v>5.1049284440551901E-2</v>
      </c>
      <c r="F49" s="147" t="s">
        <v>22</v>
      </c>
      <c r="G49" s="147">
        <f t="shared" si="4"/>
        <v>2.6277635223466822</v>
      </c>
      <c r="H49" s="147" t="s">
        <v>22</v>
      </c>
      <c r="I49" s="147" t="s">
        <v>22</v>
      </c>
      <c r="J49" s="147">
        <f t="shared" si="4"/>
        <v>-0.11650942180012613</v>
      </c>
      <c r="K49" s="147" t="s">
        <v>22</v>
      </c>
      <c r="L49" s="147">
        <f t="shared" si="4"/>
        <v>2.3432750437570649</v>
      </c>
      <c r="M49" s="147" t="s">
        <v>22</v>
      </c>
      <c r="N49" s="147" t="s">
        <v>22</v>
      </c>
      <c r="O49" s="147">
        <f t="shared" si="4"/>
        <v>0.16775415563745621</v>
      </c>
      <c r="P49" s="147" t="s">
        <v>22</v>
      </c>
    </row>
    <row r="50" spans="1:16">
      <c r="A50" s="66"/>
      <c r="B50" s="50"/>
      <c r="C50" s="50"/>
      <c r="D50" s="50"/>
      <c r="E50" s="50"/>
      <c r="F50" s="50"/>
      <c r="G50" s="50"/>
      <c r="H50" s="50"/>
      <c r="I50" s="50"/>
      <c r="J50" s="50"/>
      <c r="K50" s="50"/>
      <c r="L50" s="50"/>
      <c r="M50" s="50"/>
      <c r="N50" s="50"/>
      <c r="O50" s="50"/>
      <c r="P50" s="50"/>
    </row>
    <row r="51" spans="1:16" ht="30" customHeight="1">
      <c r="A51" s="137" t="s">
        <v>2039</v>
      </c>
      <c r="B51" s="137"/>
      <c r="C51" s="137"/>
      <c r="D51" s="137"/>
      <c r="E51" s="137"/>
      <c r="F51" s="137"/>
      <c r="G51" s="137"/>
      <c r="H51" s="137"/>
      <c r="I51" s="137"/>
      <c r="J51" s="137"/>
      <c r="K51" s="137"/>
      <c r="L51" s="137"/>
      <c r="M51" s="137"/>
      <c r="N51" s="137"/>
      <c r="O51" s="137"/>
      <c r="P51" s="137"/>
    </row>
    <row r="52" spans="1:16">
      <c r="A52" s="137" t="s">
        <v>193</v>
      </c>
      <c r="B52" s="137"/>
      <c r="C52" s="137"/>
      <c r="D52" s="137"/>
      <c r="E52" s="137"/>
      <c r="F52" s="137"/>
      <c r="G52" s="137"/>
      <c r="H52" s="137"/>
      <c r="I52" s="137"/>
      <c r="J52" s="137"/>
      <c r="K52" s="137"/>
      <c r="L52" s="137"/>
      <c r="M52" s="137"/>
      <c r="N52" s="137"/>
      <c r="O52" s="137"/>
      <c r="P52" s="137"/>
    </row>
    <row r="53" spans="1:16">
      <c r="A53" s="137" t="s">
        <v>527</v>
      </c>
      <c r="B53" s="137"/>
      <c r="C53" s="137"/>
      <c r="D53" s="137"/>
      <c r="E53" s="137"/>
      <c r="F53" s="137"/>
      <c r="G53" s="137"/>
      <c r="H53" s="137"/>
      <c r="I53" s="137"/>
      <c r="J53" s="137"/>
      <c r="K53" s="137"/>
      <c r="L53" s="137"/>
      <c r="M53" s="137"/>
      <c r="N53" s="137"/>
      <c r="O53" s="137"/>
      <c r="P53" s="137"/>
    </row>
  </sheetData>
  <mergeCells count="14">
    <mergeCell ref="A1:P1"/>
    <mergeCell ref="A51:P51"/>
    <mergeCell ref="A52:P52"/>
    <mergeCell ref="A53:P53"/>
    <mergeCell ref="L3:L4"/>
    <mergeCell ref="M3:P3"/>
    <mergeCell ref="L2:P2"/>
    <mergeCell ref="A3:A4"/>
    <mergeCell ref="B3:B4"/>
    <mergeCell ref="C3:F3"/>
    <mergeCell ref="G3:G4"/>
    <mergeCell ref="H3:K3"/>
    <mergeCell ref="B2:F2"/>
    <mergeCell ref="G2:K2"/>
  </mergeCells>
  <pageMargins left="0.7" right="0.7" top="0.75" bottom="0.75" header="0.3" footer="0.3"/>
  <pageSetup scale="61" orientation="landscape" horizontalDpi="0" verticalDpi="0" r:id="rId1"/>
  <ignoredErrors>
    <ignoredError sqref="C14:C39" formulaRange="1"/>
  </ignoredErrors>
</worksheet>
</file>

<file path=xl/worksheets/sheet159.xml><?xml version="1.0" encoding="utf-8"?>
<worksheet xmlns="http://schemas.openxmlformats.org/spreadsheetml/2006/main" xmlns:r="http://schemas.openxmlformats.org/officeDocument/2006/relationships">
  <sheetPr codeName="Sheet153"/>
  <dimension ref="A1:Y46"/>
  <sheetViews>
    <sheetView view="pageBreakPreview" zoomScale="85" zoomScaleNormal="70" zoomScaleSheetLayoutView="85" workbookViewId="0">
      <selection activeCell="AC38" sqref="AC38"/>
    </sheetView>
  </sheetViews>
  <sheetFormatPr defaultRowHeight="15"/>
  <cols>
    <col min="1" max="1" width="9.5703125" style="64" customWidth="1"/>
    <col min="2" max="26" width="8.5703125" style="64" customWidth="1"/>
    <col min="27" max="16384" width="9.140625" style="64"/>
  </cols>
  <sheetData>
    <row r="1" spans="1:25">
      <c r="A1" s="66" t="s">
        <v>1945</v>
      </c>
    </row>
    <row r="2" spans="1:25" ht="30" customHeight="1">
      <c r="B2" s="94" t="s">
        <v>696</v>
      </c>
      <c r="C2" s="94"/>
      <c r="D2" s="94"/>
      <c r="E2" s="94" t="s">
        <v>785</v>
      </c>
      <c r="F2" s="94"/>
      <c r="G2" s="94"/>
      <c r="H2" s="94" t="s">
        <v>786</v>
      </c>
      <c r="I2" s="94"/>
      <c r="J2" s="94"/>
      <c r="K2" s="94" t="s">
        <v>787</v>
      </c>
      <c r="L2" s="94"/>
      <c r="M2" s="94"/>
      <c r="N2" s="94" t="s">
        <v>788</v>
      </c>
      <c r="O2" s="94"/>
      <c r="P2" s="94"/>
      <c r="Q2" s="94" t="s">
        <v>789</v>
      </c>
      <c r="R2" s="94"/>
      <c r="S2" s="94"/>
      <c r="T2" s="94" t="s">
        <v>792</v>
      </c>
      <c r="U2" s="94"/>
      <c r="V2" s="94"/>
      <c r="W2" s="94" t="s">
        <v>790</v>
      </c>
      <c r="X2" s="94"/>
      <c r="Y2" s="94"/>
    </row>
    <row r="3" spans="1:25" ht="30" customHeight="1">
      <c r="B3" s="73" t="s">
        <v>522</v>
      </c>
      <c r="C3" s="73" t="s">
        <v>524</v>
      </c>
      <c r="D3" s="73" t="s">
        <v>525</v>
      </c>
      <c r="E3" s="73" t="s">
        <v>522</v>
      </c>
      <c r="F3" s="73" t="s">
        <v>524</v>
      </c>
      <c r="G3" s="73" t="s">
        <v>525</v>
      </c>
      <c r="H3" s="73" t="s">
        <v>522</v>
      </c>
      <c r="I3" s="73" t="s">
        <v>524</v>
      </c>
      <c r="J3" s="73" t="s">
        <v>525</v>
      </c>
      <c r="K3" s="73" t="s">
        <v>522</v>
      </c>
      <c r="L3" s="73" t="s">
        <v>524</v>
      </c>
      <c r="M3" s="73" t="s">
        <v>525</v>
      </c>
      <c r="N3" s="73" t="s">
        <v>522</v>
      </c>
      <c r="O3" s="73" t="s">
        <v>524</v>
      </c>
      <c r="P3" s="73" t="s">
        <v>525</v>
      </c>
      <c r="Q3" s="73" t="s">
        <v>522</v>
      </c>
      <c r="R3" s="73" t="s">
        <v>524</v>
      </c>
      <c r="S3" s="73" t="s">
        <v>525</v>
      </c>
      <c r="T3" s="73" t="s">
        <v>522</v>
      </c>
      <c r="U3" s="73" t="s">
        <v>524</v>
      </c>
      <c r="V3" s="73" t="s">
        <v>525</v>
      </c>
      <c r="W3" s="73" t="s">
        <v>522</v>
      </c>
      <c r="X3" s="73" t="s">
        <v>524</v>
      </c>
      <c r="Y3" s="73" t="s">
        <v>525</v>
      </c>
    </row>
    <row r="4" spans="1:25" ht="15" customHeight="1">
      <c r="A4" s="64">
        <v>1970</v>
      </c>
      <c r="B4" s="28">
        <f>'600a'!D5/'600a'!$C5*100</f>
        <v>23.943709276550013</v>
      </c>
      <c r="C4" s="28">
        <f>'600a'!E5/'600a'!$C5*100</f>
        <v>24.088130583730777</v>
      </c>
      <c r="D4" s="28">
        <f>'600a'!F5/'600a'!$C5*100</f>
        <v>51.968160139719224</v>
      </c>
      <c r="E4" s="28">
        <f>'601a'!D5/'601a'!$C5*100</f>
        <v>45.675624645981493</v>
      </c>
      <c r="F4" s="28">
        <f>'601a'!E5/'601a'!$C5*100</f>
        <v>17.364214236264079</v>
      </c>
      <c r="G4" s="28">
        <f>'601a'!F5/'601a'!$C5*100</f>
        <v>36.960161117754417</v>
      </c>
      <c r="H4" s="31">
        <f>'602a'!D5/'602a'!$C5*100</f>
        <v>62.056378298102686</v>
      </c>
      <c r="I4" s="31">
        <f>'602a'!E5/'602a'!$C5*100</f>
        <v>15.347888242723704</v>
      </c>
      <c r="J4" s="31">
        <f>'602a'!F5/'602a'!$C5*100</f>
        <v>22.595733459173619</v>
      </c>
      <c r="K4" s="139">
        <f>'604a'!D5/'604a'!$C5*100</f>
        <v>10.285367334547663</v>
      </c>
      <c r="L4" s="139">
        <f>'604a'!E5/'604a'!$C5*100</f>
        <v>55.307832422586522</v>
      </c>
      <c r="M4" s="139">
        <f>'604a'!F5/'604a'!$C5*100</f>
        <v>34.406800242865813</v>
      </c>
      <c r="N4" s="31">
        <f>'604a'!D5/'604a'!$C5*100</f>
        <v>10.285367334547663</v>
      </c>
      <c r="O4" s="31">
        <f>'604a'!E5/'604a'!$C5*100</f>
        <v>55.307832422586522</v>
      </c>
      <c r="P4" s="31">
        <f>'604a'!F5/'604a'!$C5*100</f>
        <v>34.406800242865813</v>
      </c>
      <c r="Q4" s="31">
        <f>'606a'!D5/'606a'!$C5*100</f>
        <v>49.081289041747631</v>
      </c>
      <c r="R4" s="31">
        <f>'606a'!E5/'606a'!$C5*100</f>
        <v>19.944674908570768</v>
      </c>
      <c r="S4" s="31">
        <f>'606a'!F5/'606a'!$C5*100</f>
        <v>30.974036049681608</v>
      </c>
      <c r="T4" s="31">
        <f>'607a'!D5/'607a'!$C5*100</f>
        <v>5.1696432070862128</v>
      </c>
      <c r="U4" s="31">
        <f>'607a'!E5/'607a'!$C5*100</f>
        <v>30.653358243079047</v>
      </c>
      <c r="V4" s="31">
        <f>'607a'!F5/'607a'!$C5*100</f>
        <v>64.176998549834735</v>
      </c>
      <c r="W4" s="62"/>
      <c r="X4" s="62"/>
      <c r="Y4" s="62"/>
    </row>
    <row r="5" spans="1:25" ht="15" customHeight="1">
      <c r="A5" s="64">
        <v>1971</v>
      </c>
      <c r="B5" s="28">
        <f>'600a'!D6/'600a'!$C6*100</f>
        <v>23.494827475422476</v>
      </c>
      <c r="C5" s="28">
        <f>'600a'!E6/'600a'!$C6*100</f>
        <v>27.436869498168736</v>
      </c>
      <c r="D5" s="28">
        <f>'600a'!F6/'600a'!$C6*100</f>
        <v>49.068303026408785</v>
      </c>
      <c r="E5" s="28">
        <f>'601a'!D6/'601a'!$C6*100</f>
        <v>49.824030930901166</v>
      </c>
      <c r="F5" s="28">
        <f>'601a'!E6/'601a'!$C6*100</f>
        <v>17.567165658768712</v>
      </c>
      <c r="G5" s="28">
        <f>'601a'!F6/'601a'!$C6*100</f>
        <v>32.608803410330125</v>
      </c>
      <c r="H5" s="31">
        <f>'602a'!D6/'602a'!$C6*100</f>
        <v>59.935072580780812</v>
      </c>
      <c r="I5" s="31">
        <f>'602a'!E6/'602a'!$C6*100</f>
        <v>16.488368572437807</v>
      </c>
      <c r="J5" s="31">
        <f>'602a'!F6/'602a'!$C6*100</f>
        <v>23.576558846781381</v>
      </c>
      <c r="K5" s="139">
        <f>'604a'!D6/'604a'!$C6*100</f>
        <v>9.5869023094437829</v>
      </c>
      <c r="L5" s="139">
        <f>'604a'!E6/'604a'!$C6*100</f>
        <v>56.669196573782934</v>
      </c>
      <c r="M5" s="139">
        <f>'604a'!F6/'604a'!$C6*100</f>
        <v>33.743901116773287</v>
      </c>
      <c r="N5" s="31">
        <f>'604a'!D6/'604a'!$C6*100</f>
        <v>9.5869023094437829</v>
      </c>
      <c r="O5" s="31">
        <f>'604a'!E6/'604a'!$C6*100</f>
        <v>56.669196573782934</v>
      </c>
      <c r="P5" s="31">
        <f>'604a'!F6/'604a'!$C6*100</f>
        <v>33.743901116773287</v>
      </c>
      <c r="Q5" s="31">
        <f>'606a'!D6/'606a'!$C6*100</f>
        <v>53.02956756448657</v>
      </c>
      <c r="R5" s="31">
        <f>'606a'!E6/'606a'!$C6*100</f>
        <v>18.946518764490978</v>
      </c>
      <c r="S5" s="31">
        <f>'606a'!F6/'606a'!$C6*100</f>
        <v>28.023913671022466</v>
      </c>
      <c r="T5" s="31">
        <f>'607a'!D6/'607a'!$C6*100</f>
        <v>5.4214300930199535</v>
      </c>
      <c r="U5" s="31">
        <f>'607a'!E6/'607a'!$C6*100</f>
        <v>32.161707969419396</v>
      </c>
      <c r="V5" s="31">
        <f>'607a'!F6/'607a'!$C6*100</f>
        <v>62.416861937560654</v>
      </c>
      <c r="W5" s="62"/>
      <c r="X5" s="62"/>
      <c r="Y5" s="62"/>
    </row>
    <row r="6" spans="1:25" ht="15" customHeight="1">
      <c r="A6" s="64">
        <v>1972</v>
      </c>
      <c r="B6" s="28">
        <f>'600a'!D7/'600a'!$C7*100</f>
        <v>23.04192132683557</v>
      </c>
      <c r="C6" s="28">
        <f>'600a'!E7/'600a'!$C7*100</f>
        <v>32.476239196575214</v>
      </c>
      <c r="D6" s="28">
        <f>'600a'!F7/'600a'!$C7*100</f>
        <v>44.481839476589215</v>
      </c>
      <c r="E6" s="28">
        <f>'601a'!D7/'601a'!$C7*100</f>
        <v>49.070164509356026</v>
      </c>
      <c r="F6" s="28">
        <f>'601a'!E7/'601a'!$C7*100</f>
        <v>17.946055697838069</v>
      </c>
      <c r="G6" s="28">
        <f>'601a'!F7/'601a'!$C7*100</f>
        <v>32.983779792805883</v>
      </c>
      <c r="H6" s="31">
        <f>'602a'!D7/'602a'!$C7*100</f>
        <v>62.067587766706978</v>
      </c>
      <c r="I6" s="31">
        <f>'602a'!E7/'602a'!$C7*100</f>
        <v>15.406842967069426</v>
      </c>
      <c r="J6" s="31">
        <f>'602a'!F7/'602a'!$C7*100</f>
        <v>22.525569266223595</v>
      </c>
      <c r="K6" s="139">
        <f>'604a'!D7/'604a'!$C7*100</f>
        <v>9.4160754990306987</v>
      </c>
      <c r="L6" s="139">
        <f>'604a'!E7/'604a'!$C7*100</f>
        <v>54.425768517926763</v>
      </c>
      <c r="M6" s="139">
        <f>'604a'!F7/'604a'!$C7*100</f>
        <v>36.158155983042548</v>
      </c>
      <c r="N6" s="31">
        <f>'604a'!D7/'604a'!$C7*100</f>
        <v>9.4160754990306987</v>
      </c>
      <c r="O6" s="31">
        <f>'604a'!E7/'604a'!$C7*100</f>
        <v>54.425768517926763</v>
      </c>
      <c r="P6" s="31">
        <f>'604a'!F7/'604a'!$C7*100</f>
        <v>36.158155983042548</v>
      </c>
      <c r="Q6" s="31">
        <f>'606a'!D7/'606a'!$C7*100</f>
        <v>46.876201317761776</v>
      </c>
      <c r="R6" s="31">
        <f>'606a'!E7/'606a'!$C7*100</f>
        <v>21.630722742565609</v>
      </c>
      <c r="S6" s="31">
        <f>'606a'!F7/'606a'!$C7*100</f>
        <v>31.493075939672615</v>
      </c>
      <c r="T6" s="31">
        <f>'607a'!D7/'607a'!$C7*100</f>
        <v>5.1564828614008942</v>
      </c>
      <c r="U6" s="31">
        <f>'607a'!E7/'607a'!$C7*100</f>
        <v>32.818747109306742</v>
      </c>
      <c r="V6" s="31">
        <f>'607a'!F7/'607a'!$C7*100</f>
        <v>62.024770029292355</v>
      </c>
      <c r="W6" s="62"/>
      <c r="X6" s="62"/>
      <c r="Y6" s="62"/>
    </row>
    <row r="7" spans="1:25" ht="15" customHeight="1">
      <c r="A7" s="64">
        <v>1973</v>
      </c>
      <c r="B7" s="28">
        <f>'600a'!D8/'600a'!$C8*100</f>
        <v>24.083853737876751</v>
      </c>
      <c r="C7" s="28">
        <f>'600a'!E8/'600a'!$C8*100</f>
        <v>34.410955603301133</v>
      </c>
      <c r="D7" s="28">
        <f>'600a'!F8/'600a'!$C8*100</f>
        <v>41.505190658822109</v>
      </c>
      <c r="E7" s="28">
        <f>'601a'!D8/'601a'!$C8*100</f>
        <v>43.47308284680684</v>
      </c>
      <c r="F7" s="28">
        <f>'601a'!E8/'601a'!$C8*100</f>
        <v>23.181346036749169</v>
      </c>
      <c r="G7" s="28">
        <f>'601a'!F8/'601a'!$C8*100</f>
        <v>33.345571116443999</v>
      </c>
      <c r="H7" s="31">
        <f>'602a'!D8/'602a'!$C8*100</f>
        <v>61.944857712639681</v>
      </c>
      <c r="I7" s="31">
        <f>'602a'!E8/'602a'!$C8*100</f>
        <v>16.239435282200628</v>
      </c>
      <c r="J7" s="31">
        <f>'602a'!F8/'602a'!$C8*100</f>
        <v>21.815707005159695</v>
      </c>
      <c r="K7" s="139">
        <f>'604a'!D8/'604a'!$C8*100</f>
        <v>9.5322607397578345</v>
      </c>
      <c r="L7" s="139">
        <f>'604a'!E8/'604a'!$C8*100</f>
        <v>53.408525460275328</v>
      </c>
      <c r="M7" s="139">
        <f>'604a'!F8/'604a'!$C8*100</f>
        <v>37.05921379996682</v>
      </c>
      <c r="N7" s="31">
        <f>'604a'!D8/'604a'!$C8*100</f>
        <v>9.5322607397578345</v>
      </c>
      <c r="O7" s="31">
        <f>'604a'!E8/'604a'!$C8*100</f>
        <v>53.408525460275328</v>
      </c>
      <c r="P7" s="31">
        <f>'604a'!F8/'604a'!$C8*100</f>
        <v>37.05921379996682</v>
      </c>
      <c r="Q7" s="31">
        <f>'606a'!D8/'606a'!$C8*100</f>
        <v>42.761314398798142</v>
      </c>
      <c r="R7" s="31">
        <f>'606a'!E8/'606a'!$C8*100</f>
        <v>24.600932628073689</v>
      </c>
      <c r="S7" s="31">
        <f>'606a'!F8/'606a'!$C8*100</f>
        <v>32.637752973128173</v>
      </c>
      <c r="T7" s="31">
        <f>'607a'!D8/'607a'!$C8*100</f>
        <v>5.8061012039467732</v>
      </c>
      <c r="U7" s="31">
        <f>'607a'!E8/'607a'!$C8*100</f>
        <v>34.736127455417758</v>
      </c>
      <c r="V7" s="31">
        <f>'607a'!F8/'607a'!$C8*100</f>
        <v>59.457771340635468</v>
      </c>
      <c r="W7" s="62"/>
      <c r="X7" s="62"/>
      <c r="Y7" s="62"/>
    </row>
    <row r="8" spans="1:25" ht="15" customHeight="1">
      <c r="A8" s="64">
        <v>1974</v>
      </c>
      <c r="B8" s="28">
        <f>'600a'!D9/'600a'!$C9*100</f>
        <v>20.884037222619899</v>
      </c>
      <c r="C8" s="28">
        <f>'600a'!E9/'600a'!$C9*100</f>
        <v>25.409969414980154</v>
      </c>
      <c r="D8" s="28">
        <f>'600a'!F9/'600a'!$C9*100</f>
        <v>53.705993362399937</v>
      </c>
      <c r="E8" s="28">
        <f>'601a'!D9/'601a'!$C9*100</f>
        <v>38.117074012382957</v>
      </c>
      <c r="F8" s="28">
        <f>'601a'!E9/'601a'!$C9*100</f>
        <v>20.665467745253537</v>
      </c>
      <c r="G8" s="28">
        <f>'601a'!F9/'601a'!$C9*100</f>
        <v>41.21745824236352</v>
      </c>
      <c r="H8" s="31">
        <f>'602a'!D9/'602a'!$C9*100</f>
        <v>55.217602702088421</v>
      </c>
      <c r="I8" s="31">
        <f>'602a'!E9/'602a'!$C9*100</f>
        <v>17.426053633232925</v>
      </c>
      <c r="J8" s="31">
        <f>'602a'!F9/'602a'!$C9*100</f>
        <v>27.356343664678651</v>
      </c>
      <c r="K8" s="139">
        <f>'604a'!D9/'604a'!$C9*100</f>
        <v>8.1072363442380926</v>
      </c>
      <c r="L8" s="139">
        <f>'604a'!E9/'604a'!$C9*100</f>
        <v>52.896150458396917</v>
      </c>
      <c r="M8" s="139">
        <f>'604a'!F9/'604a'!$C9*100</f>
        <v>38.996613197364994</v>
      </c>
      <c r="N8" s="31">
        <f>'604a'!D9/'604a'!$C9*100</f>
        <v>8.1072363442380926</v>
      </c>
      <c r="O8" s="31">
        <f>'604a'!E9/'604a'!$C9*100</f>
        <v>52.896150458396917</v>
      </c>
      <c r="P8" s="31">
        <f>'604a'!F9/'604a'!$C9*100</f>
        <v>38.996613197364994</v>
      </c>
      <c r="Q8" s="31">
        <f>'606a'!D9/'606a'!$C9*100</f>
        <v>44.651858889627519</v>
      </c>
      <c r="R8" s="31">
        <f>'606a'!E9/'606a'!$C9*100</f>
        <v>22.923263510258561</v>
      </c>
      <c r="S8" s="31">
        <f>'606a'!F9/'606a'!$C9*100</f>
        <v>32.42487760011393</v>
      </c>
      <c r="T8" s="31">
        <f>'607a'!D9/'607a'!$C9*100</f>
        <v>5.3210153632167927</v>
      </c>
      <c r="U8" s="31">
        <f>'607a'!E9/'607a'!$C9*100</f>
        <v>33.239552380350261</v>
      </c>
      <c r="V8" s="31">
        <f>'607a'!F9/'607a'!$C9*100</f>
        <v>61.439432256432958</v>
      </c>
      <c r="W8" s="62"/>
      <c r="X8" s="62"/>
      <c r="Y8" s="62"/>
    </row>
    <row r="9" spans="1:25" ht="15" customHeight="1">
      <c r="A9" s="64">
        <v>1975</v>
      </c>
      <c r="B9" s="28">
        <f>'600a'!D10/'600a'!$C10*100</f>
        <v>21.607368478877881</v>
      </c>
      <c r="C9" s="28">
        <f>'600a'!E10/'600a'!$C10*100</f>
        <v>26.778487850433063</v>
      </c>
      <c r="D9" s="28">
        <f>'600a'!F10/'600a'!$C10*100</f>
        <v>51.614143670689053</v>
      </c>
      <c r="E9" s="28">
        <f>'601a'!D10/'601a'!$C10*100</f>
        <v>50.93367675466839</v>
      </c>
      <c r="F9" s="28">
        <f>'601a'!E10/'601a'!$C10*100</f>
        <v>11.526078557630392</v>
      </c>
      <c r="G9" s="28">
        <f>'601a'!F10/'601a'!$C10*100</f>
        <v>37.540244687701225</v>
      </c>
      <c r="H9" s="31">
        <f>'602a'!D10/'602a'!$C10*100</f>
        <v>54.102282169865958</v>
      </c>
      <c r="I9" s="31">
        <f>'602a'!E10/'602a'!$C10*100</f>
        <v>19.187909004177126</v>
      </c>
      <c r="J9" s="31">
        <f>'602a'!F10/'602a'!$C10*100</f>
        <v>26.709808825956916</v>
      </c>
      <c r="K9" s="139">
        <f>'604a'!D10/'604a'!$C10*100</f>
        <v>8.989940370522099</v>
      </c>
      <c r="L9" s="139">
        <f>'604a'!E10/'604a'!$C10*100</f>
        <v>54.58714552323729</v>
      </c>
      <c r="M9" s="139">
        <f>'604a'!F10/'604a'!$C10*100</f>
        <v>36.422914106240611</v>
      </c>
      <c r="N9" s="31">
        <f>'604a'!D10/'604a'!$C10*100</f>
        <v>8.989940370522099</v>
      </c>
      <c r="O9" s="31">
        <f>'604a'!E10/'604a'!$C10*100</f>
        <v>54.58714552323729</v>
      </c>
      <c r="P9" s="31">
        <f>'604a'!F10/'604a'!$C10*100</f>
        <v>36.422914106240611</v>
      </c>
      <c r="Q9" s="31">
        <f>'606a'!D10/'606a'!$C10*100</f>
        <v>50.895952815915145</v>
      </c>
      <c r="R9" s="31">
        <f>'606a'!E10/'606a'!$C10*100</f>
        <v>17.677253674659969</v>
      </c>
      <c r="S9" s="31">
        <f>'606a'!F10/'606a'!$C10*100</f>
        <v>31.426793509424872</v>
      </c>
      <c r="T9" s="31">
        <f>'607a'!D10/'607a'!$C10*100</f>
        <v>5.7932960893854748</v>
      </c>
      <c r="U9" s="31">
        <f>'607a'!E10/'607a'!$C10*100</f>
        <v>37.718575418994419</v>
      </c>
      <c r="V9" s="31">
        <f>'607a'!F10/'607a'!$C10*100</f>
        <v>56.488128491620103</v>
      </c>
      <c r="W9" s="62"/>
      <c r="X9" s="62"/>
      <c r="Y9" s="62"/>
    </row>
    <row r="10" spans="1:25" ht="15" customHeight="1">
      <c r="A10" s="64">
        <v>1976</v>
      </c>
      <c r="B10" s="28">
        <f>'600a'!D11/'600a'!$C11*100</f>
        <v>21.403444929645801</v>
      </c>
      <c r="C10" s="28">
        <f>'600a'!E11/'600a'!$C11*100</f>
        <v>29.369844735565259</v>
      </c>
      <c r="D10" s="28">
        <f>'600a'!F11/'600a'!$C11*100</f>
        <v>49.226710334788933</v>
      </c>
      <c r="E10" s="28">
        <f>'601a'!D11/'601a'!$C11*100</f>
        <v>50.416399743754006</v>
      </c>
      <c r="F10" s="28">
        <f>'601a'!E11/'601a'!$C11*100</f>
        <v>17.168481742472775</v>
      </c>
      <c r="G10" s="28">
        <f>'601a'!F11/'601a'!$C11*100</f>
        <v>32.415118513773223</v>
      </c>
      <c r="H10" s="31">
        <f>'602a'!D11/'602a'!$C11*100</f>
        <v>53.895422685501828</v>
      </c>
      <c r="I10" s="31">
        <f>'602a'!E11/'602a'!$C11*100</f>
        <v>19.955620464982335</v>
      </c>
      <c r="J10" s="31">
        <f>'602a'!F11/'602a'!$C11*100</f>
        <v>26.148956849515837</v>
      </c>
      <c r="K10" s="139">
        <f>'604a'!D11/'604a'!$C11*100</f>
        <v>8.039575701146024</v>
      </c>
      <c r="L10" s="139">
        <f>'604a'!E11/'604a'!$C11*100</f>
        <v>55.823667104656316</v>
      </c>
      <c r="M10" s="139">
        <f>'604a'!F11/'604a'!$C11*100</f>
        <v>36.136757194197649</v>
      </c>
      <c r="N10" s="31">
        <f>'604a'!D11/'604a'!$C11*100</f>
        <v>8.039575701146024</v>
      </c>
      <c r="O10" s="31">
        <f>'604a'!E11/'604a'!$C11*100</f>
        <v>55.823667104656316</v>
      </c>
      <c r="P10" s="31">
        <f>'604a'!F11/'604a'!$C11*100</f>
        <v>36.136757194197649</v>
      </c>
      <c r="Q10" s="31">
        <f>'606a'!D11/'606a'!$C11*100</f>
        <v>49.563473330848126</v>
      </c>
      <c r="R10" s="31">
        <f>'606a'!E11/'606a'!$C11*100</f>
        <v>19.786297391818188</v>
      </c>
      <c r="S10" s="31">
        <f>'606a'!F11/'606a'!$C11*100</f>
        <v>30.65022927733369</v>
      </c>
      <c r="T10" s="31">
        <f>'607a'!D11/'607a'!$C11*100</f>
        <v>6.1211109424798904</v>
      </c>
      <c r="U10" s="31">
        <f>'607a'!E11/'607a'!$C11*100</f>
        <v>32.935498558203065</v>
      </c>
      <c r="V10" s="31">
        <f>'607a'!F11/'607a'!$C11*100</f>
        <v>60.94339049931704</v>
      </c>
      <c r="W10" s="62"/>
      <c r="X10" s="62"/>
      <c r="Y10" s="62"/>
    </row>
    <row r="11" spans="1:25" ht="15" customHeight="1">
      <c r="A11" s="64">
        <v>1977</v>
      </c>
      <c r="B11" s="28">
        <f>'600a'!D12/'600a'!$C12*100</f>
        <v>21.716767935188145</v>
      </c>
      <c r="C11" s="28">
        <f>'600a'!E12/'600a'!$C12*100</f>
        <v>32.841648011939022</v>
      </c>
      <c r="D11" s="28">
        <f>'600a'!F12/'600a'!$C12*100</f>
        <v>45.441584052872827</v>
      </c>
      <c r="E11" s="28">
        <f>'601a'!D12/'601a'!$C12*100</f>
        <v>49.334073251942286</v>
      </c>
      <c r="F11" s="28">
        <f>'601a'!E12/'601a'!$C12*100</f>
        <v>19.422863485016649</v>
      </c>
      <c r="G11" s="28">
        <f>'601a'!F12/'601a'!$C12*100</f>
        <v>31.243063263041066</v>
      </c>
      <c r="H11" s="31">
        <f>'602a'!D12/'602a'!$C12*100</f>
        <v>53.334423982909982</v>
      </c>
      <c r="I11" s="31">
        <f>'602a'!E12/'602a'!$C12*100</f>
        <v>21.109048360824815</v>
      </c>
      <c r="J11" s="31">
        <f>'602a'!F12/'602a'!$C12*100</f>
        <v>25.556527656265192</v>
      </c>
      <c r="K11" s="139">
        <f>'604a'!D12/'604a'!$C12*100</f>
        <v>7.9017567647232223</v>
      </c>
      <c r="L11" s="139">
        <f>'604a'!E12/'604a'!$C12*100</f>
        <v>56.356481754406651</v>
      </c>
      <c r="M11" s="139">
        <f>'604a'!F12/'604a'!$C12*100</f>
        <v>35.741761480870125</v>
      </c>
      <c r="N11" s="31">
        <f>'604a'!D12/'604a'!$C12*100</f>
        <v>7.9017567647232223</v>
      </c>
      <c r="O11" s="31">
        <f>'604a'!E12/'604a'!$C12*100</f>
        <v>56.356481754406651</v>
      </c>
      <c r="P11" s="31">
        <f>'604a'!F12/'604a'!$C12*100</f>
        <v>35.741761480870125</v>
      </c>
      <c r="Q11" s="31">
        <f>'606a'!D12/'606a'!$C12*100</f>
        <v>50.935098848024772</v>
      </c>
      <c r="R11" s="31">
        <f>'606a'!E12/'606a'!$C12*100</f>
        <v>21.017250742371196</v>
      </c>
      <c r="S11" s="31">
        <f>'606a'!F12/'606a'!$C12*100</f>
        <v>28.047650409604032</v>
      </c>
      <c r="T11" s="31">
        <f>'607a'!D12/'607a'!$C12*100</f>
        <v>5.539532468600747</v>
      </c>
      <c r="U11" s="31">
        <f>'607a'!E12/'607a'!$C12*100</f>
        <v>33.463403098025303</v>
      </c>
      <c r="V11" s="31">
        <f>'607a'!F12/'607a'!$C12*100</f>
        <v>60.99706443337395</v>
      </c>
      <c r="W11" s="62"/>
      <c r="X11" s="62"/>
      <c r="Y11" s="62"/>
    </row>
    <row r="12" spans="1:25" ht="15" customHeight="1">
      <c r="A12" s="64">
        <v>1978</v>
      </c>
      <c r="B12" s="28">
        <f>'600a'!D13/'600a'!$C13*100</f>
        <v>21.709714337006037</v>
      </c>
      <c r="C12" s="28">
        <f>'600a'!E13/'600a'!$C13*100</f>
        <v>34.851782869196413</v>
      </c>
      <c r="D12" s="28">
        <f>'600a'!F13/'600a'!$C13*100</f>
        <v>43.438502793797547</v>
      </c>
      <c r="E12" s="28">
        <f>'601a'!D13/'601a'!$C13*100</f>
        <v>42.503639010189225</v>
      </c>
      <c r="F12" s="28">
        <f>'601a'!E13/'601a'!$C13*100</f>
        <v>19.50509461426492</v>
      </c>
      <c r="G12" s="28">
        <f>'601a'!F13/'601a'!$C13*100</f>
        <v>37.991266375545848</v>
      </c>
      <c r="H12" s="31">
        <f>'602a'!D13/'602a'!$C13*100</f>
        <v>53.97766681264892</v>
      </c>
      <c r="I12" s="31">
        <f>'602a'!E13/'602a'!$C13*100</f>
        <v>20.844168498429472</v>
      </c>
      <c r="J12" s="31">
        <f>'602a'!F13/'602a'!$C13*100</f>
        <v>25.17816468892163</v>
      </c>
      <c r="K12" s="139">
        <f>'604a'!D13/'604a'!$C13*100</f>
        <v>7.6378354143507288</v>
      </c>
      <c r="L12" s="139">
        <f>'604a'!E13/'604a'!$C13*100</f>
        <v>56.480429428636356</v>
      </c>
      <c r="M12" s="139">
        <f>'604a'!F13/'604a'!$C13*100</f>
        <v>35.881735157012919</v>
      </c>
      <c r="N12" s="31">
        <f>'604a'!D13/'604a'!$C13*100</f>
        <v>7.6378354143507288</v>
      </c>
      <c r="O12" s="31">
        <f>'604a'!E13/'604a'!$C13*100</f>
        <v>56.480429428636356</v>
      </c>
      <c r="P12" s="31">
        <f>'604a'!F13/'604a'!$C13*100</f>
        <v>35.881735157012919</v>
      </c>
      <c r="Q12" s="31">
        <f>'606a'!D13/'606a'!$C13*100</f>
        <v>47.135347739577064</v>
      </c>
      <c r="R12" s="31">
        <f>'606a'!E13/'606a'!$C13*100</f>
        <v>21.777428161584378</v>
      </c>
      <c r="S12" s="31">
        <f>'606a'!F13/'606a'!$C13*100</f>
        <v>31.087224098838558</v>
      </c>
      <c r="T12" s="31">
        <f>'607a'!D13/'607a'!$C13*100</f>
        <v>5.0368138494964496</v>
      </c>
      <c r="U12" s="31">
        <f>'607a'!E13/'607a'!$C13*100</f>
        <v>33.677596889436536</v>
      </c>
      <c r="V12" s="31">
        <f>'607a'!F13/'607a'!$C13*100</f>
        <v>61.28558926106701</v>
      </c>
      <c r="W12" s="62"/>
      <c r="X12" s="62"/>
      <c r="Y12" s="62"/>
    </row>
    <row r="13" spans="1:25" ht="15" customHeight="1">
      <c r="A13" s="64">
        <v>1979</v>
      </c>
      <c r="B13" s="28">
        <f>'600a'!D14/'600a'!$C14*100</f>
        <v>22.557454114752147</v>
      </c>
      <c r="C13" s="28">
        <f>'600a'!E14/'600a'!$C14*100</f>
        <v>32.351509920762446</v>
      </c>
      <c r="D13" s="28">
        <f>'600a'!F14/'600a'!$C14*100</f>
        <v>45.091035964485414</v>
      </c>
      <c r="E13" s="28">
        <f>'601a'!D14/'601a'!$C14*100</f>
        <v>40.343818580833947</v>
      </c>
      <c r="F13" s="28">
        <f>'601a'!E14/'601a'!$C14*100</f>
        <v>20.190197512801756</v>
      </c>
      <c r="G13" s="28">
        <f>'601a'!F14/'601a'!$C14*100</f>
        <v>39.465983906364301</v>
      </c>
      <c r="H13" s="31">
        <f>'602a'!D14/'602a'!$C14*100</f>
        <v>53.794110335667092</v>
      </c>
      <c r="I13" s="31">
        <f>'602a'!E14/'602a'!$C14*100</f>
        <v>20.84608734690546</v>
      </c>
      <c r="J13" s="31">
        <f>'602a'!F14/'602a'!$C14*100</f>
        <v>25.359802317427455</v>
      </c>
      <c r="K13" s="139">
        <f>'604a'!D14/'604a'!$C14*100</f>
        <v>7.0557873664407538</v>
      </c>
      <c r="L13" s="139">
        <f>'604a'!E14/'604a'!$C14*100</f>
        <v>56.64938134632547</v>
      </c>
      <c r="M13" s="139">
        <f>'604a'!F14/'604a'!$C14*100</f>
        <v>36.294831287233791</v>
      </c>
      <c r="N13" s="31">
        <f>'604a'!D14/'604a'!$C14*100</f>
        <v>7.0557873664407538</v>
      </c>
      <c r="O13" s="31">
        <f>'604a'!E14/'604a'!$C14*100</f>
        <v>56.64938134632547</v>
      </c>
      <c r="P13" s="31">
        <f>'604a'!F14/'604a'!$C14*100</f>
        <v>36.294831287233791</v>
      </c>
      <c r="Q13" s="31">
        <f>'606a'!D14/'606a'!$C14*100</f>
        <v>39.493830897534849</v>
      </c>
      <c r="R13" s="31">
        <f>'606a'!E14/'606a'!$C14*100</f>
        <v>23.878381736993166</v>
      </c>
      <c r="S13" s="31">
        <f>'606a'!F14/'606a'!$C14*100</f>
        <v>36.627787365471988</v>
      </c>
      <c r="T13" s="31">
        <f>'607a'!D14/'607a'!$C14*100</f>
        <v>4.8989213348529823</v>
      </c>
      <c r="U13" s="31">
        <f>'607a'!E14/'607a'!$C14*100</f>
        <v>32.844634097955087</v>
      </c>
      <c r="V13" s="31">
        <f>'607a'!F14/'607a'!$C14*100</f>
        <v>62.256444567191934</v>
      </c>
      <c r="W13" s="67" t="s">
        <v>22</v>
      </c>
      <c r="X13" s="67" t="s">
        <v>22</v>
      </c>
      <c r="Y13" s="67" t="s">
        <v>22</v>
      </c>
    </row>
    <row r="14" spans="1:25" ht="15" customHeight="1">
      <c r="A14" s="64">
        <v>1980</v>
      </c>
      <c r="B14" s="28">
        <f>'600a'!D15/'600a'!$C15*100</f>
        <v>22.148650445419491</v>
      </c>
      <c r="C14" s="28">
        <f>'600a'!E15/'600a'!$C15*100</f>
        <v>27.496343571333597</v>
      </c>
      <c r="D14" s="28">
        <f>'600a'!F15/'600a'!$C15*100</f>
        <v>50.355005983246912</v>
      </c>
      <c r="E14" s="28">
        <f>'601a'!D15/'601a'!$C15*100</f>
        <v>40.577552843108066</v>
      </c>
      <c r="F14" s="28">
        <f>'601a'!E15/'601a'!$C15*100</f>
        <v>21.851741589758859</v>
      </c>
      <c r="G14" s="28">
        <f>'601a'!F15/'601a'!$C15*100</f>
        <v>37.570705567133075</v>
      </c>
      <c r="H14" s="31">
        <f>'602a'!D15/'602a'!$C15*100</f>
        <v>49.700619443707147</v>
      </c>
      <c r="I14" s="31">
        <f>'602a'!E15/'602a'!$C15*100</f>
        <v>22.604007597406401</v>
      </c>
      <c r="J14" s="31">
        <f>'602a'!F15/'602a'!$C15*100</f>
        <v>27.695372958886448</v>
      </c>
      <c r="K14" s="139">
        <f>'604a'!D15/'604a'!$C15*100</f>
        <v>6.550702199757902</v>
      </c>
      <c r="L14" s="139">
        <f>'604a'!E15/'604a'!$C15*100</f>
        <v>58.158305158066106</v>
      </c>
      <c r="M14" s="139">
        <f>'604a'!F15/'604a'!$C15*100</f>
        <v>35.290992642176008</v>
      </c>
      <c r="N14" s="31">
        <f>'604a'!D15/'604a'!$C15*100</f>
        <v>6.550702199757902</v>
      </c>
      <c r="O14" s="31">
        <f>'604a'!E15/'604a'!$C15*100</f>
        <v>58.158305158066106</v>
      </c>
      <c r="P14" s="31">
        <f>'604a'!F15/'604a'!$C15*100</f>
        <v>35.290992642176008</v>
      </c>
      <c r="Q14" s="31">
        <f>'606a'!D15/'606a'!$C15*100</f>
        <v>39.425867331054235</v>
      </c>
      <c r="R14" s="31">
        <f>'606a'!E15/'606a'!$C15*100</f>
        <v>24.70996801031427</v>
      </c>
      <c r="S14" s="31">
        <f>'606a'!F15/'606a'!$C15*100</f>
        <v>35.864164658631502</v>
      </c>
      <c r="T14" s="31">
        <f>'607a'!D15/'607a'!$C15*100</f>
        <v>5.2997410336270345</v>
      </c>
      <c r="U14" s="31">
        <f>'607a'!E15/'607a'!$C15*100</f>
        <v>34.425932143863349</v>
      </c>
      <c r="V14" s="31">
        <f>'607a'!F15/'607a'!$C15*100</f>
        <v>60.274326822509629</v>
      </c>
      <c r="W14" s="67" t="s">
        <v>22</v>
      </c>
      <c r="X14" s="67" t="s">
        <v>22</v>
      </c>
      <c r="Y14" s="67" t="s">
        <v>22</v>
      </c>
    </row>
    <row r="15" spans="1:25" ht="15" customHeight="1">
      <c r="A15" s="64">
        <v>1981</v>
      </c>
      <c r="B15" s="28">
        <f>'600a'!D16/'600a'!$C16*100</f>
        <v>22.084145170462492</v>
      </c>
      <c r="C15" s="28">
        <f>'600a'!E16/'600a'!$C16*100</f>
        <v>24.628264051385795</v>
      </c>
      <c r="D15" s="28">
        <f>'600a'!F16/'600a'!$C16*100</f>
        <v>53.287590778151717</v>
      </c>
      <c r="E15" s="28">
        <f>'601a'!D16/'601a'!$C16*100</f>
        <v>42.836041358936484</v>
      </c>
      <c r="F15" s="28">
        <f>'601a'!E16/'601a'!$C16*100</f>
        <v>17.223042836041358</v>
      </c>
      <c r="G15" s="28">
        <f>'601a'!F16/'601a'!$C16*100</f>
        <v>39.940915805022158</v>
      </c>
      <c r="H15" s="31">
        <f>'602a'!D16/'602a'!$C16*100</f>
        <v>49.674601192865566</v>
      </c>
      <c r="I15" s="31">
        <f>'602a'!E16/'602a'!$C16*100</f>
        <v>22.525688963622976</v>
      </c>
      <c r="J15" s="31">
        <f>'602a'!F16/'602a'!$C16*100</f>
        <v>27.799709843511465</v>
      </c>
      <c r="K15" s="139">
        <f>'604a'!D16/'604a'!$C16*100</f>
        <v>6.5010204150361348</v>
      </c>
      <c r="L15" s="139">
        <f>'604a'!E16/'604a'!$C16*100</f>
        <v>58.85605749348349</v>
      </c>
      <c r="M15" s="139">
        <f>'604a'!F16/'604a'!$C16*100</f>
        <v>34.642922091480379</v>
      </c>
      <c r="N15" s="31">
        <f>'604a'!D16/'604a'!$C16*100</f>
        <v>6.5010204150361348</v>
      </c>
      <c r="O15" s="31">
        <f>'604a'!E16/'604a'!$C16*100</f>
        <v>58.85605749348349</v>
      </c>
      <c r="P15" s="31">
        <f>'604a'!F16/'604a'!$C16*100</f>
        <v>34.642922091480379</v>
      </c>
      <c r="Q15" s="31">
        <f>'606a'!D16/'606a'!$C16*100</f>
        <v>42.981381466794033</v>
      </c>
      <c r="R15" s="31">
        <f>'606a'!E16/'606a'!$C16*100</f>
        <v>22.091228309486816</v>
      </c>
      <c r="S15" s="31">
        <f>'606a'!F16/'606a'!$C16*100</f>
        <v>34.927390223719158</v>
      </c>
      <c r="T15" s="31">
        <f>'607a'!D16/'607a'!$C16*100</f>
        <v>5.7674074848265411</v>
      </c>
      <c r="U15" s="31">
        <f>'607a'!E16/'607a'!$C16*100</f>
        <v>33.93927630252854</v>
      </c>
      <c r="V15" s="31">
        <f>'607a'!F16/'607a'!$C16*100</f>
        <v>60.293316212644918</v>
      </c>
      <c r="W15" s="67" t="s">
        <v>22</v>
      </c>
      <c r="X15" s="67" t="s">
        <v>22</v>
      </c>
      <c r="Y15" s="67" t="s">
        <v>22</v>
      </c>
    </row>
    <row r="16" spans="1:25" ht="15" customHeight="1">
      <c r="A16" s="64">
        <v>1982</v>
      </c>
      <c r="B16" s="28">
        <f>'600a'!D17/'600a'!$C17*100</f>
        <v>23.242852136162711</v>
      </c>
      <c r="C16" s="28">
        <f>'600a'!E17/'600a'!$C17*100</f>
        <v>22.678710727731115</v>
      </c>
      <c r="D16" s="28">
        <f>'600a'!F17/'600a'!$C17*100</f>
        <v>54.078437136106182</v>
      </c>
      <c r="E16" s="28">
        <f>'601a'!D17/'601a'!$C17*100</f>
        <v>45.435049019607845</v>
      </c>
      <c r="F16" s="28">
        <f>'601a'!E17/'601a'!$C17*100</f>
        <v>15.533088235294118</v>
      </c>
      <c r="G16" s="28">
        <f>'601a'!F17/'601a'!$C17*100</f>
        <v>39.031862745098039</v>
      </c>
      <c r="H16" s="31">
        <f>'602a'!D17/'602a'!$C17*100</f>
        <v>51.142001232231991</v>
      </c>
      <c r="I16" s="31">
        <f>'602a'!E17/'602a'!$C17*100</f>
        <v>21.790826688755949</v>
      </c>
      <c r="J16" s="31">
        <f>'602a'!F17/'602a'!$C17*100</f>
        <v>27.067172079012053</v>
      </c>
      <c r="K16" s="139">
        <f>'604a'!D17/'604a'!$C17*100</f>
        <v>6.4829865544956071</v>
      </c>
      <c r="L16" s="139">
        <f>'604a'!E17/'604a'!$C17*100</f>
        <v>57.694283782768721</v>
      </c>
      <c r="M16" s="139">
        <f>'604a'!F17/'604a'!$C17*100</f>
        <v>35.822729662735668</v>
      </c>
      <c r="N16" s="31">
        <f>'604a'!D17/'604a'!$C17*100</f>
        <v>6.4829865544956071</v>
      </c>
      <c r="O16" s="31">
        <f>'604a'!E17/'604a'!$C17*100</f>
        <v>57.694283782768721</v>
      </c>
      <c r="P16" s="31">
        <f>'604a'!F17/'604a'!$C17*100</f>
        <v>35.822729662735668</v>
      </c>
      <c r="Q16" s="31">
        <f>'606a'!D17/'606a'!$C17*100</f>
        <v>40.972176267107834</v>
      </c>
      <c r="R16" s="31">
        <f>'606a'!E17/'606a'!$C17*100</f>
        <v>21.242158386390603</v>
      </c>
      <c r="S16" s="31">
        <f>'606a'!F17/'606a'!$C17*100</f>
        <v>37.78566534650156</v>
      </c>
      <c r="T16" s="31">
        <f>'607a'!D17/'607a'!$C17*100</f>
        <v>6.2233270740867184</v>
      </c>
      <c r="U16" s="31">
        <f>'607a'!E17/'607a'!$C17*100</f>
        <v>34.388158643450552</v>
      </c>
      <c r="V16" s="31">
        <f>'607a'!F17/'607a'!$C17*100</f>
        <v>59.388514282462737</v>
      </c>
      <c r="W16" s="67" t="s">
        <v>22</v>
      </c>
      <c r="X16" s="67" t="s">
        <v>22</v>
      </c>
      <c r="Y16" s="67" t="s">
        <v>22</v>
      </c>
    </row>
    <row r="17" spans="1:25">
      <c r="A17" s="64">
        <v>1983</v>
      </c>
      <c r="B17" s="28">
        <f>'600a'!D18/'600a'!$C18*100</f>
        <v>24.74324109637687</v>
      </c>
      <c r="C17" s="28">
        <f>'600a'!E18/'600a'!$C18*100</f>
        <v>28.776622090143633</v>
      </c>
      <c r="D17" s="28">
        <f>'600a'!F18/'600a'!$C18*100</f>
        <v>46.48013681347949</v>
      </c>
      <c r="E17" s="28">
        <f>'601a'!D18/'601a'!$C18*100</f>
        <v>42.502787068004459</v>
      </c>
      <c r="F17" s="28">
        <f>'601a'!E18/'601a'!$C18*100</f>
        <v>19.286510590858416</v>
      </c>
      <c r="G17" s="28">
        <f>'601a'!F18/'601a'!$C18*100</f>
        <v>38.210702341137129</v>
      </c>
      <c r="H17" s="31">
        <f>'602a'!D18/'602a'!$C18*100</f>
        <v>47.623033121935102</v>
      </c>
      <c r="I17" s="31">
        <f>'602a'!E18/'602a'!$C18*100</f>
        <v>23.298071503993675</v>
      </c>
      <c r="J17" s="31">
        <f>'602a'!F18/'602a'!$C18*100</f>
        <v>29.078895374071216</v>
      </c>
      <c r="K17" s="139">
        <f>'604a'!D18/'604a'!$C18*100</f>
        <v>6.7702221179081246</v>
      </c>
      <c r="L17" s="139">
        <f>'604a'!E18/'604a'!$C18*100</f>
        <v>57.556222928713161</v>
      </c>
      <c r="M17" s="139">
        <f>'604a'!F18/'604a'!$C18*100</f>
        <v>35.673554953378712</v>
      </c>
      <c r="N17" s="31">
        <f>'604a'!D18/'604a'!$C18*100</f>
        <v>6.7702221179081246</v>
      </c>
      <c r="O17" s="31">
        <f>'604a'!E18/'604a'!$C18*100</f>
        <v>57.556222928713161</v>
      </c>
      <c r="P17" s="31">
        <f>'604a'!F18/'604a'!$C18*100</f>
        <v>35.673554953378712</v>
      </c>
      <c r="Q17" s="31">
        <f>'606a'!D18/'606a'!$C18*100</f>
        <v>41.320834911931215</v>
      </c>
      <c r="R17" s="31">
        <f>'606a'!E18/'606a'!$C18*100</f>
        <v>21.047102644847389</v>
      </c>
      <c r="S17" s="31">
        <f>'606a'!F18/'606a'!$C18*100</f>
        <v>37.6320624432214</v>
      </c>
      <c r="T17" s="31">
        <f>'607a'!D18/'607a'!$C18*100</f>
        <v>5.4665754049737618</v>
      </c>
      <c r="U17" s="31">
        <f>'607a'!E18/'607a'!$C18*100</f>
        <v>34.798409439066525</v>
      </c>
      <c r="V17" s="31">
        <f>'607a'!F18/'607a'!$C18*100</f>
        <v>59.735015155959701</v>
      </c>
      <c r="W17" s="67" t="s">
        <v>22</v>
      </c>
      <c r="X17" s="67" t="s">
        <v>22</v>
      </c>
      <c r="Y17" s="67" t="s">
        <v>22</v>
      </c>
    </row>
    <row r="18" spans="1:25">
      <c r="A18" s="64">
        <v>1984</v>
      </c>
      <c r="B18" s="28">
        <f>'600a'!D19/'600a'!$C19*100</f>
        <v>22.82518059855521</v>
      </c>
      <c r="C18" s="28">
        <f>'600a'!E19/'600a'!$C19*100</f>
        <v>26.470175438596488</v>
      </c>
      <c r="D18" s="28">
        <f>'600a'!F19/'600a'!$C19*100</f>
        <v>50.704643962848294</v>
      </c>
      <c r="E18" s="28">
        <f>'601a'!D19/'601a'!$C19*100</f>
        <v>39.43173943173943</v>
      </c>
      <c r="F18" s="28">
        <f>'601a'!E19/'601a'!$C19*100</f>
        <v>17.532917532917534</v>
      </c>
      <c r="G18" s="28">
        <f>'601a'!F19/'601a'!$C19*100</f>
        <v>43.03534303534304</v>
      </c>
      <c r="H18" s="31">
        <f>'602a'!D19/'602a'!$C19*100</f>
        <v>42.390391577105191</v>
      </c>
      <c r="I18" s="31">
        <f>'602a'!E19/'602a'!$C19*100</f>
        <v>25.546483756618603</v>
      </c>
      <c r="J18" s="31">
        <f>'602a'!F19/'602a'!$C19*100</f>
        <v>32.063124666276188</v>
      </c>
      <c r="K18" s="139">
        <f>'604a'!D19/'604a'!$C19*100</f>
        <v>6.2596158915638984</v>
      </c>
      <c r="L18" s="139">
        <f>'604a'!E19/'604a'!$C19*100</f>
        <v>56.169747746106921</v>
      </c>
      <c r="M18" s="139">
        <f>'604a'!F19/'604a'!$C19*100</f>
        <v>37.570636362329189</v>
      </c>
      <c r="N18" s="31">
        <f>'604a'!D19/'604a'!$C19*100</f>
        <v>6.2596158915638984</v>
      </c>
      <c r="O18" s="31">
        <f>'604a'!E19/'604a'!$C19*100</f>
        <v>56.169747746106921</v>
      </c>
      <c r="P18" s="31">
        <f>'604a'!F19/'604a'!$C19*100</f>
        <v>37.570636362329189</v>
      </c>
      <c r="Q18" s="31">
        <f>'606a'!D19/'606a'!$C19*100</f>
        <v>40.68815877535507</v>
      </c>
      <c r="R18" s="31">
        <f>'606a'!E19/'606a'!$C19*100</f>
        <v>21.389117871883577</v>
      </c>
      <c r="S18" s="31">
        <f>'606a'!F19/'606a'!$C19*100</f>
        <v>37.922723352761345</v>
      </c>
      <c r="T18" s="31">
        <f>'607a'!D19/'607a'!$C19*100</f>
        <v>6.5843899363786669</v>
      </c>
      <c r="U18" s="31">
        <f>'607a'!E19/'607a'!$C19*100</f>
        <v>32.592585444931203</v>
      </c>
      <c r="V18" s="31">
        <f>'607a'!F19/'607a'!$C19*100</f>
        <v>60.823024618690134</v>
      </c>
      <c r="W18" s="67" t="s">
        <v>22</v>
      </c>
      <c r="X18" s="67" t="s">
        <v>22</v>
      </c>
      <c r="Y18" s="67" t="s">
        <v>22</v>
      </c>
    </row>
    <row r="19" spans="1:25">
      <c r="A19" s="64">
        <v>1985</v>
      </c>
      <c r="B19" s="28">
        <f>'600a'!D20/'600a'!$C20*100</f>
        <v>21.140278851749404</v>
      </c>
      <c r="C19" s="28">
        <f>'600a'!E20/'600a'!$C20*100</f>
        <v>29.300957406949774</v>
      </c>
      <c r="D19" s="28">
        <f>'600a'!F20/'600a'!$C20*100</f>
        <v>49.55876374130083</v>
      </c>
      <c r="E19" s="28">
        <f>'601a'!D20/'601a'!$C20*100</f>
        <v>41.658834586466163</v>
      </c>
      <c r="F19" s="28">
        <f>'601a'!E20/'601a'!$C20*100</f>
        <v>15.272556390977442</v>
      </c>
      <c r="G19" s="28">
        <f>'601a'!F20/'601a'!$C20*100</f>
        <v>43.068609022556394</v>
      </c>
      <c r="H19" s="31">
        <f>'602a'!D20/'602a'!$C20*100</f>
        <v>41.625322658266619</v>
      </c>
      <c r="I19" s="31">
        <f>'602a'!E20/'602a'!$C20*100</f>
        <v>25.816598853742839</v>
      </c>
      <c r="J19" s="31">
        <f>'602a'!F20/'602a'!$C20*100</f>
        <v>32.558078487990549</v>
      </c>
      <c r="K19" s="139">
        <f>'604a'!D20/'604a'!$C20*100</f>
        <v>5.4917883083493724</v>
      </c>
      <c r="L19" s="139">
        <f>'604a'!E20/'604a'!$C20*100</f>
        <v>53.851958743851014</v>
      </c>
      <c r="M19" s="139">
        <f>'604a'!F20/'604a'!$C20*100</f>
        <v>40.656252947799608</v>
      </c>
      <c r="N19" s="31">
        <f>'604a'!D20/'604a'!$C20*100</f>
        <v>5.4917883083493724</v>
      </c>
      <c r="O19" s="31">
        <f>'604a'!E20/'604a'!$C20*100</f>
        <v>53.851958743851014</v>
      </c>
      <c r="P19" s="31">
        <f>'604a'!F20/'604a'!$C20*100</f>
        <v>40.656252947799608</v>
      </c>
      <c r="Q19" s="31">
        <f>'606a'!D20/'606a'!$C20*100</f>
        <v>42.890472426628179</v>
      </c>
      <c r="R19" s="31">
        <f>'606a'!E20/'606a'!$C20*100</f>
        <v>20.008441068435772</v>
      </c>
      <c r="S19" s="31">
        <f>'606a'!F20/'606a'!$C20*100</f>
        <v>37.101086504936049</v>
      </c>
      <c r="T19" s="31">
        <f>'607a'!D20/'607a'!$C20*100</f>
        <v>5.3419344670167916</v>
      </c>
      <c r="U19" s="31">
        <f>'607a'!E20/'607a'!$C20*100</f>
        <v>32.887796860135879</v>
      </c>
      <c r="V19" s="31">
        <f>'607a'!F20/'607a'!$C20*100</f>
        <v>61.77026867284733</v>
      </c>
      <c r="W19" s="67" t="s">
        <v>22</v>
      </c>
      <c r="X19" s="67" t="s">
        <v>22</v>
      </c>
      <c r="Y19" s="67" t="s">
        <v>22</v>
      </c>
    </row>
    <row r="20" spans="1:25">
      <c r="A20" s="64">
        <v>1986</v>
      </c>
      <c r="B20" s="28">
        <f>'600a'!D21/'600a'!$C21*100</f>
        <v>18.943263657122785</v>
      </c>
      <c r="C20" s="28">
        <f>'600a'!E21/'600a'!$C21*100</f>
        <v>29.778324257860529</v>
      </c>
      <c r="D20" s="28">
        <f>'600a'!F21/'600a'!$C21*100</f>
        <v>51.27841208501669</v>
      </c>
      <c r="E20" s="28">
        <f>'601a'!D21/'601a'!$C21*100</f>
        <v>41.25722543352601</v>
      </c>
      <c r="F20" s="28">
        <f>'601a'!E21/'601a'!$C21*100</f>
        <v>16.064547206165702</v>
      </c>
      <c r="G20" s="28">
        <f>'601a'!F21/'601a'!$C21*100</f>
        <v>42.678227360308284</v>
      </c>
      <c r="H20" s="31">
        <f>'602a'!D21/'602a'!$C21*100</f>
        <v>41.013920046556592</v>
      </c>
      <c r="I20" s="31">
        <f>'602a'!E21/'602a'!$C21*100</f>
        <v>25.903676656936081</v>
      </c>
      <c r="J20" s="31">
        <f>'602a'!F21/'602a'!$C21*100</f>
        <v>33.082403296507309</v>
      </c>
      <c r="K20" s="139">
        <f>'604a'!D21/'604a'!$C21*100</f>
        <v>5.237706120984706</v>
      </c>
      <c r="L20" s="139">
        <f>'604a'!E21/'604a'!$C21*100</f>
        <v>53.7457353498055</v>
      </c>
      <c r="M20" s="139">
        <f>'604a'!F21/'604a'!$C21*100</f>
        <v>41.016558529209796</v>
      </c>
      <c r="N20" s="31">
        <f>'604a'!D21/'604a'!$C21*100</f>
        <v>5.237706120984706</v>
      </c>
      <c r="O20" s="31">
        <f>'604a'!E21/'604a'!$C21*100</f>
        <v>53.7457353498055</v>
      </c>
      <c r="P20" s="31">
        <f>'604a'!F21/'604a'!$C21*100</f>
        <v>41.016558529209796</v>
      </c>
      <c r="Q20" s="31">
        <f>'606a'!D21/'606a'!$C21*100</f>
        <v>43.011561623037849</v>
      </c>
      <c r="R20" s="31">
        <f>'606a'!E21/'606a'!$C21*100</f>
        <v>19.005752256708622</v>
      </c>
      <c r="S20" s="31">
        <f>'606a'!F21/'606a'!$C21*100</f>
        <v>37.982686120253526</v>
      </c>
      <c r="T20" s="31">
        <f>'607a'!D21/'607a'!$C21*100</f>
        <v>5.0526125040711332</v>
      </c>
      <c r="U20" s="31">
        <f>'607a'!E21/'607a'!$C21*100</f>
        <v>30.747888520752369</v>
      </c>
      <c r="V20" s="31">
        <f>'607a'!F21/'607a'!$C21*100</f>
        <v>64.199498975176496</v>
      </c>
      <c r="W20" s="67" t="s">
        <v>22</v>
      </c>
      <c r="X20" s="67" t="s">
        <v>22</v>
      </c>
      <c r="Y20" s="67" t="s">
        <v>22</v>
      </c>
    </row>
    <row r="21" spans="1:25">
      <c r="A21" s="64">
        <v>1987</v>
      </c>
      <c r="B21" s="28">
        <f>'600a'!D22/'600a'!$C22*100</f>
        <v>19.70867320510704</v>
      </c>
      <c r="C21" s="28">
        <f>'600a'!E22/'600a'!$C22*100</f>
        <v>28.889053330221593</v>
      </c>
      <c r="D21" s="28">
        <f>'600a'!F22/'600a'!$C22*100</f>
        <v>51.402273464671353</v>
      </c>
      <c r="E21" s="28">
        <f>'601a'!D22/'601a'!$C22*100</f>
        <v>38.628318584070797</v>
      </c>
      <c r="F21" s="28">
        <f>'601a'!E22/'601a'!$C22*100</f>
        <v>17.544247787610619</v>
      </c>
      <c r="G21" s="28">
        <f>'601a'!F22/'601a'!$C22*100</f>
        <v>43.827433628318587</v>
      </c>
      <c r="H21" s="31">
        <f>'602a'!D22/'602a'!$C22*100</f>
        <v>39.376722142043377</v>
      </c>
      <c r="I21" s="31">
        <f>'602a'!E22/'602a'!$C22*100</f>
        <v>26.484697369400184</v>
      </c>
      <c r="J21" s="31">
        <f>'602a'!F22/'602a'!$C22*100</f>
        <v>34.138580488556428</v>
      </c>
      <c r="K21" s="139">
        <f>'604a'!D22/'604a'!$C22*100</f>
        <v>5.1692934102809627</v>
      </c>
      <c r="L21" s="139">
        <f>'604a'!E22/'604a'!$C22*100</f>
        <v>53.969962820147856</v>
      </c>
      <c r="M21" s="139">
        <f>'604a'!F22/'604a'!$C22*100</f>
        <v>40.860743769571187</v>
      </c>
      <c r="N21" s="31">
        <f>'604a'!D22/'604a'!$C22*100</f>
        <v>5.1692934102809627</v>
      </c>
      <c r="O21" s="31">
        <f>'604a'!E22/'604a'!$C22*100</f>
        <v>53.969962820147856</v>
      </c>
      <c r="P21" s="31">
        <f>'604a'!F22/'604a'!$C22*100</f>
        <v>40.860743769571187</v>
      </c>
      <c r="Q21" s="31">
        <f>'606a'!D22/'606a'!$C22*100</f>
        <v>41.474916771897604</v>
      </c>
      <c r="R21" s="31">
        <f>'606a'!E22/'606a'!$C22*100</f>
        <v>19.715022984432476</v>
      </c>
      <c r="S21" s="31">
        <f>'606a'!F22/'606a'!$C22*100</f>
        <v>38.810060243669916</v>
      </c>
      <c r="T21" s="31">
        <f>'607a'!D22/'607a'!$C22*100</f>
        <v>4.7875823793138945</v>
      </c>
      <c r="U21" s="31">
        <f>'607a'!E22/'607a'!$C22*100</f>
        <v>32.915587075126432</v>
      </c>
      <c r="V21" s="31">
        <f>'607a'!F22/'607a'!$C22*100</f>
        <v>62.296830545559679</v>
      </c>
      <c r="W21" s="67" t="s">
        <v>22</v>
      </c>
      <c r="X21" s="67" t="s">
        <v>22</v>
      </c>
      <c r="Y21" s="67" t="s">
        <v>22</v>
      </c>
    </row>
    <row r="22" spans="1:25">
      <c r="A22" s="64">
        <v>1988</v>
      </c>
      <c r="B22" s="28">
        <f>'600a'!D23/'600a'!$C23*100</f>
        <v>20.421487079885154</v>
      </c>
      <c r="C22" s="28">
        <f>'600a'!E23/'600a'!$C23*100</f>
        <v>24.968333051849349</v>
      </c>
      <c r="D22" s="28">
        <f>'600a'!F23/'600a'!$C23*100</f>
        <v>54.610179868265497</v>
      </c>
      <c r="E22" s="28">
        <f>'601a'!D23/'601a'!$C23*100</f>
        <v>35.777071254909295</v>
      </c>
      <c r="F22" s="28">
        <f>'601a'!E23/'601a'!$C23*100</f>
        <v>16.439124742846456</v>
      </c>
      <c r="G22" s="28">
        <f>'601a'!F23/'601a'!$C23*100</f>
        <v>47.783804002244253</v>
      </c>
      <c r="H22" s="31">
        <f>'602a'!D23/'602a'!$C23*100</f>
        <v>36.849245497679611</v>
      </c>
      <c r="I22" s="31">
        <f>'602a'!E23/'602a'!$C23*100</f>
        <v>27.382925673473558</v>
      </c>
      <c r="J22" s="31">
        <f>'602a'!F23/'602a'!$C23*100</f>
        <v>35.767828828846845</v>
      </c>
      <c r="K22" s="139">
        <f>'604a'!D23/'604a'!$C23*100</f>
        <v>4.726743073490038</v>
      </c>
      <c r="L22" s="139">
        <f>'604a'!E23/'604a'!$C23*100</f>
        <v>55.061780720746079</v>
      </c>
      <c r="M22" s="139">
        <f>'604a'!F23/'604a'!$C23*100</f>
        <v>40.21147620576388</v>
      </c>
      <c r="N22" s="31">
        <f>'604a'!D23/'604a'!$C23*100</f>
        <v>4.726743073490038</v>
      </c>
      <c r="O22" s="31">
        <f>'604a'!E23/'604a'!$C23*100</f>
        <v>55.061780720746079</v>
      </c>
      <c r="P22" s="31">
        <f>'604a'!F23/'604a'!$C23*100</f>
        <v>40.21147620576388</v>
      </c>
      <c r="Q22" s="31">
        <f>'606a'!D23/'606a'!$C23*100</f>
        <v>39.263608552761454</v>
      </c>
      <c r="R22" s="31">
        <f>'606a'!E23/'606a'!$C23*100</f>
        <v>19.97012016505122</v>
      </c>
      <c r="S22" s="31">
        <f>'606a'!F23/'606a'!$C23*100</f>
        <v>40.766271282187333</v>
      </c>
      <c r="T22" s="31">
        <f>'607a'!D23/'607a'!$C23*100</f>
        <v>4.2945417496266796</v>
      </c>
      <c r="U22" s="31">
        <f>'607a'!E23/'607a'!$C23*100</f>
        <v>33.855268479342961</v>
      </c>
      <c r="V22" s="31">
        <f>'607a'!F23/'607a'!$C23*100</f>
        <v>61.850189771030358</v>
      </c>
      <c r="W22" s="67" t="s">
        <v>22</v>
      </c>
      <c r="X22" s="67" t="s">
        <v>22</v>
      </c>
      <c r="Y22" s="67" t="s">
        <v>22</v>
      </c>
    </row>
    <row r="23" spans="1:25">
      <c r="A23" s="64">
        <v>1989</v>
      </c>
      <c r="B23" s="28">
        <f>'600a'!D24/'600a'!$C24*100</f>
        <v>21.175114589755275</v>
      </c>
      <c r="C23" s="28">
        <f>'600a'!E24/'600a'!$C24*100</f>
        <v>25.988688449888762</v>
      </c>
      <c r="D23" s="28">
        <f>'600a'!F24/'600a'!$C24*100</f>
        <v>52.836196960355963</v>
      </c>
      <c r="E23" s="28">
        <f>'601a'!D24/'601a'!$C24*100</f>
        <v>35.692797734914173</v>
      </c>
      <c r="F23" s="28">
        <f>'601a'!E24/'601a'!$C24*100</f>
        <v>18.26225446823571</v>
      </c>
      <c r="G23" s="28">
        <f>'601a'!F24/'601a'!$C24*100</f>
        <v>46.044947796850117</v>
      </c>
      <c r="H23" s="31">
        <f>'602a'!D24/'602a'!$C24*100</f>
        <v>37.09639690027192</v>
      </c>
      <c r="I23" s="31">
        <f>'602a'!E24/'602a'!$C24*100</f>
        <v>27.153927600313775</v>
      </c>
      <c r="J23" s="31">
        <f>'602a'!F24/'602a'!$C24*100</f>
        <v>35.749675499414316</v>
      </c>
      <c r="K23" s="139">
        <f>'604a'!D24/'604a'!$C24*100</f>
        <v>4.6469910685624729</v>
      </c>
      <c r="L23" s="139">
        <f>'604a'!E24/'604a'!$C24*100</f>
        <v>55.054926379913624</v>
      </c>
      <c r="M23" s="139">
        <f>'604a'!F24/'604a'!$C24*100</f>
        <v>40.298082551523891</v>
      </c>
      <c r="N23" s="31">
        <f>'604a'!D24/'604a'!$C24*100</f>
        <v>4.6469910685624729</v>
      </c>
      <c r="O23" s="31">
        <f>'604a'!E24/'604a'!$C24*100</f>
        <v>55.054926379913624</v>
      </c>
      <c r="P23" s="31">
        <f>'604a'!F24/'604a'!$C24*100</f>
        <v>40.298082551523891</v>
      </c>
      <c r="Q23" s="31">
        <f>'606a'!D24/'606a'!$C24*100</f>
        <v>38.932856393149912</v>
      </c>
      <c r="R23" s="31">
        <f>'606a'!E24/'606a'!$C24*100</f>
        <v>21.250965978132868</v>
      </c>
      <c r="S23" s="31">
        <f>'606a'!F24/'606a'!$C24*100</f>
        <v>39.816177628717213</v>
      </c>
      <c r="T23" s="31">
        <f>'607a'!D24/'607a'!$C24*100</f>
        <v>4.9265059119969772</v>
      </c>
      <c r="U23" s="31">
        <f>'607a'!E24/'607a'!$C24*100</f>
        <v>34.488389624051294</v>
      </c>
      <c r="V23" s="31">
        <f>'607a'!F24/'607a'!$C24*100</f>
        <v>60.585104463951723</v>
      </c>
      <c r="W23" s="67" t="s">
        <v>22</v>
      </c>
      <c r="X23" s="67" t="s">
        <v>22</v>
      </c>
      <c r="Y23" s="67" t="s">
        <v>22</v>
      </c>
    </row>
    <row r="24" spans="1:25">
      <c r="A24" s="64">
        <v>1990</v>
      </c>
      <c r="B24" s="28">
        <f>'600a'!D25/'600a'!$C25*100</f>
        <v>21.21515730621989</v>
      </c>
      <c r="C24" s="28">
        <f>'600a'!E25/'600a'!$C25*100</f>
        <v>26.245740331867573</v>
      </c>
      <c r="D24" s="28">
        <f>'600a'!F25/'600a'!$C25*100</f>
        <v>52.539102361912541</v>
      </c>
      <c r="E24" s="28">
        <f>'601a'!D25/'601a'!$C25*100</f>
        <v>38.66955110870741</v>
      </c>
      <c r="F24" s="28">
        <f>'601a'!E25/'601a'!$C25*100</f>
        <v>20.010816657652786</v>
      </c>
      <c r="G24" s="28">
        <f>'601a'!F25/'601a'!$C25*100</f>
        <v>41.319632233639801</v>
      </c>
      <c r="H24" s="31">
        <f>'602a'!D25/'602a'!$C25*100</f>
        <v>36.956187753411655</v>
      </c>
      <c r="I24" s="31">
        <f>'602a'!E25/'602a'!$C25*100</f>
        <v>27.090667103074672</v>
      </c>
      <c r="J24" s="31">
        <f>'602a'!F25/'602a'!$C25*100</f>
        <v>35.953145143513659</v>
      </c>
      <c r="K24" s="139">
        <f>'604a'!D25/'604a'!$C25*100</f>
        <v>4.422910387599428</v>
      </c>
      <c r="L24" s="139">
        <f>'604a'!E25/'604a'!$C25*100</f>
        <v>54.98607219618831</v>
      </c>
      <c r="M24" s="139">
        <f>'604a'!F25/'604a'!$C25*100</f>
        <v>40.59101741621226</v>
      </c>
      <c r="N24" s="31">
        <f>'604a'!D25/'604a'!$C25*100</f>
        <v>4.422910387599428</v>
      </c>
      <c r="O24" s="31">
        <f>'604a'!E25/'604a'!$C25*100</f>
        <v>54.98607219618831</v>
      </c>
      <c r="P24" s="31">
        <f>'604a'!F25/'604a'!$C25*100</f>
        <v>40.59101741621226</v>
      </c>
      <c r="Q24" s="31">
        <f>'606a'!D25/'606a'!$C25*100</f>
        <v>39.42888640863805</v>
      </c>
      <c r="R24" s="31">
        <f>'606a'!E25/'606a'!$C25*100</f>
        <v>22.910171482631839</v>
      </c>
      <c r="S24" s="31">
        <f>'606a'!F25/'606a'!$C25*100</f>
        <v>37.660942108730111</v>
      </c>
      <c r="T24" s="31">
        <f>'607a'!D25/'607a'!$C25*100</f>
        <v>5.0555917826084578</v>
      </c>
      <c r="U24" s="31">
        <f>'607a'!E25/'607a'!$C25*100</f>
        <v>33.160722081271594</v>
      </c>
      <c r="V24" s="31">
        <f>'607a'!F25/'607a'!$C25*100</f>
        <v>61.783686136119954</v>
      </c>
      <c r="W24" s="67" t="s">
        <v>22</v>
      </c>
      <c r="X24" s="67" t="s">
        <v>22</v>
      </c>
      <c r="Y24" s="67" t="s">
        <v>22</v>
      </c>
    </row>
    <row r="25" spans="1:25">
      <c r="A25" s="64">
        <v>1991</v>
      </c>
      <c r="B25" s="28">
        <f>'600a'!D26/'600a'!$C26*100</f>
        <v>22.870246051261937</v>
      </c>
      <c r="C25" s="28">
        <f>'600a'!E26/'600a'!$C26*100</f>
        <v>27.71584171858736</v>
      </c>
      <c r="D25" s="28">
        <f>'600a'!F26/'600a'!$C26*100</f>
        <v>49.413912230150707</v>
      </c>
      <c r="E25" s="28">
        <f>'601a'!D26/'601a'!$C26*100</f>
        <v>42.510862108392402</v>
      </c>
      <c r="F25" s="28">
        <f>'601a'!E26/'601a'!$C26*100</f>
        <v>17.036359478618799</v>
      </c>
      <c r="G25" s="28">
        <f>'601a'!F26/'601a'!$C26*100</f>
        <v>40.452778412988792</v>
      </c>
      <c r="H25" s="31">
        <f>'602a'!D26/'602a'!$C26*100</f>
        <v>31.52666187406124</v>
      </c>
      <c r="I25" s="31">
        <f>'602a'!E26/'602a'!$C26*100</f>
        <v>29.403338222729445</v>
      </c>
      <c r="J25" s="31">
        <f>'602a'!F26/'602a'!$C26*100</f>
        <v>39.069999903209315</v>
      </c>
      <c r="K25" s="139">
        <f>'604a'!D26/'604a'!$C26*100</f>
        <v>4.619375245924811</v>
      </c>
      <c r="L25" s="139">
        <f>'604a'!E26/'604a'!$C26*100</f>
        <v>55.485476269608711</v>
      </c>
      <c r="M25" s="139">
        <f>'604a'!F26/'604a'!$C26*100</f>
        <v>39.895148484466461</v>
      </c>
      <c r="N25" s="31">
        <f>'604a'!D26/'604a'!$C26*100</f>
        <v>4.619375245924811</v>
      </c>
      <c r="O25" s="31">
        <f>'604a'!E26/'604a'!$C26*100</f>
        <v>55.485476269608711</v>
      </c>
      <c r="P25" s="31">
        <f>'604a'!F26/'604a'!$C26*100</f>
        <v>39.895148484466461</v>
      </c>
      <c r="Q25" s="31">
        <f>'606a'!D26/'606a'!$C26*100</f>
        <v>39.511993686694602</v>
      </c>
      <c r="R25" s="31">
        <f>'606a'!E26/'606a'!$C26*100</f>
        <v>21.097522277057941</v>
      </c>
      <c r="S25" s="31">
        <f>'606a'!F26/'606a'!$C26*100</f>
        <v>39.390484036247464</v>
      </c>
      <c r="T25" s="31">
        <f>'607a'!D26/'607a'!$C26*100</f>
        <v>5.0562324015450821</v>
      </c>
      <c r="U25" s="31">
        <f>'607a'!E26/'607a'!$C26*100</f>
        <v>30.312047123909654</v>
      </c>
      <c r="V25" s="31">
        <f>'607a'!F26/'607a'!$C26*100</f>
        <v>64.631720474545261</v>
      </c>
      <c r="W25" s="67" t="s">
        <v>22</v>
      </c>
      <c r="X25" s="67" t="s">
        <v>22</v>
      </c>
      <c r="Y25" s="67" t="s">
        <v>22</v>
      </c>
    </row>
    <row r="26" spans="1:25">
      <c r="A26" s="64">
        <v>1992</v>
      </c>
      <c r="B26" s="28">
        <f>'600a'!D27/'600a'!$C27*100</f>
        <v>24.790600363417866</v>
      </c>
      <c r="C26" s="28">
        <f>'600a'!E27/'600a'!$C27*100</f>
        <v>32.347085779647152</v>
      </c>
      <c r="D26" s="28">
        <f>'600a'!F27/'600a'!$C27*100</f>
        <v>42.862313856934989</v>
      </c>
      <c r="E26" s="28">
        <f>'601a'!D27/'601a'!$C27*100</f>
        <v>33.715184186882304</v>
      </c>
      <c r="F26" s="28">
        <f>'601a'!E27/'601a'!$C27*100</f>
        <v>18.441150044923628</v>
      </c>
      <c r="G26" s="28">
        <f>'601a'!F27/'601a'!$C27*100</f>
        <v>47.843665768194072</v>
      </c>
      <c r="H26" s="31">
        <f>'602a'!D27/'602a'!$C27*100</f>
        <v>29.80022299629595</v>
      </c>
      <c r="I26" s="31">
        <f>'602a'!E27/'602a'!$C27*100</f>
        <v>30.364633102775368</v>
      </c>
      <c r="J26" s="31">
        <f>'602a'!F27/'602a'!$C27*100</f>
        <v>39.835143900928685</v>
      </c>
      <c r="K26" s="139">
        <f>'604a'!D27/'604a'!$C27*100</f>
        <v>4.4790811940466417</v>
      </c>
      <c r="L26" s="139">
        <f>'604a'!E27/'604a'!$C27*100</f>
        <v>54.634322910106548</v>
      </c>
      <c r="M26" s="139">
        <f>'604a'!F27/'604a'!$C27*100</f>
        <v>40.886595895846817</v>
      </c>
      <c r="N26" s="31">
        <f>'604a'!D27/'604a'!$C27*100</f>
        <v>4.4790811940466417</v>
      </c>
      <c r="O26" s="31">
        <f>'604a'!E27/'604a'!$C27*100</f>
        <v>54.634322910106548</v>
      </c>
      <c r="P26" s="31">
        <f>'604a'!F27/'604a'!$C27*100</f>
        <v>40.886595895846817</v>
      </c>
      <c r="Q26" s="31">
        <f>'606a'!D27/'606a'!$C27*100</f>
        <v>40.255799933095368</v>
      </c>
      <c r="R26" s="31">
        <f>'606a'!E27/'606a'!$C27*100</f>
        <v>17.833668469170565</v>
      </c>
      <c r="S26" s="31">
        <f>'606a'!F27/'606a'!$C27*100</f>
        <v>41.910531597734057</v>
      </c>
      <c r="T26" s="31">
        <f>'607a'!D27/'607a'!$C27*100</f>
        <v>5.2194126277500565</v>
      </c>
      <c r="U26" s="31">
        <f>'607a'!E27/'607a'!$C27*100</f>
        <v>29.616310395419831</v>
      </c>
      <c r="V26" s="31">
        <f>'607a'!F27/'607a'!$C27*100</f>
        <v>65.164276976830109</v>
      </c>
      <c r="W26" s="67" t="s">
        <v>22</v>
      </c>
      <c r="X26" s="67" t="s">
        <v>22</v>
      </c>
      <c r="Y26" s="67" t="s">
        <v>22</v>
      </c>
    </row>
    <row r="27" spans="1:25">
      <c r="A27" s="64">
        <v>1993</v>
      </c>
      <c r="B27" s="28">
        <f>'600a'!D28/'600a'!$C28*100</f>
        <v>25.282375340193664</v>
      </c>
      <c r="C27" s="28">
        <f>'600a'!E28/'600a'!$C28*100</f>
        <v>37.803838202142202</v>
      </c>
      <c r="D27" s="28">
        <f>'600a'!F28/'600a'!$C28*100</f>
        <v>36.913786457664145</v>
      </c>
      <c r="E27" s="28">
        <f>'601a'!D28/'601a'!$C28*100</f>
        <v>27.504410899823561</v>
      </c>
      <c r="F27" s="28">
        <f>'601a'!E28/'601a'!$C28*100</f>
        <v>19.858851205645951</v>
      </c>
      <c r="G27" s="28">
        <f>'601a'!F28/'601a'!$C28*100</f>
        <v>52.636737894530484</v>
      </c>
      <c r="H27" s="31">
        <f>'602a'!D28/'602a'!$C28*100</f>
        <v>26.768392391441715</v>
      </c>
      <c r="I27" s="31">
        <f>'602a'!E28/'602a'!$C28*100</f>
        <v>31.553803321755314</v>
      </c>
      <c r="J27" s="31">
        <f>'602a'!F28/'602a'!$C28*100</f>
        <v>41.677804286802974</v>
      </c>
      <c r="K27" s="139">
        <f>'604a'!D28/'604a'!$C28*100</f>
        <v>4.4542546156458327</v>
      </c>
      <c r="L27" s="139">
        <f>'604a'!E28/'604a'!$C28*100</f>
        <v>53.560079355150037</v>
      </c>
      <c r="M27" s="139">
        <f>'604a'!F28/'604a'!$C28*100</f>
        <v>41.985666029204125</v>
      </c>
      <c r="N27" s="31">
        <f>'604a'!D28/'604a'!$C28*100</f>
        <v>4.4542546156458327</v>
      </c>
      <c r="O27" s="31">
        <f>'604a'!E28/'604a'!$C28*100</f>
        <v>53.560079355150037</v>
      </c>
      <c r="P27" s="31">
        <f>'604a'!F28/'604a'!$C28*100</f>
        <v>41.985666029204125</v>
      </c>
      <c r="Q27" s="31">
        <f>'606a'!D28/'606a'!$C28*100</f>
        <v>35.188376790645094</v>
      </c>
      <c r="R27" s="31">
        <f>'606a'!E28/'606a'!$C28*100</f>
        <v>17.966679638998535</v>
      </c>
      <c r="S27" s="31">
        <f>'606a'!F28/'606a'!$C28*100</f>
        <v>46.844943570356371</v>
      </c>
      <c r="T27" s="31">
        <f>'607a'!D28/'607a'!$C28*100</f>
        <v>5.603668776176816</v>
      </c>
      <c r="U27" s="31">
        <f>'607a'!E28/'607a'!$C28*100</f>
        <v>27.806489048442813</v>
      </c>
      <c r="V27" s="31">
        <f>'607a'!F28/'607a'!$C28*100</f>
        <v>66.589842175380369</v>
      </c>
      <c r="W27" s="67" t="s">
        <v>22</v>
      </c>
      <c r="X27" s="67" t="s">
        <v>22</v>
      </c>
      <c r="Y27" s="67" t="s">
        <v>22</v>
      </c>
    </row>
    <row r="28" spans="1:25">
      <c r="A28" s="64">
        <v>1994</v>
      </c>
      <c r="B28" s="28">
        <f>'600a'!D29/'600a'!$C29*100</f>
        <v>22.019493836024644</v>
      </c>
      <c r="C28" s="28">
        <f>'600a'!E29/'600a'!$C29*100</f>
        <v>40.062320207608884</v>
      </c>
      <c r="D28" s="28">
        <f>'600a'!F29/'600a'!$C29*100</f>
        <v>37.918185956366472</v>
      </c>
      <c r="E28" s="28">
        <f>'601a'!D29/'601a'!$C29*100</f>
        <v>25.52828902522154</v>
      </c>
      <c r="F28" s="28">
        <f>'601a'!E29/'601a'!$C29*100</f>
        <v>21.421267893660531</v>
      </c>
      <c r="G28" s="28">
        <f>'601a'!F29/'601a'!$C29*100</f>
        <v>53.050443081117926</v>
      </c>
      <c r="H28" s="31">
        <f>'602a'!D29/'602a'!$C29*100</f>
        <v>33.80710406303303</v>
      </c>
      <c r="I28" s="31">
        <f>'602a'!E29/'602a'!$C29*100</f>
        <v>28.492438462142349</v>
      </c>
      <c r="J28" s="31">
        <f>'602a'!F29/'602a'!$C29*100</f>
        <v>37.700457474824603</v>
      </c>
      <c r="K28" s="139">
        <f>'604a'!D29/'604a'!$C29*100</f>
        <v>4.5615366977761145</v>
      </c>
      <c r="L28" s="139">
        <f>'604a'!E29/'604a'!$C29*100</f>
        <v>52.062779137543835</v>
      </c>
      <c r="M28" s="139">
        <f>'604a'!F29/'604a'!$C29*100</f>
        <v>43.375684164680038</v>
      </c>
      <c r="N28" s="31">
        <f>'604a'!D29/'604a'!$C29*100</f>
        <v>4.5615366977761145</v>
      </c>
      <c r="O28" s="31">
        <f>'604a'!E29/'604a'!$C29*100</f>
        <v>52.062779137543835</v>
      </c>
      <c r="P28" s="31">
        <f>'604a'!F29/'604a'!$C29*100</f>
        <v>43.375684164680038</v>
      </c>
      <c r="Q28" s="31">
        <f>'606a'!D29/'606a'!$C29*100</f>
        <v>35.869652718520065</v>
      </c>
      <c r="R28" s="31">
        <f>'606a'!E29/'606a'!$C29*100</f>
        <v>19.178567403519505</v>
      </c>
      <c r="S28" s="31">
        <f>'606a'!F29/'606a'!$C29*100</f>
        <v>44.951779877960426</v>
      </c>
      <c r="T28" s="31">
        <f>'607a'!D29/'607a'!$C29*100</f>
        <v>5.7097010774599699</v>
      </c>
      <c r="U28" s="31">
        <f>'607a'!E29/'607a'!$C29*100</f>
        <v>27.851692155231678</v>
      </c>
      <c r="V28" s="31">
        <f>'607a'!F29/'607a'!$C29*100</f>
        <v>66.438606767308357</v>
      </c>
      <c r="W28" s="67" t="s">
        <v>22</v>
      </c>
      <c r="X28" s="67" t="s">
        <v>22</v>
      </c>
      <c r="Y28" s="67" t="s">
        <v>22</v>
      </c>
    </row>
    <row r="29" spans="1:25">
      <c r="A29" s="64">
        <v>1995</v>
      </c>
      <c r="B29" s="28">
        <f>'600a'!D30/'600a'!$C30*100</f>
        <v>20.14641618728464</v>
      </c>
      <c r="C29" s="28">
        <f>'600a'!E30/'600a'!$C30*100</f>
        <v>27.20088199015402</v>
      </c>
      <c r="D29" s="28">
        <f>'600a'!F30/'600a'!$C30*100</f>
        <v>52.65270182256134</v>
      </c>
      <c r="E29" s="28">
        <f>'601a'!D30/'601a'!$C30*100</f>
        <v>24.673981359089769</v>
      </c>
      <c r="F29" s="28">
        <f>'601a'!E30/'601a'!$C30*100</f>
        <v>16.257387736005928</v>
      </c>
      <c r="G29" s="28">
        <f>'601a'!F30/'601a'!$C30*100</f>
        <v>59.06863090490431</v>
      </c>
      <c r="H29" s="31">
        <f>'602a'!D30/'602a'!$C30*100</f>
        <v>32.600007318014299</v>
      </c>
      <c r="I29" s="31">
        <f>'602a'!E30/'602a'!$C30*100</f>
        <v>27.519309578615434</v>
      </c>
      <c r="J29" s="31">
        <f>'602a'!F30/'602a'!$C30*100</f>
        <v>39.880683103370281</v>
      </c>
      <c r="K29" s="139">
        <f>'604a'!D30/'604a'!$C30*100</f>
        <v>3.7724188369085621</v>
      </c>
      <c r="L29" s="139">
        <f>'604a'!E30/'604a'!$C30*100</f>
        <v>49.056265650200764</v>
      </c>
      <c r="M29" s="139">
        <f>'604a'!F30/'604a'!$C30*100</f>
        <v>47.171315512890679</v>
      </c>
      <c r="N29" s="31">
        <f>'604a'!D30/'604a'!$C30*100</f>
        <v>3.7724188369085621</v>
      </c>
      <c r="O29" s="31">
        <f>'604a'!E30/'604a'!$C30*100</f>
        <v>49.056265650200764</v>
      </c>
      <c r="P29" s="31">
        <f>'604a'!F30/'604a'!$C30*100</f>
        <v>47.171315512890679</v>
      </c>
      <c r="Q29" s="31">
        <f>'606a'!D30/'606a'!$C30*100</f>
        <v>32.064083733445244</v>
      </c>
      <c r="R29" s="31">
        <f>'606a'!E30/'606a'!$C30*100</f>
        <v>15.319863241955591</v>
      </c>
      <c r="S29" s="31">
        <f>'606a'!F30/'606a'!$C30*100</f>
        <v>52.616053024599161</v>
      </c>
      <c r="T29" s="31">
        <f>'607a'!D30/'607a'!$C30*100</f>
        <v>5.2059197024500916</v>
      </c>
      <c r="U29" s="31">
        <f>'607a'!E30/'607a'!$C30*100</f>
        <v>28.097371762850798</v>
      </c>
      <c r="V29" s="31">
        <f>'607a'!F30/'607a'!$C30*100</f>
        <v>66.696708534699113</v>
      </c>
      <c r="W29" s="67" t="s">
        <v>22</v>
      </c>
      <c r="X29" s="67" t="s">
        <v>22</v>
      </c>
      <c r="Y29" s="67" t="s">
        <v>22</v>
      </c>
    </row>
    <row r="30" spans="1:25">
      <c r="A30" s="64">
        <v>1996</v>
      </c>
      <c r="B30" s="28">
        <f>'600a'!D31/'600a'!$C31*100</f>
        <v>21.333198225935945</v>
      </c>
      <c r="C30" s="28">
        <f>'600a'!E31/'600a'!$C31*100</f>
        <v>31.022737016049202</v>
      </c>
      <c r="D30" s="28">
        <f>'600a'!F31/'600a'!$C31*100</f>
        <v>47.644064758014856</v>
      </c>
      <c r="E30" s="28">
        <f>'601a'!D31/'601a'!$C31*100</f>
        <v>28.836474527507139</v>
      </c>
      <c r="F30" s="28">
        <f>'601a'!E31/'601a'!$C31*100</f>
        <v>15.796673295552516</v>
      </c>
      <c r="G30" s="28">
        <f>'601a'!F31/'601a'!$C31*100</f>
        <v>55.366852176940348</v>
      </c>
      <c r="H30" s="31">
        <f>'602a'!D31/'602a'!$C31*100</f>
        <v>29.733424949517612</v>
      </c>
      <c r="I30" s="31">
        <f>'602a'!E31/'602a'!$C31*100</f>
        <v>29.290477058559567</v>
      </c>
      <c r="J30" s="31">
        <f>'602a'!F31/'602a'!$C31*100</f>
        <v>40.976097991922813</v>
      </c>
      <c r="K30" s="139">
        <f>'604a'!D31/'604a'!$C31*100</f>
        <v>4.5530678448858373</v>
      </c>
      <c r="L30" s="139">
        <f>'604a'!E31/'604a'!$C31*100</f>
        <v>50.852846928791408</v>
      </c>
      <c r="M30" s="139">
        <f>'604a'!F31/'604a'!$C31*100</f>
        <v>44.594085226322747</v>
      </c>
      <c r="N30" s="31">
        <f>'604a'!D31/'604a'!$C31*100</f>
        <v>4.5530678448858373</v>
      </c>
      <c r="O30" s="31">
        <f>'604a'!E31/'604a'!$C31*100</f>
        <v>50.852846928791408</v>
      </c>
      <c r="P30" s="31">
        <f>'604a'!F31/'604a'!$C31*100</f>
        <v>44.594085226322747</v>
      </c>
      <c r="Q30" s="31">
        <f>'606a'!D31/'606a'!$C31*100</f>
        <v>36.175064684471344</v>
      </c>
      <c r="R30" s="31">
        <f>'606a'!E31/'606a'!$C31*100</f>
        <v>18.431785291409025</v>
      </c>
      <c r="S30" s="31">
        <f>'606a'!F31/'606a'!$C31*100</f>
        <v>45.393150024119635</v>
      </c>
      <c r="T30" s="31">
        <f>'607a'!D31/'607a'!$C31*100</f>
        <v>4.6422552703031501</v>
      </c>
      <c r="U30" s="31">
        <f>'607a'!E31/'607a'!$C31*100</f>
        <v>29.389207577474171</v>
      </c>
      <c r="V30" s="31">
        <f>'607a'!F31/'607a'!$C31*100</f>
        <v>65.96853715222268</v>
      </c>
      <c r="W30" s="67" t="s">
        <v>22</v>
      </c>
      <c r="X30" s="67" t="s">
        <v>22</v>
      </c>
      <c r="Y30" s="67" t="s">
        <v>22</v>
      </c>
    </row>
    <row r="31" spans="1:25">
      <c r="A31" s="64">
        <v>1997</v>
      </c>
      <c r="B31" s="28">
        <f>'600a'!D32/'600a'!$C32*100</f>
        <v>21.456658185567498</v>
      </c>
      <c r="C31" s="28">
        <f>'600a'!E32/'600a'!$C32*100</f>
        <v>36.058915543149716</v>
      </c>
      <c r="D31" s="28">
        <f>'600a'!F32/'600a'!$C32*100</f>
        <v>42.484426271282793</v>
      </c>
      <c r="E31" s="28">
        <f>'601a'!D32/'601a'!$C32*100</f>
        <v>30.030425562741197</v>
      </c>
      <c r="F31" s="28">
        <f>'601a'!E32/'601a'!$C32*100</f>
        <v>19.699051817118807</v>
      </c>
      <c r="G31" s="28">
        <f>'601a'!F32/'601a'!$C32*100</f>
        <v>50.27052262014</v>
      </c>
      <c r="H31" s="31">
        <f>'602a'!D32/'602a'!$C32*100</f>
        <v>30.868098473905007</v>
      </c>
      <c r="I31" s="31">
        <f>'602a'!E32/'602a'!$C32*100</f>
        <v>27.931103657249277</v>
      </c>
      <c r="J31" s="31">
        <f>'602a'!F32/'602a'!$C32*100</f>
        <v>41.200797868845704</v>
      </c>
      <c r="K31" s="139">
        <f>'604a'!D32/'604a'!$C32*100</f>
        <v>4.6513117467739251</v>
      </c>
      <c r="L31" s="139">
        <f>'604a'!E32/'604a'!$C32*100</f>
        <v>51.196654930634644</v>
      </c>
      <c r="M31" s="139">
        <f>'604a'!F32/'604a'!$C32*100</f>
        <v>44.152033322591429</v>
      </c>
      <c r="N31" s="31">
        <f>'604a'!D32/'604a'!$C32*100</f>
        <v>4.6513117467739251</v>
      </c>
      <c r="O31" s="31">
        <f>'604a'!E32/'604a'!$C32*100</f>
        <v>51.196654930634644</v>
      </c>
      <c r="P31" s="31">
        <f>'604a'!F32/'604a'!$C32*100</f>
        <v>44.152033322591429</v>
      </c>
      <c r="Q31" s="31">
        <f>'606a'!D32/'606a'!$C32*100</f>
        <v>36.193017888055394</v>
      </c>
      <c r="R31" s="31">
        <f>'606a'!E32/'606a'!$C32*100</f>
        <v>20.724177726485863</v>
      </c>
      <c r="S31" s="31">
        <f>'606a'!F32/'606a'!$C32*100</f>
        <v>43.082804385458736</v>
      </c>
      <c r="T31" s="31">
        <f>'607a'!D32/'607a'!$C32*100</f>
        <v>4.1720804377108394</v>
      </c>
      <c r="U31" s="31">
        <f>'607a'!E32/'607a'!$C32*100</f>
        <v>32.601679560381925</v>
      </c>
      <c r="V31" s="31">
        <f>'607a'!F32/'607a'!$C32*100</f>
        <v>63.226240001907243</v>
      </c>
      <c r="W31" s="67" t="s">
        <v>22</v>
      </c>
      <c r="X31" s="67" t="s">
        <v>22</v>
      </c>
      <c r="Y31" s="67" t="s">
        <v>22</v>
      </c>
    </row>
    <row r="32" spans="1:25">
      <c r="A32" s="64">
        <v>1998</v>
      </c>
      <c r="B32" s="28">
        <f>'600a'!D33/'600a'!$C33*100</f>
        <v>21.729151600502416</v>
      </c>
      <c r="C32" s="28">
        <f>'600a'!E33/'600a'!$C33*100</f>
        <v>34.761161648841011</v>
      </c>
      <c r="D32" s="28">
        <f>'600a'!F33/'600a'!$C33*100</f>
        <v>43.509686750656563</v>
      </c>
      <c r="E32" s="28">
        <f>'601a'!D33/'601a'!$C33*100</f>
        <v>27.884358685808223</v>
      </c>
      <c r="F32" s="28">
        <f>'601a'!E33/'601a'!$C33*100</f>
        <v>17.56973388906701</v>
      </c>
      <c r="G32" s="28">
        <f>'601a'!F33/'601a'!$C33*100</f>
        <v>54.54590742512476</v>
      </c>
      <c r="H32" s="31">
        <f>'602a'!D33/'602a'!$C33*100</f>
        <v>30.688310442482308</v>
      </c>
      <c r="I32" s="31">
        <f>'602a'!E33/'602a'!$C33*100</f>
        <v>28.651698983571144</v>
      </c>
      <c r="J32" s="31">
        <f>'602a'!F33/'602a'!$C33*100</f>
        <v>40.659990573946558</v>
      </c>
      <c r="K32" s="139">
        <f>'604a'!D33/'604a'!$C33*100</f>
        <v>4.3309687932679282</v>
      </c>
      <c r="L32" s="139">
        <f>'604a'!E33/'604a'!$C33*100</f>
        <v>50.482559197021494</v>
      </c>
      <c r="M32" s="139">
        <f>'604a'!F33/'604a'!$C33*100</f>
        <v>45.186472009710577</v>
      </c>
      <c r="N32" s="31">
        <f>'604a'!D33/'604a'!$C33*100</f>
        <v>4.3309687932679282</v>
      </c>
      <c r="O32" s="31">
        <f>'604a'!E33/'604a'!$C33*100</f>
        <v>50.482559197021494</v>
      </c>
      <c r="P32" s="31">
        <f>'604a'!F33/'604a'!$C33*100</f>
        <v>45.186472009710577</v>
      </c>
      <c r="Q32" s="31">
        <f>'606a'!D33/'606a'!$C33*100</f>
        <v>35.014687970194167</v>
      </c>
      <c r="R32" s="31">
        <f>'606a'!E33/'606a'!$C33*100</f>
        <v>19.92548541950276</v>
      </c>
      <c r="S32" s="31">
        <f>'606a'!F33/'606a'!$C33*100</f>
        <v>45.05982661030307</v>
      </c>
      <c r="T32" s="31">
        <f>'607a'!D33/'607a'!$C33*100</f>
        <v>4.0648983090327517</v>
      </c>
      <c r="U32" s="31">
        <f>'607a'!E33/'607a'!$C33*100</f>
        <v>34.720473537816495</v>
      </c>
      <c r="V32" s="31">
        <f>'607a'!F33/'607a'!$C33*100</f>
        <v>61.214628153150755</v>
      </c>
      <c r="W32" s="67" t="s">
        <v>22</v>
      </c>
      <c r="X32" s="67" t="s">
        <v>22</v>
      </c>
      <c r="Y32" s="67" t="s">
        <v>22</v>
      </c>
    </row>
    <row r="33" spans="1:25">
      <c r="A33" s="64">
        <v>1999</v>
      </c>
      <c r="B33" s="28">
        <f>'600a'!D34/'600a'!$C34*100</f>
        <v>19.027166810525621</v>
      </c>
      <c r="C33" s="28">
        <f>'600a'!E34/'600a'!$C34*100</f>
        <v>41.51734800348035</v>
      </c>
      <c r="D33" s="28">
        <f>'600a'!F34/'600a'!$C34*100</f>
        <v>39.455485185994036</v>
      </c>
      <c r="E33" s="28">
        <f>'601a'!D34/'601a'!$C34*100</f>
        <v>26.850708417980968</v>
      </c>
      <c r="F33" s="28">
        <f>'601a'!E34/'601a'!$C34*100</f>
        <v>16.962574403554139</v>
      </c>
      <c r="G33" s="28">
        <f>'601a'!F34/'601a'!$C34*100</f>
        <v>56.186717178464896</v>
      </c>
      <c r="H33" s="31">
        <f>'602a'!D34/'602a'!$C34*100</f>
        <v>30.007495627550597</v>
      </c>
      <c r="I33" s="31">
        <f>'602a'!E34/'602a'!$C34*100</f>
        <v>28.933122345298575</v>
      </c>
      <c r="J33" s="31">
        <f>'602a'!F34/'602a'!$C34*100</f>
        <v>41.059382027150832</v>
      </c>
      <c r="K33" s="139">
        <f>'604a'!D34/'604a'!$C34*100</f>
        <v>4.0604759512172839</v>
      </c>
      <c r="L33" s="139">
        <f>'604a'!E34/'604a'!$C34*100</f>
        <v>51.438267939524039</v>
      </c>
      <c r="M33" s="139">
        <f>'604a'!F34/'604a'!$C34*100</f>
        <v>44.501256109258669</v>
      </c>
      <c r="N33" s="31">
        <f>'604a'!D34/'604a'!$C34*100</f>
        <v>4.0604759512172839</v>
      </c>
      <c r="O33" s="31">
        <f>'604a'!E34/'604a'!$C34*100</f>
        <v>51.438267939524039</v>
      </c>
      <c r="P33" s="31">
        <f>'604a'!F34/'604a'!$C34*100</f>
        <v>44.501256109258669</v>
      </c>
      <c r="Q33" s="31">
        <f>'606a'!D34/'606a'!$C34*100</f>
        <v>34.686741136474012</v>
      </c>
      <c r="R33" s="31">
        <f>'606a'!E34/'606a'!$C34*100</f>
        <v>19.897314924026922</v>
      </c>
      <c r="S33" s="31">
        <f>'606a'!F34/'606a'!$C34*100</f>
        <v>45.415943939499066</v>
      </c>
      <c r="T33" s="31">
        <f>'607a'!D34/'607a'!$C34*100</f>
        <v>4.0694707992348169</v>
      </c>
      <c r="U33" s="31">
        <f>'607a'!E34/'607a'!$C34*100</f>
        <v>33.889442960355034</v>
      </c>
      <c r="V33" s="31">
        <f>'607a'!F34/'607a'!$C34*100</f>
        <v>62.041086240410145</v>
      </c>
      <c r="W33" s="67" t="s">
        <v>22</v>
      </c>
      <c r="X33" s="67" t="s">
        <v>22</v>
      </c>
      <c r="Y33" s="67" t="s">
        <v>22</v>
      </c>
    </row>
    <row r="34" spans="1:25">
      <c r="A34" s="64">
        <v>2000</v>
      </c>
      <c r="B34" s="28">
        <f>'600a'!D35/'600a'!$C35*100</f>
        <v>17.287259589314875</v>
      </c>
      <c r="C34" s="28">
        <f>'600a'!E35/'600a'!$C35*100</f>
        <v>37.676192718968551</v>
      </c>
      <c r="D34" s="28">
        <f>'600a'!F35/'600a'!$C35*100</f>
        <v>45.036547691716578</v>
      </c>
      <c r="E34" s="28">
        <f>'601a'!D35/'601a'!$C35*100</f>
        <v>25.974274359290213</v>
      </c>
      <c r="F34" s="28">
        <f>'601a'!E35/'601a'!$C35*100</f>
        <v>14.896408048771526</v>
      </c>
      <c r="G34" s="28">
        <f>'601a'!F35/'601a'!$C35*100</f>
        <v>59.129317591938268</v>
      </c>
      <c r="H34" s="31">
        <f>'602a'!D35/'602a'!$C35*100</f>
        <v>25.245324163381699</v>
      </c>
      <c r="I34" s="31">
        <f>'602a'!E35/'602a'!$C35*100</f>
        <v>30.10987167659146</v>
      </c>
      <c r="J34" s="31">
        <f>'602a'!F35/'602a'!$C35*100</f>
        <v>44.644804160026844</v>
      </c>
      <c r="K34" s="139">
        <f>'604a'!D35/'604a'!$C35*100</f>
        <v>3.3655376778585953</v>
      </c>
      <c r="L34" s="139">
        <f>'604a'!E35/'604a'!$C35*100</f>
        <v>51.662258467416066</v>
      </c>
      <c r="M34" s="139">
        <f>'604a'!F35/'604a'!$C35*100</f>
        <v>44.972203854725343</v>
      </c>
      <c r="N34" s="31">
        <f>'604a'!D35/'604a'!$C35*100</f>
        <v>3.3655376778585953</v>
      </c>
      <c r="O34" s="31">
        <f>'604a'!E35/'604a'!$C35*100</f>
        <v>51.662258467416066</v>
      </c>
      <c r="P34" s="31">
        <f>'604a'!F35/'604a'!$C35*100</f>
        <v>44.972203854725343</v>
      </c>
      <c r="Q34" s="31">
        <f>'606a'!D35/'606a'!$C35*100</f>
        <v>28.653357531760438</v>
      </c>
      <c r="R34" s="31">
        <f>'606a'!E35/'606a'!$C35*100</f>
        <v>18.595281306715066</v>
      </c>
      <c r="S34" s="31">
        <f>'606a'!F35/'606a'!$C35*100</f>
        <v>52.7513611615245</v>
      </c>
      <c r="T34" s="31">
        <f>'607a'!D35/'607a'!$C35*100</f>
        <v>4.2818321876097345</v>
      </c>
      <c r="U34" s="31">
        <f>'607a'!E35/'607a'!$C35*100</f>
        <v>35.748948918548706</v>
      </c>
      <c r="V34" s="31">
        <f>'607a'!F35/'607a'!$C35*100</f>
        <v>59.969218893841571</v>
      </c>
      <c r="W34" s="67" t="s">
        <v>22</v>
      </c>
      <c r="X34" s="67" t="s">
        <v>22</v>
      </c>
      <c r="Y34" s="67" t="s">
        <v>22</v>
      </c>
    </row>
    <row r="35" spans="1:25">
      <c r="A35" s="64">
        <v>2001</v>
      </c>
      <c r="B35" s="28">
        <f>'600a'!D36/'600a'!$C36*100</f>
        <v>17.106913204727981</v>
      </c>
      <c r="C35" s="28">
        <f>'600a'!E36/'600a'!$C36*100</f>
        <v>37.686771258571468</v>
      </c>
      <c r="D35" s="28">
        <f>'600a'!F36/'600a'!$C36*100</f>
        <v>45.206315536700551</v>
      </c>
      <c r="E35" s="28">
        <f>'601a'!D36/'601a'!$C36*100</f>
        <v>25.270550603886765</v>
      </c>
      <c r="F35" s="28">
        <f>'601a'!E36/'601a'!$C36*100</f>
        <v>15.217437415950075</v>
      </c>
      <c r="G35" s="28">
        <f>'601a'!F36/'601a'!$C36*100</f>
        <v>59.512011980163159</v>
      </c>
      <c r="H35" s="31">
        <f>'602a'!D36/'602a'!$C36*100</f>
        <v>29.562016377432197</v>
      </c>
      <c r="I35" s="31">
        <f>'602a'!E36/'602a'!$C36*100</f>
        <v>26.444294192772894</v>
      </c>
      <c r="J35" s="31">
        <f>'602a'!F36/'602a'!$C36*100</f>
        <v>43.993689429794905</v>
      </c>
      <c r="K35" s="139">
        <f>'604a'!D36/'604a'!$C36*100</f>
        <v>2.6520802794511038</v>
      </c>
      <c r="L35" s="139">
        <f>'604a'!E36/'604a'!$C36*100</f>
        <v>55.717071239009073</v>
      </c>
      <c r="M35" s="139">
        <f>'604a'!F36/'604a'!$C36*100</f>
        <v>41.630848481539815</v>
      </c>
      <c r="N35" s="31">
        <f>'604a'!D36/'604a'!$C36*100</f>
        <v>2.6520802794511038</v>
      </c>
      <c r="O35" s="31">
        <f>'604a'!E36/'604a'!$C36*100</f>
        <v>55.717071239009073</v>
      </c>
      <c r="P35" s="31">
        <f>'604a'!F36/'604a'!$C36*100</f>
        <v>41.630848481539815</v>
      </c>
      <c r="Q35" s="31">
        <f>'606a'!D36/'606a'!$C36*100</f>
        <v>28.650907298293387</v>
      </c>
      <c r="R35" s="31">
        <f>'606a'!E36/'606a'!$C36*100</f>
        <v>18.347848541045565</v>
      </c>
      <c r="S35" s="31">
        <f>'606a'!F36/'606a'!$C36*100</f>
        <v>53.001244160661045</v>
      </c>
      <c r="T35" s="31">
        <f>'607a'!D36/'607a'!$C36*100</f>
        <v>4.4334952113278936</v>
      </c>
      <c r="U35" s="31">
        <f>'607a'!E36/'607a'!$C36*100</f>
        <v>36.333636526725606</v>
      </c>
      <c r="V35" s="31">
        <f>'607a'!F36/'607a'!$C36*100</f>
        <v>59.2328682619465</v>
      </c>
      <c r="W35" s="67" t="s">
        <v>22</v>
      </c>
      <c r="X35" s="67" t="s">
        <v>22</v>
      </c>
      <c r="Y35" s="67" t="s">
        <v>22</v>
      </c>
    </row>
    <row r="36" spans="1:25">
      <c r="A36" s="64">
        <v>2002</v>
      </c>
      <c r="B36" s="28">
        <f>'600a'!D37/'600a'!$C37*100</f>
        <v>19.486672517510499</v>
      </c>
      <c r="C36" s="28">
        <f>'600a'!E37/'600a'!$C37*100</f>
        <v>40.617297649911059</v>
      </c>
      <c r="D36" s="28">
        <f>'600a'!F37/'600a'!$C37*100</f>
        <v>39.896029832578442</v>
      </c>
      <c r="E36" s="28">
        <f>'601a'!D37/'601a'!$C37*100</f>
        <v>28.068130399130858</v>
      </c>
      <c r="F36" s="28">
        <f>'601a'!E37/'601a'!$C37*100</f>
        <v>16.425875862195692</v>
      </c>
      <c r="G36" s="28">
        <f>'601a'!F37/'601a'!$C37*100</f>
        <v>55.505993738673453</v>
      </c>
      <c r="H36" s="31">
        <f>'602a'!D37/'602a'!$C37*100</f>
        <v>28.05231419844937</v>
      </c>
      <c r="I36" s="31">
        <f>'602a'!E37/'602a'!$C37*100</f>
        <v>28.130628866786751</v>
      </c>
      <c r="J36" s="31">
        <f>'602a'!F37/'602a'!$C37*100</f>
        <v>43.817056934763883</v>
      </c>
      <c r="K36" s="139">
        <f>'604a'!D37/'604a'!$C37*100</f>
        <v>2.8729179407695487</v>
      </c>
      <c r="L36" s="139">
        <f>'604a'!E37/'604a'!$C37*100</f>
        <v>54.73039911549742</v>
      </c>
      <c r="M36" s="139">
        <f>'604a'!F37/'604a'!$C37*100</f>
        <v>42.396682943733047</v>
      </c>
      <c r="N36" s="31">
        <f>'604a'!D37/'604a'!$C37*100</f>
        <v>2.8729179407695487</v>
      </c>
      <c r="O36" s="31">
        <f>'604a'!E37/'604a'!$C37*100</f>
        <v>54.73039911549742</v>
      </c>
      <c r="P36" s="31">
        <f>'604a'!F37/'604a'!$C37*100</f>
        <v>42.396682943733047</v>
      </c>
      <c r="Q36" s="31">
        <f>'606a'!D37/'606a'!$C37*100</f>
        <v>29.393669853976721</v>
      </c>
      <c r="R36" s="31">
        <f>'606a'!E37/'606a'!$C37*100</f>
        <v>20.388901242803843</v>
      </c>
      <c r="S36" s="31">
        <f>'606a'!F37/'606a'!$C37*100</f>
        <v>50.217428903219428</v>
      </c>
      <c r="T36" s="31">
        <f>'607a'!D37/'607a'!$C37*100</f>
        <v>4.6412086381427162</v>
      </c>
      <c r="U36" s="31">
        <f>'607a'!E37/'607a'!$C37*100</f>
        <v>37.68990785303891</v>
      </c>
      <c r="V36" s="31">
        <f>'607a'!F37/'607a'!$C37*100</f>
        <v>57.668883508818368</v>
      </c>
      <c r="W36" s="67" t="s">
        <v>22</v>
      </c>
      <c r="X36" s="67" t="s">
        <v>22</v>
      </c>
      <c r="Y36" s="67" t="s">
        <v>22</v>
      </c>
    </row>
    <row r="37" spans="1:25">
      <c r="A37" s="64">
        <v>2003</v>
      </c>
      <c r="B37" s="28">
        <f>'600a'!D38/'600a'!$C38*100</f>
        <v>19.270248944933876</v>
      </c>
      <c r="C37" s="28">
        <f>'600a'!E38/'600a'!$C38*100</f>
        <v>41.980049658687015</v>
      </c>
      <c r="D37" s="28">
        <f>'600a'!F38/'600a'!$C38*100</f>
        <v>38.749701396379116</v>
      </c>
      <c r="E37" s="28">
        <f>'601a'!D38/'601a'!$C38*100</f>
        <v>30.14586709886548</v>
      </c>
      <c r="F37" s="28">
        <f>'601a'!E38/'601a'!$C38*100</f>
        <v>17.715995511781575</v>
      </c>
      <c r="G37" s="28">
        <f>'601a'!F38/'601a'!$C38*100</f>
        <v>52.138137389352949</v>
      </c>
      <c r="H37" s="31">
        <f>'602a'!D38/'602a'!$C38*100</f>
        <v>21.289993192648062</v>
      </c>
      <c r="I37" s="31">
        <f>'602a'!E38/'602a'!$C38*100</f>
        <v>33.211368277739965</v>
      </c>
      <c r="J37" s="31">
        <f>'602a'!F38/'602a'!$C38*100</f>
        <v>45.498638529611981</v>
      </c>
      <c r="K37" s="139">
        <f>'604a'!D38/'604a'!$C38*100</f>
        <v>3.4909979976076451</v>
      </c>
      <c r="L37" s="139">
        <f>'604a'!E38/'604a'!$C38*100</f>
        <v>53.359681369864219</v>
      </c>
      <c r="M37" s="139">
        <f>'604a'!F38/'604a'!$C38*100</f>
        <v>43.149320632528138</v>
      </c>
      <c r="N37" s="31">
        <f>'604a'!D38/'604a'!$C38*100</f>
        <v>3.4909979976076451</v>
      </c>
      <c r="O37" s="31">
        <f>'604a'!E38/'604a'!$C38*100</f>
        <v>53.359681369864219</v>
      </c>
      <c r="P37" s="31">
        <f>'604a'!F38/'604a'!$C38*100</f>
        <v>43.149320632528138</v>
      </c>
      <c r="Q37" s="31">
        <f>'606a'!D38/'606a'!$C38*100</f>
        <v>31.121861604409062</v>
      </c>
      <c r="R37" s="31">
        <f>'606a'!E38/'606a'!$C38*100</f>
        <v>22.062461726883036</v>
      </c>
      <c r="S37" s="31">
        <f>'606a'!F38/'606a'!$C38*100</f>
        <v>46.815676668707901</v>
      </c>
      <c r="T37" s="31">
        <f>'607a'!D38/'607a'!$C38*100</f>
        <v>4.6917391998232203</v>
      </c>
      <c r="U37" s="31">
        <f>'607a'!E38/'607a'!$C38*100</f>
        <v>40.19712854634961</v>
      </c>
      <c r="V37" s="31">
        <f>'607a'!F38/'607a'!$C38*100</f>
        <v>55.111132253827179</v>
      </c>
      <c r="W37" s="67" t="s">
        <v>22</v>
      </c>
      <c r="X37" s="67" t="s">
        <v>22</v>
      </c>
      <c r="Y37" s="67" t="s">
        <v>22</v>
      </c>
    </row>
    <row r="38" spans="1:25">
      <c r="A38" s="64">
        <v>2004</v>
      </c>
      <c r="B38" s="28">
        <f>'600a'!D39/'600a'!$C39*100</f>
        <v>19.090763000578519</v>
      </c>
      <c r="C38" s="28">
        <f>'600a'!E39/'600a'!$C39*100</f>
        <v>45.445137237256546</v>
      </c>
      <c r="D38" s="28">
        <f>'600a'!F39/'600a'!$C39*100</f>
        <v>35.464099762164942</v>
      </c>
      <c r="E38" s="28">
        <f>'601a'!D39/'601a'!$C39*100</f>
        <v>30.634682658670663</v>
      </c>
      <c r="F38" s="28">
        <f>'601a'!E39/'601a'!$C39*100</f>
        <v>17.116441779110446</v>
      </c>
      <c r="G38" s="28">
        <f>'601a'!F39/'601a'!$C39*100</f>
        <v>52.248875562218885</v>
      </c>
      <c r="H38" s="31">
        <f>'602a'!D39/'602a'!$C39*100</f>
        <v>24.793388429752067</v>
      </c>
      <c r="I38" s="31">
        <f>'602a'!E39/'602a'!$C39*100</f>
        <v>29.682470639408436</v>
      </c>
      <c r="J38" s="31">
        <f>'602a'!F39/'602a'!$C39*100</f>
        <v>45.524140930839494</v>
      </c>
      <c r="K38" s="139">
        <f>'604a'!D39/'604a'!$C39*100</f>
        <v>3.200290717357078</v>
      </c>
      <c r="L38" s="139">
        <f>'604a'!E39/'604a'!$C39*100</f>
        <v>53.09457141902125</v>
      </c>
      <c r="M38" s="139">
        <f>'604a'!F39/'604a'!$C39*100</f>
        <v>43.705137863621687</v>
      </c>
      <c r="N38" s="31">
        <f>'604a'!D39/'604a'!$C39*100</f>
        <v>3.200290717357078</v>
      </c>
      <c r="O38" s="31">
        <f>'604a'!E39/'604a'!$C39*100</f>
        <v>53.09457141902125</v>
      </c>
      <c r="P38" s="31">
        <f>'604a'!F39/'604a'!$C39*100</f>
        <v>43.705137863621687</v>
      </c>
      <c r="Q38" s="31">
        <f>'606a'!D39/'606a'!$C39*100</f>
        <v>34.297838516961107</v>
      </c>
      <c r="R38" s="31">
        <f>'606a'!E39/'606a'!$C39*100</f>
        <v>22.013538114407321</v>
      </c>
      <c r="S38" s="31">
        <f>'606a'!F39/'606a'!$C39*100</f>
        <v>43.688623368631575</v>
      </c>
      <c r="T38" s="31">
        <f>'607a'!D39/'607a'!$C39*100</f>
        <v>5.0608908818407432</v>
      </c>
      <c r="U38" s="31">
        <f>'607a'!E39/'607a'!$C39*100</f>
        <v>41.068427152418344</v>
      </c>
      <c r="V38" s="31">
        <f>'607a'!F39/'607a'!$C39*100</f>
        <v>53.870681965740907</v>
      </c>
      <c r="W38" s="67"/>
      <c r="X38" s="67"/>
      <c r="Y38" s="67"/>
    </row>
    <row r="39" spans="1:25">
      <c r="A39" s="64">
        <v>2005</v>
      </c>
      <c r="B39" s="28">
        <f>'600a'!D40/'600a'!$C40*100</f>
        <v>19.91583535920865</v>
      </c>
      <c r="C39" s="28">
        <f>'600a'!E40/'600a'!$C40*100</f>
        <v>42.8317545477408</v>
      </c>
      <c r="D39" s="28">
        <f>'600a'!F40/'600a'!$C40*100</f>
        <v>37.25241009305055</v>
      </c>
      <c r="E39" s="28">
        <f>'601a'!D40/'601a'!$C40*100</f>
        <v>33.187285200246528</v>
      </c>
      <c r="F39" s="28">
        <f>'601a'!E40/'601a'!$C40*100</f>
        <v>18.19321952703012</v>
      </c>
      <c r="G39" s="28">
        <f>'601a'!F40/'601a'!$C40*100</f>
        <v>48.619495272723356</v>
      </c>
      <c r="H39" s="31">
        <f>'602a'!D40/'602a'!$C40*100</f>
        <v>25.348378202645609</v>
      </c>
      <c r="I39" s="31">
        <f>'602a'!E40/'602a'!$C40*100</f>
        <v>28.628835979775939</v>
      </c>
      <c r="J39" s="31">
        <f>'602a'!F40/'602a'!$C40*100</f>
        <v>46.022785817578438</v>
      </c>
      <c r="K39" s="139">
        <f>'604a'!D40/'604a'!$C40*100</f>
        <v>3.1454216866402005</v>
      </c>
      <c r="L39" s="139">
        <f>'604a'!E40/'604a'!$C40*100</f>
        <v>53.083156731306993</v>
      </c>
      <c r="M39" s="139">
        <f>'604a'!F40/'604a'!$C40*100</f>
        <v>43.771421582052803</v>
      </c>
      <c r="N39" s="31">
        <f>'604a'!D40/'604a'!$C40*100</f>
        <v>3.1454216866402005</v>
      </c>
      <c r="O39" s="31">
        <f>'604a'!E40/'604a'!$C40*100</f>
        <v>53.083156731306993</v>
      </c>
      <c r="P39" s="31">
        <f>'604a'!F40/'604a'!$C40*100</f>
        <v>43.771421582052803</v>
      </c>
      <c r="Q39" s="31">
        <f>'606a'!D40/'606a'!$C40*100</f>
        <v>20.300416418798335</v>
      </c>
      <c r="R39" s="31">
        <f>'606a'!E40/'606a'!$C40*100</f>
        <v>32.908982748364068</v>
      </c>
      <c r="S39" s="31">
        <f>'606a'!F40/'606a'!$C40*100</f>
        <v>46.790600832837598</v>
      </c>
      <c r="T39" s="31">
        <f>'607a'!D40/'607a'!$C40*100</f>
        <v>4.2739079826951896</v>
      </c>
      <c r="U39" s="31">
        <f>'607a'!E40/'607a'!$C40*100</f>
        <v>41.74501934599347</v>
      </c>
      <c r="V39" s="31">
        <f>'607a'!F40/'607a'!$C40*100</f>
        <v>53.981072671311345</v>
      </c>
      <c r="W39" s="67"/>
      <c r="X39" s="67"/>
      <c r="Y39" s="67"/>
    </row>
    <row r="40" spans="1:25">
      <c r="A40" s="64">
        <v>2006</v>
      </c>
      <c r="B40" s="28">
        <f>'600a'!D41/'600a'!$C41*100</f>
        <v>20.652269143157525</v>
      </c>
      <c r="C40" s="28">
        <f>'600a'!E41/'600a'!$C41*100</f>
        <v>40.535380526838388</v>
      </c>
      <c r="D40" s="28">
        <f>'600a'!F41/'600a'!$C41*100</f>
        <v>38.812350330004094</v>
      </c>
      <c r="E40" s="28">
        <f>'601a'!D41/'601a'!$C41*100</f>
        <v>30.93258833901794</v>
      </c>
      <c r="F40" s="28">
        <f>'601a'!E41/'601a'!$C41*100</f>
        <v>18.645181824057282</v>
      </c>
      <c r="G40" s="28">
        <f>'601a'!F41/'601a'!$C41*100</f>
        <v>50.422229836924778</v>
      </c>
      <c r="H40" s="31">
        <f>'602a'!D41/'602a'!$C41*100</f>
        <v>28.42024676073726</v>
      </c>
      <c r="I40" s="31">
        <f>'602a'!E41/'602a'!$C41*100</f>
        <v>28.416022291403891</v>
      </c>
      <c r="J40" s="31">
        <f>'602a'!F41/'602a'!$C41*100</f>
        <v>43.163730947858845</v>
      </c>
      <c r="K40" s="139">
        <f>'604a'!D41/'604a'!$C41*100</f>
        <v>3.2487054999501788</v>
      </c>
      <c r="L40" s="139">
        <f>'604a'!E41/'604a'!$C41*100</f>
        <v>53.314761939121567</v>
      </c>
      <c r="M40" s="139">
        <f>'604a'!F41/'604a'!$C41*100</f>
        <v>43.436532560928256</v>
      </c>
      <c r="N40" s="31">
        <f>'604a'!D41/'604a'!$C41*100</f>
        <v>3.2487054999501788</v>
      </c>
      <c r="O40" s="31">
        <f>'604a'!E41/'604a'!$C41*100</f>
        <v>53.314761939121567</v>
      </c>
      <c r="P40" s="31">
        <f>'604a'!F41/'604a'!$C41*100</f>
        <v>43.436532560928256</v>
      </c>
      <c r="Q40" s="31">
        <f>'606a'!D41/'606a'!$C41*100</f>
        <v>27.531019890274404</v>
      </c>
      <c r="R40" s="31">
        <f>'606a'!E41/'606a'!$C41*100</f>
        <v>31.045500983384699</v>
      </c>
      <c r="S40" s="31">
        <f>'606a'!F41/'606a'!$C41*100</f>
        <v>41.423479126340887</v>
      </c>
      <c r="T40" s="31">
        <f>'607a'!D41/'607a'!$C41*100</f>
        <v>4.4079492384862586</v>
      </c>
      <c r="U40" s="31">
        <f>'607a'!E41/'607a'!$C41*100</f>
        <v>42.857793112237928</v>
      </c>
      <c r="V40" s="31">
        <f>'607a'!F41/'607a'!$C41*100</f>
        <v>52.734257649275804</v>
      </c>
      <c r="W40" s="67"/>
      <c r="X40" s="67"/>
      <c r="Y40" s="67"/>
    </row>
    <row r="41" spans="1:25">
      <c r="A41" s="64">
        <v>2007</v>
      </c>
      <c r="B41" s="28">
        <f>'600a'!D42/'600a'!$C42*100</f>
        <v>21.407316646245402</v>
      </c>
      <c r="C41" s="28">
        <f>'600a'!E42/'600a'!$C42*100</f>
        <v>38.497673604467977</v>
      </c>
      <c r="D41" s="28">
        <f>'600a'!F42/'600a'!$C42*100</f>
        <v>40.095009749286618</v>
      </c>
      <c r="E41" s="28">
        <f>'601a'!D42/'601a'!$C42*100</f>
        <v>37.481086877712144</v>
      </c>
      <c r="F41" s="28">
        <f>'601a'!E42/'601a'!$C42*100</f>
        <v>18.918549295682922</v>
      </c>
      <c r="G41" s="28">
        <f>'601a'!F42/'601a'!$C42*100</f>
        <v>43.600363826604926</v>
      </c>
      <c r="H41" s="31">
        <f>'602a'!D42/'602a'!$C42*100</f>
        <v>30.627044878947906</v>
      </c>
      <c r="I41" s="31">
        <f>'602a'!E42/'602a'!$C42*100</f>
        <v>28.283158529005991</v>
      </c>
      <c r="J41" s="31">
        <f>'602a'!F42/'602a'!$C42*100</f>
        <v>41.089796592046106</v>
      </c>
      <c r="K41" s="139">
        <f>'604a'!D42/'604a'!$C42*100</f>
        <v>3.0052973312979403</v>
      </c>
      <c r="L41" s="139">
        <f>'604a'!E42/'604a'!$C42*100</f>
        <v>52.855968592105484</v>
      </c>
      <c r="M41" s="139">
        <f>'604a'!F42/'604a'!$C42*100</f>
        <v>44.138734076596563</v>
      </c>
      <c r="N41" s="31">
        <f>'604a'!D42/'604a'!$C42*100</f>
        <v>3.0052973312979403</v>
      </c>
      <c r="O41" s="31">
        <f>'604a'!E42/'604a'!$C42*100</f>
        <v>52.855968592105484</v>
      </c>
      <c r="P41" s="31">
        <f>'604a'!F42/'604a'!$C42*100</f>
        <v>44.138734076596563</v>
      </c>
      <c r="Q41" s="31">
        <f>'606a'!D42/'606a'!$C42*100</f>
        <v>27.007165623120716</v>
      </c>
      <c r="R41" s="31">
        <f>'606a'!E42/'606a'!$C42*100</f>
        <v>33.82580883729257</v>
      </c>
      <c r="S41" s="31">
        <f>'606a'!F42/'606a'!$C42*100</f>
        <v>39.167025539586731</v>
      </c>
      <c r="T41" s="31">
        <f>'607a'!D42/'607a'!$C42*100</f>
        <v>4.9651896237908399</v>
      </c>
      <c r="U41" s="31">
        <f>'607a'!E42/'607a'!$C42*100</f>
        <v>43.467540018055232</v>
      </c>
      <c r="V41" s="31">
        <f>'607a'!F42/'607a'!$C42*100</f>
        <v>51.567270358153927</v>
      </c>
      <c r="W41" s="67"/>
      <c r="X41" s="67"/>
      <c r="Y41" s="67"/>
    </row>
    <row r="43" spans="1:25">
      <c r="A43" s="66" t="s">
        <v>986</v>
      </c>
    </row>
    <row r="44" spans="1:25">
      <c r="A44" s="64" t="s">
        <v>1946</v>
      </c>
      <c r="B44" s="67">
        <f>(B41-B4)/B4*100</f>
        <v>-10.593148292143287</v>
      </c>
      <c r="C44" s="67">
        <f t="shared" ref="C44:V44" si="0">(C41-C4)/C4*100</f>
        <v>59.820096751175299</v>
      </c>
      <c r="D44" s="67">
        <f t="shared" si="0"/>
        <v>-22.846970834662987</v>
      </c>
      <c r="E44" s="67">
        <f t="shared" si="0"/>
        <v>-17.940724033404759</v>
      </c>
      <c r="F44" s="67">
        <f t="shared" si="0"/>
        <v>8.9513699743044608</v>
      </c>
      <c r="G44" s="67">
        <f t="shared" si="0"/>
        <v>17.965838102531375</v>
      </c>
      <c r="H44" s="67">
        <f t="shared" si="0"/>
        <v>-50.646419080688922</v>
      </c>
      <c r="I44" s="67">
        <f t="shared" si="0"/>
        <v>84.280456579521839</v>
      </c>
      <c r="J44" s="67">
        <f t="shared" si="0"/>
        <v>81.847589352600096</v>
      </c>
      <c r="K44" s="67">
        <f t="shared" si="0"/>
        <v>-70.780845899364181</v>
      </c>
      <c r="L44" s="67">
        <f t="shared" si="0"/>
        <v>-4.4331222596959883</v>
      </c>
      <c r="M44" s="67">
        <f t="shared" si="0"/>
        <v>28.284913927003856</v>
      </c>
      <c r="N44" s="67">
        <f t="shared" si="0"/>
        <v>-70.780845899364181</v>
      </c>
      <c r="O44" s="67">
        <f t="shared" si="0"/>
        <v>-4.4331222596959883</v>
      </c>
      <c r="P44" s="67">
        <f t="shared" si="0"/>
        <v>28.284913927003856</v>
      </c>
      <c r="Q44" s="67">
        <f t="shared" si="0"/>
        <v>-44.974620368774495</v>
      </c>
      <c r="R44" s="67">
        <f t="shared" si="0"/>
        <v>69.598195971380321</v>
      </c>
      <c r="S44" s="67">
        <f t="shared" si="0"/>
        <v>26.451152432197617</v>
      </c>
      <c r="T44" s="67">
        <f t="shared" si="0"/>
        <v>-3.9548876993120361</v>
      </c>
      <c r="U44" s="67">
        <f t="shared" si="0"/>
        <v>41.8035168393642</v>
      </c>
      <c r="V44" s="67">
        <f t="shared" si="0"/>
        <v>-19.648360747019201</v>
      </c>
      <c r="W44" s="67" t="s">
        <v>22</v>
      </c>
      <c r="X44" s="67" t="s">
        <v>22</v>
      </c>
      <c r="Y44" s="67" t="s">
        <v>22</v>
      </c>
    </row>
    <row r="46" spans="1:25">
      <c r="A46" s="64" t="s">
        <v>861</v>
      </c>
    </row>
  </sheetData>
  <mergeCells count="8">
    <mergeCell ref="Q2:S2"/>
    <mergeCell ref="T2:V2"/>
    <mergeCell ref="W2:Y2"/>
    <mergeCell ref="B2:D2"/>
    <mergeCell ref="E2:G2"/>
    <mergeCell ref="H2:J2"/>
    <mergeCell ref="K2:M2"/>
    <mergeCell ref="N2:P2"/>
  </mergeCells>
  <pageMargins left="0.7" right="0.7" top="0.75" bottom="0.75" header="0.3" footer="0.3"/>
  <pageSetup scale="50" orientation="landscape" horizontalDpi="0" verticalDpi="0" r:id="rId1"/>
</worksheet>
</file>

<file path=xl/worksheets/sheet16.xml><?xml version="1.0" encoding="utf-8"?>
<worksheet xmlns="http://schemas.openxmlformats.org/spreadsheetml/2006/main" xmlns:r="http://schemas.openxmlformats.org/officeDocument/2006/relationships">
  <sheetPr codeName="Sheet16"/>
  <dimension ref="A1:U76"/>
  <sheetViews>
    <sheetView view="pageBreakPreview" zoomScale="85" zoomScaleNormal="100"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0.5703125" style="64" customWidth="1"/>
    <col min="2" max="3" width="9.140625" style="64"/>
    <col min="4" max="4" width="10.85546875" style="64" customWidth="1"/>
    <col min="5" max="5" width="9.85546875" style="64" customWidth="1"/>
    <col min="6" max="6" width="9.140625" style="64"/>
    <col min="7" max="8" width="10.42578125" style="64" customWidth="1"/>
    <col min="9" max="9" width="9.140625" style="64"/>
    <col min="10" max="11" width="9.140625" style="64" hidden="1" customWidth="1" outlineLevel="1"/>
    <col min="12" max="16" width="10.140625" style="64" hidden="1" customWidth="1" outlineLevel="1"/>
    <col min="17" max="17" width="9.140625" style="64" hidden="1" customWidth="1" outlineLevel="1"/>
    <col min="18" max="18" width="9.140625" style="64" collapsed="1"/>
    <col min="19" max="16384" width="9.140625" style="64"/>
  </cols>
  <sheetData>
    <row r="1" spans="1:21" ht="15" customHeight="1">
      <c r="A1" s="278" t="s">
        <v>1954</v>
      </c>
      <c r="B1" s="278"/>
      <c r="C1" s="278"/>
      <c r="D1" s="278"/>
      <c r="E1" s="278"/>
      <c r="F1" s="278"/>
      <c r="G1" s="278"/>
      <c r="H1" s="278"/>
      <c r="I1" s="279"/>
      <c r="J1" s="279"/>
      <c r="K1" s="279"/>
      <c r="L1" s="279"/>
      <c r="M1" s="279"/>
      <c r="N1" s="279"/>
      <c r="O1" s="279"/>
      <c r="P1" s="279"/>
      <c r="Q1" s="280"/>
    </row>
    <row r="2" spans="1:21" ht="15" customHeight="1">
      <c r="A2" s="281"/>
      <c r="B2" s="94" t="s">
        <v>1220</v>
      </c>
      <c r="C2" s="94" t="s">
        <v>1221</v>
      </c>
      <c r="D2" s="94"/>
      <c r="E2" s="94"/>
      <c r="F2" s="94" t="s">
        <v>1222</v>
      </c>
      <c r="G2" s="94"/>
      <c r="H2" s="94"/>
      <c r="I2" s="117"/>
      <c r="J2" s="94" t="s">
        <v>1220</v>
      </c>
      <c r="K2" s="94" t="s">
        <v>1221</v>
      </c>
      <c r="L2" s="94"/>
      <c r="M2" s="94"/>
      <c r="N2" s="94" t="s">
        <v>1222</v>
      </c>
      <c r="O2" s="94"/>
      <c r="P2" s="94"/>
      <c r="Q2" s="117"/>
    </row>
    <row r="3" spans="1:21">
      <c r="A3" s="281"/>
      <c r="B3" s="94"/>
      <c r="C3" s="72" t="s">
        <v>934</v>
      </c>
      <c r="D3" s="240" t="s">
        <v>1223</v>
      </c>
      <c r="E3" s="240" t="s">
        <v>1224</v>
      </c>
      <c r="F3" s="72" t="s">
        <v>934</v>
      </c>
      <c r="G3" s="240" t="s">
        <v>1223</v>
      </c>
      <c r="H3" s="240" t="s">
        <v>1224</v>
      </c>
      <c r="I3" s="117"/>
      <c r="J3" s="94"/>
      <c r="K3" s="72" t="s">
        <v>934</v>
      </c>
      <c r="L3" s="72" t="s">
        <v>1223</v>
      </c>
      <c r="M3" s="72" t="s">
        <v>1224</v>
      </c>
      <c r="N3" s="72" t="s">
        <v>934</v>
      </c>
      <c r="O3" s="72" t="s">
        <v>1223</v>
      </c>
      <c r="P3" s="72" t="s">
        <v>1224</v>
      </c>
      <c r="Q3" s="117"/>
    </row>
    <row r="4" spans="1:21" hidden="1" outlineLevel="1"/>
    <row r="5" spans="1:21" collapsed="1">
      <c r="A5" s="66">
        <v>1981</v>
      </c>
      <c r="B5" s="115">
        <f>J5/J$5*100</f>
        <v>100</v>
      </c>
      <c r="C5" s="115">
        <f t="shared" ref="C5:H5" si="0">K5/K$5*100</f>
        <v>100</v>
      </c>
      <c r="D5" s="31" t="s">
        <v>188</v>
      </c>
      <c r="E5" s="115">
        <f t="shared" si="0"/>
        <v>100</v>
      </c>
      <c r="F5" s="115">
        <f t="shared" si="0"/>
        <v>100</v>
      </c>
      <c r="G5" s="115">
        <f t="shared" si="0"/>
        <v>100</v>
      </c>
      <c r="H5" s="115">
        <f t="shared" si="0"/>
        <v>100</v>
      </c>
      <c r="I5" s="66"/>
      <c r="J5" s="31">
        <v>52.2</v>
      </c>
      <c r="K5" s="31">
        <v>47</v>
      </c>
      <c r="L5" s="31" t="s">
        <v>188</v>
      </c>
      <c r="M5" s="31">
        <v>47.3</v>
      </c>
      <c r="N5" s="31">
        <v>65.8</v>
      </c>
      <c r="O5" s="31">
        <v>58.4</v>
      </c>
      <c r="P5" s="31">
        <v>66.8</v>
      </c>
    </row>
    <row r="6" spans="1:21">
      <c r="A6" s="66">
        <v>1982</v>
      </c>
      <c r="B6" s="115">
        <f t="shared" ref="B6:B36" si="1">J6/J$5*100</f>
        <v>95.977011494252878</v>
      </c>
      <c r="C6" s="115">
        <f t="shared" ref="C6:C36" si="2">K6/K$5*100</f>
        <v>91.702127659574472</v>
      </c>
      <c r="D6" s="31" t="s">
        <v>188</v>
      </c>
      <c r="E6" s="115">
        <f t="shared" ref="E6:E36" si="3">M6/M$5*100</f>
        <v>91.120507399577178</v>
      </c>
      <c r="F6" s="115">
        <f t="shared" ref="F6:F36" si="4">N6/N$5*100</f>
        <v>103.03951367781154</v>
      </c>
      <c r="G6" s="115">
        <f t="shared" ref="G6:G36" si="5">O6/O$5*100</f>
        <v>98.11643835616438</v>
      </c>
      <c r="H6" s="115">
        <f t="shared" ref="H6:H36" si="6">P6/P$5*100</f>
        <v>103.74251497005989</v>
      </c>
      <c r="I6" s="66"/>
      <c r="J6" s="31">
        <v>50.1</v>
      </c>
      <c r="K6" s="31">
        <v>43.1</v>
      </c>
      <c r="L6" s="31" t="s">
        <v>188</v>
      </c>
      <c r="M6" s="31">
        <v>43.1</v>
      </c>
      <c r="N6" s="31">
        <v>67.8</v>
      </c>
      <c r="O6" s="31">
        <v>57.3</v>
      </c>
      <c r="P6" s="31">
        <v>69.3</v>
      </c>
    </row>
    <row r="7" spans="1:21">
      <c r="A7" s="66">
        <v>1983</v>
      </c>
      <c r="B7" s="115">
        <f t="shared" si="1"/>
        <v>100</v>
      </c>
      <c r="C7" s="115">
        <f t="shared" si="2"/>
        <v>96.595744680851055</v>
      </c>
      <c r="D7" s="31" t="s">
        <v>188</v>
      </c>
      <c r="E7" s="115">
        <f t="shared" si="3"/>
        <v>95.983086680761105</v>
      </c>
      <c r="F7" s="115">
        <f t="shared" si="4"/>
        <v>105.47112462006081</v>
      </c>
      <c r="G7" s="115">
        <f t="shared" si="5"/>
        <v>98.11643835616438</v>
      </c>
      <c r="H7" s="115">
        <f t="shared" si="6"/>
        <v>106.2874251497006</v>
      </c>
      <c r="I7" s="66"/>
      <c r="J7" s="31">
        <v>52.2</v>
      </c>
      <c r="K7" s="31">
        <v>45.4</v>
      </c>
      <c r="L7" s="31" t="s">
        <v>188</v>
      </c>
      <c r="M7" s="31">
        <v>45.4</v>
      </c>
      <c r="N7" s="31">
        <v>69.400000000000006</v>
      </c>
      <c r="O7" s="31">
        <v>57.3</v>
      </c>
      <c r="P7" s="31">
        <v>71</v>
      </c>
    </row>
    <row r="8" spans="1:21">
      <c r="A8" s="66">
        <v>1984</v>
      </c>
      <c r="B8" s="115">
        <f t="shared" si="1"/>
        <v>103.44827586206895</v>
      </c>
      <c r="C8" s="115">
        <f t="shared" si="2"/>
        <v>99.78723404255318</v>
      </c>
      <c r="D8" s="31" t="s">
        <v>188</v>
      </c>
      <c r="E8" s="115">
        <f t="shared" si="3"/>
        <v>98.097251585623681</v>
      </c>
      <c r="F8" s="115">
        <f t="shared" si="4"/>
        <v>109.42249240121582</v>
      </c>
      <c r="G8" s="115">
        <f t="shared" si="5"/>
        <v>103.93835616438356</v>
      </c>
      <c r="H8" s="115">
        <f t="shared" si="6"/>
        <v>110.02994011976048</v>
      </c>
      <c r="I8" s="66"/>
      <c r="J8" s="31">
        <v>54</v>
      </c>
      <c r="K8" s="31">
        <v>46.9</v>
      </c>
      <c r="L8" s="31" t="s">
        <v>188</v>
      </c>
      <c r="M8" s="31">
        <v>46.4</v>
      </c>
      <c r="N8" s="31">
        <v>72</v>
      </c>
      <c r="O8" s="31">
        <v>60.7</v>
      </c>
      <c r="P8" s="31">
        <v>73.5</v>
      </c>
    </row>
    <row r="9" spans="1:21">
      <c r="A9" s="66">
        <v>1985</v>
      </c>
      <c r="B9" s="115">
        <f t="shared" si="1"/>
        <v>104.02298850574712</v>
      </c>
      <c r="C9" s="115">
        <f t="shared" si="2"/>
        <v>99.361702127659584</v>
      </c>
      <c r="D9" s="31" t="s">
        <v>188</v>
      </c>
      <c r="E9" s="115">
        <f t="shared" si="3"/>
        <v>97.25158562367865</v>
      </c>
      <c r="F9" s="115">
        <f t="shared" si="4"/>
        <v>111.70212765957447</v>
      </c>
      <c r="G9" s="115">
        <f t="shared" si="5"/>
        <v>107.02054794520548</v>
      </c>
      <c r="H9" s="115">
        <f t="shared" si="6"/>
        <v>112.27544910179641</v>
      </c>
      <c r="I9" s="66"/>
      <c r="J9" s="31">
        <v>54.3</v>
      </c>
      <c r="K9" s="31">
        <v>46.7</v>
      </c>
      <c r="L9" s="31" t="s">
        <v>188</v>
      </c>
      <c r="M9" s="31">
        <v>46</v>
      </c>
      <c r="N9" s="31">
        <v>73.5</v>
      </c>
      <c r="O9" s="31">
        <v>62.5</v>
      </c>
      <c r="P9" s="31">
        <v>75</v>
      </c>
    </row>
    <row r="10" spans="1:21">
      <c r="A10" s="66">
        <v>1986</v>
      </c>
      <c r="B10" s="115">
        <f t="shared" si="1"/>
        <v>109.19540229885057</v>
      </c>
      <c r="C10" s="115">
        <f t="shared" si="2"/>
        <v>108.93617021276596</v>
      </c>
      <c r="D10" s="31" t="s">
        <v>188</v>
      </c>
      <c r="E10" s="115">
        <f t="shared" si="3"/>
        <v>107.82241014799155</v>
      </c>
      <c r="F10" s="115">
        <f t="shared" si="4"/>
        <v>110.03039513677813</v>
      </c>
      <c r="G10" s="115">
        <f t="shared" si="5"/>
        <v>109.24657534246576</v>
      </c>
      <c r="H10" s="115">
        <f t="shared" si="6"/>
        <v>110.32934131736528</v>
      </c>
      <c r="I10" s="66"/>
      <c r="J10" s="31">
        <v>57</v>
      </c>
      <c r="K10" s="31">
        <v>51.2</v>
      </c>
      <c r="L10" s="31" t="s">
        <v>188</v>
      </c>
      <c r="M10" s="31">
        <v>51</v>
      </c>
      <c r="N10" s="31">
        <v>72.400000000000006</v>
      </c>
      <c r="O10" s="31">
        <v>63.8</v>
      </c>
      <c r="P10" s="31">
        <v>73.7</v>
      </c>
    </row>
    <row r="11" spans="1:21">
      <c r="A11" s="66">
        <v>1987</v>
      </c>
      <c r="B11" s="115">
        <f t="shared" si="1"/>
        <v>121.83908045977012</v>
      </c>
      <c r="C11" s="115">
        <f t="shared" si="2"/>
        <v>125.1063829787234</v>
      </c>
      <c r="D11" s="31" t="s">
        <v>188</v>
      </c>
      <c r="E11" s="115">
        <f t="shared" si="3"/>
        <v>124.52431289640593</v>
      </c>
      <c r="F11" s="115">
        <f t="shared" si="4"/>
        <v>114.74164133738603</v>
      </c>
      <c r="G11" s="115">
        <f t="shared" si="5"/>
        <v>112.5</v>
      </c>
      <c r="H11" s="115">
        <f t="shared" si="6"/>
        <v>115.11976047904193</v>
      </c>
      <c r="I11" s="66"/>
      <c r="J11" s="31">
        <v>63.6</v>
      </c>
      <c r="K11" s="31">
        <v>58.8</v>
      </c>
      <c r="L11" s="31" t="s">
        <v>188</v>
      </c>
      <c r="M11" s="31">
        <v>58.9</v>
      </c>
      <c r="N11" s="31">
        <v>75.5</v>
      </c>
      <c r="O11" s="31">
        <v>65.7</v>
      </c>
      <c r="P11" s="31">
        <v>76.900000000000006</v>
      </c>
    </row>
    <row r="12" spans="1:21">
      <c r="A12" s="66">
        <v>1988</v>
      </c>
      <c r="B12" s="115">
        <f t="shared" si="1"/>
        <v>132.37547892720306</v>
      </c>
      <c r="C12" s="115">
        <f t="shared" si="2"/>
        <v>137.87234042553192</v>
      </c>
      <c r="D12" s="31" t="s">
        <v>188</v>
      </c>
      <c r="E12" s="115">
        <f t="shared" si="3"/>
        <v>137.63213530655392</v>
      </c>
      <c r="F12" s="115">
        <f t="shared" si="4"/>
        <v>120.21276595744681</v>
      </c>
      <c r="G12" s="115">
        <f t="shared" si="5"/>
        <v>119.34931506849315</v>
      </c>
      <c r="H12" s="115">
        <f t="shared" si="6"/>
        <v>120.65868263473054</v>
      </c>
      <c r="I12" s="66"/>
      <c r="J12" s="31">
        <v>69.099999999999994</v>
      </c>
      <c r="K12" s="31">
        <v>64.8</v>
      </c>
      <c r="L12" s="31" t="s">
        <v>188</v>
      </c>
      <c r="M12" s="31">
        <v>65.099999999999994</v>
      </c>
      <c r="N12" s="31">
        <v>79.099999999999994</v>
      </c>
      <c r="O12" s="31">
        <v>69.7</v>
      </c>
      <c r="P12" s="31">
        <v>80.599999999999994</v>
      </c>
    </row>
    <row r="13" spans="1:21">
      <c r="A13" s="66">
        <v>1989</v>
      </c>
      <c r="B13" s="115">
        <f t="shared" si="1"/>
        <v>133.71647509578543</v>
      </c>
      <c r="C13" s="115">
        <f t="shared" si="2"/>
        <v>136.38297872340422</v>
      </c>
      <c r="D13" s="31" t="s">
        <v>188</v>
      </c>
      <c r="E13" s="115">
        <f t="shared" si="3"/>
        <v>135.94080338266386</v>
      </c>
      <c r="F13" s="115">
        <f t="shared" si="4"/>
        <v>127.35562310030394</v>
      </c>
      <c r="G13" s="115">
        <f t="shared" si="5"/>
        <v>125.17123287671232</v>
      </c>
      <c r="H13" s="115">
        <f t="shared" si="6"/>
        <v>127.84431137724552</v>
      </c>
      <c r="I13" s="66"/>
      <c r="J13" s="31">
        <v>69.8</v>
      </c>
      <c r="K13" s="31">
        <v>64.099999999999994</v>
      </c>
      <c r="L13" s="31" t="s">
        <v>188</v>
      </c>
      <c r="M13" s="31">
        <v>64.3</v>
      </c>
      <c r="N13" s="31">
        <v>83.8</v>
      </c>
      <c r="O13" s="31">
        <v>73.099999999999994</v>
      </c>
      <c r="P13" s="31">
        <v>85.4</v>
      </c>
      <c r="S13" s="139"/>
      <c r="T13" s="139"/>
      <c r="U13" s="139"/>
    </row>
    <row r="14" spans="1:21">
      <c r="A14" s="66">
        <v>1990</v>
      </c>
      <c r="B14" s="115">
        <f t="shared" si="1"/>
        <v>132.95019157088123</v>
      </c>
      <c r="C14" s="115">
        <f t="shared" si="2"/>
        <v>135.10638297872339</v>
      </c>
      <c r="D14" s="31" t="s">
        <v>188</v>
      </c>
      <c r="E14" s="115">
        <f t="shared" si="3"/>
        <v>134.46088794926004</v>
      </c>
      <c r="F14" s="115">
        <f t="shared" si="4"/>
        <v>128.26747720364745</v>
      </c>
      <c r="G14" s="115">
        <f t="shared" si="5"/>
        <v>128.42465753424659</v>
      </c>
      <c r="H14" s="115">
        <f t="shared" si="6"/>
        <v>128.5928143712575</v>
      </c>
      <c r="I14" s="66"/>
      <c r="J14" s="31">
        <v>69.400000000000006</v>
      </c>
      <c r="K14" s="31">
        <v>63.5</v>
      </c>
      <c r="L14" s="31" t="s">
        <v>188</v>
      </c>
      <c r="M14" s="31">
        <v>63.6</v>
      </c>
      <c r="N14" s="31">
        <v>84.4</v>
      </c>
      <c r="O14" s="31">
        <v>75</v>
      </c>
      <c r="P14" s="31">
        <v>85.9</v>
      </c>
      <c r="S14" s="139"/>
      <c r="T14" s="139"/>
      <c r="U14" s="139"/>
    </row>
    <row r="15" spans="1:21">
      <c r="A15" s="66">
        <v>1991</v>
      </c>
      <c r="B15" s="115">
        <f t="shared" si="1"/>
        <v>135.05747126436779</v>
      </c>
      <c r="C15" s="115">
        <f t="shared" si="2"/>
        <v>136.17021276595744</v>
      </c>
      <c r="D15" s="31" t="s">
        <v>188</v>
      </c>
      <c r="E15" s="115">
        <f t="shared" si="3"/>
        <v>135.51797040169134</v>
      </c>
      <c r="F15" s="115">
        <f t="shared" si="4"/>
        <v>132.97872340425531</v>
      </c>
      <c r="G15" s="115">
        <f t="shared" si="5"/>
        <v>133.21917808219177</v>
      </c>
      <c r="H15" s="115">
        <f t="shared" si="6"/>
        <v>132.93413173652695</v>
      </c>
      <c r="I15" s="66"/>
      <c r="J15" s="31">
        <v>70.5</v>
      </c>
      <c r="K15" s="31">
        <v>64</v>
      </c>
      <c r="L15" s="31" t="s">
        <v>188</v>
      </c>
      <c r="M15" s="31">
        <v>64.099999999999994</v>
      </c>
      <c r="N15" s="31">
        <v>87.5</v>
      </c>
      <c r="O15" s="31">
        <v>77.8</v>
      </c>
      <c r="P15" s="31">
        <v>88.8</v>
      </c>
      <c r="S15" s="139"/>
      <c r="T15" s="139"/>
      <c r="U15" s="139"/>
    </row>
    <row r="16" spans="1:21">
      <c r="A16" s="66">
        <v>1992</v>
      </c>
      <c r="B16" s="115">
        <f t="shared" si="1"/>
        <v>149.42528735632183</v>
      </c>
      <c r="C16" s="115">
        <f t="shared" si="2"/>
        <v>157.65957446808508</v>
      </c>
      <c r="D16" s="31" t="s">
        <v>188</v>
      </c>
      <c r="E16" s="115">
        <f t="shared" si="3"/>
        <v>156.87103594080341</v>
      </c>
      <c r="F16" s="115">
        <f t="shared" si="4"/>
        <v>132.06686930091186</v>
      </c>
      <c r="G16" s="115">
        <f t="shared" si="5"/>
        <v>134.76027397260276</v>
      </c>
      <c r="H16" s="115">
        <f t="shared" si="6"/>
        <v>131.73652694610777</v>
      </c>
      <c r="I16" s="66"/>
      <c r="J16" s="31">
        <v>78</v>
      </c>
      <c r="K16" s="31">
        <v>74.099999999999994</v>
      </c>
      <c r="L16" s="31" t="s">
        <v>188</v>
      </c>
      <c r="M16" s="31">
        <v>74.2</v>
      </c>
      <c r="N16" s="31">
        <v>86.9</v>
      </c>
      <c r="O16" s="31">
        <v>78.7</v>
      </c>
      <c r="P16" s="31">
        <v>88</v>
      </c>
      <c r="S16" s="139"/>
      <c r="T16" s="139"/>
      <c r="U16" s="139"/>
    </row>
    <row r="17" spans="1:21">
      <c r="A17" s="66">
        <v>1993</v>
      </c>
      <c r="B17" s="115">
        <f t="shared" si="1"/>
        <v>202.87356321839081</v>
      </c>
      <c r="C17" s="115">
        <f t="shared" si="2"/>
        <v>231.48936170212764</v>
      </c>
      <c r="D17" s="31" t="s">
        <v>188</v>
      </c>
      <c r="E17" s="115">
        <f t="shared" si="3"/>
        <v>230.6553911205074</v>
      </c>
      <c r="F17" s="115">
        <f t="shared" si="4"/>
        <v>136.47416413373861</v>
      </c>
      <c r="G17" s="115">
        <f t="shared" si="5"/>
        <v>133.9041095890411</v>
      </c>
      <c r="H17" s="115">
        <f t="shared" si="6"/>
        <v>137.12574850299401</v>
      </c>
      <c r="I17" s="66"/>
      <c r="J17" s="31">
        <v>105.9</v>
      </c>
      <c r="K17" s="31">
        <v>108.8</v>
      </c>
      <c r="L17" s="31" t="s">
        <v>188</v>
      </c>
      <c r="M17" s="31">
        <v>109.1</v>
      </c>
      <c r="N17" s="31">
        <v>89.8</v>
      </c>
      <c r="O17" s="31">
        <v>78.2</v>
      </c>
      <c r="P17" s="31">
        <v>91.6</v>
      </c>
      <c r="S17" s="139"/>
      <c r="T17" s="139"/>
      <c r="U17" s="139"/>
    </row>
    <row r="18" spans="1:21">
      <c r="A18" s="66">
        <v>1994</v>
      </c>
      <c r="B18" s="115">
        <f t="shared" si="1"/>
        <v>228.16091954022988</v>
      </c>
      <c r="C18" s="115">
        <f t="shared" si="2"/>
        <v>261.06382978723406</v>
      </c>
      <c r="D18" s="31" t="s">
        <v>188</v>
      </c>
      <c r="E18" s="115">
        <f t="shared" si="3"/>
        <v>260.04228329809729</v>
      </c>
      <c r="F18" s="115">
        <f t="shared" si="4"/>
        <v>151.51975683890581</v>
      </c>
      <c r="G18" s="115">
        <f t="shared" si="5"/>
        <v>142.12328767123287</v>
      </c>
      <c r="H18" s="115">
        <f t="shared" si="6"/>
        <v>152.99401197604791</v>
      </c>
      <c r="I18" s="66"/>
      <c r="J18" s="31">
        <v>119.1</v>
      </c>
      <c r="K18" s="31">
        <v>122.7</v>
      </c>
      <c r="L18" s="31" t="s">
        <v>188</v>
      </c>
      <c r="M18" s="31">
        <v>123</v>
      </c>
      <c r="N18" s="31">
        <v>99.7</v>
      </c>
      <c r="O18" s="31">
        <v>83</v>
      </c>
      <c r="P18" s="31">
        <v>102.2</v>
      </c>
      <c r="S18" s="139"/>
      <c r="T18" s="139"/>
      <c r="U18" s="139"/>
    </row>
    <row r="19" spans="1:21">
      <c r="A19" s="66">
        <v>1995</v>
      </c>
      <c r="B19" s="115">
        <f t="shared" si="1"/>
        <v>249.4252873563218</v>
      </c>
      <c r="C19" s="115">
        <f t="shared" si="2"/>
        <v>275.531914893617</v>
      </c>
      <c r="D19" s="31" t="s">
        <v>188</v>
      </c>
      <c r="E19" s="115">
        <f t="shared" si="3"/>
        <v>274.41860465116281</v>
      </c>
      <c r="F19" s="115">
        <f t="shared" si="4"/>
        <v>189.66565349544072</v>
      </c>
      <c r="G19" s="115">
        <f t="shared" si="5"/>
        <v>172.60273972602741</v>
      </c>
      <c r="H19" s="115">
        <f t="shared" si="6"/>
        <v>192.36526946107787</v>
      </c>
      <c r="I19" s="66"/>
      <c r="J19" s="31">
        <v>130.19999999999999</v>
      </c>
      <c r="K19" s="31">
        <v>129.5</v>
      </c>
      <c r="L19" s="31" t="s">
        <v>188</v>
      </c>
      <c r="M19" s="31">
        <v>129.80000000000001</v>
      </c>
      <c r="N19" s="31">
        <v>124.8</v>
      </c>
      <c r="O19" s="31">
        <v>100.8</v>
      </c>
      <c r="P19" s="31">
        <v>128.5</v>
      </c>
      <c r="S19" s="139"/>
      <c r="T19" s="139"/>
      <c r="U19" s="139"/>
    </row>
    <row r="20" spans="1:21">
      <c r="A20" s="66">
        <v>1996</v>
      </c>
      <c r="B20" s="115">
        <f t="shared" si="1"/>
        <v>231.22605363984673</v>
      </c>
      <c r="C20" s="115">
        <f t="shared" si="2"/>
        <v>263.40425531914894</v>
      </c>
      <c r="D20" s="31" t="s">
        <v>188</v>
      </c>
      <c r="E20" s="115">
        <f t="shared" si="3"/>
        <v>262.15644820295989</v>
      </c>
      <c r="F20" s="115">
        <f t="shared" si="4"/>
        <v>156.68693009118542</v>
      </c>
      <c r="G20" s="115">
        <f t="shared" si="5"/>
        <v>178.5958904109589</v>
      </c>
      <c r="H20" s="115">
        <f t="shared" si="6"/>
        <v>153.89221556886227</v>
      </c>
      <c r="I20" s="66"/>
      <c r="J20" s="31">
        <v>120.7</v>
      </c>
      <c r="K20" s="31">
        <v>123.8</v>
      </c>
      <c r="L20" s="31" t="s">
        <v>188</v>
      </c>
      <c r="M20" s="31">
        <v>124</v>
      </c>
      <c r="N20" s="31">
        <v>103.1</v>
      </c>
      <c r="O20" s="31">
        <v>104.3</v>
      </c>
      <c r="P20" s="31">
        <v>102.8</v>
      </c>
      <c r="S20" s="139"/>
      <c r="T20" s="139"/>
      <c r="U20" s="139"/>
    </row>
    <row r="21" spans="1:21">
      <c r="A21" s="66">
        <v>1997</v>
      </c>
      <c r="B21" s="115">
        <f t="shared" si="1"/>
        <v>228.35249042145591</v>
      </c>
      <c r="C21" s="115">
        <f t="shared" si="2"/>
        <v>262.34042553191489</v>
      </c>
      <c r="D21" s="31" t="s">
        <v>188</v>
      </c>
      <c r="E21" s="115">
        <f t="shared" si="3"/>
        <v>261.09936575052853</v>
      </c>
      <c r="F21" s="115">
        <f t="shared" si="4"/>
        <v>152.27963525835867</v>
      </c>
      <c r="G21" s="115">
        <f t="shared" si="5"/>
        <v>162.50000000000003</v>
      </c>
      <c r="H21" s="115">
        <f t="shared" si="6"/>
        <v>151.19760479041918</v>
      </c>
      <c r="I21" s="66"/>
      <c r="J21" s="31">
        <v>119.2</v>
      </c>
      <c r="K21" s="31">
        <v>123.3</v>
      </c>
      <c r="L21" s="31" t="s">
        <v>188</v>
      </c>
      <c r="M21" s="31">
        <v>123.5</v>
      </c>
      <c r="N21" s="31">
        <v>100.2</v>
      </c>
      <c r="O21" s="31">
        <v>94.9</v>
      </c>
      <c r="P21" s="31">
        <v>101</v>
      </c>
      <c r="S21" s="139"/>
      <c r="T21" s="139"/>
      <c r="U21" s="139"/>
    </row>
    <row r="22" spans="1:21">
      <c r="A22" s="66">
        <v>1998</v>
      </c>
      <c r="B22" s="115">
        <f t="shared" si="1"/>
        <v>193.10344827586206</v>
      </c>
      <c r="C22" s="115">
        <f t="shared" si="2"/>
        <v>214.25531914893617</v>
      </c>
      <c r="D22" s="31" t="s">
        <v>188</v>
      </c>
      <c r="E22" s="115">
        <f t="shared" si="3"/>
        <v>213.107822410148</v>
      </c>
      <c r="F22" s="115">
        <f t="shared" si="4"/>
        <v>154.25531914893617</v>
      </c>
      <c r="G22" s="115">
        <f t="shared" si="5"/>
        <v>158.9041095890411</v>
      </c>
      <c r="H22" s="115">
        <f t="shared" si="6"/>
        <v>153.89221556886227</v>
      </c>
      <c r="I22" s="66"/>
      <c r="J22" s="31">
        <v>100.8</v>
      </c>
      <c r="K22" s="31">
        <v>100.7</v>
      </c>
      <c r="L22" s="31" t="s">
        <v>188</v>
      </c>
      <c r="M22" s="31">
        <v>100.8</v>
      </c>
      <c r="N22" s="31">
        <v>101.5</v>
      </c>
      <c r="O22" s="31">
        <v>92.8</v>
      </c>
      <c r="P22" s="31">
        <v>102.8</v>
      </c>
      <c r="S22" s="139"/>
      <c r="T22" s="139"/>
      <c r="U22" s="139"/>
    </row>
    <row r="23" spans="1:21">
      <c r="A23" s="66">
        <v>1999</v>
      </c>
      <c r="B23" s="115">
        <f t="shared" si="1"/>
        <v>200.57471264367814</v>
      </c>
      <c r="C23" s="115">
        <f t="shared" si="2"/>
        <v>225.531914893617</v>
      </c>
      <c r="D23" s="31" t="s">
        <v>188</v>
      </c>
      <c r="E23" s="115">
        <f t="shared" si="3"/>
        <v>224.31289640591964</v>
      </c>
      <c r="F23" s="115">
        <f t="shared" si="4"/>
        <v>150</v>
      </c>
      <c r="G23" s="115">
        <f t="shared" si="5"/>
        <v>161.13013698630135</v>
      </c>
      <c r="H23" s="115">
        <f t="shared" si="6"/>
        <v>148.65269461077844</v>
      </c>
      <c r="I23" s="66"/>
      <c r="J23" s="31">
        <v>104.7</v>
      </c>
      <c r="K23" s="31">
        <v>106</v>
      </c>
      <c r="L23" s="31" t="s">
        <v>188</v>
      </c>
      <c r="M23" s="31">
        <v>106.1</v>
      </c>
      <c r="N23" s="31">
        <v>98.7</v>
      </c>
      <c r="O23" s="31">
        <v>94.1</v>
      </c>
      <c r="P23" s="31">
        <v>99.3</v>
      </c>
      <c r="S23" s="139"/>
      <c r="T23" s="139"/>
      <c r="U23" s="139"/>
    </row>
    <row r="24" spans="1:21">
      <c r="A24" s="66">
        <v>2000</v>
      </c>
      <c r="B24" s="115">
        <f t="shared" si="1"/>
        <v>209.96168582375478</v>
      </c>
      <c r="C24" s="115">
        <f t="shared" si="2"/>
        <v>238.08510638297875</v>
      </c>
      <c r="D24" s="31" t="s">
        <v>188</v>
      </c>
      <c r="E24" s="115">
        <f t="shared" si="3"/>
        <v>236.78646934460889</v>
      </c>
      <c r="F24" s="115">
        <f t="shared" si="4"/>
        <v>150.45592705167175</v>
      </c>
      <c r="G24" s="115">
        <f t="shared" si="5"/>
        <v>166.0958904109589</v>
      </c>
      <c r="H24" s="115">
        <f t="shared" si="6"/>
        <v>148.65269461077844</v>
      </c>
      <c r="I24" s="66"/>
      <c r="J24" s="31">
        <v>109.6</v>
      </c>
      <c r="K24" s="31">
        <v>111.9</v>
      </c>
      <c r="L24" s="31" t="s">
        <v>188</v>
      </c>
      <c r="M24" s="31">
        <v>112</v>
      </c>
      <c r="N24" s="31">
        <v>99</v>
      </c>
      <c r="O24" s="31">
        <v>97</v>
      </c>
      <c r="P24" s="31">
        <v>99.3</v>
      </c>
      <c r="S24" s="139"/>
      <c r="T24" s="139"/>
      <c r="U24" s="139"/>
    </row>
    <row r="25" spans="1:21">
      <c r="A25" s="66">
        <v>2001</v>
      </c>
      <c r="B25" s="115">
        <f t="shared" si="1"/>
        <v>194.25287356321837</v>
      </c>
      <c r="C25" s="115">
        <f t="shared" si="2"/>
        <v>215.10638297872339</v>
      </c>
      <c r="D25" s="31" t="s">
        <v>188</v>
      </c>
      <c r="E25" s="115">
        <f t="shared" si="3"/>
        <v>213.74207188160676</v>
      </c>
      <c r="F25" s="115">
        <f t="shared" si="4"/>
        <v>155.62310030395139</v>
      </c>
      <c r="G25" s="115">
        <f t="shared" si="5"/>
        <v>186.98630136986304</v>
      </c>
      <c r="H25" s="115">
        <f t="shared" si="6"/>
        <v>151.79640718562877</v>
      </c>
      <c r="I25" s="66"/>
      <c r="J25" s="31">
        <v>101.4</v>
      </c>
      <c r="K25" s="31">
        <v>101.1</v>
      </c>
      <c r="L25" s="31" t="s">
        <v>188</v>
      </c>
      <c r="M25" s="31">
        <v>101.1</v>
      </c>
      <c r="N25" s="31">
        <v>102.4</v>
      </c>
      <c r="O25" s="31">
        <v>109.2</v>
      </c>
      <c r="P25" s="31">
        <v>101.4</v>
      </c>
      <c r="S25" s="139"/>
      <c r="T25" s="139"/>
      <c r="U25" s="139"/>
    </row>
    <row r="26" spans="1:21">
      <c r="A26" s="66">
        <v>2002</v>
      </c>
      <c r="B26" s="115">
        <f t="shared" si="1"/>
        <v>191.57088122605364</v>
      </c>
      <c r="C26" s="115">
        <f t="shared" si="2"/>
        <v>212.7659574468085</v>
      </c>
      <c r="D26" s="31" t="s">
        <v>188</v>
      </c>
      <c r="E26" s="115">
        <f t="shared" si="3"/>
        <v>211.41649048625791</v>
      </c>
      <c r="F26" s="115">
        <f t="shared" si="4"/>
        <v>151.97568389057753</v>
      </c>
      <c r="G26" s="115">
        <f t="shared" si="5"/>
        <v>171.23287671232876</v>
      </c>
      <c r="H26" s="115">
        <f t="shared" si="6"/>
        <v>149.70059880239521</v>
      </c>
      <c r="I26" s="66"/>
      <c r="J26" s="31">
        <v>100</v>
      </c>
      <c r="K26" s="31">
        <v>100</v>
      </c>
      <c r="L26" s="31" t="s">
        <v>188</v>
      </c>
      <c r="M26" s="31">
        <v>100</v>
      </c>
      <c r="N26" s="31">
        <v>100</v>
      </c>
      <c r="O26" s="31">
        <v>100</v>
      </c>
      <c r="P26" s="31">
        <v>100</v>
      </c>
      <c r="S26" s="139"/>
      <c r="T26" s="139"/>
      <c r="U26" s="139"/>
    </row>
    <row r="27" spans="1:21">
      <c r="A27" s="66">
        <v>2003</v>
      </c>
      <c r="B27" s="115">
        <f t="shared" si="1"/>
        <v>186.97318007662832</v>
      </c>
      <c r="C27" s="115">
        <f t="shared" si="2"/>
        <v>205.95744680851061</v>
      </c>
      <c r="D27" s="31" t="s">
        <v>188</v>
      </c>
      <c r="E27" s="115">
        <f t="shared" si="3"/>
        <v>204.22832980972515</v>
      </c>
      <c r="F27" s="115">
        <f t="shared" si="4"/>
        <v>157.59878419452889</v>
      </c>
      <c r="G27" s="115">
        <f t="shared" si="5"/>
        <v>178.42465753424659</v>
      </c>
      <c r="H27" s="115">
        <f t="shared" si="6"/>
        <v>155.08982035928142</v>
      </c>
      <c r="I27" s="66"/>
      <c r="J27" s="31">
        <v>97.6</v>
      </c>
      <c r="K27" s="31">
        <v>96.8</v>
      </c>
      <c r="L27" s="31" t="s">
        <v>188</v>
      </c>
      <c r="M27" s="31">
        <v>96.6</v>
      </c>
      <c r="N27" s="31">
        <v>103.7</v>
      </c>
      <c r="O27" s="31">
        <v>104.2</v>
      </c>
      <c r="P27" s="31">
        <v>103.6</v>
      </c>
      <c r="S27" s="139"/>
      <c r="T27" s="139"/>
      <c r="U27" s="139"/>
    </row>
    <row r="28" spans="1:21">
      <c r="A28" s="66">
        <v>2004</v>
      </c>
      <c r="B28" s="115">
        <f t="shared" si="1"/>
        <v>188.69731800766283</v>
      </c>
      <c r="C28" s="115">
        <f t="shared" si="2"/>
        <v>206.38297872340425</v>
      </c>
      <c r="D28" s="31" t="s">
        <v>188</v>
      </c>
      <c r="E28" s="115">
        <f t="shared" si="3"/>
        <v>204.6511627906977</v>
      </c>
      <c r="F28" s="115">
        <f t="shared" si="4"/>
        <v>163.98176291793314</v>
      </c>
      <c r="G28" s="115">
        <f t="shared" si="5"/>
        <v>191.26712328767124</v>
      </c>
      <c r="H28" s="115">
        <f t="shared" si="6"/>
        <v>161.07784431137725</v>
      </c>
      <c r="I28" s="66"/>
      <c r="J28" s="31">
        <v>98.5</v>
      </c>
      <c r="K28" s="31">
        <v>97</v>
      </c>
      <c r="L28" s="31" t="s">
        <v>188</v>
      </c>
      <c r="M28" s="31">
        <v>96.8</v>
      </c>
      <c r="N28" s="31">
        <v>107.9</v>
      </c>
      <c r="O28" s="31">
        <v>111.7</v>
      </c>
      <c r="P28" s="31">
        <v>107.6</v>
      </c>
      <c r="S28" s="139"/>
      <c r="T28" s="139"/>
      <c r="U28" s="139"/>
    </row>
    <row r="29" spans="1:21">
      <c r="A29" s="66">
        <v>2005</v>
      </c>
      <c r="B29" s="115">
        <f t="shared" si="1"/>
        <v>169.54022988505747</v>
      </c>
      <c r="C29" s="115">
        <f t="shared" si="2"/>
        <v>182.55319148936169</v>
      </c>
      <c r="D29" s="31" t="s">
        <v>188</v>
      </c>
      <c r="E29" s="115">
        <f t="shared" si="3"/>
        <v>180.33826638477802</v>
      </c>
      <c r="F29" s="115">
        <f t="shared" si="4"/>
        <v>162.46200607902736</v>
      </c>
      <c r="G29" s="115">
        <f t="shared" si="5"/>
        <v>204.45205479452056</v>
      </c>
      <c r="H29" s="115">
        <f t="shared" si="6"/>
        <v>158.68263473053892</v>
      </c>
      <c r="I29" s="66"/>
      <c r="J29" s="31">
        <v>88.5</v>
      </c>
      <c r="K29" s="31">
        <v>85.8</v>
      </c>
      <c r="L29" s="31" t="s">
        <v>188</v>
      </c>
      <c r="M29" s="31">
        <v>85.3</v>
      </c>
      <c r="N29" s="31">
        <v>106.9</v>
      </c>
      <c r="O29" s="31">
        <v>119.4</v>
      </c>
      <c r="P29" s="31">
        <v>106</v>
      </c>
      <c r="S29" s="139"/>
      <c r="T29" s="139"/>
      <c r="U29" s="139"/>
    </row>
    <row r="30" spans="1:21">
      <c r="A30" s="66">
        <v>2006</v>
      </c>
      <c r="B30" s="115">
        <f t="shared" si="1"/>
        <v>176.24521072796935</v>
      </c>
      <c r="C30" s="115">
        <f t="shared" si="2"/>
        <v>190.63829787234042</v>
      </c>
      <c r="D30" s="31" t="s">
        <v>188</v>
      </c>
      <c r="E30" s="115">
        <f t="shared" si="3"/>
        <v>188.79492600422833</v>
      </c>
      <c r="F30" s="115">
        <f t="shared" si="4"/>
        <v>163.52583586626139</v>
      </c>
      <c r="G30" s="115">
        <f t="shared" si="5"/>
        <v>196.23287671232876</v>
      </c>
      <c r="H30" s="115">
        <f t="shared" si="6"/>
        <v>160.32934131736528</v>
      </c>
      <c r="I30" s="66"/>
      <c r="J30" s="31">
        <v>92</v>
      </c>
      <c r="K30" s="31">
        <v>89.6</v>
      </c>
      <c r="L30" s="31" t="s">
        <v>188</v>
      </c>
      <c r="M30" s="31">
        <v>89.3</v>
      </c>
      <c r="N30" s="31">
        <v>107.6</v>
      </c>
      <c r="O30" s="31">
        <v>114.6</v>
      </c>
      <c r="P30" s="31">
        <v>107.1</v>
      </c>
      <c r="S30" s="139"/>
      <c r="T30" s="139"/>
      <c r="U30" s="139"/>
    </row>
    <row r="31" spans="1:21">
      <c r="A31" s="66">
        <v>2007</v>
      </c>
      <c r="B31" s="115">
        <f t="shared" si="1"/>
        <v>192.14559386973178</v>
      </c>
      <c r="C31" s="115">
        <f t="shared" si="2"/>
        <v>209.57446808510639</v>
      </c>
      <c r="D31" s="31" t="s">
        <v>188</v>
      </c>
      <c r="E31" s="115">
        <f t="shared" si="3"/>
        <v>208.03382663847785</v>
      </c>
      <c r="F31" s="115">
        <f t="shared" si="4"/>
        <v>169.90881458966564</v>
      </c>
      <c r="G31" s="115">
        <f t="shared" si="5"/>
        <v>189.04109589041099</v>
      </c>
      <c r="H31" s="115">
        <f t="shared" si="6"/>
        <v>167.66467065868264</v>
      </c>
      <c r="I31" s="66"/>
      <c r="J31" s="31">
        <v>100.3</v>
      </c>
      <c r="K31" s="31">
        <v>98.5</v>
      </c>
      <c r="L31" s="31" t="s">
        <v>188</v>
      </c>
      <c r="M31" s="31">
        <v>98.4</v>
      </c>
      <c r="N31" s="31">
        <v>111.8</v>
      </c>
      <c r="O31" s="31">
        <v>110.4</v>
      </c>
      <c r="P31" s="31">
        <v>112</v>
      </c>
      <c r="S31" s="139"/>
      <c r="T31" s="139"/>
      <c r="U31" s="139"/>
    </row>
    <row r="32" spans="1:21">
      <c r="A32" s="66">
        <v>2008</v>
      </c>
      <c r="B32" s="115">
        <f t="shared" si="1"/>
        <v>185.05747126436779</v>
      </c>
      <c r="C32" s="115">
        <f t="shared" si="2"/>
        <v>200.85106382978725</v>
      </c>
      <c r="D32" s="31" t="s">
        <v>188</v>
      </c>
      <c r="E32" s="115">
        <f t="shared" si="3"/>
        <v>199.15433403805497</v>
      </c>
      <c r="F32" s="115">
        <f t="shared" si="4"/>
        <v>168.54103343465047</v>
      </c>
      <c r="G32" s="115">
        <f t="shared" si="5"/>
        <v>192.12328767123287</v>
      </c>
      <c r="H32" s="115">
        <f t="shared" si="6"/>
        <v>165.8682634730539</v>
      </c>
      <c r="I32" s="66"/>
      <c r="J32" s="31">
        <v>96.6</v>
      </c>
      <c r="K32" s="31">
        <v>94.4</v>
      </c>
      <c r="L32" s="31" t="s">
        <v>188</v>
      </c>
      <c r="M32" s="31">
        <v>94.2</v>
      </c>
      <c r="N32" s="31">
        <v>110.9</v>
      </c>
      <c r="O32" s="31">
        <v>112.2</v>
      </c>
      <c r="P32" s="31">
        <v>110.8</v>
      </c>
      <c r="S32" s="139"/>
      <c r="T32" s="139"/>
      <c r="U32" s="139"/>
    </row>
    <row r="33" spans="1:21">
      <c r="A33" s="66">
        <v>2009</v>
      </c>
      <c r="B33" s="115">
        <f t="shared" si="1"/>
        <v>173.56321839080456</v>
      </c>
      <c r="C33" s="115">
        <f t="shared" si="2"/>
        <v>187.44680851063828</v>
      </c>
      <c r="D33" s="31" t="s">
        <v>188</v>
      </c>
      <c r="E33" s="115">
        <f t="shared" si="3"/>
        <v>185.62367864693448</v>
      </c>
      <c r="F33" s="115">
        <f t="shared" si="4"/>
        <v>163.06990881458967</v>
      </c>
      <c r="G33" s="115">
        <f t="shared" si="5"/>
        <v>185.44520547945206</v>
      </c>
      <c r="H33" s="115">
        <f t="shared" si="6"/>
        <v>160.47904191616769</v>
      </c>
      <c r="I33" s="66"/>
      <c r="J33" s="31">
        <v>90.6</v>
      </c>
      <c r="K33" s="31">
        <v>88.1</v>
      </c>
      <c r="L33" s="31" t="s">
        <v>188</v>
      </c>
      <c r="M33" s="31">
        <v>87.8</v>
      </c>
      <c r="N33" s="31">
        <v>107.3</v>
      </c>
      <c r="O33" s="31">
        <v>108.3</v>
      </c>
      <c r="P33" s="31">
        <v>107.2</v>
      </c>
      <c r="S33" s="139"/>
      <c r="T33" s="139"/>
      <c r="U33" s="139"/>
    </row>
    <row r="34" spans="1:21">
      <c r="A34" s="66">
        <v>2010</v>
      </c>
      <c r="B34" s="115">
        <f t="shared" si="1"/>
        <v>170.68965517241378</v>
      </c>
      <c r="C34" s="115">
        <f t="shared" si="2"/>
        <v>184.25531914893617</v>
      </c>
      <c r="D34" s="31" t="s">
        <v>188</v>
      </c>
      <c r="E34" s="115">
        <f t="shared" si="3"/>
        <v>182.4524312896406</v>
      </c>
      <c r="F34" s="115">
        <f t="shared" si="4"/>
        <v>161.39817629179331</v>
      </c>
      <c r="G34" s="115">
        <f t="shared" si="5"/>
        <v>187.67123287671234</v>
      </c>
      <c r="H34" s="115">
        <f t="shared" si="6"/>
        <v>158.53293413173654</v>
      </c>
      <c r="I34" s="66"/>
      <c r="J34" s="31">
        <v>89.1</v>
      </c>
      <c r="K34" s="31">
        <v>86.6</v>
      </c>
      <c r="L34" s="31" t="s">
        <v>188</v>
      </c>
      <c r="M34" s="31">
        <v>86.3</v>
      </c>
      <c r="N34" s="31">
        <v>106.2</v>
      </c>
      <c r="O34" s="31">
        <v>109.6</v>
      </c>
      <c r="P34" s="31">
        <v>105.9</v>
      </c>
      <c r="S34" s="139"/>
      <c r="T34" s="139"/>
      <c r="U34" s="139"/>
    </row>
    <row r="35" spans="1:21">
      <c r="A35" s="66">
        <v>2011</v>
      </c>
      <c r="B35" s="115">
        <f t="shared" si="1"/>
        <v>174.13793103448276</v>
      </c>
      <c r="C35" s="115">
        <f t="shared" si="2"/>
        <v>188.08510638297872</v>
      </c>
      <c r="D35" s="31" t="s">
        <v>188</v>
      </c>
      <c r="E35" s="115">
        <f t="shared" si="3"/>
        <v>186.25792811839324</v>
      </c>
      <c r="F35" s="115">
        <f t="shared" si="4"/>
        <v>164.13373860182372</v>
      </c>
      <c r="G35" s="115">
        <f t="shared" si="5"/>
        <v>188.01369863013699</v>
      </c>
      <c r="H35" s="115">
        <f t="shared" si="6"/>
        <v>161.37724550898204</v>
      </c>
      <c r="I35" s="66"/>
      <c r="J35" s="31">
        <v>90.9</v>
      </c>
      <c r="K35" s="31">
        <v>88.4</v>
      </c>
      <c r="L35" s="31" t="s">
        <v>188</v>
      </c>
      <c r="M35" s="31">
        <v>88.1</v>
      </c>
      <c r="N35" s="31">
        <v>108</v>
      </c>
      <c r="O35" s="31">
        <v>109.8</v>
      </c>
      <c r="P35" s="31">
        <v>107.8</v>
      </c>
      <c r="S35" s="139"/>
      <c r="T35" s="139"/>
      <c r="U35" s="139"/>
    </row>
    <row r="36" spans="1:21">
      <c r="A36" s="66">
        <v>2012</v>
      </c>
      <c r="B36" s="115">
        <f t="shared" si="1"/>
        <v>177.77777777777777</v>
      </c>
      <c r="C36" s="115">
        <f t="shared" si="2"/>
        <v>192.7659574468085</v>
      </c>
      <c r="D36" s="31" t="s">
        <v>188</v>
      </c>
      <c r="E36" s="115">
        <f t="shared" si="3"/>
        <v>191.12050739957721</v>
      </c>
      <c r="F36" s="115">
        <f t="shared" si="4"/>
        <v>162.61398176291794</v>
      </c>
      <c r="G36" s="115">
        <f t="shared" si="5"/>
        <v>189.04109589041099</v>
      </c>
      <c r="H36" s="115">
        <f t="shared" si="6"/>
        <v>159.73053892215569</v>
      </c>
      <c r="I36" s="66"/>
      <c r="J36" s="31">
        <v>92.8</v>
      </c>
      <c r="K36" s="31">
        <v>90.6</v>
      </c>
      <c r="L36" s="31" t="s">
        <v>188</v>
      </c>
      <c r="M36" s="31">
        <v>90.4</v>
      </c>
      <c r="N36" s="31">
        <v>107</v>
      </c>
      <c r="O36" s="31">
        <v>110.4</v>
      </c>
      <c r="P36" s="31">
        <v>106.7</v>
      </c>
      <c r="S36" s="139"/>
      <c r="T36" s="139"/>
      <c r="U36" s="139"/>
    </row>
    <row r="38" spans="1:21">
      <c r="A38" s="66" t="s">
        <v>23</v>
      </c>
      <c r="B38" s="66"/>
      <c r="C38" s="66"/>
      <c r="E38" s="66"/>
      <c r="F38" s="66"/>
      <c r="G38" s="66"/>
      <c r="H38" s="66"/>
      <c r="I38" s="66"/>
    </row>
    <row r="39" spans="1:21">
      <c r="A39" s="64" t="s">
        <v>2117</v>
      </c>
      <c r="B39" s="67">
        <f>((B36/B5)^(1/31)-1)*100</f>
        <v>1.8733443545673634</v>
      </c>
      <c r="C39" s="67">
        <f>((C36/C5)^(1/31)-1)*100</f>
        <v>2.139688042397081</v>
      </c>
      <c r="D39" s="67" t="s">
        <v>188</v>
      </c>
      <c r="E39" s="67">
        <f>((E36/E5)^(1/31)-1)*100</f>
        <v>2.1114465694809459</v>
      </c>
      <c r="F39" s="67">
        <f>((F36/F5)^(1/31)-1)*100</f>
        <v>1.5807803182599667</v>
      </c>
      <c r="G39" s="67">
        <f>((G36/G5)^(1/31)-1)*100</f>
        <v>2.0754183643487023</v>
      </c>
      <c r="H39" s="67">
        <f>((H36/H5)^(1/31)-1)*100</f>
        <v>1.5221722820678352</v>
      </c>
      <c r="J39" s="67">
        <f>((J31/J5)^(1/26)-1)*100</f>
        <v>2.5436714336206645</v>
      </c>
      <c r="K39" s="67">
        <f t="shared" ref="K39:P39" si="7">((K31/K5)^(1/26)-1)*100</f>
        <v>2.8866834974997202</v>
      </c>
      <c r="L39" s="67" t="s">
        <v>188</v>
      </c>
      <c r="M39" s="67">
        <f t="shared" si="7"/>
        <v>2.857489832161475</v>
      </c>
      <c r="N39" s="67">
        <f t="shared" si="7"/>
        <v>2.0597401066945409</v>
      </c>
      <c r="O39" s="67">
        <f t="shared" si="7"/>
        <v>2.4794481167253801</v>
      </c>
      <c r="P39" s="67">
        <f t="shared" si="7"/>
        <v>2.0075619367284858</v>
      </c>
    </row>
    <row r="40" spans="1:21">
      <c r="A40" s="64" t="s">
        <v>25</v>
      </c>
      <c r="B40" s="67">
        <f>((B13/B5)^(1/8)-1)*100</f>
        <v>3.6986529574231541</v>
      </c>
      <c r="C40" s="67">
        <f>((C13/C5)^(1/8)-1)*100</f>
        <v>3.954913516733094</v>
      </c>
      <c r="D40" s="67" t="s">
        <v>188</v>
      </c>
      <c r="E40" s="67">
        <f>((E13/E5)^(1/8)-1)*100</f>
        <v>3.9127238380633589</v>
      </c>
      <c r="F40" s="67">
        <f>((F13/F5)^(1/8)-1)*100</f>
        <v>3.0688108969257222</v>
      </c>
      <c r="G40" s="67">
        <f>((G13/G5)^(1/8)-1)*100</f>
        <v>2.8461565163361069</v>
      </c>
      <c r="H40" s="67">
        <f>((H13/H5)^(1/8)-1)*100</f>
        <v>3.1181649844447934</v>
      </c>
      <c r="J40" s="67">
        <f>((J13/J5)^(1/8)-1)*100</f>
        <v>3.6986529574231541</v>
      </c>
      <c r="K40" s="67">
        <f t="shared" ref="K40:P40" si="8">((K13/K5)^(1/8)-1)*100</f>
        <v>3.954913516733094</v>
      </c>
      <c r="L40" s="67" t="s">
        <v>188</v>
      </c>
      <c r="M40" s="67">
        <f t="shared" si="8"/>
        <v>3.9127238380633589</v>
      </c>
      <c r="N40" s="67">
        <f t="shared" si="8"/>
        <v>3.0688108969257222</v>
      </c>
      <c r="O40" s="67">
        <f t="shared" si="8"/>
        <v>2.8461565163361069</v>
      </c>
      <c r="P40" s="67">
        <f t="shared" si="8"/>
        <v>3.1181649844447934</v>
      </c>
    </row>
    <row r="41" spans="1:21">
      <c r="A41" s="109" t="s">
        <v>26</v>
      </c>
      <c r="B41" s="67">
        <f>((B24/B13)^(1/11)-1)*100</f>
        <v>4.1871367177020113</v>
      </c>
      <c r="C41" s="67">
        <f>((C24/C13)^(1/11)-1)*100</f>
        <v>5.1955720714117026</v>
      </c>
      <c r="D41" s="67" t="s">
        <v>188</v>
      </c>
      <c r="E41" s="67">
        <f>((E24/E13)^(1/11)-1)*100</f>
        <v>5.1743246034861912</v>
      </c>
      <c r="F41" s="67">
        <f>((F24/F13)^(1/11)-1)*100</f>
        <v>1.5268743461898104</v>
      </c>
      <c r="G41" s="67">
        <f>((G24/G13)^(1/11)-1)*100</f>
        <v>2.6050125756114317</v>
      </c>
      <c r="H41" s="67">
        <f>((H24/H13)^(1/11)-1)*100</f>
        <v>1.3803442560917256</v>
      </c>
      <c r="I41" s="109"/>
      <c r="J41" s="67">
        <f>((J24/J13)^(1/11)-1)*100</f>
        <v>4.1871367177020113</v>
      </c>
      <c r="K41" s="67">
        <f t="shared" ref="K41:P41" si="9">((K24/K13)^(1/11)-1)*100</f>
        <v>5.1955720714117026</v>
      </c>
      <c r="L41" s="67" t="s">
        <v>188</v>
      </c>
      <c r="M41" s="67">
        <f t="shared" si="9"/>
        <v>5.1743246034861912</v>
      </c>
      <c r="N41" s="67">
        <f t="shared" si="9"/>
        <v>1.5268743461897882</v>
      </c>
      <c r="O41" s="67">
        <f t="shared" si="9"/>
        <v>2.6050125756114539</v>
      </c>
      <c r="P41" s="67">
        <f t="shared" si="9"/>
        <v>1.3803442560917256</v>
      </c>
    </row>
    <row r="42" spans="1:21">
      <c r="A42" s="64" t="s">
        <v>2028</v>
      </c>
      <c r="B42" s="67">
        <f>((B36/B24)^(1/12)-1)*100</f>
        <v>-1.3770205824708337</v>
      </c>
      <c r="C42" s="67">
        <f>((C36/C24)^(1/12)-1)*100</f>
        <v>-1.7442045479518442</v>
      </c>
      <c r="D42" s="67" t="s">
        <v>188</v>
      </c>
      <c r="E42" s="67">
        <f>((E36/E24)^(1/12)-1)*100</f>
        <v>-1.7696102248885959</v>
      </c>
      <c r="F42" s="67">
        <f>((F36/F24)^(1/12)-1)*100</f>
        <v>0.64967616883189194</v>
      </c>
      <c r="G42" s="67">
        <f>((G36/G24)^(1/12)-1)*100</f>
        <v>1.0841611866826417</v>
      </c>
      <c r="H42" s="67">
        <f>((H36/H24)^(1/12)-1)*100</f>
        <v>0.60076059861500219</v>
      </c>
      <c r="I42" s="109"/>
      <c r="J42" s="67">
        <f>((J31/J24)^(1/7)-1)*100</f>
        <v>-1.258748920225683</v>
      </c>
      <c r="K42" s="67">
        <f t="shared" ref="K42:P42" si="10">((K31/K24)^(1/7)-1)*100</f>
        <v>-1.8056291220361897</v>
      </c>
      <c r="L42" s="67" t="s">
        <v>188</v>
      </c>
      <c r="M42" s="67">
        <f t="shared" si="10"/>
        <v>-1.8324044799353012</v>
      </c>
      <c r="N42" s="67">
        <f t="shared" si="10"/>
        <v>1.7521984377981026</v>
      </c>
      <c r="O42" s="67">
        <f t="shared" si="10"/>
        <v>1.8657509896632618</v>
      </c>
      <c r="P42" s="67">
        <f t="shared" si="10"/>
        <v>1.7341984622402551</v>
      </c>
    </row>
    <row r="43" spans="1:21">
      <c r="A43" s="130"/>
      <c r="B43" s="130"/>
      <c r="C43" s="130"/>
      <c r="D43" s="130"/>
      <c r="E43" s="130"/>
      <c r="F43" s="130"/>
      <c r="G43" s="130"/>
      <c r="H43" s="130"/>
      <c r="I43" s="130"/>
      <c r="J43" s="130"/>
      <c r="K43" s="130"/>
      <c r="L43" s="130"/>
      <c r="M43" s="130"/>
      <c r="N43" s="130"/>
      <c r="O43" s="130"/>
      <c r="P43" s="130"/>
    </row>
    <row r="44" spans="1:21" ht="30" customHeight="1">
      <c r="A44" s="104" t="s">
        <v>1953</v>
      </c>
      <c r="B44" s="104"/>
      <c r="C44" s="104"/>
      <c r="D44" s="104"/>
      <c r="E44" s="104"/>
      <c r="F44" s="104"/>
      <c r="G44" s="104"/>
      <c r="H44" s="104"/>
      <c r="I44" s="130"/>
      <c r="J44" s="130"/>
      <c r="K44" s="130"/>
      <c r="L44" s="130"/>
      <c r="M44" s="130"/>
    </row>
    <row r="45" spans="1:21">
      <c r="A45" s="232" t="s">
        <v>1225</v>
      </c>
      <c r="B45" s="232"/>
      <c r="C45" s="232"/>
      <c r="D45" s="232"/>
      <c r="E45" s="232"/>
      <c r="F45" s="232"/>
      <c r="G45" s="232"/>
      <c r="H45" s="232"/>
      <c r="I45" s="130"/>
      <c r="J45" s="130"/>
      <c r="K45" s="130"/>
      <c r="L45" s="130"/>
      <c r="M45" s="130"/>
      <c r="N45" s="130"/>
      <c r="O45" s="130"/>
      <c r="P45" s="130"/>
    </row>
    <row r="49" spans="10:16">
      <c r="J49" s="139"/>
      <c r="K49" s="139"/>
      <c r="L49" s="139"/>
      <c r="M49" s="139"/>
      <c r="N49" s="139"/>
      <c r="O49" s="139"/>
      <c r="P49" s="139"/>
    </row>
    <row r="50" spans="10:16">
      <c r="J50" s="139"/>
      <c r="K50" s="139"/>
      <c r="L50" s="139"/>
      <c r="M50" s="139"/>
      <c r="N50" s="139"/>
      <c r="O50" s="139"/>
      <c r="P50" s="139"/>
    </row>
    <row r="51" spans="10:16">
      <c r="J51" s="139"/>
      <c r="K51" s="139"/>
      <c r="L51" s="139"/>
      <c r="M51" s="139"/>
      <c r="N51" s="139"/>
      <c r="O51" s="139"/>
      <c r="P51" s="139"/>
    </row>
    <row r="52" spans="10:16">
      <c r="J52" s="139"/>
      <c r="K52" s="139"/>
      <c r="L52" s="139"/>
      <c r="M52" s="139"/>
      <c r="N52" s="139"/>
      <c r="O52" s="139"/>
      <c r="P52" s="139"/>
    </row>
    <row r="53" spans="10:16">
      <c r="J53" s="139"/>
      <c r="K53" s="139"/>
      <c r="L53" s="139"/>
      <c r="M53" s="139"/>
      <c r="N53" s="139"/>
      <c r="O53" s="139"/>
      <c r="P53" s="139"/>
    </row>
    <row r="54" spans="10:16">
      <c r="J54" s="139"/>
      <c r="K54" s="139"/>
      <c r="L54" s="139"/>
      <c r="M54" s="139"/>
      <c r="N54" s="139"/>
      <c r="O54" s="139"/>
      <c r="P54" s="139"/>
    </row>
    <row r="55" spans="10:16">
      <c r="J55" s="139"/>
      <c r="K55" s="139"/>
      <c r="L55" s="139"/>
      <c r="M55" s="139"/>
      <c r="N55" s="139"/>
      <c r="O55" s="139"/>
      <c r="P55" s="139"/>
    </row>
    <row r="56" spans="10:16">
      <c r="J56" s="139"/>
      <c r="K56" s="139"/>
      <c r="L56" s="139"/>
      <c r="M56" s="139"/>
      <c r="N56" s="139"/>
      <c r="O56" s="139"/>
      <c r="P56" s="139"/>
    </row>
    <row r="57" spans="10:16">
      <c r="J57" s="139"/>
      <c r="K57" s="139"/>
      <c r="L57" s="139"/>
      <c r="M57" s="139"/>
      <c r="N57" s="139"/>
      <c r="O57" s="139"/>
      <c r="P57" s="139"/>
    </row>
    <row r="58" spans="10:16">
      <c r="J58" s="139"/>
      <c r="K58" s="139"/>
      <c r="L58" s="139"/>
      <c r="M58" s="139"/>
      <c r="N58" s="139"/>
      <c r="O58" s="139"/>
      <c r="P58" s="139"/>
    </row>
    <row r="59" spans="10:16">
      <c r="J59" s="139"/>
      <c r="K59" s="139"/>
      <c r="L59" s="139"/>
      <c r="M59" s="139"/>
      <c r="N59" s="139"/>
      <c r="O59" s="139"/>
      <c r="P59" s="139"/>
    </row>
    <row r="60" spans="10:16">
      <c r="J60" s="139"/>
      <c r="K60" s="139"/>
      <c r="L60" s="139"/>
      <c r="M60" s="139"/>
      <c r="N60" s="139"/>
      <c r="O60" s="139"/>
      <c r="P60" s="139"/>
    </row>
    <row r="61" spans="10:16">
      <c r="J61" s="139"/>
      <c r="K61" s="139"/>
      <c r="L61" s="139"/>
      <c r="M61" s="139"/>
      <c r="N61" s="139"/>
      <c r="O61" s="139"/>
      <c r="P61" s="139"/>
    </row>
    <row r="62" spans="10:16">
      <c r="J62" s="139"/>
      <c r="K62" s="139"/>
      <c r="L62" s="139"/>
      <c r="M62" s="139"/>
      <c r="N62" s="139"/>
      <c r="O62" s="139"/>
      <c r="P62" s="139"/>
    </row>
    <row r="63" spans="10:16">
      <c r="J63" s="139"/>
      <c r="K63" s="139"/>
      <c r="L63" s="139"/>
      <c r="M63" s="139"/>
      <c r="N63" s="139"/>
      <c r="O63" s="139"/>
      <c r="P63" s="139"/>
    </row>
    <row r="64" spans="10:16">
      <c r="J64" s="139"/>
      <c r="K64" s="139"/>
      <c r="L64" s="139"/>
      <c r="M64" s="139"/>
      <c r="N64" s="139"/>
      <c r="O64" s="139"/>
      <c r="P64" s="139"/>
    </row>
    <row r="65" spans="10:16">
      <c r="J65" s="139"/>
      <c r="K65" s="139"/>
      <c r="L65" s="139"/>
      <c r="M65" s="139"/>
      <c r="N65" s="139"/>
      <c r="O65" s="139"/>
      <c r="P65" s="139"/>
    </row>
    <row r="66" spans="10:16">
      <c r="J66" s="139"/>
      <c r="K66" s="139"/>
      <c r="L66" s="139"/>
      <c r="M66" s="139"/>
      <c r="N66" s="139"/>
      <c r="O66" s="139"/>
      <c r="P66" s="139"/>
    </row>
    <row r="67" spans="10:16">
      <c r="J67" s="139"/>
      <c r="K67" s="139"/>
      <c r="L67" s="139"/>
      <c r="M67" s="139"/>
      <c r="N67" s="139"/>
      <c r="O67" s="139"/>
      <c r="P67" s="139"/>
    </row>
    <row r="68" spans="10:16">
      <c r="J68" s="139"/>
      <c r="K68" s="139"/>
      <c r="L68" s="139"/>
      <c r="M68" s="139"/>
      <c r="N68" s="139"/>
      <c r="O68" s="139"/>
      <c r="P68" s="139"/>
    </row>
    <row r="69" spans="10:16">
      <c r="J69" s="139"/>
      <c r="K69" s="139"/>
      <c r="L69" s="139"/>
      <c r="M69" s="139"/>
      <c r="N69" s="139"/>
      <c r="O69" s="139"/>
      <c r="P69" s="139"/>
    </row>
    <row r="70" spans="10:16">
      <c r="J70" s="139"/>
      <c r="K70" s="139"/>
      <c r="L70" s="139"/>
      <c r="M70" s="139"/>
      <c r="N70" s="139"/>
      <c r="O70" s="139"/>
      <c r="P70" s="139"/>
    </row>
    <row r="71" spans="10:16">
      <c r="J71" s="139"/>
      <c r="K71" s="139"/>
      <c r="L71" s="139"/>
      <c r="M71" s="139"/>
      <c r="N71" s="139"/>
      <c r="O71" s="139"/>
      <c r="P71" s="139"/>
    </row>
    <row r="72" spans="10:16">
      <c r="J72" s="139"/>
      <c r="K72" s="139"/>
      <c r="L72" s="139"/>
      <c r="M72" s="139"/>
      <c r="N72" s="139"/>
      <c r="O72" s="139"/>
      <c r="P72" s="139"/>
    </row>
    <row r="73" spans="10:16">
      <c r="J73" s="139"/>
      <c r="K73" s="139"/>
      <c r="L73" s="139"/>
      <c r="M73" s="139"/>
      <c r="N73" s="139"/>
      <c r="O73" s="139"/>
      <c r="P73" s="139"/>
    </row>
    <row r="74" spans="10:16">
      <c r="J74" s="139"/>
      <c r="K74" s="139"/>
      <c r="L74" s="139"/>
      <c r="M74" s="139"/>
      <c r="N74" s="139"/>
      <c r="O74" s="139"/>
      <c r="P74" s="139"/>
    </row>
    <row r="75" spans="10:16">
      <c r="J75" s="139"/>
      <c r="K75" s="139"/>
      <c r="L75" s="139"/>
      <c r="M75" s="139"/>
      <c r="N75" s="139"/>
      <c r="O75" s="139"/>
      <c r="P75" s="139"/>
    </row>
    <row r="76" spans="10:16">
      <c r="J76" s="139"/>
      <c r="K76" s="139"/>
      <c r="L76" s="139"/>
      <c r="M76" s="139"/>
      <c r="N76" s="139"/>
      <c r="O76" s="139"/>
      <c r="P76" s="139"/>
    </row>
  </sheetData>
  <mergeCells count="10">
    <mergeCell ref="K2:M2"/>
    <mergeCell ref="N2:P2"/>
    <mergeCell ref="B2:B3"/>
    <mergeCell ref="C2:E2"/>
    <mergeCell ref="F2:H2"/>
    <mergeCell ref="A1:H1"/>
    <mergeCell ref="A44:H44"/>
    <mergeCell ref="A45:H45"/>
    <mergeCell ref="A2:A3"/>
    <mergeCell ref="J2:J3"/>
  </mergeCells>
  <pageMargins left="0.7" right="0.7" top="0.75" bottom="0.75" header="0.3" footer="0.3"/>
  <pageSetup orientation="portrait" horizontalDpi="0" verticalDpi="0" r:id="rId1"/>
</worksheet>
</file>

<file path=xl/worksheets/sheet160.xml><?xml version="1.0" encoding="utf-8"?>
<worksheet xmlns="http://schemas.openxmlformats.org/spreadsheetml/2006/main" xmlns:r="http://schemas.openxmlformats.org/officeDocument/2006/relationships">
  <sheetPr codeName="Sheet154"/>
  <dimension ref="A1:AB61"/>
  <sheetViews>
    <sheetView view="pageBreakPre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3.5703125" style="64" customWidth="1"/>
    <col min="2" max="8" width="14.28515625" style="64" customWidth="1"/>
    <col min="9" max="9" width="12" style="64" customWidth="1"/>
    <col min="10" max="14" width="14.28515625" style="64" customWidth="1"/>
    <col min="15" max="16" width="9.140625" style="64"/>
    <col min="17" max="17" width="13.85546875" style="64" hidden="1" customWidth="1" outlineLevel="1"/>
    <col min="18" max="18" width="11.140625" style="64" hidden="1" customWidth="1" outlineLevel="1"/>
    <col min="19" max="19" width="10.140625" style="64" hidden="1" customWidth="1" outlineLevel="1"/>
    <col min="20" max="20" width="9.140625" style="64" hidden="1" customWidth="1" outlineLevel="1"/>
    <col min="21" max="21" width="10.140625" style="64" hidden="1" customWidth="1" outlineLevel="1"/>
    <col min="22" max="22" width="9.140625" style="64" hidden="1" customWidth="1" outlineLevel="1"/>
    <col min="23" max="23" width="12.7109375" style="64" hidden="1" customWidth="1" outlineLevel="1"/>
    <col min="24" max="24" width="11.140625" style="64" hidden="1" customWidth="1" outlineLevel="1"/>
    <col min="25" max="25" width="10.140625" style="64" hidden="1" customWidth="1" outlineLevel="1"/>
    <col min="26" max="26" width="9.140625" style="64" hidden="1" customWidth="1" outlineLevel="1"/>
    <col min="27" max="27" width="9.28515625" style="64" hidden="1" customWidth="1" outlineLevel="1"/>
    <col min="28" max="28" width="9.140625" style="64" collapsed="1"/>
    <col min="29" max="16384" width="9.140625" style="64"/>
  </cols>
  <sheetData>
    <row r="1" spans="1:27">
      <c r="A1" s="108" t="s">
        <v>2084</v>
      </c>
      <c r="B1" s="108"/>
      <c r="C1" s="108"/>
      <c r="D1" s="108"/>
      <c r="E1" s="108"/>
      <c r="F1" s="108"/>
      <c r="G1" s="108"/>
      <c r="H1" s="108"/>
      <c r="I1" s="108"/>
      <c r="J1" s="108"/>
      <c r="K1" s="108"/>
      <c r="L1" s="108"/>
      <c r="M1" s="108"/>
      <c r="N1" s="108"/>
    </row>
    <row r="2" spans="1:27">
      <c r="B2" s="107" t="s">
        <v>189</v>
      </c>
      <c r="C2" s="107"/>
      <c r="D2" s="107"/>
      <c r="E2" s="107"/>
      <c r="F2" s="107"/>
      <c r="G2" s="107"/>
      <c r="H2" s="107" t="s">
        <v>2106</v>
      </c>
      <c r="I2" s="107"/>
      <c r="J2" s="107"/>
      <c r="K2" s="107"/>
      <c r="L2" s="107"/>
      <c r="M2" s="107"/>
      <c r="N2" s="107"/>
      <c r="Q2" s="149" t="s">
        <v>191</v>
      </c>
      <c r="R2" s="149"/>
      <c r="S2" s="149"/>
      <c r="T2" s="149"/>
      <c r="U2" s="149"/>
      <c r="W2" s="64" t="s">
        <v>190</v>
      </c>
    </row>
    <row r="3" spans="1:27" ht="90">
      <c r="B3" s="73" t="s">
        <v>7</v>
      </c>
      <c r="C3" s="73" t="s">
        <v>0</v>
      </c>
      <c r="D3" s="73" t="s">
        <v>1</v>
      </c>
      <c r="E3" s="73" t="s">
        <v>678</v>
      </c>
      <c r="F3" s="73" t="s">
        <v>13</v>
      </c>
      <c r="G3" s="73" t="s">
        <v>19</v>
      </c>
      <c r="H3" s="73" t="s">
        <v>7</v>
      </c>
      <c r="I3" s="73" t="s">
        <v>37</v>
      </c>
      <c r="J3" s="73" t="s">
        <v>192</v>
      </c>
      <c r="K3" s="73" t="s">
        <v>1</v>
      </c>
      <c r="L3" s="73" t="s">
        <v>678</v>
      </c>
      <c r="M3" s="73" t="s">
        <v>13</v>
      </c>
      <c r="N3" s="73" t="s">
        <v>19</v>
      </c>
      <c r="Q3" s="117" t="s">
        <v>7</v>
      </c>
      <c r="R3" s="117" t="s">
        <v>192</v>
      </c>
      <c r="S3" s="117" t="s">
        <v>1</v>
      </c>
      <c r="T3" s="117" t="s">
        <v>13</v>
      </c>
      <c r="U3" s="117" t="s">
        <v>19</v>
      </c>
      <c r="W3" s="117" t="s">
        <v>7</v>
      </c>
      <c r="X3" s="117" t="s">
        <v>0</v>
      </c>
      <c r="Y3" s="117" t="s">
        <v>1</v>
      </c>
      <c r="Z3" s="117" t="s">
        <v>13</v>
      </c>
      <c r="AA3" s="117" t="s">
        <v>19</v>
      </c>
    </row>
    <row r="4" spans="1:27" hidden="1" outlineLevel="1">
      <c r="Q4" s="64" t="s">
        <v>183</v>
      </c>
      <c r="R4" s="64" t="s">
        <v>184</v>
      </c>
      <c r="S4" s="64" t="s">
        <v>185</v>
      </c>
      <c r="T4" s="64" t="s">
        <v>186</v>
      </c>
      <c r="U4" s="64" t="s">
        <v>187</v>
      </c>
      <c r="W4" s="64" t="s">
        <v>178</v>
      </c>
      <c r="X4" s="64" t="s">
        <v>179</v>
      </c>
      <c r="Y4" s="64" t="s">
        <v>180</v>
      </c>
      <c r="Z4" s="64" t="s">
        <v>181</v>
      </c>
      <c r="AA4" s="64" t="s">
        <v>182</v>
      </c>
    </row>
    <row r="5" spans="1:27" collapsed="1">
      <c r="A5" s="64">
        <v>1984</v>
      </c>
      <c r="B5" s="56">
        <v>5990.8</v>
      </c>
      <c r="C5" s="56">
        <v>58.5</v>
      </c>
      <c r="D5" s="56">
        <v>7.5</v>
      </c>
      <c r="E5" s="56" t="s">
        <v>188</v>
      </c>
      <c r="F5" s="56" t="s">
        <v>188</v>
      </c>
      <c r="G5" s="56" t="s">
        <v>188</v>
      </c>
      <c r="H5" s="56">
        <f t="shared" ref="H5:H26" si="0">H6*(1/R36)</f>
        <v>15091.047715662868</v>
      </c>
      <c r="I5" s="56" t="s">
        <v>22</v>
      </c>
      <c r="J5" s="56">
        <f t="shared" ref="J5" si="1">J6*(1/S36)</f>
        <v>122.26258617733772</v>
      </c>
      <c r="K5" s="56" t="s">
        <v>22</v>
      </c>
      <c r="L5" s="56" t="s">
        <v>22</v>
      </c>
      <c r="M5" s="56" t="s">
        <v>22</v>
      </c>
      <c r="N5" s="56" t="s">
        <v>22</v>
      </c>
      <c r="Q5" s="32"/>
      <c r="R5" s="32"/>
      <c r="S5" s="32"/>
      <c r="T5" s="32"/>
      <c r="U5" s="32"/>
      <c r="W5" s="32">
        <v>8502100000</v>
      </c>
      <c r="X5" s="32">
        <v>112600000</v>
      </c>
      <c r="Y5" s="32">
        <v>16700000</v>
      </c>
      <c r="Z5" s="32" t="s">
        <v>188</v>
      </c>
      <c r="AA5" s="32" t="s">
        <v>188</v>
      </c>
    </row>
    <row r="6" spans="1:27">
      <c r="A6" s="64">
        <v>1985</v>
      </c>
      <c r="B6" s="56">
        <v>6192.9</v>
      </c>
      <c r="C6" s="56">
        <v>49.2</v>
      </c>
      <c r="D6" s="56">
        <v>7.1</v>
      </c>
      <c r="E6" s="56" t="s">
        <v>188</v>
      </c>
      <c r="F6" s="56" t="s">
        <v>188</v>
      </c>
      <c r="G6" s="56" t="s">
        <v>188</v>
      </c>
      <c r="H6" s="56">
        <f t="shared" si="0"/>
        <v>15121.399854068419</v>
      </c>
      <c r="I6" s="56" t="s">
        <v>22</v>
      </c>
      <c r="J6" s="56">
        <f t="shared" ref="J6:K6" si="2">J7*(1/S37)</f>
        <v>104.88957215569114</v>
      </c>
      <c r="K6" s="56">
        <f t="shared" si="2"/>
        <v>8.8492547425474211</v>
      </c>
      <c r="L6" s="56" t="s">
        <v>22</v>
      </c>
      <c r="M6" s="56" t="s">
        <v>22</v>
      </c>
      <c r="N6" s="56" t="s">
        <v>22</v>
      </c>
      <c r="Q6" s="32"/>
      <c r="R6" s="32"/>
      <c r="S6" s="32"/>
      <c r="T6" s="32"/>
      <c r="U6" s="32"/>
      <c r="W6" s="32">
        <v>8519200000</v>
      </c>
      <c r="X6" s="32">
        <v>96600000</v>
      </c>
      <c r="Y6" s="32">
        <v>15100000</v>
      </c>
      <c r="Z6" s="32" t="s">
        <v>188</v>
      </c>
      <c r="AA6" s="32" t="s">
        <v>188</v>
      </c>
    </row>
    <row r="7" spans="1:27">
      <c r="A7" s="64">
        <v>1986</v>
      </c>
      <c r="B7" s="56">
        <v>6636</v>
      </c>
      <c r="C7" s="56">
        <v>40.200000000000003</v>
      </c>
      <c r="D7" s="56">
        <v>5.7</v>
      </c>
      <c r="E7" s="56" t="s">
        <v>188</v>
      </c>
      <c r="F7" s="56" t="s">
        <v>188</v>
      </c>
      <c r="G7" s="56" t="s">
        <v>188</v>
      </c>
      <c r="H7" s="56">
        <f t="shared" si="0"/>
        <v>15423.856250811456</v>
      </c>
      <c r="I7" s="56" t="s">
        <v>22</v>
      </c>
      <c r="J7" s="56">
        <f t="shared" ref="J7:K7" si="3">J8*(1/S38)</f>
        <v>83.064723290997648</v>
      </c>
      <c r="K7" s="56">
        <f t="shared" si="3"/>
        <v>5.8604336043360412</v>
      </c>
      <c r="L7" s="56" t="s">
        <v>22</v>
      </c>
      <c r="M7" s="56" t="s">
        <v>22</v>
      </c>
      <c r="N7" s="56" t="s">
        <v>22</v>
      </c>
      <c r="Q7" s="32"/>
      <c r="R7" s="32"/>
      <c r="S7" s="32"/>
      <c r="T7" s="32"/>
      <c r="U7" s="32"/>
      <c r="W7" s="32">
        <v>8689600000</v>
      </c>
      <c r="X7" s="32">
        <v>76500000</v>
      </c>
      <c r="Y7" s="32">
        <v>10000000</v>
      </c>
      <c r="Z7" s="32" t="s">
        <v>188</v>
      </c>
      <c r="AA7" s="32" t="s">
        <v>188</v>
      </c>
    </row>
    <row r="8" spans="1:27">
      <c r="A8" s="64">
        <v>1987</v>
      </c>
      <c r="B8" s="56">
        <v>7145.6</v>
      </c>
      <c r="C8" s="56">
        <v>43.4</v>
      </c>
      <c r="D8" s="56">
        <v>6.8</v>
      </c>
      <c r="E8" s="56" t="s">
        <v>188</v>
      </c>
      <c r="F8" s="56" t="s">
        <v>188</v>
      </c>
      <c r="G8" s="56" t="s">
        <v>188</v>
      </c>
      <c r="H8" s="56">
        <f t="shared" si="0"/>
        <v>15710.337837867359</v>
      </c>
      <c r="I8" s="56" t="s">
        <v>22</v>
      </c>
      <c r="J8" s="56">
        <f t="shared" ref="J8:K8" si="4">J9*(1/S39)</f>
        <v>83.39046730390352</v>
      </c>
      <c r="K8" s="56">
        <f t="shared" si="4"/>
        <v>6.3292682926829249</v>
      </c>
      <c r="L8" s="56" t="s">
        <v>22</v>
      </c>
      <c r="M8" s="56" t="s">
        <v>22</v>
      </c>
      <c r="N8" s="56" t="s">
        <v>22</v>
      </c>
      <c r="Q8" s="32"/>
      <c r="R8" s="32"/>
      <c r="S8" s="32"/>
      <c r="T8" s="32"/>
      <c r="U8" s="32"/>
      <c r="W8" s="32">
        <v>8851000000</v>
      </c>
      <c r="X8" s="32">
        <v>76800000</v>
      </c>
      <c r="Y8" s="32">
        <v>10800000</v>
      </c>
      <c r="Z8" s="32" t="s">
        <v>188</v>
      </c>
      <c r="AA8" s="32" t="s">
        <v>188</v>
      </c>
    </row>
    <row r="9" spans="1:27">
      <c r="A9" s="64">
        <v>1988</v>
      </c>
      <c r="B9" s="56">
        <v>7873</v>
      </c>
      <c r="C9" s="56">
        <v>61.1</v>
      </c>
      <c r="D9" s="56">
        <v>6.9</v>
      </c>
      <c r="E9" s="56" t="s">
        <v>188</v>
      </c>
      <c r="F9" s="56" t="s">
        <v>188</v>
      </c>
      <c r="G9" s="56">
        <v>4.8</v>
      </c>
      <c r="H9" s="56">
        <f t="shared" si="0"/>
        <v>16751.185437926721</v>
      </c>
      <c r="I9" s="56" t="s">
        <v>22</v>
      </c>
      <c r="J9" s="56">
        <f t="shared" ref="J9:K9" si="5">J10*(1/S40)</f>
        <v>105.3238975062323</v>
      </c>
      <c r="K9" s="56">
        <f t="shared" si="5"/>
        <v>6.9739159891598899</v>
      </c>
      <c r="L9" s="56" t="s">
        <v>22</v>
      </c>
      <c r="M9" s="56" t="s">
        <v>22</v>
      </c>
      <c r="N9" s="56" t="s">
        <v>22</v>
      </c>
      <c r="Q9" s="32"/>
      <c r="R9" s="32"/>
      <c r="S9" s="32"/>
      <c r="T9" s="32"/>
      <c r="U9" s="32"/>
      <c r="W9" s="32">
        <v>9437400000</v>
      </c>
      <c r="X9" s="32">
        <v>97000000</v>
      </c>
      <c r="Y9" s="32">
        <v>11900000</v>
      </c>
      <c r="Z9" s="32" t="s">
        <v>188</v>
      </c>
      <c r="AA9" s="32">
        <v>7200000</v>
      </c>
    </row>
    <row r="10" spans="1:27">
      <c r="A10" s="64">
        <v>1989</v>
      </c>
      <c r="B10" s="56">
        <v>8269.2000000000007</v>
      </c>
      <c r="C10" s="56">
        <v>64.3</v>
      </c>
      <c r="D10" s="56">
        <v>5.2</v>
      </c>
      <c r="E10" s="56" t="s">
        <v>188</v>
      </c>
      <c r="F10" s="56" t="s">
        <v>188</v>
      </c>
      <c r="G10" s="56">
        <v>4.5999999999999996</v>
      </c>
      <c r="H10" s="56">
        <f t="shared" si="0"/>
        <v>16930.635800078839</v>
      </c>
      <c r="I10" s="56" t="s">
        <v>22</v>
      </c>
      <c r="J10" s="56">
        <f t="shared" ref="J10:K10" si="6">J11*(1/S41)</f>
        <v>113.03317247833796</v>
      </c>
      <c r="K10" s="56">
        <f t="shared" si="6"/>
        <v>5.8604336043360421</v>
      </c>
      <c r="L10" s="56" t="s">
        <v>22</v>
      </c>
      <c r="M10" s="56" t="s">
        <v>22</v>
      </c>
      <c r="N10" s="56" t="s">
        <v>22</v>
      </c>
      <c r="Q10" s="32"/>
      <c r="R10" s="32"/>
      <c r="S10" s="32"/>
      <c r="T10" s="32"/>
      <c r="U10" s="32"/>
      <c r="W10" s="32">
        <v>9538500000</v>
      </c>
      <c r="X10" s="32">
        <v>104100000</v>
      </c>
      <c r="Y10" s="32">
        <v>10000000</v>
      </c>
      <c r="Z10" s="32" t="s">
        <v>188</v>
      </c>
      <c r="AA10" s="32">
        <v>6400000</v>
      </c>
    </row>
    <row r="11" spans="1:27">
      <c r="A11" s="64">
        <v>1990</v>
      </c>
      <c r="B11" s="56">
        <v>8599</v>
      </c>
      <c r="C11" s="56">
        <v>61</v>
      </c>
      <c r="D11" s="56">
        <v>6.1</v>
      </c>
      <c r="E11" s="56" t="s">
        <v>188</v>
      </c>
      <c r="F11" s="56" t="s">
        <v>188</v>
      </c>
      <c r="G11" s="56">
        <v>3.5</v>
      </c>
      <c r="H11" s="56">
        <f t="shared" si="0"/>
        <v>16879.516409080017</v>
      </c>
      <c r="I11" s="56" t="s">
        <v>22</v>
      </c>
      <c r="J11" s="56">
        <f t="shared" ref="J11:K11" si="7">J12*(1/S42)</f>
        <v>99.134761261020699</v>
      </c>
      <c r="K11" s="56">
        <f t="shared" si="7"/>
        <v>6.5050813008130071</v>
      </c>
      <c r="L11" s="56" t="s">
        <v>22</v>
      </c>
      <c r="M11" s="56" t="s">
        <v>22</v>
      </c>
      <c r="N11" s="56" t="s">
        <v>22</v>
      </c>
      <c r="Q11" s="32"/>
      <c r="R11" s="32"/>
      <c r="S11" s="32"/>
      <c r="T11" s="32"/>
      <c r="U11" s="32"/>
      <c r="W11" s="32">
        <v>9509700000</v>
      </c>
      <c r="X11" s="32">
        <v>91300000</v>
      </c>
      <c r="Y11" s="32">
        <v>11100000</v>
      </c>
      <c r="Z11" s="32" t="s">
        <v>188</v>
      </c>
      <c r="AA11" s="32">
        <v>4500000</v>
      </c>
    </row>
    <row r="12" spans="1:27">
      <c r="A12" s="64">
        <v>1991</v>
      </c>
      <c r="B12" s="56">
        <v>8731.7000000000007</v>
      </c>
      <c r="C12" s="56">
        <v>55.3</v>
      </c>
      <c r="D12" s="56">
        <v>12.2</v>
      </c>
      <c r="E12" s="56" t="s">
        <v>188</v>
      </c>
      <c r="F12" s="56" t="s">
        <v>188</v>
      </c>
      <c r="G12" s="56">
        <v>3.3</v>
      </c>
      <c r="H12" s="56">
        <f t="shared" si="0"/>
        <v>16340.810326852839</v>
      </c>
      <c r="I12" s="56" t="s">
        <v>22</v>
      </c>
      <c r="J12" s="56">
        <f t="shared" ref="J12:K12" si="8">J13*(1/S43)</f>
        <v>87.625139471679844</v>
      </c>
      <c r="K12" s="56">
        <f t="shared" si="8"/>
        <v>10.724593495934958</v>
      </c>
      <c r="L12" s="56" t="s">
        <v>22</v>
      </c>
      <c r="M12" s="56" t="s">
        <v>22</v>
      </c>
      <c r="N12" s="56" t="s">
        <v>22</v>
      </c>
      <c r="Q12" s="32"/>
      <c r="R12" s="32"/>
      <c r="S12" s="32"/>
      <c r="T12" s="32"/>
      <c r="U12" s="32"/>
      <c r="W12" s="32">
        <v>9206200000</v>
      </c>
      <c r="X12" s="32">
        <v>80700000</v>
      </c>
      <c r="Y12" s="32">
        <v>18300000</v>
      </c>
      <c r="Z12" s="32" t="s">
        <v>188</v>
      </c>
      <c r="AA12" s="32">
        <v>3800000</v>
      </c>
    </row>
    <row r="13" spans="1:27">
      <c r="A13" s="64">
        <v>1992</v>
      </c>
      <c r="B13" s="56">
        <v>8665.7999999999993</v>
      </c>
      <c r="C13" s="56">
        <v>54.5</v>
      </c>
      <c r="D13" s="56">
        <v>10.4</v>
      </c>
      <c r="E13" s="56" t="s">
        <v>188</v>
      </c>
      <c r="F13" s="56" t="s">
        <v>188</v>
      </c>
      <c r="G13" s="56">
        <v>4.8</v>
      </c>
      <c r="H13" s="56">
        <f t="shared" si="0"/>
        <v>15981.909602548605</v>
      </c>
      <c r="I13" s="56" t="s">
        <v>22</v>
      </c>
      <c r="J13" s="56">
        <f t="shared" ref="J13:K13" si="9">J14*(1/S44)</f>
        <v>77.961400422138951</v>
      </c>
      <c r="K13" s="56">
        <f t="shared" si="9"/>
        <v>9.0250677506775059</v>
      </c>
      <c r="L13" s="56" t="s">
        <v>22</v>
      </c>
      <c r="M13" s="56" t="s">
        <v>22</v>
      </c>
      <c r="N13" s="56" t="s">
        <v>22</v>
      </c>
      <c r="Q13" s="32"/>
      <c r="R13" s="32"/>
      <c r="S13" s="32"/>
      <c r="T13" s="32"/>
      <c r="U13" s="32"/>
      <c r="W13" s="32">
        <v>9004000000</v>
      </c>
      <c r="X13" s="32">
        <v>71800000</v>
      </c>
      <c r="Y13" s="32">
        <v>15400000</v>
      </c>
      <c r="Z13" s="32" t="s">
        <v>188</v>
      </c>
      <c r="AA13" s="32">
        <v>5000000</v>
      </c>
    </row>
    <row r="14" spans="1:27">
      <c r="A14" s="64">
        <v>1993</v>
      </c>
      <c r="B14" s="56">
        <v>8822.7999999999993</v>
      </c>
      <c r="C14" s="56">
        <v>67.900000000000006</v>
      </c>
      <c r="D14" s="56">
        <v>11.6</v>
      </c>
      <c r="E14" s="56" t="s">
        <v>188</v>
      </c>
      <c r="F14" s="56" t="s">
        <v>188</v>
      </c>
      <c r="G14" s="56">
        <v>7.5</v>
      </c>
      <c r="H14" s="56">
        <f t="shared" si="0"/>
        <v>16123.730412993255</v>
      </c>
      <c r="I14" s="56" t="s">
        <v>22</v>
      </c>
      <c r="J14" s="56">
        <f t="shared" ref="J14:K14" si="10">J15*(1/S45)</f>
        <v>83.173304628632934</v>
      </c>
      <c r="K14" s="56">
        <f t="shared" si="10"/>
        <v>9.0250677506775059</v>
      </c>
      <c r="L14" s="56" t="s">
        <v>22</v>
      </c>
      <c r="M14" s="56" t="s">
        <v>22</v>
      </c>
      <c r="N14" s="56" t="s">
        <v>22</v>
      </c>
      <c r="Q14" s="32"/>
      <c r="R14" s="32"/>
      <c r="S14" s="32"/>
      <c r="T14" s="32"/>
      <c r="U14" s="32"/>
      <c r="W14" s="32">
        <v>9083900000</v>
      </c>
      <c r="X14" s="32">
        <v>76600000</v>
      </c>
      <c r="Y14" s="32">
        <v>15400000</v>
      </c>
      <c r="Z14" s="32" t="s">
        <v>188</v>
      </c>
      <c r="AA14" s="32">
        <v>7800000</v>
      </c>
    </row>
    <row r="15" spans="1:27">
      <c r="A15" s="64">
        <v>1994</v>
      </c>
      <c r="B15" s="56">
        <v>9311.2999999999993</v>
      </c>
      <c r="C15" s="56">
        <v>79.400000000000006</v>
      </c>
      <c r="D15" s="56">
        <v>9.6</v>
      </c>
      <c r="E15" s="56" t="s">
        <v>188</v>
      </c>
      <c r="F15" s="56" t="s">
        <v>188</v>
      </c>
      <c r="G15" s="56" t="s">
        <v>188</v>
      </c>
      <c r="H15" s="56">
        <f t="shared" si="0"/>
        <v>16703.793502521563</v>
      </c>
      <c r="I15" s="56" t="s">
        <v>22</v>
      </c>
      <c r="J15" s="56">
        <f t="shared" ref="J15:K15" si="11">J16*(1/S46)</f>
        <v>93.705694379256173</v>
      </c>
      <c r="K15" s="56">
        <f t="shared" si="11"/>
        <v>5.215785907859078</v>
      </c>
      <c r="L15" s="56" t="s">
        <v>22</v>
      </c>
      <c r="M15" s="56" t="s">
        <v>22</v>
      </c>
      <c r="N15" s="56" t="s">
        <v>22</v>
      </c>
      <c r="Q15" s="32"/>
      <c r="R15" s="32"/>
      <c r="S15" s="32"/>
      <c r="T15" s="32"/>
      <c r="U15" s="32"/>
      <c r="W15" s="32">
        <v>9410700000</v>
      </c>
      <c r="X15" s="32">
        <v>86300000</v>
      </c>
      <c r="Y15" s="32">
        <v>8900000</v>
      </c>
      <c r="Z15" s="32" t="s">
        <v>188</v>
      </c>
      <c r="AA15" s="32" t="s">
        <v>188</v>
      </c>
    </row>
    <row r="16" spans="1:27">
      <c r="A16" s="64">
        <v>1995</v>
      </c>
      <c r="B16" s="56">
        <v>9643.9</v>
      </c>
      <c r="C16" s="56">
        <v>88.5</v>
      </c>
      <c r="D16" s="56">
        <v>8.8000000000000007</v>
      </c>
      <c r="E16" s="56" t="s">
        <v>188</v>
      </c>
      <c r="F16" s="56" t="s">
        <v>188</v>
      </c>
      <c r="G16" s="56" t="s">
        <v>188</v>
      </c>
      <c r="H16" s="56">
        <f t="shared" si="0"/>
        <v>16915.193484047941</v>
      </c>
      <c r="I16" s="56" t="s">
        <v>22</v>
      </c>
      <c r="J16" s="56">
        <f t="shared" ref="J16:K16" si="12">J17*(1/S47)</f>
        <v>94.03143839216203</v>
      </c>
      <c r="K16" s="56">
        <f t="shared" si="12"/>
        <v>5.0399728997289968</v>
      </c>
      <c r="L16" s="56" t="s">
        <v>22</v>
      </c>
      <c r="M16" s="56" t="s">
        <v>22</v>
      </c>
      <c r="N16" s="56" t="s">
        <v>22</v>
      </c>
      <c r="Q16" s="32"/>
      <c r="R16" s="32"/>
      <c r="S16" s="32"/>
      <c r="T16" s="32"/>
      <c r="U16" s="32"/>
      <c r="W16" s="32">
        <v>9529800000</v>
      </c>
      <c r="X16" s="32">
        <v>86600000</v>
      </c>
      <c r="Y16" s="32">
        <v>8600000</v>
      </c>
      <c r="Z16" s="32" t="s">
        <v>188</v>
      </c>
      <c r="AA16" s="32" t="s">
        <v>188</v>
      </c>
    </row>
    <row r="17" spans="1:27">
      <c r="A17" s="64">
        <v>1996</v>
      </c>
      <c r="B17" s="56">
        <v>9487.5</v>
      </c>
      <c r="C17" s="56">
        <v>90.1</v>
      </c>
      <c r="D17" s="56">
        <v>12.4</v>
      </c>
      <c r="E17" s="56" t="s">
        <v>188</v>
      </c>
      <c r="F17" s="56" t="s">
        <v>188</v>
      </c>
      <c r="G17" s="56">
        <v>7.8</v>
      </c>
      <c r="H17" s="56">
        <f t="shared" si="0"/>
        <v>16358.205119623271</v>
      </c>
      <c r="I17" s="56" t="s">
        <v>22</v>
      </c>
      <c r="J17" s="56">
        <f t="shared" ref="J17" si="13">J18*(1/S48)</f>
        <v>81.110259213562401</v>
      </c>
      <c r="K17" s="56">
        <f>K19*(Y17/Y19)</f>
        <v>5.6260162601626007</v>
      </c>
      <c r="L17" s="56" t="s">
        <v>22</v>
      </c>
      <c r="M17" s="56" t="s">
        <v>22</v>
      </c>
      <c r="N17" s="56" t="s">
        <v>22</v>
      </c>
      <c r="Q17" s="32"/>
      <c r="R17" s="32"/>
      <c r="S17" s="32"/>
      <c r="T17" s="32"/>
      <c r="U17" s="32"/>
      <c r="W17" s="32">
        <v>9216000000</v>
      </c>
      <c r="X17" s="32">
        <v>74700000</v>
      </c>
      <c r="Y17" s="32">
        <v>9600000</v>
      </c>
      <c r="Z17" s="32" t="s">
        <v>188</v>
      </c>
      <c r="AA17" s="32">
        <v>6300000</v>
      </c>
    </row>
    <row r="18" spans="1:27">
      <c r="A18" s="64">
        <v>1997</v>
      </c>
      <c r="B18" s="56">
        <v>9406.7000000000007</v>
      </c>
      <c r="C18" s="56">
        <v>92.9</v>
      </c>
      <c r="D18" s="56" t="s">
        <v>188</v>
      </c>
      <c r="E18" s="56" t="s">
        <v>188</v>
      </c>
      <c r="F18" s="56" t="s">
        <v>188</v>
      </c>
      <c r="G18" s="56">
        <v>6</v>
      </c>
      <c r="H18" s="56">
        <f t="shared" si="0"/>
        <v>16696.693587105059</v>
      </c>
      <c r="I18" s="56" t="s">
        <v>22</v>
      </c>
      <c r="J18" s="56">
        <f t="shared" ref="J18" si="14">J19*(1/S49)</f>
        <v>100.87206266318536</v>
      </c>
      <c r="K18" s="56" t="s">
        <v>188</v>
      </c>
      <c r="L18" s="56" t="s">
        <v>188</v>
      </c>
      <c r="M18" s="56" t="s">
        <v>188</v>
      </c>
      <c r="N18" s="56">
        <v>8</v>
      </c>
      <c r="Q18" s="56">
        <v>10857.6</v>
      </c>
      <c r="R18" s="56">
        <v>94</v>
      </c>
      <c r="S18" s="56" t="s">
        <v>188</v>
      </c>
      <c r="T18" s="32" t="s">
        <v>188</v>
      </c>
      <c r="U18" s="32">
        <v>8</v>
      </c>
      <c r="W18" s="32">
        <v>9406700000</v>
      </c>
      <c r="X18" s="32">
        <v>92900000</v>
      </c>
      <c r="Y18" s="32" t="s">
        <v>188</v>
      </c>
      <c r="Z18" s="32" t="s">
        <v>188</v>
      </c>
      <c r="AA18" s="32">
        <v>6000000</v>
      </c>
    </row>
    <row r="19" spans="1:27">
      <c r="A19" s="64">
        <v>1998</v>
      </c>
      <c r="B19" s="56">
        <v>9986.4</v>
      </c>
      <c r="C19" s="56">
        <v>92.1</v>
      </c>
      <c r="D19" s="56">
        <v>21.1</v>
      </c>
      <c r="E19" s="56" t="s">
        <v>188</v>
      </c>
      <c r="F19" s="56" t="s">
        <v>188</v>
      </c>
      <c r="G19" s="56" t="s">
        <v>188</v>
      </c>
      <c r="H19" s="56">
        <f t="shared" si="0"/>
        <v>17575.8473341346</v>
      </c>
      <c r="I19" s="56" t="s">
        <v>22</v>
      </c>
      <c r="J19" s="56">
        <f t="shared" ref="J19:K19" si="15">J20*(1/S50)</f>
        <v>89.711749347258475</v>
      </c>
      <c r="K19" s="56">
        <f t="shared" si="15"/>
        <v>10.900406504065039</v>
      </c>
      <c r="L19" s="56" t="s">
        <v>188</v>
      </c>
      <c r="M19" s="56" t="s">
        <v>188</v>
      </c>
      <c r="N19" s="56" t="s">
        <v>188</v>
      </c>
      <c r="Q19" s="56">
        <v>11429.3</v>
      </c>
      <c r="R19" s="56">
        <v>83.6</v>
      </c>
      <c r="S19" s="56">
        <v>17.3</v>
      </c>
      <c r="T19" s="32" t="s">
        <v>188</v>
      </c>
      <c r="U19" s="32" t="s">
        <v>188</v>
      </c>
      <c r="W19" s="32">
        <v>9984500000</v>
      </c>
      <c r="X19" s="32">
        <v>82500000</v>
      </c>
      <c r="Y19" s="32">
        <v>18600000</v>
      </c>
      <c r="Z19" s="32" t="s">
        <v>188</v>
      </c>
      <c r="AA19" s="32" t="s">
        <v>188</v>
      </c>
    </row>
    <row r="20" spans="1:27">
      <c r="A20" s="64">
        <v>1999</v>
      </c>
      <c r="B20" s="56">
        <v>10890.3</v>
      </c>
      <c r="C20" s="56">
        <v>100.5</v>
      </c>
      <c r="D20" s="56">
        <v>21.7</v>
      </c>
      <c r="E20" s="56" t="s">
        <v>188</v>
      </c>
      <c r="F20" s="56" t="s">
        <v>188</v>
      </c>
      <c r="G20" s="56" t="s">
        <v>188</v>
      </c>
      <c r="H20" s="56">
        <f t="shared" si="0"/>
        <v>18703.661499031346</v>
      </c>
      <c r="I20" s="56" t="s">
        <v>22</v>
      </c>
      <c r="J20" s="56">
        <f t="shared" ref="J20:K20" si="16">J21*(1/S51)</f>
        <v>107.73994778067885</v>
      </c>
      <c r="K20" s="56">
        <f t="shared" si="16"/>
        <v>12.034552845528454</v>
      </c>
      <c r="L20" s="56" t="s">
        <v>188</v>
      </c>
      <c r="M20" s="56" t="s">
        <v>188</v>
      </c>
      <c r="N20" s="56" t="s">
        <v>188</v>
      </c>
      <c r="Q20" s="56">
        <v>12162.7</v>
      </c>
      <c r="R20" s="56">
        <v>100.4</v>
      </c>
      <c r="S20" s="56">
        <v>19.100000000000001</v>
      </c>
      <c r="T20" s="32" t="s">
        <v>188</v>
      </c>
      <c r="U20" s="32" t="s">
        <v>188</v>
      </c>
      <c r="W20" s="32"/>
      <c r="X20" s="32"/>
      <c r="Y20" s="32"/>
      <c r="Z20" s="32"/>
      <c r="AA20" s="32"/>
    </row>
    <row r="21" spans="1:27">
      <c r="A21" s="64">
        <v>2000</v>
      </c>
      <c r="B21" s="56">
        <v>12575.1</v>
      </c>
      <c r="C21" s="56">
        <v>84.3</v>
      </c>
      <c r="D21" s="56">
        <v>33</v>
      </c>
      <c r="E21" s="56" t="s">
        <v>188</v>
      </c>
      <c r="F21" s="56" t="s">
        <v>188</v>
      </c>
      <c r="G21" s="56" t="s">
        <v>188</v>
      </c>
      <c r="H21" s="56">
        <f t="shared" si="0"/>
        <v>19811.945748610131</v>
      </c>
      <c r="I21" s="56" t="s">
        <v>22</v>
      </c>
      <c r="J21" s="56">
        <f t="shared" ref="J21" si="17">J22*(1/S52)</f>
        <v>101.8378590078329</v>
      </c>
      <c r="K21" s="56">
        <f>K23*(S21/S23)</f>
        <v>20.099593495934958</v>
      </c>
      <c r="L21" s="56" t="s">
        <v>188</v>
      </c>
      <c r="M21" s="56" t="s">
        <v>188</v>
      </c>
      <c r="N21" s="56" t="s">
        <v>188</v>
      </c>
      <c r="Q21" s="56">
        <v>12883.4</v>
      </c>
      <c r="R21" s="56">
        <v>94.9</v>
      </c>
      <c r="S21" s="56">
        <v>31.9</v>
      </c>
      <c r="T21" s="32" t="s">
        <v>188</v>
      </c>
      <c r="U21" s="32" t="s">
        <v>188</v>
      </c>
      <c r="W21" s="32"/>
      <c r="X21" s="32"/>
      <c r="Y21" s="32"/>
      <c r="Z21" s="32"/>
      <c r="AA21" s="32"/>
    </row>
    <row r="22" spans="1:27">
      <c r="A22" s="64">
        <v>2001</v>
      </c>
      <c r="B22" s="56">
        <v>12789.8</v>
      </c>
      <c r="C22" s="56">
        <v>89.6</v>
      </c>
      <c r="D22" s="56" t="s">
        <v>188</v>
      </c>
      <c r="E22" s="56" t="s">
        <v>188</v>
      </c>
      <c r="F22" s="56" t="s">
        <v>188</v>
      </c>
      <c r="G22" s="56" t="s">
        <v>188</v>
      </c>
      <c r="H22" s="56">
        <f t="shared" si="0"/>
        <v>19927.433673049378</v>
      </c>
      <c r="I22" s="56" t="s">
        <v>22</v>
      </c>
      <c r="J22" s="56">
        <f t="shared" ref="J22" si="18">J23*(1/S53)</f>
        <v>90.999477806788519</v>
      </c>
      <c r="K22" s="56" t="s">
        <v>188</v>
      </c>
      <c r="L22" s="56" t="s">
        <v>188</v>
      </c>
      <c r="M22" s="56" t="s">
        <v>188</v>
      </c>
      <c r="N22" s="56" t="s">
        <v>188</v>
      </c>
      <c r="Q22" s="56">
        <v>12958.5</v>
      </c>
      <c r="R22" s="56">
        <v>84.8</v>
      </c>
      <c r="S22" s="56" t="s">
        <v>188</v>
      </c>
      <c r="T22" s="32" t="s">
        <v>188</v>
      </c>
      <c r="U22" s="32" t="s">
        <v>188</v>
      </c>
      <c r="W22" s="32"/>
      <c r="X22" s="32"/>
      <c r="Y22" s="32"/>
      <c r="Z22" s="32"/>
      <c r="AA22" s="32"/>
    </row>
    <row r="23" spans="1:27">
      <c r="A23" s="64">
        <v>2002</v>
      </c>
      <c r="B23" s="56">
        <v>14976.1</v>
      </c>
      <c r="C23" s="56">
        <v>90</v>
      </c>
      <c r="D23" s="56">
        <v>41.9</v>
      </c>
      <c r="E23" s="56" t="s">
        <v>188</v>
      </c>
      <c r="F23" s="56" t="s">
        <v>188</v>
      </c>
      <c r="G23" s="56" t="s">
        <v>188</v>
      </c>
      <c r="H23" s="56">
        <f t="shared" si="0"/>
        <v>23030.075967971203</v>
      </c>
      <c r="I23" s="56" t="s">
        <v>22</v>
      </c>
      <c r="J23" s="56">
        <f>J24*(1/S54)</f>
        <v>96.579634464751976</v>
      </c>
      <c r="K23" s="56">
        <f>K24*(1/T54)</f>
        <v>26.400406504065035</v>
      </c>
      <c r="L23" s="56" t="s">
        <v>188</v>
      </c>
      <c r="M23" s="56" t="s">
        <v>188</v>
      </c>
      <c r="N23" s="56" t="s">
        <v>188</v>
      </c>
      <c r="Q23" s="56">
        <v>14976.1</v>
      </c>
      <c r="R23" s="56">
        <v>90</v>
      </c>
      <c r="S23" s="56">
        <v>41.9</v>
      </c>
      <c r="T23" s="32" t="s">
        <v>188</v>
      </c>
      <c r="U23" s="32" t="s">
        <v>188</v>
      </c>
      <c r="W23" s="32"/>
      <c r="X23" s="32"/>
      <c r="Y23" s="32"/>
      <c r="Z23" s="32"/>
      <c r="AA23" s="32"/>
    </row>
    <row r="24" spans="1:27">
      <c r="A24" s="64">
        <v>2003</v>
      </c>
      <c r="B24" s="56">
        <v>16543.2</v>
      </c>
      <c r="C24" s="56">
        <v>106.6</v>
      </c>
      <c r="D24" s="56">
        <v>39.799999999999997</v>
      </c>
      <c r="E24" s="56" t="s">
        <v>188</v>
      </c>
      <c r="F24" s="56" t="s">
        <v>188</v>
      </c>
      <c r="G24" s="56" t="s">
        <v>188</v>
      </c>
      <c r="H24" s="56">
        <f t="shared" si="0"/>
        <v>24494.819616817873</v>
      </c>
      <c r="I24" s="56" t="s">
        <v>22</v>
      </c>
      <c r="J24" s="56">
        <f t="shared" ref="J24:K24" si="19">J25*(1/S55)</f>
        <v>108.16919060052221</v>
      </c>
      <c r="K24" s="56">
        <f t="shared" si="19"/>
        <v>27.723577235772353</v>
      </c>
      <c r="L24" s="56" t="s">
        <v>188</v>
      </c>
      <c r="M24" s="56" t="s">
        <v>188</v>
      </c>
      <c r="N24" s="56" t="s">
        <v>188</v>
      </c>
      <c r="Q24" s="56">
        <v>15928.6</v>
      </c>
      <c r="R24" s="56">
        <v>100.8</v>
      </c>
      <c r="S24" s="56">
        <v>44</v>
      </c>
      <c r="T24" s="32" t="s">
        <v>188</v>
      </c>
      <c r="U24" s="32" t="s">
        <v>188</v>
      </c>
      <c r="W24" s="32"/>
      <c r="X24" s="32"/>
      <c r="Y24" s="32"/>
      <c r="Z24" s="32"/>
      <c r="AA24" s="32"/>
    </row>
    <row r="25" spans="1:27">
      <c r="A25" s="64">
        <v>2004</v>
      </c>
      <c r="B25" s="56">
        <v>17792.3</v>
      </c>
      <c r="C25" s="56">
        <v>118.7</v>
      </c>
      <c r="D25" s="56">
        <v>27.4</v>
      </c>
      <c r="E25" s="56" t="s">
        <v>188</v>
      </c>
      <c r="F25" s="56" t="s">
        <v>188</v>
      </c>
      <c r="G25" s="56" t="s">
        <v>188</v>
      </c>
      <c r="H25" s="56">
        <f t="shared" si="0"/>
        <v>24240.469381102135</v>
      </c>
      <c r="I25" s="56" t="s">
        <v>22</v>
      </c>
      <c r="J25" s="56">
        <f t="shared" ref="J25:K25" si="20">J26*(1/S56)</f>
        <v>97.223498694516977</v>
      </c>
      <c r="K25" s="56">
        <f t="shared" si="20"/>
        <v>16.445121951219512</v>
      </c>
      <c r="L25" s="56" t="s">
        <v>188</v>
      </c>
      <c r="M25" s="56" t="s">
        <v>188</v>
      </c>
      <c r="N25" s="56" t="s">
        <v>188</v>
      </c>
      <c r="Q25" s="56">
        <v>15763.2</v>
      </c>
      <c r="R25" s="56">
        <v>90.6</v>
      </c>
      <c r="S25" s="56">
        <v>26.1</v>
      </c>
      <c r="T25" s="32" t="s">
        <v>188</v>
      </c>
      <c r="U25" s="32" t="s">
        <v>188</v>
      </c>
      <c r="W25" s="32"/>
      <c r="X25" s="32"/>
      <c r="Y25" s="32"/>
      <c r="Z25" s="32"/>
      <c r="AA25" s="32"/>
    </row>
    <row r="26" spans="1:27">
      <c r="A26" s="64">
        <v>2005</v>
      </c>
      <c r="B26" s="56">
        <v>20303.7</v>
      </c>
      <c r="C26" s="56">
        <v>106.2</v>
      </c>
      <c r="D26" s="56">
        <v>26.6</v>
      </c>
      <c r="E26" s="56" t="s">
        <v>188</v>
      </c>
      <c r="F26" s="56" t="s">
        <v>188</v>
      </c>
      <c r="G26" s="56" t="s">
        <v>188</v>
      </c>
      <c r="H26" s="56">
        <f t="shared" si="0"/>
        <v>24787.460788865661</v>
      </c>
      <c r="I26" s="56" t="s">
        <v>22</v>
      </c>
      <c r="J26" s="56">
        <f t="shared" ref="J26:K26" si="21">J27*(1/S57)</f>
        <v>83.809660574412533</v>
      </c>
      <c r="K26" s="56">
        <f t="shared" si="21"/>
        <v>18.083333333333332</v>
      </c>
      <c r="L26" s="56" t="s">
        <v>188</v>
      </c>
      <c r="M26" s="56" t="s">
        <v>188</v>
      </c>
      <c r="N26" s="56" t="s">
        <v>188</v>
      </c>
      <c r="Q26" s="56">
        <v>16118.9</v>
      </c>
      <c r="R26" s="56">
        <v>78.099999999999994</v>
      </c>
      <c r="S26" s="56">
        <v>28.7</v>
      </c>
      <c r="T26" s="32" t="s">
        <v>188</v>
      </c>
      <c r="U26" s="32" t="s">
        <v>188</v>
      </c>
      <c r="W26" s="32"/>
      <c r="X26" s="32"/>
      <c r="Y26" s="32"/>
      <c r="Z26" s="32"/>
      <c r="AA26" s="32"/>
    </row>
    <row r="27" spans="1:27">
      <c r="A27" s="64">
        <v>2006</v>
      </c>
      <c r="B27" s="56">
        <v>24413.9</v>
      </c>
      <c r="C27" s="56">
        <v>102.6</v>
      </c>
      <c r="D27" s="56">
        <v>23.2</v>
      </c>
      <c r="E27" s="56" t="s">
        <v>188</v>
      </c>
      <c r="F27" s="56" t="s">
        <v>188</v>
      </c>
      <c r="G27" s="56" t="s">
        <v>188</v>
      </c>
      <c r="H27" s="56">
        <f>H28*(1/R58)</f>
        <v>25598.336721712745</v>
      </c>
      <c r="I27" s="56" t="s">
        <v>22</v>
      </c>
      <c r="J27" s="56">
        <f>J28*(1/S58)</f>
        <v>99.262402088772859</v>
      </c>
      <c r="K27" s="56">
        <f>K28*(1/T58)</f>
        <v>17.579268292682926</v>
      </c>
      <c r="L27" s="56" t="s">
        <v>188</v>
      </c>
      <c r="M27" s="56" t="s">
        <v>188</v>
      </c>
      <c r="N27" s="56" t="s">
        <v>188</v>
      </c>
      <c r="Q27" s="56">
        <v>16646.2</v>
      </c>
      <c r="R27" s="56">
        <v>92.5</v>
      </c>
      <c r="S27" s="56">
        <v>27.9</v>
      </c>
      <c r="T27" s="32" t="s">
        <v>188</v>
      </c>
      <c r="U27" s="32" t="s">
        <v>188</v>
      </c>
      <c r="W27" s="32"/>
      <c r="X27" s="32"/>
      <c r="Y27" s="32"/>
      <c r="Z27" s="32"/>
      <c r="AA27" s="32"/>
    </row>
    <row r="28" spans="1:27">
      <c r="A28" s="64">
        <v>2007</v>
      </c>
      <c r="B28" s="56">
        <v>27549.4</v>
      </c>
      <c r="C28" s="56">
        <v>104.4</v>
      </c>
      <c r="D28" s="56">
        <v>17</v>
      </c>
      <c r="E28" s="56" t="s">
        <v>188</v>
      </c>
      <c r="F28" s="56" t="s">
        <v>188</v>
      </c>
      <c r="G28" s="56" t="s">
        <v>188</v>
      </c>
      <c r="H28" s="56">
        <v>28020.2</v>
      </c>
      <c r="I28" s="56" t="s">
        <v>22</v>
      </c>
      <c r="J28" s="56">
        <v>82.2</v>
      </c>
      <c r="K28" s="56">
        <v>15.5</v>
      </c>
      <c r="L28" s="56" t="s">
        <v>188</v>
      </c>
      <c r="M28" s="56" t="s">
        <v>188</v>
      </c>
      <c r="N28" s="56" t="s">
        <v>188</v>
      </c>
      <c r="Q28" s="56">
        <v>18221.099999999999</v>
      </c>
      <c r="R28" s="56">
        <v>76.599999999999994</v>
      </c>
      <c r="S28" s="56">
        <v>24.6</v>
      </c>
      <c r="T28" s="32" t="s">
        <v>188</v>
      </c>
      <c r="U28" s="32" t="s">
        <v>188</v>
      </c>
      <c r="W28" s="32"/>
      <c r="X28" s="32"/>
      <c r="Y28" s="32"/>
      <c r="Z28" s="32"/>
      <c r="AA28" s="32"/>
    </row>
    <row r="29" spans="1:27">
      <c r="A29" s="64">
        <v>2008</v>
      </c>
      <c r="B29" s="56">
        <v>29064.2</v>
      </c>
      <c r="C29" s="56">
        <v>96.9</v>
      </c>
      <c r="D29" s="56">
        <v>16.100000000000001</v>
      </c>
      <c r="E29" s="56" t="s">
        <v>188</v>
      </c>
      <c r="F29" s="56" t="s">
        <v>188</v>
      </c>
      <c r="G29" s="56" t="s">
        <v>188</v>
      </c>
      <c r="H29" s="56">
        <v>27707.599999999999</v>
      </c>
      <c r="I29" s="56" t="s">
        <v>22</v>
      </c>
      <c r="J29" s="56">
        <v>89</v>
      </c>
      <c r="K29" s="56">
        <v>16.3</v>
      </c>
      <c r="L29" s="56" t="s">
        <v>188</v>
      </c>
      <c r="M29" s="56" t="s">
        <v>188</v>
      </c>
      <c r="N29" s="56" t="s">
        <v>188</v>
      </c>
      <c r="Q29" s="56">
        <v>18093.900000000001</v>
      </c>
      <c r="R29" s="56">
        <v>78.099999999999994</v>
      </c>
      <c r="S29" s="56">
        <v>24.1</v>
      </c>
      <c r="T29" s="32"/>
      <c r="U29" s="32"/>
      <c r="W29" s="32"/>
      <c r="X29" s="32"/>
      <c r="Y29" s="32"/>
      <c r="Z29" s="32"/>
      <c r="AA29" s="32"/>
    </row>
    <row r="30" spans="1:27">
      <c r="A30" s="64">
        <v>2009</v>
      </c>
      <c r="B30" s="56" t="s">
        <v>22</v>
      </c>
      <c r="C30" s="56" t="s">
        <v>22</v>
      </c>
      <c r="D30" s="56" t="s">
        <v>22</v>
      </c>
      <c r="E30" s="56" t="s">
        <v>22</v>
      </c>
      <c r="F30" s="56" t="s">
        <v>22</v>
      </c>
      <c r="G30" s="56" t="s">
        <v>22</v>
      </c>
      <c r="H30" s="56">
        <v>24928.3</v>
      </c>
      <c r="I30" s="56" t="s">
        <v>22</v>
      </c>
      <c r="J30" s="56">
        <v>75.400000000000006</v>
      </c>
      <c r="K30" s="56">
        <v>17.600000000000001</v>
      </c>
      <c r="L30" s="56" t="s">
        <v>188</v>
      </c>
      <c r="M30" s="56" t="s">
        <v>188</v>
      </c>
      <c r="N30" s="56" t="s">
        <v>188</v>
      </c>
      <c r="Q30" s="56">
        <v>16429.5</v>
      </c>
      <c r="R30" s="56">
        <v>34.700000000000003</v>
      </c>
      <c r="S30" s="56">
        <v>24.6</v>
      </c>
      <c r="T30" s="32"/>
      <c r="U30" s="32"/>
      <c r="W30" s="32"/>
      <c r="X30" s="32"/>
      <c r="Y30" s="32"/>
      <c r="Z30" s="32"/>
      <c r="AA30" s="32"/>
    </row>
    <row r="31" spans="1:27">
      <c r="A31" s="64">
        <v>2010</v>
      </c>
      <c r="B31" s="56" t="s">
        <v>22</v>
      </c>
      <c r="C31" s="56" t="s">
        <v>22</v>
      </c>
      <c r="D31" s="56" t="s">
        <v>22</v>
      </c>
      <c r="E31" s="56" t="s">
        <v>22</v>
      </c>
      <c r="F31" s="56" t="s">
        <v>22</v>
      </c>
      <c r="G31" s="56" t="s">
        <v>22</v>
      </c>
      <c r="H31" s="56">
        <v>26520.9</v>
      </c>
      <c r="I31" s="56" t="s">
        <v>22</v>
      </c>
      <c r="J31" s="56">
        <v>72.3</v>
      </c>
      <c r="K31" s="56">
        <v>20.6</v>
      </c>
      <c r="L31" s="56" t="s">
        <v>188</v>
      </c>
      <c r="M31" s="56" t="s">
        <v>188</v>
      </c>
      <c r="N31" s="56" t="s">
        <v>188</v>
      </c>
      <c r="Q31" s="56">
        <v>17376.400000000001</v>
      </c>
      <c r="R31" s="56">
        <v>33.9</v>
      </c>
      <c r="S31" s="56">
        <v>29.5</v>
      </c>
      <c r="T31" s="32"/>
      <c r="U31" s="32"/>
      <c r="W31" s="32"/>
      <c r="X31" s="32"/>
      <c r="Y31" s="32"/>
      <c r="Z31" s="32"/>
      <c r="AA31" s="32"/>
    </row>
    <row r="32" spans="1:27">
      <c r="A32" s="64">
        <v>2011</v>
      </c>
      <c r="B32" s="56" t="s">
        <v>22</v>
      </c>
      <c r="C32" s="56" t="s">
        <v>22</v>
      </c>
      <c r="D32" s="56" t="s">
        <v>22</v>
      </c>
      <c r="E32" s="56" t="s">
        <v>22</v>
      </c>
      <c r="F32" s="56" t="s">
        <v>22</v>
      </c>
      <c r="G32" s="56" t="s">
        <v>22</v>
      </c>
      <c r="H32" s="56">
        <v>27270.6</v>
      </c>
      <c r="I32" s="56" t="s">
        <v>22</v>
      </c>
      <c r="J32" s="56">
        <v>75.099999999999994</v>
      </c>
      <c r="K32" s="56">
        <v>19.8</v>
      </c>
      <c r="L32" s="56" t="s">
        <v>188</v>
      </c>
      <c r="M32" s="56" t="s">
        <v>188</v>
      </c>
      <c r="N32" s="56" t="s">
        <v>188</v>
      </c>
      <c r="Q32" s="56">
        <v>17865.7</v>
      </c>
      <c r="R32" s="56">
        <v>35.299999999999997</v>
      </c>
      <c r="S32" s="56">
        <v>28.7</v>
      </c>
      <c r="T32" s="32"/>
      <c r="U32" s="32"/>
      <c r="W32" s="32"/>
      <c r="X32" s="32"/>
      <c r="Y32" s="32"/>
      <c r="Z32" s="32"/>
      <c r="AA32" s="32"/>
    </row>
    <row r="34" spans="1:22">
      <c r="A34" s="66" t="s">
        <v>23</v>
      </c>
    </row>
    <row r="35" spans="1:22" ht="19.5" customHeight="1">
      <c r="A35" s="57" t="s">
        <v>2142</v>
      </c>
      <c r="B35" s="147" t="str">
        <f>IFERROR(((B32/B5)^(1/27)-1)*100,"n.a.")</f>
        <v>n.a.</v>
      </c>
      <c r="C35" s="147" t="str">
        <f t="shared" ref="C35:N35" si="22">IFERROR(((C32/C5)^(1/27)-1)*100,"n.a.")</f>
        <v>n.a.</v>
      </c>
      <c r="D35" s="147" t="str">
        <f t="shared" si="22"/>
        <v>n.a.</v>
      </c>
      <c r="E35" s="147" t="str">
        <f t="shared" si="22"/>
        <v>n.a.</v>
      </c>
      <c r="F35" s="147" t="str">
        <f t="shared" si="22"/>
        <v>n.a.</v>
      </c>
      <c r="G35" s="147" t="str">
        <f t="shared" si="22"/>
        <v>n.a.</v>
      </c>
      <c r="H35" s="147">
        <f t="shared" si="22"/>
        <v>2.215699198428922</v>
      </c>
      <c r="I35" s="147" t="str">
        <f t="shared" si="22"/>
        <v>n.a.</v>
      </c>
      <c r="J35" s="147">
        <f t="shared" si="22"/>
        <v>-1.7888093333144783</v>
      </c>
      <c r="K35" s="147" t="str">
        <f t="shared" si="22"/>
        <v>n.a.</v>
      </c>
      <c r="L35" s="147" t="str">
        <f t="shared" si="22"/>
        <v>n.a.</v>
      </c>
      <c r="M35" s="147" t="str">
        <f t="shared" si="22"/>
        <v>n.a.</v>
      </c>
      <c r="N35" s="147" t="str">
        <f t="shared" si="22"/>
        <v>n.a.</v>
      </c>
      <c r="Q35" s="146" t="s">
        <v>1826</v>
      </c>
      <c r="R35" s="117" t="s">
        <v>7</v>
      </c>
      <c r="S35" s="117" t="s">
        <v>192</v>
      </c>
      <c r="T35" s="117" t="s">
        <v>1</v>
      </c>
      <c r="U35" s="117" t="s">
        <v>13</v>
      </c>
      <c r="V35" s="117" t="s">
        <v>19</v>
      </c>
    </row>
    <row r="36" spans="1:22">
      <c r="A36" s="57" t="s">
        <v>2141</v>
      </c>
      <c r="B36" s="147">
        <f>IFERROR(((B29/B5)^(1/24)-1)*100,"n.a.")</f>
        <v>6.8016751898825722</v>
      </c>
      <c r="C36" s="147">
        <f t="shared" ref="C36:N36" si="23">IFERROR(((C29/C5)^(1/24)-1)*100,"n.a.")</f>
        <v>2.1249827751270267</v>
      </c>
      <c r="D36" s="147">
        <f t="shared" si="23"/>
        <v>3.2341831007116628</v>
      </c>
      <c r="E36" s="147" t="str">
        <f t="shared" si="23"/>
        <v>n.a.</v>
      </c>
      <c r="F36" s="147" t="str">
        <f t="shared" si="23"/>
        <v>n.a.</v>
      </c>
      <c r="G36" s="147" t="str">
        <f t="shared" si="23"/>
        <v>n.a.</v>
      </c>
      <c r="H36" s="147">
        <f t="shared" si="23"/>
        <v>2.564007054213957</v>
      </c>
      <c r="I36" s="147" t="str">
        <f t="shared" si="23"/>
        <v>n.a.</v>
      </c>
      <c r="J36" s="147">
        <f t="shared" si="23"/>
        <v>-1.3143472992431682</v>
      </c>
      <c r="K36" s="147" t="str">
        <f t="shared" si="23"/>
        <v>n.a.</v>
      </c>
      <c r="L36" s="147" t="str">
        <f t="shared" si="23"/>
        <v>n.a.</v>
      </c>
      <c r="M36" s="147" t="str">
        <f t="shared" si="23"/>
        <v>n.a.</v>
      </c>
      <c r="N36" s="147" t="str">
        <f t="shared" si="23"/>
        <v>n.a.</v>
      </c>
      <c r="O36" s="146"/>
      <c r="P36" s="146"/>
      <c r="Q36" s="56" t="s">
        <v>1856</v>
      </c>
      <c r="R36" s="64">
        <f>W6/W5</f>
        <v>1.0020112678044248</v>
      </c>
      <c r="S36" s="64">
        <f t="shared" ref="S36:V36" si="24">X6/X5</f>
        <v>0.8579040852575488</v>
      </c>
      <c r="T36" s="64">
        <f t="shared" si="24"/>
        <v>0.90419161676646709</v>
      </c>
      <c r="U36" s="64" t="e">
        <f t="shared" si="24"/>
        <v>#VALUE!</v>
      </c>
      <c r="V36" s="64" t="e">
        <f t="shared" si="24"/>
        <v>#VALUE!</v>
      </c>
    </row>
    <row r="37" spans="1:22">
      <c r="A37" s="57" t="s">
        <v>682</v>
      </c>
      <c r="B37" s="147">
        <f>IFERROR(((B10/B5)^(1/5)-1)*100,"n.a.")</f>
        <v>6.6585646670757281</v>
      </c>
      <c r="C37" s="147">
        <f t="shared" ref="C37:N37" si="25">IFERROR(((C10/C5)^(1/5)-1)*100,"n.a.")</f>
        <v>1.9086436428382703</v>
      </c>
      <c r="D37" s="147">
        <f t="shared" si="25"/>
        <v>-7.0630499303096066</v>
      </c>
      <c r="E37" s="147" t="str">
        <f t="shared" si="25"/>
        <v>n.a.</v>
      </c>
      <c r="F37" s="147" t="str">
        <f t="shared" si="25"/>
        <v>n.a.</v>
      </c>
      <c r="G37" s="147" t="str">
        <f t="shared" si="25"/>
        <v>n.a.</v>
      </c>
      <c r="H37" s="147">
        <f t="shared" si="25"/>
        <v>2.3271256527792827</v>
      </c>
      <c r="I37" s="147" t="str">
        <f t="shared" si="25"/>
        <v>n.a.</v>
      </c>
      <c r="J37" s="147">
        <f t="shared" si="25"/>
        <v>-1.5575377437956672</v>
      </c>
      <c r="K37" s="147" t="str">
        <f t="shared" si="25"/>
        <v>n.a.</v>
      </c>
      <c r="L37" s="147" t="str">
        <f t="shared" si="25"/>
        <v>n.a.</v>
      </c>
      <c r="M37" s="147" t="str">
        <f t="shared" si="25"/>
        <v>n.a.</v>
      </c>
      <c r="N37" s="147" t="str">
        <f t="shared" si="25"/>
        <v>n.a.</v>
      </c>
      <c r="P37" s="56"/>
      <c r="Q37" s="56" t="s">
        <v>1857</v>
      </c>
      <c r="R37" s="64">
        <f t="shared" ref="R37:R48" si="26">W7/W6</f>
        <v>1.0200018781106208</v>
      </c>
      <c r="S37" s="64">
        <f t="shared" ref="S37:S48" si="27">X7/X6</f>
        <v>0.79192546583850931</v>
      </c>
      <c r="T37" s="64">
        <f t="shared" ref="T37:T48" si="28">Y7/Y6</f>
        <v>0.66225165562913912</v>
      </c>
      <c r="U37" s="64" t="e">
        <f t="shared" ref="U37:U48" si="29">Z7/Z6</f>
        <v>#VALUE!</v>
      </c>
      <c r="V37" s="64" t="e">
        <f t="shared" ref="V37:V48" si="30">AA7/AA6</f>
        <v>#VALUE!</v>
      </c>
    </row>
    <row r="38" spans="1:22">
      <c r="A38" s="57" t="s">
        <v>26</v>
      </c>
      <c r="B38" s="147">
        <f>IFERROR(((B21/B10)^(1/11)-1)*100,"n.a.")</f>
        <v>3.8842751296061628</v>
      </c>
      <c r="C38" s="147">
        <f t="shared" ref="C38:N38" si="31">IFERROR(((C21/C10)^(1/11)-1)*100,"n.a.")</f>
        <v>2.492578292812575</v>
      </c>
      <c r="D38" s="147">
        <f t="shared" si="31"/>
        <v>18.292036537034463</v>
      </c>
      <c r="E38" s="147" t="str">
        <f t="shared" si="31"/>
        <v>n.a.</v>
      </c>
      <c r="F38" s="147" t="str">
        <f t="shared" si="31"/>
        <v>n.a.</v>
      </c>
      <c r="G38" s="147" t="str">
        <f t="shared" si="31"/>
        <v>n.a.</v>
      </c>
      <c r="H38" s="147">
        <f t="shared" si="31"/>
        <v>1.4389853710456757</v>
      </c>
      <c r="I38" s="147" t="str">
        <f t="shared" si="31"/>
        <v>n.a.</v>
      </c>
      <c r="J38" s="147">
        <f t="shared" si="31"/>
        <v>-0.94369540351932901</v>
      </c>
      <c r="K38" s="147">
        <f t="shared" si="31"/>
        <v>11.856126238874243</v>
      </c>
      <c r="L38" s="147" t="str">
        <f t="shared" si="31"/>
        <v>n.a.</v>
      </c>
      <c r="M38" s="147" t="str">
        <f t="shared" si="31"/>
        <v>n.a.</v>
      </c>
      <c r="N38" s="147" t="str">
        <f t="shared" si="31"/>
        <v>n.a.</v>
      </c>
      <c r="P38" s="56"/>
      <c r="Q38" s="56" t="s">
        <v>1858</v>
      </c>
      <c r="R38" s="64">
        <f t="shared" si="26"/>
        <v>1.0185739274535077</v>
      </c>
      <c r="S38" s="64">
        <f t="shared" si="27"/>
        <v>1.003921568627451</v>
      </c>
      <c r="T38" s="64">
        <f t="shared" si="28"/>
        <v>1.08</v>
      </c>
      <c r="U38" s="64" t="e">
        <f t="shared" si="29"/>
        <v>#VALUE!</v>
      </c>
      <c r="V38" s="64" t="e">
        <f t="shared" si="30"/>
        <v>#VALUE!</v>
      </c>
    </row>
    <row r="39" spans="1:22">
      <c r="A39" s="57" t="s">
        <v>2028</v>
      </c>
      <c r="B39" s="147" t="str">
        <f>IFERROR(((B32/B21)^(1/11)-1)*100,"n.a.")</f>
        <v>n.a.</v>
      </c>
      <c r="C39" s="147" t="str">
        <f t="shared" ref="C39:N39" si="32">IFERROR(((C32/C21)^(1/11)-1)*100,"n.a.")</f>
        <v>n.a.</v>
      </c>
      <c r="D39" s="147" t="str">
        <f t="shared" si="32"/>
        <v>n.a.</v>
      </c>
      <c r="E39" s="147" t="str">
        <f t="shared" si="32"/>
        <v>n.a.</v>
      </c>
      <c r="F39" s="147" t="str">
        <f t="shared" si="32"/>
        <v>n.a.</v>
      </c>
      <c r="G39" s="147" t="str">
        <f t="shared" si="32"/>
        <v>n.a.</v>
      </c>
      <c r="H39" s="147">
        <f t="shared" si="32"/>
        <v>2.9473645142982896</v>
      </c>
      <c r="I39" s="147" t="str">
        <f t="shared" si="32"/>
        <v>n.a.</v>
      </c>
      <c r="J39" s="147">
        <f t="shared" si="32"/>
        <v>-2.7307614618373499</v>
      </c>
      <c r="K39" s="147">
        <f t="shared" si="32"/>
        <v>-0.13643096710476144</v>
      </c>
      <c r="L39" s="147" t="str">
        <f t="shared" si="32"/>
        <v>n.a.</v>
      </c>
      <c r="M39" s="147" t="str">
        <f t="shared" si="32"/>
        <v>n.a.</v>
      </c>
      <c r="N39" s="147" t="str">
        <f t="shared" si="32"/>
        <v>n.a.</v>
      </c>
      <c r="Q39" s="56" t="s">
        <v>1861</v>
      </c>
      <c r="R39" s="64">
        <f t="shared" si="26"/>
        <v>1.06625240085866</v>
      </c>
      <c r="S39" s="64">
        <f t="shared" si="27"/>
        <v>1.2630208333333333</v>
      </c>
      <c r="T39" s="64">
        <f t="shared" si="28"/>
        <v>1.1018518518518519</v>
      </c>
      <c r="U39" s="64" t="e">
        <f t="shared" si="29"/>
        <v>#VALUE!</v>
      </c>
      <c r="V39" s="64" t="e">
        <f t="shared" si="30"/>
        <v>#VALUE!</v>
      </c>
    </row>
    <row r="40" spans="1:22">
      <c r="A40" s="57"/>
      <c r="B40" s="147"/>
      <c r="C40" s="147"/>
      <c r="D40" s="147"/>
      <c r="E40" s="56"/>
      <c r="F40" s="56"/>
      <c r="G40" s="56"/>
      <c r="H40" s="147"/>
      <c r="I40" s="56"/>
      <c r="J40" s="147"/>
      <c r="K40" s="147"/>
      <c r="L40" s="56"/>
      <c r="M40" s="56"/>
      <c r="N40" s="56"/>
      <c r="Q40" s="56" t="s">
        <v>1859</v>
      </c>
      <c r="R40" s="64">
        <f t="shared" si="26"/>
        <v>1.0107126962934707</v>
      </c>
      <c r="S40" s="64">
        <f t="shared" si="27"/>
        <v>1.0731958762886598</v>
      </c>
      <c r="T40" s="64">
        <f t="shared" si="28"/>
        <v>0.84033613445378152</v>
      </c>
      <c r="U40" s="64" t="e">
        <f t="shared" si="29"/>
        <v>#VALUE!</v>
      </c>
      <c r="V40" s="64">
        <f t="shared" si="30"/>
        <v>0.88888888888888884</v>
      </c>
    </row>
    <row r="41" spans="1:22">
      <c r="A41" s="64" t="s">
        <v>503</v>
      </c>
      <c r="Q41" s="56" t="s">
        <v>1860</v>
      </c>
      <c r="R41" s="64">
        <f t="shared" si="26"/>
        <v>0.99698065733605912</v>
      </c>
      <c r="S41" s="64">
        <f t="shared" si="27"/>
        <v>0.87704130643611911</v>
      </c>
      <c r="T41" s="64">
        <f t="shared" si="28"/>
        <v>1.1100000000000001</v>
      </c>
      <c r="U41" s="64" t="e">
        <f t="shared" si="29"/>
        <v>#VALUE!</v>
      </c>
      <c r="V41" s="64">
        <f t="shared" si="30"/>
        <v>0.703125</v>
      </c>
    </row>
    <row r="42" spans="1:22" ht="15" customHeight="1">
      <c r="A42" s="64" t="s">
        <v>193</v>
      </c>
      <c r="Q42" s="56" t="s">
        <v>1846</v>
      </c>
      <c r="R42" s="64">
        <f t="shared" si="26"/>
        <v>0.9680852182508386</v>
      </c>
      <c r="S42" s="64">
        <f t="shared" si="27"/>
        <v>0.88389923329682363</v>
      </c>
      <c r="T42" s="64">
        <f t="shared" si="28"/>
        <v>1.6486486486486487</v>
      </c>
      <c r="U42" s="64" t="e">
        <f t="shared" si="29"/>
        <v>#VALUE!</v>
      </c>
      <c r="V42" s="64">
        <f t="shared" si="30"/>
        <v>0.84444444444444444</v>
      </c>
    </row>
    <row r="43" spans="1:22" ht="15" customHeight="1">
      <c r="A43" s="104" t="s">
        <v>679</v>
      </c>
      <c r="B43" s="104"/>
      <c r="C43" s="104"/>
      <c r="D43" s="104"/>
      <c r="E43" s="104"/>
      <c r="F43" s="104"/>
      <c r="G43" s="104"/>
      <c r="H43" s="104"/>
      <c r="I43" s="104"/>
      <c r="J43" s="104"/>
      <c r="K43" s="104"/>
      <c r="L43" s="104"/>
      <c r="M43" s="104"/>
      <c r="N43" s="104"/>
      <c r="Q43" s="56" t="s">
        <v>1847</v>
      </c>
      <c r="R43" s="64">
        <f t="shared" si="26"/>
        <v>0.97803654059220957</v>
      </c>
      <c r="S43" s="64">
        <f t="shared" si="27"/>
        <v>0.88971499380421315</v>
      </c>
      <c r="T43" s="64">
        <f t="shared" si="28"/>
        <v>0.84153005464480879</v>
      </c>
      <c r="U43" s="64" t="e">
        <f t="shared" si="29"/>
        <v>#VALUE!</v>
      </c>
      <c r="V43" s="64">
        <f t="shared" si="30"/>
        <v>1.3157894736842106</v>
      </c>
    </row>
    <row r="44" spans="1:22" ht="31.5" customHeight="1">
      <c r="A44" s="104" t="s">
        <v>680</v>
      </c>
      <c r="B44" s="104"/>
      <c r="C44" s="104"/>
      <c r="D44" s="104"/>
      <c r="E44" s="104"/>
      <c r="F44" s="104"/>
      <c r="G44" s="104"/>
      <c r="H44" s="104"/>
      <c r="I44" s="104"/>
      <c r="J44" s="104"/>
      <c r="K44" s="104"/>
      <c r="L44" s="104"/>
      <c r="M44" s="104"/>
      <c r="N44" s="104"/>
      <c r="Q44" s="56" t="s">
        <v>1848</v>
      </c>
      <c r="R44" s="64">
        <f t="shared" si="26"/>
        <v>1.0088738338516214</v>
      </c>
      <c r="S44" s="64">
        <f t="shared" si="27"/>
        <v>1.0668523676880224</v>
      </c>
      <c r="T44" s="64">
        <f t="shared" si="28"/>
        <v>1</v>
      </c>
      <c r="U44" s="64" t="e">
        <f t="shared" si="29"/>
        <v>#VALUE!</v>
      </c>
      <c r="V44" s="64">
        <f t="shared" si="30"/>
        <v>1.56</v>
      </c>
    </row>
    <row r="45" spans="1:22" ht="31.5" customHeight="1">
      <c r="A45" s="104" t="s">
        <v>681</v>
      </c>
      <c r="B45" s="104"/>
      <c r="C45" s="104"/>
      <c r="D45" s="104"/>
      <c r="E45" s="104"/>
      <c r="F45" s="104"/>
      <c r="G45" s="104"/>
      <c r="H45" s="104"/>
      <c r="I45" s="104"/>
      <c r="J45" s="104"/>
      <c r="K45" s="104"/>
      <c r="L45" s="104"/>
      <c r="M45" s="104"/>
      <c r="N45" s="104"/>
      <c r="Q45" s="56" t="s">
        <v>1849</v>
      </c>
      <c r="R45" s="64">
        <f t="shared" si="26"/>
        <v>1.0359757372934533</v>
      </c>
      <c r="S45" s="64">
        <f t="shared" si="27"/>
        <v>1.1266318537859008</v>
      </c>
      <c r="T45" s="64">
        <f t="shared" si="28"/>
        <v>0.57792207792207795</v>
      </c>
      <c r="U45" s="64" t="e">
        <f t="shared" si="29"/>
        <v>#VALUE!</v>
      </c>
      <c r="V45" s="64" t="e">
        <f t="shared" si="30"/>
        <v>#VALUE!</v>
      </c>
    </row>
    <row r="46" spans="1:22" ht="31.5" customHeight="1">
      <c r="A46" s="104" t="s">
        <v>851</v>
      </c>
      <c r="B46" s="104"/>
      <c r="C46" s="104"/>
      <c r="D46" s="104"/>
      <c r="E46" s="104"/>
      <c r="F46" s="104"/>
      <c r="G46" s="104"/>
      <c r="H46" s="104"/>
      <c r="I46" s="104"/>
      <c r="J46" s="104"/>
      <c r="K46" s="104"/>
      <c r="L46" s="104"/>
      <c r="M46" s="104"/>
      <c r="N46" s="104"/>
      <c r="Q46" s="56" t="s">
        <v>1850</v>
      </c>
      <c r="R46" s="64">
        <f t="shared" si="26"/>
        <v>1.0126558066881315</v>
      </c>
      <c r="S46" s="64">
        <f t="shared" si="27"/>
        <v>1.0034762456546928</v>
      </c>
      <c r="T46" s="64">
        <f t="shared" si="28"/>
        <v>0.9662921348314607</v>
      </c>
      <c r="U46" s="64" t="e">
        <f t="shared" si="29"/>
        <v>#VALUE!</v>
      </c>
      <c r="V46" s="64" t="e">
        <f t="shared" si="30"/>
        <v>#VALUE!</v>
      </c>
    </row>
    <row r="47" spans="1:22">
      <c r="Q47" s="56" t="s">
        <v>1851</v>
      </c>
      <c r="R47" s="64">
        <f t="shared" si="26"/>
        <v>0.96707171189321917</v>
      </c>
      <c r="S47" s="64">
        <f t="shared" si="27"/>
        <v>0.8625866050808314</v>
      </c>
      <c r="T47" s="64">
        <f t="shared" si="28"/>
        <v>1.1162790697674418</v>
      </c>
      <c r="U47" s="64" t="e">
        <f t="shared" si="29"/>
        <v>#VALUE!</v>
      </c>
      <c r="V47" s="64" t="e">
        <f t="shared" si="30"/>
        <v>#VALUE!</v>
      </c>
    </row>
    <row r="48" spans="1:22">
      <c r="Q48" s="56" t="s">
        <v>1852</v>
      </c>
      <c r="R48" s="64">
        <f t="shared" si="26"/>
        <v>1.0206922743055555</v>
      </c>
      <c r="S48" s="64">
        <f t="shared" si="27"/>
        <v>1.2436412315930387</v>
      </c>
      <c r="T48" s="64" t="e">
        <f t="shared" si="28"/>
        <v>#VALUE!</v>
      </c>
      <c r="U48" s="64" t="e">
        <f t="shared" si="29"/>
        <v>#VALUE!</v>
      </c>
      <c r="V48" s="64">
        <f t="shared" si="30"/>
        <v>0.95238095238095233</v>
      </c>
    </row>
    <row r="49" spans="1:22">
      <c r="A49" s="104"/>
      <c r="B49" s="104"/>
      <c r="C49" s="104"/>
      <c r="D49" s="104"/>
      <c r="E49" s="104"/>
      <c r="F49" s="104"/>
      <c r="G49" s="104"/>
      <c r="H49" s="104"/>
      <c r="I49" s="104"/>
      <c r="J49" s="104"/>
      <c r="K49" s="104"/>
      <c r="L49" s="104"/>
      <c r="M49" s="104"/>
      <c r="N49" s="104"/>
      <c r="Q49" s="56" t="s">
        <v>1837</v>
      </c>
      <c r="R49" s="64">
        <f>Q19/Q18</f>
        <v>1.0526543619216031</v>
      </c>
      <c r="S49" s="64">
        <f t="shared" ref="S49:V49" si="33">R19/R18</f>
        <v>0.88936170212765953</v>
      </c>
      <c r="T49" s="64" t="e">
        <f t="shared" si="33"/>
        <v>#VALUE!</v>
      </c>
      <c r="U49" s="64" t="e">
        <f t="shared" si="33"/>
        <v>#VALUE!</v>
      </c>
      <c r="V49" s="64" t="e">
        <f t="shared" si="33"/>
        <v>#VALUE!</v>
      </c>
    </row>
    <row r="50" spans="1:22" ht="30" customHeight="1">
      <c r="A50" s="77"/>
      <c r="B50" s="77"/>
      <c r="C50" s="77"/>
      <c r="D50" s="77"/>
      <c r="E50" s="77"/>
      <c r="F50" s="77"/>
      <c r="G50" s="77"/>
      <c r="H50" s="77"/>
      <c r="I50" s="77"/>
      <c r="J50" s="77"/>
      <c r="K50" s="77"/>
      <c r="L50" s="77"/>
      <c r="M50" s="77"/>
      <c r="N50" s="77"/>
      <c r="Q50" s="56" t="s">
        <v>1827</v>
      </c>
      <c r="R50" s="64">
        <f t="shared" ref="R50:V50" si="34">Q20/Q19</f>
        <v>1.0641684092639097</v>
      </c>
      <c r="S50" s="64">
        <f t="shared" si="34"/>
        <v>1.2009569377990432</v>
      </c>
      <c r="T50" s="64">
        <f t="shared" si="34"/>
        <v>1.1040462427745665</v>
      </c>
      <c r="U50" s="64" t="e">
        <f t="shared" si="34"/>
        <v>#VALUE!</v>
      </c>
      <c r="V50" s="64" t="e">
        <f t="shared" si="34"/>
        <v>#VALUE!</v>
      </c>
    </row>
    <row r="51" spans="1:22" ht="30" customHeight="1">
      <c r="A51" s="77"/>
      <c r="B51" s="77"/>
      <c r="C51" s="77"/>
      <c r="D51" s="77"/>
      <c r="E51" s="77"/>
      <c r="F51" s="77"/>
      <c r="G51" s="77"/>
      <c r="H51" s="77"/>
      <c r="I51" s="77"/>
      <c r="J51" s="77"/>
      <c r="K51" s="77"/>
      <c r="L51" s="77"/>
      <c r="M51" s="77"/>
      <c r="N51" s="77"/>
      <c r="Q51" s="56" t="s">
        <v>1828</v>
      </c>
      <c r="R51" s="64">
        <f t="shared" ref="R51:V51" si="35">Q21/Q20</f>
        <v>1.0592549351706446</v>
      </c>
      <c r="S51" s="64">
        <f t="shared" si="35"/>
        <v>0.94521912350597614</v>
      </c>
      <c r="T51" s="64">
        <f t="shared" si="35"/>
        <v>1.670157068062827</v>
      </c>
      <c r="U51" s="64" t="e">
        <f t="shared" si="35"/>
        <v>#VALUE!</v>
      </c>
      <c r="V51" s="64" t="e">
        <f t="shared" si="35"/>
        <v>#VALUE!</v>
      </c>
    </row>
    <row r="52" spans="1:22" ht="30" customHeight="1">
      <c r="A52" s="77"/>
      <c r="B52" s="77"/>
      <c r="C52" s="77"/>
      <c r="D52" s="77"/>
      <c r="E52" s="77"/>
      <c r="F52" s="77"/>
      <c r="G52" s="77"/>
      <c r="H52" s="77"/>
      <c r="I52" s="77"/>
      <c r="J52" s="77"/>
      <c r="K52" s="77"/>
      <c r="L52" s="77"/>
      <c r="M52" s="77"/>
      <c r="N52" s="77"/>
      <c r="Q52" s="148" t="s">
        <v>1829</v>
      </c>
      <c r="R52" s="64">
        <f t="shared" ref="R52:V52" si="36">Q22/Q21</f>
        <v>1.0058292065759038</v>
      </c>
      <c r="S52" s="64">
        <f t="shared" si="36"/>
        <v>0.89357218124341409</v>
      </c>
      <c r="T52" s="64" t="e">
        <f>S22/S21</f>
        <v>#VALUE!</v>
      </c>
      <c r="U52" s="64" t="e">
        <f t="shared" si="36"/>
        <v>#VALUE!</v>
      </c>
      <c r="V52" s="64" t="e">
        <f t="shared" si="36"/>
        <v>#VALUE!</v>
      </c>
    </row>
    <row r="53" spans="1:22">
      <c r="Q53" s="148" t="s">
        <v>1830</v>
      </c>
      <c r="R53" s="64">
        <f t="shared" ref="R53:V53" si="37">Q23/Q22</f>
        <v>1.1556970328355907</v>
      </c>
      <c r="S53" s="64">
        <f t="shared" si="37"/>
        <v>1.0613207547169812</v>
      </c>
      <c r="T53" s="64" t="e">
        <f t="shared" si="37"/>
        <v>#VALUE!</v>
      </c>
      <c r="U53" s="64" t="e">
        <f t="shared" si="37"/>
        <v>#VALUE!</v>
      </c>
      <c r="V53" s="64" t="e">
        <f t="shared" si="37"/>
        <v>#VALUE!</v>
      </c>
    </row>
    <row r="54" spans="1:22">
      <c r="Q54" s="148" t="s">
        <v>1831</v>
      </c>
      <c r="R54" s="64">
        <f t="shared" ref="R54:V54" si="38">Q24/Q23</f>
        <v>1.0636013381320906</v>
      </c>
      <c r="S54" s="64">
        <f t="shared" si="38"/>
        <v>1.1199999999999999</v>
      </c>
      <c r="T54" s="64">
        <f t="shared" si="38"/>
        <v>1.0501193317422435</v>
      </c>
      <c r="U54" s="64" t="e">
        <f t="shared" si="38"/>
        <v>#VALUE!</v>
      </c>
      <c r="V54" s="64" t="e">
        <f t="shared" si="38"/>
        <v>#VALUE!</v>
      </c>
    </row>
    <row r="55" spans="1:22">
      <c r="Q55" s="148" t="s">
        <v>1832</v>
      </c>
      <c r="R55" s="64">
        <f t="shared" ref="R55:V55" si="39">Q25/Q24</f>
        <v>0.98961616212347603</v>
      </c>
      <c r="S55" s="64">
        <f t="shared" si="39"/>
        <v>0.89880952380952372</v>
      </c>
      <c r="T55" s="64">
        <f t="shared" si="39"/>
        <v>0.59318181818181825</v>
      </c>
      <c r="U55" s="64" t="e">
        <f t="shared" si="39"/>
        <v>#VALUE!</v>
      </c>
      <c r="V55" s="64" t="e">
        <f t="shared" si="39"/>
        <v>#VALUE!</v>
      </c>
    </row>
    <row r="56" spans="1:22">
      <c r="Q56" s="148" t="s">
        <v>1833</v>
      </c>
      <c r="R56" s="64">
        <f t="shared" ref="R56:V56" si="40">Q26/Q25</f>
        <v>1.022565215184734</v>
      </c>
      <c r="S56" s="64">
        <f t="shared" si="40"/>
        <v>0.86203090507726265</v>
      </c>
      <c r="T56" s="64">
        <f t="shared" si="40"/>
        <v>1.0996168582375478</v>
      </c>
      <c r="U56" s="64" t="e">
        <f t="shared" si="40"/>
        <v>#VALUE!</v>
      </c>
      <c r="V56" s="64" t="e">
        <f t="shared" si="40"/>
        <v>#VALUE!</v>
      </c>
    </row>
    <row r="57" spans="1:22">
      <c r="Q57" s="148" t="s">
        <v>1834</v>
      </c>
      <c r="R57" s="64">
        <f t="shared" ref="R57:V57" si="41">Q27/Q26</f>
        <v>1.032713150401082</v>
      </c>
      <c r="S57" s="64">
        <f t="shared" si="41"/>
        <v>1.1843790012804098</v>
      </c>
      <c r="T57" s="64">
        <f t="shared" si="41"/>
        <v>0.97212543554006969</v>
      </c>
      <c r="U57" s="64" t="e">
        <f t="shared" si="41"/>
        <v>#VALUE!</v>
      </c>
      <c r="V57" s="64" t="e">
        <f t="shared" si="41"/>
        <v>#VALUE!</v>
      </c>
    </row>
    <row r="58" spans="1:22">
      <c r="Q58" s="148" t="s">
        <v>1839</v>
      </c>
      <c r="R58" s="64">
        <f t="shared" ref="R58:V58" si="42">Q28/Q27</f>
        <v>1.0946101813026394</v>
      </c>
      <c r="S58" s="64">
        <f t="shared" si="42"/>
        <v>0.82810810810810809</v>
      </c>
      <c r="T58" s="64">
        <f t="shared" si="42"/>
        <v>0.88172043010752699</v>
      </c>
      <c r="U58" s="64" t="e">
        <f t="shared" si="42"/>
        <v>#VALUE!</v>
      </c>
      <c r="V58" s="64" t="e">
        <f t="shared" si="42"/>
        <v>#VALUE!</v>
      </c>
    </row>
    <row r="59" spans="1:22">
      <c r="Q59" s="148" t="s">
        <v>1835</v>
      </c>
      <c r="R59" s="64">
        <f t="shared" ref="R59:V59" si="43">Q29/Q28</f>
        <v>0.99301908227274993</v>
      </c>
      <c r="S59" s="64">
        <f t="shared" si="43"/>
        <v>1.0195822454308094</v>
      </c>
      <c r="T59" s="64">
        <f t="shared" si="43"/>
        <v>0.97967479674796754</v>
      </c>
      <c r="U59" s="64" t="e">
        <f t="shared" si="43"/>
        <v>#VALUE!</v>
      </c>
      <c r="V59" s="64" t="e">
        <f t="shared" si="43"/>
        <v>#VALUE!</v>
      </c>
    </row>
    <row r="60" spans="1:22">
      <c r="Q60" s="148" t="s">
        <v>1836</v>
      </c>
      <c r="R60" s="64">
        <f t="shared" ref="R60:V60" si="44">Q30/Q29</f>
        <v>0.90801319781804912</v>
      </c>
      <c r="S60" s="64">
        <f t="shared" si="44"/>
        <v>0.44430217669654298</v>
      </c>
      <c r="T60" s="64">
        <f t="shared" si="44"/>
        <v>1.0207468879668049</v>
      </c>
      <c r="U60" s="64" t="e">
        <f t="shared" si="44"/>
        <v>#DIV/0!</v>
      </c>
      <c r="V60" s="64" t="e">
        <f t="shared" si="44"/>
        <v>#DIV/0!</v>
      </c>
    </row>
    <row r="61" spans="1:22">
      <c r="Q61" s="148"/>
    </row>
  </sheetData>
  <mergeCells count="9">
    <mergeCell ref="A1:N1"/>
    <mergeCell ref="Q2:U2"/>
    <mergeCell ref="B2:G2"/>
    <mergeCell ref="H2:N2"/>
    <mergeCell ref="A49:N49"/>
    <mergeCell ref="A43:N43"/>
    <mergeCell ref="A44:N44"/>
    <mergeCell ref="A45:N45"/>
    <mergeCell ref="A46:N46"/>
  </mergeCells>
  <pageMargins left="0.7" right="0.7" top="0.75" bottom="0.75" header="0.3" footer="0.3"/>
  <pageSetup scale="53" orientation="landscape" horizontalDpi="0" verticalDpi="0" r:id="rId1"/>
</worksheet>
</file>

<file path=xl/worksheets/sheet161.xml><?xml version="1.0" encoding="utf-8"?>
<worksheet xmlns="http://schemas.openxmlformats.org/spreadsheetml/2006/main" xmlns:r="http://schemas.openxmlformats.org/officeDocument/2006/relationships">
  <sheetPr codeName="Sheet155"/>
  <dimension ref="A1:AG57"/>
  <sheetViews>
    <sheetView view="pageBreakPreview" zoomScale="85" zoomScaleNormal="70"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2" style="64" customWidth="1"/>
    <col min="2" max="8" width="14.28515625" style="64" customWidth="1"/>
    <col min="9" max="9" width="12" style="64" customWidth="1"/>
    <col min="10" max="14" width="14.28515625" style="64" customWidth="1"/>
    <col min="15" max="23" width="9.140625" style="64"/>
    <col min="24" max="27" width="9.140625" style="64" hidden="1" customWidth="1" outlineLevel="1"/>
    <col min="28" max="28" width="11" style="64" hidden="1" customWidth="1" outlineLevel="1"/>
    <col min="29" max="32" width="9.140625" style="64" hidden="1" customWidth="1" outlineLevel="1"/>
    <col min="33" max="33" width="9.140625" style="64" collapsed="1"/>
    <col min="34" max="16384" width="9.140625" style="64"/>
  </cols>
  <sheetData>
    <row r="1" spans="1:32">
      <c r="A1" s="108" t="s">
        <v>2085</v>
      </c>
      <c r="B1" s="108"/>
      <c r="C1" s="108"/>
      <c r="D1" s="108"/>
      <c r="E1" s="108"/>
      <c r="F1" s="108"/>
      <c r="G1" s="108"/>
      <c r="H1" s="108"/>
      <c r="I1" s="108"/>
      <c r="J1" s="108"/>
      <c r="K1" s="108"/>
      <c r="L1" s="108"/>
      <c r="M1" s="108"/>
      <c r="N1" s="108"/>
    </row>
    <row r="2" spans="1:32">
      <c r="B2" s="107" t="s">
        <v>206</v>
      </c>
      <c r="C2" s="107"/>
      <c r="D2" s="107"/>
      <c r="E2" s="107"/>
      <c r="F2" s="107"/>
      <c r="G2" s="107"/>
      <c r="H2" s="107" t="s">
        <v>2106</v>
      </c>
      <c r="I2" s="107"/>
      <c r="J2" s="107"/>
      <c r="K2" s="107"/>
      <c r="L2" s="107"/>
      <c r="M2" s="107"/>
      <c r="N2" s="107"/>
      <c r="X2" s="64" t="s">
        <v>196</v>
      </c>
      <c r="AB2" s="149" t="s">
        <v>191</v>
      </c>
      <c r="AC2" s="149"/>
      <c r="AD2" s="149"/>
      <c r="AE2" s="149"/>
      <c r="AF2" s="149"/>
    </row>
    <row r="3" spans="1:32" ht="90">
      <c r="B3" s="73" t="s">
        <v>7</v>
      </c>
      <c r="C3" s="73" t="s">
        <v>0</v>
      </c>
      <c r="D3" s="73" t="s">
        <v>1</v>
      </c>
      <c r="E3" s="73" t="s">
        <v>678</v>
      </c>
      <c r="F3" s="73" t="s">
        <v>13</v>
      </c>
      <c r="G3" s="73" t="s">
        <v>19</v>
      </c>
      <c r="H3" s="73" t="s">
        <v>7</v>
      </c>
      <c r="I3" s="73" t="s">
        <v>37</v>
      </c>
      <c r="J3" s="73" t="s">
        <v>0</v>
      </c>
      <c r="K3" s="73" t="s">
        <v>1</v>
      </c>
      <c r="L3" s="73" t="s">
        <v>678</v>
      </c>
      <c r="M3" s="73" t="s">
        <v>13</v>
      </c>
      <c r="N3" s="73" t="s">
        <v>19</v>
      </c>
      <c r="X3" s="117" t="s">
        <v>7</v>
      </c>
      <c r="Y3" s="117" t="s">
        <v>0</v>
      </c>
      <c r="Z3" s="117" t="s">
        <v>1</v>
      </c>
      <c r="AA3" s="117" t="s">
        <v>19</v>
      </c>
      <c r="AB3" s="117" t="s">
        <v>7</v>
      </c>
      <c r="AC3" s="117" t="s">
        <v>0</v>
      </c>
      <c r="AD3" s="117" t="s">
        <v>1</v>
      </c>
      <c r="AE3" s="117" t="s">
        <v>13</v>
      </c>
      <c r="AF3" s="117" t="s">
        <v>19</v>
      </c>
    </row>
    <row r="4" spans="1:32" hidden="1" outlineLevel="1">
      <c r="X4" s="64" t="s">
        <v>197</v>
      </c>
      <c r="Y4" s="64" t="s">
        <v>198</v>
      </c>
      <c r="Z4" s="64" t="s">
        <v>199</v>
      </c>
      <c r="AA4" s="64" t="s">
        <v>200</v>
      </c>
      <c r="AB4" s="64" t="s">
        <v>201</v>
      </c>
      <c r="AC4" s="64" t="s">
        <v>202</v>
      </c>
      <c r="AD4" s="64" t="s">
        <v>203</v>
      </c>
      <c r="AE4" s="64" t="s">
        <v>204</v>
      </c>
      <c r="AF4" s="64" t="s">
        <v>205</v>
      </c>
    </row>
    <row r="5" spans="1:32" collapsed="1">
      <c r="A5" s="64">
        <v>1984</v>
      </c>
      <c r="B5" s="56">
        <v>1397.4</v>
      </c>
      <c r="C5" s="56">
        <v>3.2</v>
      </c>
      <c r="D5" s="56">
        <v>6.4</v>
      </c>
      <c r="E5" s="56" t="s">
        <v>22</v>
      </c>
      <c r="F5" s="56" t="s">
        <v>1778</v>
      </c>
      <c r="G5" s="56" t="s">
        <v>1778</v>
      </c>
      <c r="H5" s="56">
        <f t="shared" ref="H5:H26" si="0">H6*(1/Y33)</f>
        <v>2389.2214108451612</v>
      </c>
      <c r="I5" s="56" t="s">
        <v>22</v>
      </c>
      <c r="J5" s="56">
        <f t="shared" ref="J5" si="1">J6*(1/Z33)</f>
        <v>8.7025776602775942</v>
      </c>
      <c r="K5" s="56" t="s">
        <v>22</v>
      </c>
      <c r="L5" s="56" t="s">
        <v>22</v>
      </c>
      <c r="M5" s="56" t="s">
        <v>22</v>
      </c>
      <c r="N5" s="56" t="s">
        <v>22</v>
      </c>
      <c r="X5" s="64">
        <v>1854800000</v>
      </c>
      <c r="Y5" s="64">
        <v>16800000</v>
      </c>
      <c r="Z5" s="64">
        <v>16800000</v>
      </c>
      <c r="AD5" s="145"/>
    </row>
    <row r="6" spans="1:32">
      <c r="A6" s="64">
        <v>1985</v>
      </c>
      <c r="B6" s="56">
        <v>1480.2</v>
      </c>
      <c r="C6" s="56">
        <v>3.7</v>
      </c>
      <c r="D6" s="56" t="s">
        <v>188</v>
      </c>
      <c r="E6" s="56" t="s">
        <v>22</v>
      </c>
      <c r="F6" s="56" t="s">
        <v>1778</v>
      </c>
      <c r="G6" s="56" t="s">
        <v>1778</v>
      </c>
      <c r="H6" s="56">
        <f t="shared" si="0"/>
        <v>2426.0618962614712</v>
      </c>
      <c r="I6" s="56" t="s">
        <v>22</v>
      </c>
      <c r="J6" s="56">
        <f t="shared" ref="J6" si="2">J7*(1/Z34)</f>
        <v>9.5831956378056837</v>
      </c>
      <c r="K6" s="56" t="s">
        <v>22</v>
      </c>
      <c r="L6" s="56" t="s">
        <v>22</v>
      </c>
      <c r="M6" s="56" t="s">
        <v>22</v>
      </c>
      <c r="N6" s="56" t="s">
        <v>22</v>
      </c>
      <c r="X6" s="64">
        <v>1883400000</v>
      </c>
      <c r="Y6" s="64">
        <v>18500000</v>
      </c>
      <c r="Z6" s="64" t="s">
        <v>188</v>
      </c>
      <c r="AD6" s="145"/>
    </row>
    <row r="7" spans="1:32">
      <c r="A7" s="64">
        <v>1986</v>
      </c>
      <c r="B7" s="56">
        <v>1606.3</v>
      </c>
      <c r="C7" s="56">
        <v>3.7</v>
      </c>
      <c r="D7" s="56">
        <v>6.3</v>
      </c>
      <c r="E7" s="56" t="s">
        <v>22</v>
      </c>
      <c r="F7" s="56" t="s">
        <v>1778</v>
      </c>
      <c r="G7" s="56" t="s">
        <v>1778</v>
      </c>
      <c r="H7" s="56">
        <f t="shared" si="0"/>
        <v>2524.9901927640099</v>
      </c>
      <c r="I7" s="56" t="s">
        <v>22</v>
      </c>
      <c r="J7" s="56">
        <f t="shared" ref="J7" si="3">J8*(1/Z35)</f>
        <v>9.0651850627891601</v>
      </c>
      <c r="K7" s="56" t="s">
        <v>22</v>
      </c>
      <c r="L7" s="56" t="s">
        <v>22</v>
      </c>
      <c r="M7" s="56" t="s">
        <v>22</v>
      </c>
      <c r="N7" s="56" t="s">
        <v>22</v>
      </c>
      <c r="X7" s="64">
        <v>1960200000</v>
      </c>
      <c r="Y7" s="64">
        <v>17500000</v>
      </c>
      <c r="Z7" s="64">
        <v>14600000</v>
      </c>
    </row>
    <row r="8" spans="1:32">
      <c r="A8" s="64">
        <v>1987</v>
      </c>
      <c r="B8" s="56">
        <v>1726.9</v>
      </c>
      <c r="C8" s="56">
        <v>4.4000000000000004</v>
      </c>
      <c r="D8" s="56">
        <v>6.7</v>
      </c>
      <c r="E8" s="56" t="s">
        <v>22</v>
      </c>
      <c r="F8" s="56" t="s">
        <v>1778</v>
      </c>
      <c r="G8" s="56" t="s">
        <v>1778</v>
      </c>
      <c r="H8" s="56">
        <f t="shared" si="0"/>
        <v>2597.2542218498484</v>
      </c>
      <c r="I8" s="56" t="s">
        <v>22</v>
      </c>
      <c r="J8" s="56">
        <f t="shared" ref="J8" si="4">J9*(1/Z36)</f>
        <v>10.567415730337078</v>
      </c>
      <c r="K8" s="56" t="s">
        <v>22</v>
      </c>
      <c r="L8" s="56" t="s">
        <v>22</v>
      </c>
      <c r="M8" s="56" t="s">
        <v>22</v>
      </c>
      <c r="N8" s="56" t="s">
        <v>22</v>
      </c>
      <c r="X8" s="64">
        <v>2016300000</v>
      </c>
      <c r="Y8" s="64">
        <v>20400000</v>
      </c>
      <c r="Z8" s="64">
        <v>13900000</v>
      </c>
    </row>
    <row r="9" spans="1:32">
      <c r="A9" s="64">
        <v>1988</v>
      </c>
      <c r="B9" s="56">
        <v>1909.8</v>
      </c>
      <c r="C9" s="56">
        <v>5.3</v>
      </c>
      <c r="D9" s="56">
        <v>8.6</v>
      </c>
      <c r="E9" s="56" t="s">
        <v>188</v>
      </c>
      <c r="F9" s="56" t="s">
        <v>1778</v>
      </c>
      <c r="G9" s="56" t="s">
        <v>188</v>
      </c>
      <c r="H9" s="56">
        <f t="shared" si="0"/>
        <v>2788.9277963235168</v>
      </c>
      <c r="I9" s="56" t="s">
        <v>22</v>
      </c>
      <c r="J9" s="56">
        <f t="shared" ref="J9" si="5">J10*(1/Z37)</f>
        <v>10.515614672835428</v>
      </c>
      <c r="K9" s="56" t="s">
        <v>22</v>
      </c>
      <c r="L9" s="56" t="s">
        <v>22</v>
      </c>
      <c r="M9" s="56" t="s">
        <v>22</v>
      </c>
      <c r="N9" s="56" t="s">
        <v>22</v>
      </c>
      <c r="X9" s="64">
        <v>2165100000</v>
      </c>
      <c r="Y9" s="64">
        <v>20300000</v>
      </c>
      <c r="Z9" s="64">
        <v>18500000</v>
      </c>
      <c r="AA9" s="64" t="s">
        <v>188</v>
      </c>
    </row>
    <row r="10" spans="1:32">
      <c r="A10" s="64">
        <v>1989</v>
      </c>
      <c r="B10" s="56">
        <v>2042.2</v>
      </c>
      <c r="C10" s="56">
        <v>5.6</v>
      </c>
      <c r="D10" s="56">
        <v>8.1999999999999993</v>
      </c>
      <c r="E10" s="56" t="s">
        <v>188</v>
      </c>
      <c r="F10" s="56" t="s">
        <v>1778</v>
      </c>
      <c r="G10" s="56" t="s">
        <v>188</v>
      </c>
      <c r="H10" s="56">
        <f t="shared" si="0"/>
        <v>2805.5446586266776</v>
      </c>
      <c r="I10" s="56" t="s">
        <v>22</v>
      </c>
      <c r="J10" s="56">
        <f>J11*(1/Z38)</f>
        <v>10.360211500330472</v>
      </c>
      <c r="K10" s="56" t="s">
        <v>22</v>
      </c>
      <c r="L10" s="56" t="s">
        <v>22</v>
      </c>
      <c r="M10" s="56" t="s">
        <v>22</v>
      </c>
      <c r="N10" s="56" t="s">
        <v>22</v>
      </c>
      <c r="X10" s="64">
        <v>2178000000</v>
      </c>
      <c r="Y10" s="64">
        <v>20000000</v>
      </c>
      <c r="Z10" s="64">
        <v>17700000</v>
      </c>
      <c r="AA10" s="64" t="s">
        <v>188</v>
      </c>
    </row>
    <row r="11" spans="1:32">
      <c r="A11" s="64">
        <v>1990</v>
      </c>
      <c r="B11" s="56">
        <v>2129.4</v>
      </c>
      <c r="C11" s="56">
        <v>6.9</v>
      </c>
      <c r="D11" s="56">
        <v>6.2</v>
      </c>
      <c r="E11" s="56" t="s">
        <v>188</v>
      </c>
      <c r="F11" s="56" t="s">
        <v>1778</v>
      </c>
      <c r="G11" s="56" t="s">
        <v>188</v>
      </c>
      <c r="H11" s="56">
        <f t="shared" si="0"/>
        <v>2791.2464282727951</v>
      </c>
      <c r="I11" s="56" t="s">
        <v>22</v>
      </c>
      <c r="J11" s="56">
        <f t="shared" ref="J11" si="6">J12*(1/Z39)</f>
        <v>11.189028420356911</v>
      </c>
      <c r="K11" s="56" t="s">
        <v>22</v>
      </c>
      <c r="L11" s="56" t="s">
        <v>22</v>
      </c>
      <c r="M11" s="56" t="s">
        <v>22</v>
      </c>
      <c r="N11" s="56" t="s">
        <v>22</v>
      </c>
      <c r="X11" s="64">
        <v>2166900000</v>
      </c>
      <c r="Y11" s="64">
        <v>21600000</v>
      </c>
      <c r="Z11" s="64">
        <v>13300000</v>
      </c>
      <c r="AA11" s="64" t="s">
        <v>188</v>
      </c>
    </row>
    <row r="12" spans="1:32">
      <c r="A12" s="64">
        <v>1991</v>
      </c>
      <c r="B12" s="56">
        <v>2204.1</v>
      </c>
      <c r="C12" s="56">
        <v>7.3</v>
      </c>
      <c r="D12" s="56">
        <v>4.8</v>
      </c>
      <c r="E12" s="56" t="s">
        <v>188</v>
      </c>
      <c r="F12" s="56" t="s">
        <v>1778</v>
      </c>
      <c r="G12" s="56" t="s">
        <v>188</v>
      </c>
      <c r="H12" s="56">
        <f t="shared" si="0"/>
        <v>2778.2363267796227</v>
      </c>
      <c r="I12" s="56" t="s">
        <v>22</v>
      </c>
      <c r="J12" s="56">
        <f t="shared" ref="J12" si="7">J13*(1/Z40)</f>
        <v>11.914243225380044</v>
      </c>
      <c r="K12" s="56" t="s">
        <v>22</v>
      </c>
      <c r="L12" s="56" t="s">
        <v>22</v>
      </c>
      <c r="M12" s="56" t="s">
        <v>22</v>
      </c>
      <c r="N12" s="56" t="s">
        <v>22</v>
      </c>
      <c r="X12" s="64">
        <v>2156800000</v>
      </c>
      <c r="Y12" s="64">
        <v>23000000</v>
      </c>
      <c r="Z12" s="64">
        <v>10600000</v>
      </c>
      <c r="AA12" s="64" t="s">
        <v>188</v>
      </c>
    </row>
    <row r="13" spans="1:32">
      <c r="A13" s="64">
        <v>1992</v>
      </c>
      <c r="B13" s="56">
        <v>2271</v>
      </c>
      <c r="C13" s="56">
        <v>6.4</v>
      </c>
      <c r="D13" s="56">
        <v>5.6</v>
      </c>
      <c r="E13" s="56" t="s">
        <v>188</v>
      </c>
      <c r="F13" s="56" t="s">
        <v>1778</v>
      </c>
      <c r="G13" s="56" t="s">
        <v>188</v>
      </c>
      <c r="H13" s="56">
        <f t="shared" si="0"/>
        <v>2814.5615606516485</v>
      </c>
      <c r="I13" s="56" t="s">
        <v>22</v>
      </c>
      <c r="J13" s="56">
        <f t="shared" ref="J13" si="8">J14*(1/Z41)</f>
        <v>9.5313945803040347</v>
      </c>
      <c r="K13" s="56" t="s">
        <v>22</v>
      </c>
      <c r="L13" s="56" t="s">
        <v>22</v>
      </c>
      <c r="M13" s="56" t="s">
        <v>22</v>
      </c>
      <c r="N13" s="56" t="s">
        <v>22</v>
      </c>
      <c r="X13" s="64">
        <v>2185000000</v>
      </c>
      <c r="Y13" s="64">
        <v>18400000</v>
      </c>
      <c r="Z13" s="64">
        <v>11100000</v>
      </c>
      <c r="AA13" s="64" t="s">
        <v>188</v>
      </c>
    </row>
    <row r="14" spans="1:32">
      <c r="A14" s="64">
        <v>1993</v>
      </c>
      <c r="B14" s="56">
        <v>2279.5</v>
      </c>
      <c r="C14" s="56">
        <v>9</v>
      </c>
      <c r="D14" s="56">
        <v>5.3</v>
      </c>
      <c r="E14" s="56" t="s">
        <v>22</v>
      </c>
      <c r="F14" s="56" t="s">
        <v>1778</v>
      </c>
      <c r="G14" s="56">
        <v>3.1</v>
      </c>
      <c r="H14" s="56">
        <f t="shared" si="0"/>
        <v>2840.0665120937088</v>
      </c>
      <c r="I14" s="56" t="s">
        <v>22</v>
      </c>
      <c r="J14" s="56">
        <f t="shared" ref="J14" si="9">J15*(1/Z42)</f>
        <v>13.157468605419698</v>
      </c>
      <c r="K14" s="56" t="s">
        <v>22</v>
      </c>
      <c r="L14" s="56" t="s">
        <v>22</v>
      </c>
      <c r="M14" s="56" t="s">
        <v>22</v>
      </c>
      <c r="N14" s="56" t="s">
        <v>22</v>
      </c>
      <c r="X14" s="64">
        <v>2204800000</v>
      </c>
      <c r="Y14" s="64">
        <v>25400000</v>
      </c>
      <c r="Z14" s="64">
        <v>7300000</v>
      </c>
      <c r="AA14" s="64">
        <v>3200000</v>
      </c>
    </row>
    <row r="15" spans="1:32">
      <c r="A15" s="64">
        <v>1994</v>
      </c>
      <c r="B15" s="56">
        <v>2444.3000000000002</v>
      </c>
      <c r="C15" s="56">
        <v>8.9</v>
      </c>
      <c r="D15" s="56">
        <v>4.9000000000000004</v>
      </c>
      <c r="E15" s="56" t="s">
        <v>22</v>
      </c>
      <c r="F15" s="56" t="s">
        <v>1778</v>
      </c>
      <c r="G15" s="56">
        <v>2.5</v>
      </c>
      <c r="H15" s="56">
        <f t="shared" si="0"/>
        <v>2969.9099012532902</v>
      </c>
      <c r="I15" s="56" t="s">
        <v>22</v>
      </c>
      <c r="J15" s="56">
        <f t="shared" ref="J15" si="10">J16*(1/Z43)</f>
        <v>12.846662260409785</v>
      </c>
      <c r="K15" s="56" t="s">
        <v>22</v>
      </c>
      <c r="L15" s="56" t="s">
        <v>22</v>
      </c>
      <c r="M15" s="56" t="s">
        <v>22</v>
      </c>
      <c r="N15" s="56" t="s">
        <v>22</v>
      </c>
      <c r="X15" s="64">
        <v>2305600000</v>
      </c>
      <c r="Y15" s="64">
        <v>24800000</v>
      </c>
      <c r="Z15" s="64">
        <v>5700000</v>
      </c>
      <c r="AA15" s="64">
        <v>2500000</v>
      </c>
    </row>
    <row r="16" spans="1:32">
      <c r="A16" s="64">
        <v>1995</v>
      </c>
      <c r="B16" s="56">
        <v>2673.3</v>
      </c>
      <c r="C16" s="56">
        <v>9.8000000000000007</v>
      </c>
      <c r="D16" s="56">
        <v>5.7</v>
      </c>
      <c r="E16" s="56" t="s">
        <v>22</v>
      </c>
      <c r="F16" s="56" t="s">
        <v>1778</v>
      </c>
      <c r="G16" s="56">
        <v>2.7</v>
      </c>
      <c r="H16" s="56">
        <f t="shared" si="0"/>
        <v>3159.9089082080354</v>
      </c>
      <c r="I16" s="56" t="s">
        <v>22</v>
      </c>
      <c r="J16" s="56">
        <f t="shared" ref="J16" si="11">J17*(1/Z44)</f>
        <v>14.400693985459354</v>
      </c>
      <c r="K16" s="56" t="s">
        <v>22</v>
      </c>
      <c r="L16" s="56" t="s">
        <v>22</v>
      </c>
      <c r="M16" s="56" t="s">
        <v>22</v>
      </c>
      <c r="N16" s="56" t="s">
        <v>22</v>
      </c>
      <c r="X16" s="64">
        <v>2453100000</v>
      </c>
      <c r="Y16" s="64">
        <v>27800000</v>
      </c>
      <c r="Z16" s="64">
        <v>7600000</v>
      </c>
      <c r="AA16" s="64">
        <v>2100000</v>
      </c>
    </row>
    <row r="17" spans="1:32">
      <c r="A17" s="64">
        <v>1996</v>
      </c>
      <c r="B17" s="56">
        <v>2678.9</v>
      </c>
      <c r="C17" s="56">
        <v>15.2</v>
      </c>
      <c r="D17" s="56">
        <v>6.1</v>
      </c>
      <c r="E17" s="56" t="s">
        <v>22</v>
      </c>
      <c r="F17" s="56" t="s">
        <v>1778</v>
      </c>
      <c r="G17" s="56">
        <v>2.5</v>
      </c>
      <c r="H17" s="56">
        <f t="shared" si="0"/>
        <v>3252.3965604070227</v>
      </c>
      <c r="I17" s="56" t="s">
        <v>22</v>
      </c>
      <c r="J17" s="56">
        <f t="shared" ref="J17" si="12">J18*(1/Z45)</f>
        <v>8.6507766027759434</v>
      </c>
      <c r="K17" s="56" t="s">
        <v>22</v>
      </c>
      <c r="L17" s="56" t="s">
        <v>22</v>
      </c>
      <c r="M17" s="56" t="s">
        <v>22</v>
      </c>
      <c r="N17" s="56" t="s">
        <v>22</v>
      </c>
      <c r="X17" s="64">
        <v>2524900000</v>
      </c>
      <c r="Y17" s="64">
        <v>16700000</v>
      </c>
      <c r="Z17" s="64">
        <v>6900000</v>
      </c>
      <c r="AA17" s="64">
        <v>1800000</v>
      </c>
    </row>
    <row r="18" spans="1:32">
      <c r="A18" s="64">
        <v>1997</v>
      </c>
      <c r="B18" s="56">
        <v>2520.6</v>
      </c>
      <c r="C18" s="56">
        <v>17.8</v>
      </c>
      <c r="D18" s="56" t="s">
        <v>188</v>
      </c>
      <c r="E18" s="56" t="s">
        <v>22</v>
      </c>
      <c r="F18" s="56" t="s">
        <v>1778</v>
      </c>
      <c r="G18" s="56">
        <v>1.9</v>
      </c>
      <c r="H18" s="56">
        <f t="shared" si="0"/>
        <v>3246.8576063059691</v>
      </c>
      <c r="I18" s="56" t="s">
        <v>22</v>
      </c>
      <c r="J18" s="56">
        <f t="shared" ref="J18" si="13">J19*(1/Z46)</f>
        <v>9.2205882352941178</v>
      </c>
      <c r="K18" s="56" t="s">
        <v>22</v>
      </c>
      <c r="L18" s="56" t="s">
        <v>22</v>
      </c>
      <c r="M18" s="56" t="s">
        <v>22</v>
      </c>
      <c r="N18" s="56" t="s">
        <v>22</v>
      </c>
      <c r="X18" s="64">
        <v>2520600000</v>
      </c>
      <c r="Y18" s="64">
        <v>17800000</v>
      </c>
      <c r="Z18" s="64" t="s">
        <v>188</v>
      </c>
      <c r="AA18" s="64">
        <v>1900000</v>
      </c>
      <c r="AB18" s="64">
        <v>2871400000</v>
      </c>
      <c r="AC18" s="64">
        <v>11000000</v>
      </c>
      <c r="AD18" s="64" t="s">
        <v>188</v>
      </c>
      <c r="AE18" s="64">
        <v>0</v>
      </c>
      <c r="AF18" s="64">
        <v>2200000</v>
      </c>
    </row>
    <row r="19" spans="1:32">
      <c r="A19" s="64">
        <v>1998</v>
      </c>
      <c r="B19" s="56">
        <v>2693.9</v>
      </c>
      <c r="C19" s="56">
        <v>15.6</v>
      </c>
      <c r="D19" s="56">
        <v>10.6</v>
      </c>
      <c r="E19" s="56" t="s">
        <v>188</v>
      </c>
      <c r="F19" s="56" t="s">
        <v>1778</v>
      </c>
      <c r="G19" s="56" t="s">
        <v>188</v>
      </c>
      <c r="H19" s="56">
        <f t="shared" si="0"/>
        <v>3416.9235615850725</v>
      </c>
      <c r="I19" s="56" t="s">
        <v>22</v>
      </c>
      <c r="J19" s="56">
        <f t="shared" ref="J19" si="14">J20*(1/Z47)</f>
        <v>7.6279411764705882</v>
      </c>
      <c r="K19" s="56" t="s">
        <v>22</v>
      </c>
      <c r="L19" s="56" t="s">
        <v>22</v>
      </c>
      <c r="M19" s="56" t="s">
        <v>22</v>
      </c>
      <c r="N19" s="56" t="s">
        <v>22</v>
      </c>
      <c r="X19" s="64">
        <v>2655600000</v>
      </c>
      <c r="Y19" s="64">
        <v>14700000</v>
      </c>
      <c r="Z19" s="64">
        <v>13100000</v>
      </c>
      <c r="AA19" s="64" t="s">
        <v>188</v>
      </c>
      <c r="AB19" s="64">
        <v>3021800000</v>
      </c>
      <c r="AC19" s="64">
        <v>9100000</v>
      </c>
      <c r="AD19" s="64">
        <v>18500000</v>
      </c>
      <c r="AE19" s="64">
        <v>0</v>
      </c>
      <c r="AF19" s="64" t="s">
        <v>188</v>
      </c>
    </row>
    <row r="20" spans="1:32">
      <c r="A20" s="64">
        <v>1999</v>
      </c>
      <c r="B20" s="56">
        <v>2849</v>
      </c>
      <c r="C20" s="56">
        <v>13</v>
      </c>
      <c r="D20" s="56">
        <v>12.5</v>
      </c>
      <c r="E20" s="56" t="s">
        <v>188</v>
      </c>
      <c r="F20" s="56" t="s">
        <v>1778</v>
      </c>
      <c r="G20" s="56" t="s">
        <v>188</v>
      </c>
      <c r="H20" s="56">
        <f t="shared" si="0"/>
        <v>3547.2999222478429</v>
      </c>
      <c r="I20" s="56" t="s">
        <v>22</v>
      </c>
      <c r="J20" s="56">
        <f t="shared" ref="J20" si="15">J21*(1/Z48)</f>
        <v>6.1191176470588244</v>
      </c>
      <c r="K20" s="56" t="s">
        <v>22</v>
      </c>
      <c r="L20" s="56" t="s">
        <v>22</v>
      </c>
      <c r="M20" s="56" t="s">
        <v>22</v>
      </c>
      <c r="N20" s="56" t="s">
        <v>22</v>
      </c>
      <c r="AB20" s="64">
        <v>3137100000</v>
      </c>
      <c r="AC20" s="64">
        <v>7300000</v>
      </c>
      <c r="AD20" s="64">
        <v>16200000</v>
      </c>
      <c r="AE20" s="64">
        <v>0</v>
      </c>
      <c r="AF20" s="64" t="s">
        <v>188</v>
      </c>
    </row>
    <row r="21" spans="1:32">
      <c r="A21" s="64">
        <v>2000</v>
      </c>
      <c r="B21" s="56">
        <v>3035.4</v>
      </c>
      <c r="C21" s="56">
        <v>8.3000000000000007</v>
      </c>
      <c r="D21" s="56" t="s">
        <v>188</v>
      </c>
      <c r="E21" s="56" t="s">
        <v>188</v>
      </c>
      <c r="F21" s="56" t="s">
        <v>188</v>
      </c>
      <c r="G21" s="56" t="s">
        <v>188</v>
      </c>
      <c r="H21" s="56">
        <f t="shared" si="0"/>
        <v>3617.4068984932183</v>
      </c>
      <c r="I21" s="56" t="s">
        <v>22</v>
      </c>
      <c r="J21" s="56">
        <f t="shared" ref="J21" si="16">J22*(1/Z49)</f>
        <v>6.7897058823529424</v>
      </c>
      <c r="K21" s="56" t="s">
        <v>22</v>
      </c>
      <c r="L21" s="56" t="s">
        <v>22</v>
      </c>
      <c r="M21" s="56" t="s">
        <v>22</v>
      </c>
      <c r="N21" s="56" t="s">
        <v>22</v>
      </c>
      <c r="AB21" s="64">
        <v>3199100000</v>
      </c>
      <c r="AC21" s="64">
        <v>8100000</v>
      </c>
      <c r="AD21" s="64" t="s">
        <v>188</v>
      </c>
      <c r="AE21" s="64">
        <v>400000</v>
      </c>
      <c r="AF21" s="64" t="s">
        <v>188</v>
      </c>
    </row>
    <row r="22" spans="1:32">
      <c r="A22" s="64">
        <v>2001</v>
      </c>
      <c r="B22" s="56">
        <v>3132.7</v>
      </c>
      <c r="C22" s="56">
        <v>5.8</v>
      </c>
      <c r="D22" s="56">
        <v>15.9</v>
      </c>
      <c r="E22" s="56" t="s">
        <v>188</v>
      </c>
      <c r="F22" s="56">
        <v>0.4</v>
      </c>
      <c r="G22" s="56" t="s">
        <v>188</v>
      </c>
      <c r="H22" s="56">
        <f t="shared" si="0"/>
        <v>3609.3785189554415</v>
      </c>
      <c r="I22" s="56" t="s">
        <v>22</v>
      </c>
      <c r="J22" s="56">
        <f t="shared" ref="J22" si="17">J23*(1/Z50)</f>
        <v>5.6161764705882362</v>
      </c>
      <c r="K22" s="56" t="s">
        <v>22</v>
      </c>
      <c r="L22" s="56" t="s">
        <v>22</v>
      </c>
      <c r="M22" s="56" t="s">
        <v>22</v>
      </c>
      <c r="N22" s="56" t="s">
        <v>22</v>
      </c>
      <c r="AB22" s="64">
        <v>3192000000</v>
      </c>
      <c r="AC22" s="64">
        <v>6700000</v>
      </c>
      <c r="AD22" s="64">
        <v>14400000</v>
      </c>
      <c r="AE22" s="64">
        <v>400000</v>
      </c>
      <c r="AF22" s="64" t="s">
        <v>188</v>
      </c>
    </row>
    <row r="23" spans="1:32">
      <c r="A23" s="64">
        <v>2002</v>
      </c>
      <c r="B23" s="56">
        <v>3339.3</v>
      </c>
      <c r="C23" s="56">
        <v>7.2</v>
      </c>
      <c r="D23" s="56" t="s">
        <v>188</v>
      </c>
      <c r="E23" s="56" t="s">
        <v>188</v>
      </c>
      <c r="F23" s="56" t="s">
        <v>188</v>
      </c>
      <c r="G23" s="56" t="s">
        <v>188</v>
      </c>
      <c r="H23" s="56">
        <f t="shared" si="0"/>
        <v>3775.939125422276</v>
      </c>
      <c r="I23" s="56" t="s">
        <v>22</v>
      </c>
      <c r="J23" s="56">
        <f t="shared" ref="J23" si="18">J24*(1/Z51)</f>
        <v>6.0352941176470596</v>
      </c>
      <c r="K23" s="56" t="s">
        <v>22</v>
      </c>
      <c r="L23" s="56" t="s">
        <v>22</v>
      </c>
      <c r="M23" s="56" t="s">
        <v>22</v>
      </c>
      <c r="N23" s="56" t="s">
        <v>22</v>
      </c>
      <c r="AB23" s="64">
        <v>3339300000</v>
      </c>
      <c r="AC23" s="64">
        <v>7200000</v>
      </c>
      <c r="AD23" s="64" t="s">
        <v>188</v>
      </c>
      <c r="AE23" s="64" t="s">
        <v>188</v>
      </c>
      <c r="AF23" s="64" t="s">
        <v>188</v>
      </c>
    </row>
    <row r="24" spans="1:32">
      <c r="A24" s="64">
        <v>2003</v>
      </c>
      <c r="B24" s="56">
        <v>3421.2</v>
      </c>
      <c r="C24" s="56">
        <v>9</v>
      </c>
      <c r="D24" s="56">
        <v>15.4</v>
      </c>
      <c r="E24" s="56" t="s">
        <v>22</v>
      </c>
      <c r="F24" s="56">
        <v>0</v>
      </c>
      <c r="G24" s="56">
        <v>4.8</v>
      </c>
      <c r="H24" s="56">
        <f t="shared" si="0"/>
        <v>3857.9190573221099</v>
      </c>
      <c r="I24" s="56" t="s">
        <v>22</v>
      </c>
      <c r="J24" s="56">
        <f t="shared" ref="J24" si="19">J25*(1/Z52)</f>
        <v>7.5441176470588243</v>
      </c>
      <c r="K24" s="56" t="s">
        <v>22</v>
      </c>
      <c r="L24" s="56" t="s">
        <v>22</v>
      </c>
      <c r="M24" s="56" t="s">
        <v>22</v>
      </c>
      <c r="N24" s="56" t="s">
        <v>22</v>
      </c>
      <c r="AB24" s="64">
        <v>3411800000</v>
      </c>
      <c r="AC24" s="64">
        <v>9000000</v>
      </c>
      <c r="AD24" s="64">
        <v>16900000</v>
      </c>
      <c r="AE24" s="64">
        <v>0</v>
      </c>
      <c r="AF24" s="64">
        <v>4200000</v>
      </c>
    </row>
    <row r="25" spans="1:32">
      <c r="A25" s="64">
        <v>2004</v>
      </c>
      <c r="B25" s="56">
        <v>3607.5</v>
      </c>
      <c r="C25" s="56">
        <v>8.4</v>
      </c>
      <c r="D25" s="56">
        <v>17.2</v>
      </c>
      <c r="E25" s="56" t="s">
        <v>22</v>
      </c>
      <c r="F25" s="56">
        <v>0</v>
      </c>
      <c r="G25" s="56">
        <v>9.1</v>
      </c>
      <c r="H25" s="56">
        <f>H26*(1/Y53)</f>
        <v>3973.3694165907032</v>
      </c>
      <c r="I25" s="56" t="s">
        <v>22</v>
      </c>
      <c r="J25" s="56">
        <f t="shared" ref="J25" si="20">J26*(1/Z53)</f>
        <v>7.7117647058823531</v>
      </c>
      <c r="K25" s="56" t="s">
        <v>22</v>
      </c>
      <c r="L25" s="56" t="s">
        <v>22</v>
      </c>
      <c r="M25" s="56" t="s">
        <v>22</v>
      </c>
      <c r="N25" s="56" t="s">
        <v>22</v>
      </c>
      <c r="AB25" s="64">
        <v>3513900000</v>
      </c>
      <c r="AC25" s="64">
        <v>9200000</v>
      </c>
      <c r="AD25" s="64">
        <v>17300000</v>
      </c>
      <c r="AE25" s="64">
        <v>0</v>
      </c>
      <c r="AF25" s="64">
        <v>7400000</v>
      </c>
    </row>
    <row r="26" spans="1:32">
      <c r="A26" s="64">
        <v>2005</v>
      </c>
      <c r="B26" s="56">
        <v>3690.5</v>
      </c>
      <c r="C26" s="56">
        <v>8</v>
      </c>
      <c r="D26" s="56">
        <v>19</v>
      </c>
      <c r="E26" s="56" t="s">
        <v>22</v>
      </c>
      <c r="F26" s="56">
        <v>0</v>
      </c>
      <c r="G26" s="56" t="s">
        <v>188</v>
      </c>
      <c r="H26" s="56">
        <f t="shared" si="0"/>
        <v>4029.9073006595536</v>
      </c>
      <c r="I26" s="56" t="s">
        <v>22</v>
      </c>
      <c r="J26" s="56">
        <f t="shared" ref="J26" si="21">J27*(1/Z54)</f>
        <v>7.3764705882352946</v>
      </c>
      <c r="K26" s="56" t="s">
        <v>22</v>
      </c>
      <c r="L26" s="56" t="s">
        <v>22</v>
      </c>
      <c r="M26" s="56" t="s">
        <v>22</v>
      </c>
      <c r="N26" s="56" t="s">
        <v>22</v>
      </c>
      <c r="AB26" s="64">
        <v>3563900000</v>
      </c>
      <c r="AC26" s="64">
        <v>8800000</v>
      </c>
      <c r="AD26" s="64" t="s">
        <v>188</v>
      </c>
      <c r="AE26" s="64">
        <v>0</v>
      </c>
      <c r="AF26" s="64" t="s">
        <v>188</v>
      </c>
    </row>
    <row r="27" spans="1:32">
      <c r="A27" s="64">
        <v>2006</v>
      </c>
      <c r="B27" s="56">
        <v>3896.2</v>
      </c>
      <c r="C27" s="56">
        <v>7.4</v>
      </c>
      <c r="D27" s="56" t="s">
        <v>188</v>
      </c>
      <c r="E27" s="56" t="s">
        <v>22</v>
      </c>
      <c r="F27" s="56">
        <v>0</v>
      </c>
      <c r="G27" s="56" t="s">
        <v>188</v>
      </c>
      <c r="H27" s="56">
        <f>H28*(1/Y55)</f>
        <v>4122.0640516917802</v>
      </c>
      <c r="I27" s="56" t="s">
        <v>22</v>
      </c>
      <c r="J27" s="56">
        <f>J28*(1/Z55)</f>
        <v>7.3764705882352946</v>
      </c>
      <c r="K27" s="56" t="s">
        <v>22</v>
      </c>
      <c r="L27" s="56" t="s">
        <v>22</v>
      </c>
      <c r="M27" s="56" t="s">
        <v>22</v>
      </c>
      <c r="N27" s="56" t="s">
        <v>22</v>
      </c>
      <c r="AB27" s="64">
        <v>3645400000</v>
      </c>
      <c r="AC27" s="64">
        <v>8800000</v>
      </c>
      <c r="AD27" s="64" t="s">
        <v>188</v>
      </c>
      <c r="AE27" s="64">
        <v>0</v>
      </c>
      <c r="AF27" s="64" t="s">
        <v>188</v>
      </c>
    </row>
    <row r="28" spans="1:32">
      <c r="A28" s="64">
        <v>2007</v>
      </c>
      <c r="B28" s="56">
        <v>4129.8999999999996</v>
      </c>
      <c r="C28" s="56">
        <v>7.1</v>
      </c>
      <c r="D28" s="56" t="s">
        <v>188</v>
      </c>
      <c r="E28" s="56" t="s">
        <v>22</v>
      </c>
      <c r="F28" s="56">
        <v>0</v>
      </c>
      <c r="G28" s="56" t="s">
        <v>188</v>
      </c>
      <c r="H28" s="56">
        <v>4217.5</v>
      </c>
      <c r="I28" s="56" t="s">
        <v>22</v>
      </c>
      <c r="J28" s="56">
        <v>5.7</v>
      </c>
      <c r="K28" s="56" t="s">
        <v>188</v>
      </c>
      <c r="L28" s="56" t="s">
        <v>188</v>
      </c>
      <c r="M28" s="56">
        <v>0</v>
      </c>
      <c r="N28" s="56" t="s">
        <v>188</v>
      </c>
      <c r="AB28" s="64">
        <v>3729800000</v>
      </c>
      <c r="AC28" s="64">
        <v>6800000</v>
      </c>
      <c r="AD28" s="64" t="s">
        <v>188</v>
      </c>
      <c r="AE28" s="64">
        <v>0</v>
      </c>
      <c r="AF28" s="64" t="s">
        <v>188</v>
      </c>
    </row>
    <row r="29" spans="1:32">
      <c r="A29" s="64">
        <v>2008</v>
      </c>
      <c r="B29" s="56">
        <v>4328.6000000000004</v>
      </c>
      <c r="C29" s="56">
        <v>5.8</v>
      </c>
      <c r="D29" s="56" t="s">
        <v>188</v>
      </c>
      <c r="E29" s="56"/>
      <c r="F29" s="56">
        <v>0</v>
      </c>
      <c r="G29" s="56" t="s">
        <v>188</v>
      </c>
      <c r="H29" s="56">
        <v>4256.6000000000004</v>
      </c>
      <c r="I29" s="56" t="s">
        <v>22</v>
      </c>
      <c r="J29" s="56">
        <v>4</v>
      </c>
      <c r="K29" s="56" t="s">
        <v>188</v>
      </c>
      <c r="L29" s="56" t="s">
        <v>188</v>
      </c>
      <c r="M29" s="56">
        <v>0</v>
      </c>
      <c r="N29" s="56" t="s">
        <v>188</v>
      </c>
    </row>
    <row r="30" spans="1:32">
      <c r="A30" s="64">
        <v>2009</v>
      </c>
      <c r="B30" s="56" t="s">
        <v>22</v>
      </c>
      <c r="C30" s="56" t="s">
        <v>22</v>
      </c>
      <c r="D30" s="56" t="s">
        <v>22</v>
      </c>
      <c r="E30" s="56" t="s">
        <v>22</v>
      </c>
      <c r="F30" s="56" t="s">
        <v>22</v>
      </c>
      <c r="G30" s="56" t="s">
        <v>22</v>
      </c>
      <c r="H30" s="56">
        <v>4275.3999999999996</v>
      </c>
      <c r="I30" s="56" t="s">
        <v>22</v>
      </c>
      <c r="J30" s="56">
        <v>3.1</v>
      </c>
      <c r="K30" s="56" t="s">
        <v>188</v>
      </c>
      <c r="L30" s="56" t="s">
        <v>188</v>
      </c>
      <c r="M30" s="56">
        <v>0</v>
      </c>
      <c r="N30" s="56" t="s">
        <v>188</v>
      </c>
    </row>
    <row r="31" spans="1:32">
      <c r="A31" s="64">
        <v>2010</v>
      </c>
      <c r="B31" s="56" t="s">
        <v>22</v>
      </c>
      <c r="C31" s="56" t="s">
        <v>22</v>
      </c>
      <c r="D31" s="56" t="s">
        <v>22</v>
      </c>
      <c r="E31" s="56" t="s">
        <v>22</v>
      </c>
      <c r="F31" s="56" t="s">
        <v>22</v>
      </c>
      <c r="G31" s="56" t="s">
        <v>22</v>
      </c>
      <c r="H31" s="56">
        <v>4393.8999999999996</v>
      </c>
      <c r="I31" s="56" t="s">
        <v>22</v>
      </c>
      <c r="J31" s="56">
        <v>3</v>
      </c>
      <c r="K31" s="56" t="s">
        <v>188</v>
      </c>
      <c r="L31" s="56" t="s">
        <v>188</v>
      </c>
      <c r="M31" s="56">
        <v>0</v>
      </c>
      <c r="N31" s="56" t="s">
        <v>188</v>
      </c>
    </row>
    <row r="32" spans="1:32" ht="18" customHeight="1">
      <c r="A32" s="64">
        <v>2011</v>
      </c>
      <c r="B32" s="56" t="s">
        <v>22</v>
      </c>
      <c r="C32" s="56" t="s">
        <v>22</v>
      </c>
      <c r="D32" s="56" t="s">
        <v>22</v>
      </c>
      <c r="E32" s="56" t="s">
        <v>22</v>
      </c>
      <c r="F32" s="56" t="s">
        <v>22</v>
      </c>
      <c r="G32" s="56" t="s">
        <v>22</v>
      </c>
      <c r="H32" s="56">
        <v>4467.8999999999996</v>
      </c>
      <c r="I32" s="56" t="s">
        <v>22</v>
      </c>
      <c r="J32" s="56">
        <v>3.4</v>
      </c>
      <c r="K32" s="56" t="s">
        <v>188</v>
      </c>
      <c r="L32" s="56" t="s">
        <v>188</v>
      </c>
      <c r="M32" s="56">
        <v>0</v>
      </c>
      <c r="N32" s="56" t="s">
        <v>188</v>
      </c>
      <c r="X32" s="146" t="s">
        <v>1826</v>
      </c>
      <c r="Y32" s="117" t="s">
        <v>7</v>
      </c>
      <c r="Z32" s="117" t="s">
        <v>192</v>
      </c>
      <c r="AA32" s="117" t="s">
        <v>1</v>
      </c>
      <c r="AB32" s="117" t="s">
        <v>13</v>
      </c>
      <c r="AC32" s="117" t="s">
        <v>19</v>
      </c>
    </row>
    <row r="33" spans="1:29">
      <c r="X33" s="56" t="s">
        <v>1856</v>
      </c>
      <c r="Y33" s="64">
        <f>X6/X5</f>
        <v>1.0154194522320465</v>
      </c>
      <c r="Z33" s="64">
        <f t="shared" ref="Z33:AC33" si="22">Y6/Y5</f>
        <v>1.1011904761904763</v>
      </c>
      <c r="AA33" s="64" t="e">
        <f t="shared" si="22"/>
        <v>#VALUE!</v>
      </c>
      <c r="AB33" s="64" t="e">
        <f t="shared" si="22"/>
        <v>#DIV/0!</v>
      </c>
      <c r="AC33" s="64" t="e">
        <f t="shared" si="22"/>
        <v>#DIV/0!</v>
      </c>
    </row>
    <row r="34" spans="1:29">
      <c r="A34" s="66" t="s">
        <v>23</v>
      </c>
      <c r="X34" s="56" t="s">
        <v>1857</v>
      </c>
      <c r="Y34" s="64">
        <f t="shared" ref="Y34:AC34" si="23">X7/X6</f>
        <v>1.0407773176170756</v>
      </c>
      <c r="Z34" s="64">
        <f t="shared" si="23"/>
        <v>0.94594594594594594</v>
      </c>
      <c r="AA34" s="64" t="e">
        <f t="shared" si="23"/>
        <v>#VALUE!</v>
      </c>
      <c r="AB34" s="64" t="e">
        <f t="shared" si="23"/>
        <v>#DIV/0!</v>
      </c>
      <c r="AC34" s="64" t="e">
        <f t="shared" si="23"/>
        <v>#DIV/0!</v>
      </c>
    </row>
    <row r="35" spans="1:29">
      <c r="A35" s="57" t="s">
        <v>2142</v>
      </c>
      <c r="B35" s="147" t="str">
        <f>IFERROR(((B32/B5)^(1/27)-1)*100,"n.a.")</f>
        <v>n.a.</v>
      </c>
      <c r="C35" s="147" t="str">
        <f t="shared" ref="C35:N35" si="24">IFERROR(((C32/C5)^(1/27)-1)*100,"n.a.")</f>
        <v>n.a.</v>
      </c>
      <c r="D35" s="147" t="str">
        <f t="shared" si="24"/>
        <v>n.a.</v>
      </c>
      <c r="E35" s="147" t="str">
        <f t="shared" si="24"/>
        <v>n.a.</v>
      </c>
      <c r="F35" s="147" t="str">
        <f t="shared" si="24"/>
        <v>n.a.</v>
      </c>
      <c r="G35" s="147" t="str">
        <f t="shared" si="24"/>
        <v>n.a.</v>
      </c>
      <c r="H35" s="147">
        <f t="shared" si="24"/>
        <v>2.3454191856978612</v>
      </c>
      <c r="I35" s="147" t="str">
        <f t="shared" si="24"/>
        <v>n.a.</v>
      </c>
      <c r="J35" s="147">
        <f t="shared" si="24"/>
        <v>-3.4210165288150463</v>
      </c>
      <c r="K35" s="147" t="str">
        <f t="shared" si="24"/>
        <v>n.a.</v>
      </c>
      <c r="L35" s="147" t="str">
        <f t="shared" si="24"/>
        <v>n.a.</v>
      </c>
      <c r="M35" s="147" t="str">
        <f t="shared" si="24"/>
        <v>n.a.</v>
      </c>
      <c r="N35" s="147" t="str">
        <f t="shared" si="24"/>
        <v>n.a.</v>
      </c>
      <c r="X35" s="56" t="s">
        <v>1858</v>
      </c>
      <c r="Y35" s="64">
        <f t="shared" ref="Y35:AC35" si="25">X8/X7</f>
        <v>1.0286195286195285</v>
      </c>
      <c r="Z35" s="64">
        <f t="shared" si="25"/>
        <v>1.1657142857142857</v>
      </c>
      <c r="AA35" s="64">
        <f t="shared" si="25"/>
        <v>0.95205479452054798</v>
      </c>
      <c r="AB35" s="64" t="e">
        <f t="shared" si="25"/>
        <v>#DIV/0!</v>
      </c>
      <c r="AC35" s="64" t="e">
        <f t="shared" si="25"/>
        <v>#DIV/0!</v>
      </c>
    </row>
    <row r="36" spans="1:29">
      <c r="A36" s="57" t="s">
        <v>2141</v>
      </c>
      <c r="B36" s="147">
        <f>IFERROR(((B29/B5)^(1/24)-1)*100,"n.a.")</f>
        <v>4.8236906885114506</v>
      </c>
      <c r="C36" s="147">
        <f t="shared" ref="C36:N36" si="26">IFERROR(((C29/C5)^(1/24)-1)*100,"n.a.")</f>
        <v>2.5089025354097849</v>
      </c>
      <c r="D36" s="147" t="str">
        <f t="shared" si="26"/>
        <v>n.a.</v>
      </c>
      <c r="E36" s="147" t="str">
        <f t="shared" si="26"/>
        <v>n.a.</v>
      </c>
      <c r="F36" s="147" t="str">
        <f t="shared" si="26"/>
        <v>n.a.</v>
      </c>
      <c r="G36" s="147" t="str">
        <f t="shared" si="26"/>
        <v>n.a.</v>
      </c>
      <c r="H36" s="147">
        <f t="shared" si="26"/>
        <v>2.4354473600800119</v>
      </c>
      <c r="I36" s="147" t="str">
        <f t="shared" si="26"/>
        <v>n.a.</v>
      </c>
      <c r="J36" s="147">
        <f t="shared" si="26"/>
        <v>-3.1869646091946535</v>
      </c>
      <c r="K36" s="147" t="str">
        <f t="shared" si="26"/>
        <v>n.a.</v>
      </c>
      <c r="L36" s="147" t="str">
        <f t="shared" si="26"/>
        <v>n.a.</v>
      </c>
      <c r="M36" s="147" t="str">
        <f t="shared" si="26"/>
        <v>n.a.</v>
      </c>
      <c r="N36" s="147" t="str">
        <f t="shared" si="26"/>
        <v>n.a.</v>
      </c>
      <c r="X36" s="56" t="s">
        <v>1861</v>
      </c>
      <c r="Y36" s="64">
        <f t="shared" ref="Y36:AC36" si="27">X9/X8</f>
        <v>1.0737985418836482</v>
      </c>
      <c r="Z36" s="64">
        <f t="shared" si="27"/>
        <v>0.99509803921568629</v>
      </c>
      <c r="AA36" s="64">
        <f t="shared" si="27"/>
        <v>1.3309352517985611</v>
      </c>
      <c r="AB36" s="64" t="e">
        <f t="shared" si="27"/>
        <v>#VALUE!</v>
      </c>
      <c r="AC36" s="64" t="e">
        <f t="shared" si="27"/>
        <v>#DIV/0!</v>
      </c>
    </row>
    <row r="37" spans="1:29">
      <c r="A37" s="57" t="s">
        <v>682</v>
      </c>
      <c r="B37" s="147">
        <f>IFERROR(((B10/B5)^(1/5)-1)*100,"n.a.")</f>
        <v>7.8836189942462331</v>
      </c>
      <c r="C37" s="147">
        <f t="shared" ref="C37:N37" si="28">IFERROR(((C10/C5)^(1/5)-1)*100,"n.a.")</f>
        <v>11.842691472014465</v>
      </c>
      <c r="D37" s="147">
        <f t="shared" si="28"/>
        <v>5.0816239137892349</v>
      </c>
      <c r="E37" s="147" t="str">
        <f t="shared" si="28"/>
        <v>n.a.</v>
      </c>
      <c r="F37" s="147" t="str">
        <f t="shared" si="28"/>
        <v>n.a.</v>
      </c>
      <c r="G37" s="147" t="str">
        <f t="shared" si="28"/>
        <v>n.a.</v>
      </c>
      <c r="H37" s="147">
        <f t="shared" si="28"/>
        <v>3.2647641888174039</v>
      </c>
      <c r="I37" s="147" t="str">
        <f t="shared" si="28"/>
        <v>n.a.</v>
      </c>
      <c r="J37" s="147">
        <f t="shared" si="28"/>
        <v>3.5485788455905221</v>
      </c>
      <c r="K37" s="147" t="str">
        <f t="shared" si="28"/>
        <v>n.a.</v>
      </c>
      <c r="L37" s="147" t="str">
        <f t="shared" si="28"/>
        <v>n.a.</v>
      </c>
      <c r="M37" s="147" t="str">
        <f t="shared" si="28"/>
        <v>n.a.</v>
      </c>
      <c r="N37" s="147" t="str">
        <f t="shared" si="28"/>
        <v>n.a.</v>
      </c>
      <c r="X37" s="56" t="s">
        <v>1859</v>
      </c>
      <c r="Y37" s="64">
        <f t="shared" ref="Y37:AC37" si="29">X10/X9</f>
        <v>1.0059581543577665</v>
      </c>
      <c r="Z37" s="64">
        <f t="shared" si="29"/>
        <v>0.98522167487684731</v>
      </c>
      <c r="AA37" s="64">
        <f t="shared" si="29"/>
        <v>0.95675675675675675</v>
      </c>
      <c r="AB37" s="64" t="e">
        <f t="shared" si="29"/>
        <v>#VALUE!</v>
      </c>
      <c r="AC37" s="64" t="e">
        <f t="shared" si="29"/>
        <v>#DIV/0!</v>
      </c>
    </row>
    <row r="38" spans="1:29">
      <c r="A38" s="57" t="s">
        <v>26</v>
      </c>
      <c r="B38" s="147">
        <f>IFERROR(((B21/B10)^(1/11)-1)*100,"n.a.")</f>
        <v>3.6685585124896836</v>
      </c>
      <c r="C38" s="147">
        <f t="shared" ref="C38:N38" si="30">IFERROR(((C21/C10)^(1/11)-1)*100,"n.a.")</f>
        <v>3.6419225426340907</v>
      </c>
      <c r="D38" s="147" t="str">
        <f t="shared" si="30"/>
        <v>n.a.</v>
      </c>
      <c r="E38" s="147" t="str">
        <f t="shared" si="30"/>
        <v>n.a.</v>
      </c>
      <c r="F38" s="147" t="str">
        <f t="shared" si="30"/>
        <v>n.a.</v>
      </c>
      <c r="G38" s="147" t="str">
        <f t="shared" si="30"/>
        <v>n.a.</v>
      </c>
      <c r="H38" s="147">
        <f t="shared" si="30"/>
        <v>2.3374429941887209</v>
      </c>
      <c r="I38" s="147" t="str">
        <f t="shared" si="30"/>
        <v>n.a.</v>
      </c>
      <c r="J38" s="147">
        <f t="shared" si="30"/>
        <v>-3.7686504484048644</v>
      </c>
      <c r="K38" s="147" t="str">
        <f t="shared" si="30"/>
        <v>n.a.</v>
      </c>
      <c r="L38" s="147" t="str">
        <f t="shared" si="30"/>
        <v>n.a.</v>
      </c>
      <c r="M38" s="147" t="str">
        <f t="shared" si="30"/>
        <v>n.a.</v>
      </c>
      <c r="N38" s="147" t="str">
        <f t="shared" si="30"/>
        <v>n.a.</v>
      </c>
      <c r="X38" s="56" t="s">
        <v>1860</v>
      </c>
      <c r="Y38" s="64">
        <f t="shared" ref="Y38:AC38" si="31">X11/X10</f>
        <v>0.99490358126721767</v>
      </c>
      <c r="Z38" s="64">
        <f t="shared" si="31"/>
        <v>1.08</v>
      </c>
      <c r="AA38" s="64">
        <f t="shared" si="31"/>
        <v>0.75141242937853103</v>
      </c>
      <c r="AB38" s="64" t="e">
        <f t="shared" si="31"/>
        <v>#VALUE!</v>
      </c>
      <c r="AC38" s="64" t="e">
        <f t="shared" si="31"/>
        <v>#DIV/0!</v>
      </c>
    </row>
    <row r="39" spans="1:29">
      <c r="A39" s="57" t="s">
        <v>2028</v>
      </c>
      <c r="B39" s="147" t="str">
        <f>IFERROR(((B32/B21)^(1/11)-1)*100,"n.a.")</f>
        <v>n.a.</v>
      </c>
      <c r="C39" s="147" t="str">
        <f t="shared" ref="C39:N39" si="32">IFERROR(((C32/C21)^(1/11)-1)*100,"n.a.")</f>
        <v>n.a.</v>
      </c>
      <c r="D39" s="147" t="str">
        <f t="shared" si="32"/>
        <v>n.a.</v>
      </c>
      <c r="E39" s="147" t="str">
        <f t="shared" si="32"/>
        <v>n.a.</v>
      </c>
      <c r="F39" s="147" t="str">
        <f t="shared" si="32"/>
        <v>n.a.</v>
      </c>
      <c r="G39" s="147" t="str">
        <f t="shared" si="32"/>
        <v>n.a.</v>
      </c>
      <c r="H39" s="147">
        <f t="shared" si="32"/>
        <v>1.9381896417972611</v>
      </c>
      <c r="I39" s="147" t="str">
        <f t="shared" si="32"/>
        <v>n.a.</v>
      </c>
      <c r="J39" s="147">
        <f t="shared" si="32"/>
        <v>-6.0939765076725383</v>
      </c>
      <c r="K39" s="147" t="str">
        <f t="shared" si="32"/>
        <v>n.a.</v>
      </c>
      <c r="L39" s="147" t="str">
        <f t="shared" si="32"/>
        <v>n.a.</v>
      </c>
      <c r="M39" s="147" t="str">
        <f t="shared" si="32"/>
        <v>n.a.</v>
      </c>
      <c r="N39" s="147" t="str">
        <f t="shared" si="32"/>
        <v>n.a.</v>
      </c>
      <c r="X39" s="56" t="s">
        <v>1846</v>
      </c>
      <c r="Y39" s="64">
        <f t="shared" ref="Y39:AC39" si="33">X12/X11</f>
        <v>0.99533896349623885</v>
      </c>
      <c r="Z39" s="64">
        <f t="shared" si="33"/>
        <v>1.0648148148148149</v>
      </c>
      <c r="AA39" s="64">
        <f t="shared" si="33"/>
        <v>0.79699248120300747</v>
      </c>
      <c r="AB39" s="64" t="e">
        <f t="shared" si="33"/>
        <v>#VALUE!</v>
      </c>
      <c r="AC39" s="64" t="e">
        <f t="shared" si="33"/>
        <v>#DIV/0!</v>
      </c>
    </row>
    <row r="40" spans="1:29">
      <c r="A40" s="57"/>
      <c r="B40" s="147"/>
      <c r="C40" s="147"/>
      <c r="D40" s="147"/>
      <c r="E40" s="56"/>
      <c r="F40" s="56"/>
      <c r="G40" s="56"/>
      <c r="H40" s="147"/>
      <c r="I40" s="56"/>
      <c r="J40" s="147"/>
      <c r="K40" s="147"/>
      <c r="L40" s="56"/>
      <c r="M40" s="56"/>
      <c r="N40" s="56"/>
      <c r="X40" s="56" t="s">
        <v>1847</v>
      </c>
      <c r="Y40" s="64">
        <f t="shared" ref="Y40:AC40" si="34">X13/X12</f>
        <v>1.0130749258160237</v>
      </c>
      <c r="Z40" s="64">
        <f t="shared" si="34"/>
        <v>0.8</v>
      </c>
      <c r="AA40" s="64">
        <f t="shared" si="34"/>
        <v>1.0471698113207548</v>
      </c>
      <c r="AB40" s="64" t="e">
        <f t="shared" si="34"/>
        <v>#VALUE!</v>
      </c>
      <c r="AC40" s="64" t="e">
        <f t="shared" si="34"/>
        <v>#DIV/0!</v>
      </c>
    </row>
    <row r="41" spans="1:29">
      <c r="A41" s="64" t="s">
        <v>503</v>
      </c>
      <c r="X41" s="56" t="s">
        <v>1848</v>
      </c>
      <c r="Y41" s="64">
        <f t="shared" ref="Y41:AC41" si="35">X14/X13</f>
        <v>1.0090617848970251</v>
      </c>
      <c r="Z41" s="64">
        <f t="shared" si="35"/>
        <v>1.3804347826086956</v>
      </c>
      <c r="AA41" s="64">
        <f t="shared" si="35"/>
        <v>0.65765765765765771</v>
      </c>
      <c r="AB41" s="64" t="e">
        <f t="shared" si="35"/>
        <v>#VALUE!</v>
      </c>
      <c r="AC41" s="64" t="e">
        <f t="shared" si="35"/>
        <v>#DIV/0!</v>
      </c>
    </row>
    <row r="42" spans="1:29">
      <c r="A42" s="64" t="s">
        <v>193</v>
      </c>
      <c r="X42" s="56" t="s">
        <v>1849</v>
      </c>
      <c r="Y42" s="64">
        <f t="shared" ref="Y42:AC42" si="36">X15/X14</f>
        <v>1.0457184325108853</v>
      </c>
      <c r="Z42" s="64">
        <f t="shared" si="36"/>
        <v>0.97637795275590555</v>
      </c>
      <c r="AA42" s="64">
        <f t="shared" si="36"/>
        <v>0.78082191780821919</v>
      </c>
      <c r="AB42" s="64">
        <f t="shared" si="36"/>
        <v>0.78125</v>
      </c>
      <c r="AC42" s="64" t="e">
        <f t="shared" si="36"/>
        <v>#DIV/0!</v>
      </c>
    </row>
    <row r="43" spans="1:29">
      <c r="A43" s="104" t="s">
        <v>679</v>
      </c>
      <c r="B43" s="104"/>
      <c r="C43" s="104"/>
      <c r="D43" s="104"/>
      <c r="E43" s="104"/>
      <c r="F43" s="104"/>
      <c r="G43" s="104"/>
      <c r="H43" s="104"/>
      <c r="I43" s="104"/>
      <c r="J43" s="104"/>
      <c r="K43" s="104"/>
      <c r="L43" s="104"/>
      <c r="M43" s="104"/>
      <c r="N43" s="104"/>
      <c r="X43" s="56" t="s">
        <v>1850</v>
      </c>
      <c r="Y43" s="64">
        <f t="shared" ref="Y43:AC43" si="37">X16/X15</f>
        <v>1.0639746703678001</v>
      </c>
      <c r="Z43" s="64">
        <f t="shared" si="37"/>
        <v>1.1209677419354838</v>
      </c>
      <c r="AA43" s="64">
        <f t="shared" si="37"/>
        <v>1.3333333333333333</v>
      </c>
      <c r="AB43" s="64">
        <f t="shared" si="37"/>
        <v>0.84</v>
      </c>
      <c r="AC43" s="64" t="e">
        <f t="shared" si="37"/>
        <v>#DIV/0!</v>
      </c>
    </row>
    <row r="44" spans="1:29" ht="36" customHeight="1">
      <c r="A44" s="104" t="s">
        <v>680</v>
      </c>
      <c r="B44" s="104"/>
      <c r="C44" s="104"/>
      <c r="D44" s="104"/>
      <c r="E44" s="104"/>
      <c r="F44" s="104"/>
      <c r="G44" s="104"/>
      <c r="H44" s="104"/>
      <c r="I44" s="104"/>
      <c r="J44" s="104"/>
      <c r="K44" s="104"/>
      <c r="L44" s="104"/>
      <c r="M44" s="104"/>
      <c r="N44" s="104"/>
      <c r="X44" s="56" t="s">
        <v>1851</v>
      </c>
      <c r="Y44" s="64">
        <f t="shared" ref="Y44:AC44" si="38">X17/X16</f>
        <v>1.0292690880926174</v>
      </c>
      <c r="Z44" s="64">
        <f t="shared" si="38"/>
        <v>0.60071942446043169</v>
      </c>
      <c r="AA44" s="64">
        <f t="shared" si="38"/>
        <v>0.90789473684210531</v>
      </c>
      <c r="AB44" s="64">
        <f t="shared" si="38"/>
        <v>0.8571428571428571</v>
      </c>
      <c r="AC44" s="64" t="e">
        <f t="shared" si="38"/>
        <v>#DIV/0!</v>
      </c>
    </row>
    <row r="45" spans="1:29" ht="36" customHeight="1">
      <c r="A45" s="104" t="s">
        <v>681</v>
      </c>
      <c r="B45" s="104"/>
      <c r="C45" s="104"/>
      <c r="D45" s="104"/>
      <c r="E45" s="104"/>
      <c r="F45" s="104"/>
      <c r="G45" s="104"/>
      <c r="H45" s="104"/>
      <c r="I45" s="104"/>
      <c r="J45" s="104"/>
      <c r="K45" s="104"/>
      <c r="L45" s="104"/>
      <c r="M45" s="104"/>
      <c r="N45" s="104"/>
      <c r="X45" s="56" t="s">
        <v>1852</v>
      </c>
      <c r="Y45" s="64">
        <f t="shared" ref="Y45:AC45" si="39">X18/X17</f>
        <v>0.9982969622559309</v>
      </c>
      <c r="Z45" s="64">
        <f t="shared" si="39"/>
        <v>1.0658682634730539</v>
      </c>
      <c r="AA45" s="64" t="e">
        <f t="shared" si="39"/>
        <v>#VALUE!</v>
      </c>
      <c r="AB45" s="64">
        <f t="shared" si="39"/>
        <v>1.0555555555555556</v>
      </c>
      <c r="AC45" s="64" t="e">
        <f t="shared" si="39"/>
        <v>#DIV/0!</v>
      </c>
    </row>
    <row r="46" spans="1:29" ht="36" customHeight="1">
      <c r="A46" s="104" t="s">
        <v>851</v>
      </c>
      <c r="B46" s="104"/>
      <c r="C46" s="104"/>
      <c r="D46" s="104"/>
      <c r="E46" s="104"/>
      <c r="F46" s="104"/>
      <c r="G46" s="104"/>
      <c r="H46" s="104"/>
      <c r="I46" s="104"/>
      <c r="J46" s="104"/>
      <c r="K46" s="104"/>
      <c r="L46" s="104"/>
      <c r="M46" s="104"/>
      <c r="N46" s="104"/>
      <c r="X46" s="56" t="s">
        <v>1837</v>
      </c>
      <c r="Y46" s="64">
        <f>AB19/AB18</f>
        <v>1.0523786306331406</v>
      </c>
      <c r="Z46" s="64">
        <f t="shared" ref="Z46:AC46" si="40">AC19/AC18</f>
        <v>0.82727272727272727</v>
      </c>
      <c r="AA46" s="64" t="e">
        <f t="shared" si="40"/>
        <v>#VALUE!</v>
      </c>
      <c r="AB46" s="64" t="e">
        <f t="shared" si="40"/>
        <v>#DIV/0!</v>
      </c>
      <c r="AC46" s="64" t="e">
        <f t="shared" si="40"/>
        <v>#VALUE!</v>
      </c>
    </row>
    <row r="47" spans="1:29">
      <c r="X47" s="56" t="s">
        <v>1827</v>
      </c>
      <c r="Y47" s="64">
        <f t="shared" ref="Y47:Y57" si="41">AB20/AB19</f>
        <v>1.0381560659209743</v>
      </c>
      <c r="Z47" s="64">
        <f t="shared" ref="Z47:Z57" si="42">AC20/AC19</f>
        <v>0.80219780219780223</v>
      </c>
      <c r="AA47" s="64">
        <f t="shared" ref="AA47:AA57" si="43">AD20/AD19</f>
        <v>0.87567567567567572</v>
      </c>
      <c r="AB47" s="64" t="e">
        <f t="shared" ref="AB47:AB57" si="44">AE20/AE19</f>
        <v>#DIV/0!</v>
      </c>
      <c r="AC47" s="64" t="e">
        <f t="shared" ref="AC47:AC57" si="45">AF20/AF19</f>
        <v>#VALUE!</v>
      </c>
    </row>
    <row r="48" spans="1:29">
      <c r="X48" s="56" t="s">
        <v>1828</v>
      </c>
      <c r="Y48" s="64">
        <f t="shared" si="41"/>
        <v>1.0197634758216187</v>
      </c>
      <c r="Z48" s="64">
        <f t="shared" si="42"/>
        <v>1.1095890410958904</v>
      </c>
      <c r="AA48" s="64" t="e">
        <f t="shared" si="43"/>
        <v>#VALUE!</v>
      </c>
      <c r="AB48" s="64" t="e">
        <f t="shared" si="44"/>
        <v>#DIV/0!</v>
      </c>
      <c r="AC48" s="64" t="e">
        <f t="shared" si="45"/>
        <v>#VALUE!</v>
      </c>
    </row>
    <row r="49" spans="1:29">
      <c r="A49" s="104"/>
      <c r="B49" s="104"/>
      <c r="C49" s="104"/>
      <c r="D49" s="104"/>
      <c r="E49" s="104"/>
      <c r="F49" s="104"/>
      <c r="G49" s="104"/>
      <c r="H49" s="104"/>
      <c r="I49" s="104"/>
      <c r="J49" s="104"/>
      <c r="K49" s="104"/>
      <c r="L49" s="104"/>
      <c r="M49" s="104"/>
      <c r="N49" s="104"/>
      <c r="X49" s="148" t="s">
        <v>1829</v>
      </c>
      <c r="Y49" s="64">
        <f t="shared" si="41"/>
        <v>0.99778062580100657</v>
      </c>
      <c r="Z49" s="64">
        <f t="shared" si="42"/>
        <v>0.8271604938271605</v>
      </c>
      <c r="AA49" s="64" t="e">
        <f t="shared" si="43"/>
        <v>#VALUE!</v>
      </c>
      <c r="AB49" s="64">
        <f t="shared" si="44"/>
        <v>1</v>
      </c>
      <c r="AC49" s="64" t="e">
        <f t="shared" si="45"/>
        <v>#VALUE!</v>
      </c>
    </row>
    <row r="50" spans="1:29" ht="30" customHeight="1">
      <c r="A50" s="104"/>
      <c r="B50" s="104"/>
      <c r="C50" s="104"/>
      <c r="D50" s="104"/>
      <c r="E50" s="104"/>
      <c r="F50" s="104"/>
      <c r="G50" s="104"/>
      <c r="H50" s="104"/>
      <c r="I50" s="104"/>
      <c r="J50" s="104"/>
      <c r="K50" s="104"/>
      <c r="L50" s="104"/>
      <c r="M50" s="104"/>
      <c r="N50" s="104"/>
      <c r="X50" s="148" t="s">
        <v>1830</v>
      </c>
      <c r="Y50" s="64">
        <f t="shared" si="41"/>
        <v>1.0461466165413533</v>
      </c>
      <c r="Z50" s="64">
        <f t="shared" si="42"/>
        <v>1.0746268656716418</v>
      </c>
      <c r="AA50" s="64" t="e">
        <f t="shared" si="43"/>
        <v>#VALUE!</v>
      </c>
      <c r="AB50" s="64" t="e">
        <f t="shared" si="44"/>
        <v>#VALUE!</v>
      </c>
      <c r="AC50" s="64" t="e">
        <f t="shared" si="45"/>
        <v>#VALUE!</v>
      </c>
    </row>
    <row r="51" spans="1:29" ht="30" customHeight="1">
      <c r="A51" s="104"/>
      <c r="B51" s="104"/>
      <c r="C51" s="104"/>
      <c r="D51" s="104"/>
      <c r="E51" s="104"/>
      <c r="F51" s="104"/>
      <c r="G51" s="104"/>
      <c r="H51" s="104"/>
      <c r="I51" s="104"/>
      <c r="J51" s="104"/>
      <c r="K51" s="104"/>
      <c r="L51" s="104"/>
      <c r="M51" s="104"/>
      <c r="N51" s="104"/>
      <c r="X51" s="148" t="s">
        <v>1831</v>
      </c>
      <c r="Y51" s="64">
        <f t="shared" si="41"/>
        <v>1.0217111370646543</v>
      </c>
      <c r="Z51" s="64">
        <f t="shared" si="42"/>
        <v>1.25</v>
      </c>
      <c r="AA51" s="64" t="e">
        <f t="shared" si="43"/>
        <v>#VALUE!</v>
      </c>
      <c r="AB51" s="64" t="e">
        <f t="shared" si="44"/>
        <v>#VALUE!</v>
      </c>
      <c r="AC51" s="64" t="e">
        <f t="shared" si="45"/>
        <v>#VALUE!</v>
      </c>
    </row>
    <row r="52" spans="1:29" ht="30" customHeight="1">
      <c r="A52" s="104"/>
      <c r="B52" s="104"/>
      <c r="C52" s="104"/>
      <c r="D52" s="104"/>
      <c r="E52" s="104"/>
      <c r="F52" s="104"/>
      <c r="G52" s="104"/>
      <c r="H52" s="104"/>
      <c r="I52" s="104"/>
      <c r="J52" s="104"/>
      <c r="K52" s="104"/>
      <c r="L52" s="104"/>
      <c r="M52" s="104"/>
      <c r="N52" s="104"/>
      <c r="X52" s="148" t="s">
        <v>1832</v>
      </c>
      <c r="Y52" s="64">
        <f t="shared" si="41"/>
        <v>1.0299255524942845</v>
      </c>
      <c r="Z52" s="64">
        <f t="shared" si="42"/>
        <v>1.0222222222222221</v>
      </c>
      <c r="AA52" s="64">
        <f t="shared" si="43"/>
        <v>1.0236686390532543</v>
      </c>
      <c r="AB52" s="64" t="e">
        <f t="shared" si="44"/>
        <v>#DIV/0!</v>
      </c>
      <c r="AC52" s="64">
        <f t="shared" si="45"/>
        <v>1.7619047619047619</v>
      </c>
    </row>
    <row r="53" spans="1:29">
      <c r="X53" s="148" t="s">
        <v>1833</v>
      </c>
      <c r="Y53" s="64">
        <f t="shared" si="41"/>
        <v>1.0142292040183272</v>
      </c>
      <c r="Z53" s="64">
        <f t="shared" si="42"/>
        <v>0.95652173913043481</v>
      </c>
      <c r="AA53" s="64" t="e">
        <f t="shared" si="43"/>
        <v>#VALUE!</v>
      </c>
      <c r="AB53" s="64" t="e">
        <f t="shared" si="44"/>
        <v>#DIV/0!</v>
      </c>
      <c r="AC53" s="64" t="e">
        <f t="shared" si="45"/>
        <v>#VALUE!</v>
      </c>
    </row>
    <row r="54" spans="1:29">
      <c r="X54" s="148" t="s">
        <v>1834</v>
      </c>
      <c r="Y54" s="64">
        <f t="shared" si="41"/>
        <v>1.0228682061786245</v>
      </c>
      <c r="Z54" s="64">
        <f t="shared" si="42"/>
        <v>1</v>
      </c>
      <c r="AA54" s="64" t="e">
        <f t="shared" si="43"/>
        <v>#VALUE!</v>
      </c>
      <c r="AB54" s="64" t="e">
        <f t="shared" si="44"/>
        <v>#DIV/0!</v>
      </c>
      <c r="AC54" s="64" t="e">
        <f t="shared" si="45"/>
        <v>#VALUE!</v>
      </c>
    </row>
    <row r="55" spans="1:29">
      <c r="X55" s="148" t="s">
        <v>1839</v>
      </c>
      <c r="Y55" s="64">
        <f t="shared" si="41"/>
        <v>1.0231524661216875</v>
      </c>
      <c r="Z55" s="64">
        <f t="shared" si="42"/>
        <v>0.77272727272727271</v>
      </c>
      <c r="AA55" s="64" t="e">
        <f t="shared" si="43"/>
        <v>#VALUE!</v>
      </c>
      <c r="AB55" s="64" t="e">
        <f t="shared" si="44"/>
        <v>#DIV/0!</v>
      </c>
      <c r="AC55" s="64" t="e">
        <f t="shared" si="45"/>
        <v>#VALUE!</v>
      </c>
    </row>
    <row r="56" spans="1:29">
      <c r="X56" s="148" t="s">
        <v>1835</v>
      </c>
      <c r="Y56" s="64">
        <f t="shared" si="41"/>
        <v>0</v>
      </c>
      <c r="Z56" s="64">
        <f t="shared" si="42"/>
        <v>0</v>
      </c>
      <c r="AA56" s="64" t="e">
        <f t="shared" si="43"/>
        <v>#VALUE!</v>
      </c>
      <c r="AB56" s="64" t="e">
        <f t="shared" si="44"/>
        <v>#DIV/0!</v>
      </c>
      <c r="AC56" s="64" t="e">
        <f t="shared" si="45"/>
        <v>#VALUE!</v>
      </c>
    </row>
    <row r="57" spans="1:29">
      <c r="X57" s="148" t="s">
        <v>1836</v>
      </c>
      <c r="Y57" s="64" t="e">
        <f t="shared" si="41"/>
        <v>#DIV/0!</v>
      </c>
      <c r="Z57" s="64" t="e">
        <f t="shared" si="42"/>
        <v>#DIV/0!</v>
      </c>
      <c r="AA57" s="64" t="e">
        <f t="shared" si="43"/>
        <v>#DIV/0!</v>
      </c>
      <c r="AB57" s="64" t="e">
        <f t="shared" si="44"/>
        <v>#DIV/0!</v>
      </c>
      <c r="AC57" s="64" t="e">
        <f t="shared" si="45"/>
        <v>#DIV/0!</v>
      </c>
    </row>
  </sheetData>
  <mergeCells count="12">
    <mergeCell ref="A52:N52"/>
    <mergeCell ref="A1:N1"/>
    <mergeCell ref="A50:N50"/>
    <mergeCell ref="A51:N51"/>
    <mergeCell ref="AB2:AF2"/>
    <mergeCell ref="B2:G2"/>
    <mergeCell ref="H2:N2"/>
    <mergeCell ref="A49:N49"/>
    <mergeCell ref="A43:N43"/>
    <mergeCell ref="A44:N44"/>
    <mergeCell ref="A45:N45"/>
    <mergeCell ref="A46:N46"/>
  </mergeCells>
  <pageMargins left="0.7" right="0.7" top="0.75" bottom="0.75" header="0.3" footer="0.3"/>
  <pageSetup scale="63" orientation="landscape" horizontalDpi="0" verticalDpi="0" r:id="rId1"/>
</worksheet>
</file>

<file path=xl/worksheets/sheet162.xml><?xml version="1.0" encoding="utf-8"?>
<worksheet xmlns="http://schemas.openxmlformats.org/spreadsheetml/2006/main" xmlns:r="http://schemas.openxmlformats.org/officeDocument/2006/relationships">
  <sheetPr codeName="Sheet156"/>
  <dimension ref="A1:AB59"/>
  <sheetViews>
    <sheetView view="pageBreakPreview" zoomScale="85" zoomScaleNormal="70"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2" style="64" customWidth="1"/>
    <col min="2" max="8" width="14.28515625" style="64" customWidth="1"/>
    <col min="9" max="9" width="12" style="64" customWidth="1"/>
    <col min="10" max="14" width="14.28515625" style="64" customWidth="1"/>
    <col min="15" max="16" width="9.140625" style="64"/>
    <col min="17" max="27" width="20.5703125" style="64" hidden="1" customWidth="1" outlineLevel="1"/>
    <col min="28" max="28" width="9.140625" style="64" collapsed="1"/>
    <col min="29" max="16384" width="9.140625" style="64"/>
  </cols>
  <sheetData>
    <row r="1" spans="1:27">
      <c r="A1" s="108" t="s">
        <v>2086</v>
      </c>
      <c r="B1" s="108"/>
      <c r="C1" s="108"/>
      <c r="D1" s="108"/>
      <c r="E1" s="108"/>
      <c r="F1" s="108"/>
      <c r="G1" s="108"/>
      <c r="H1" s="108"/>
      <c r="I1" s="108"/>
      <c r="J1" s="108"/>
      <c r="K1" s="108"/>
      <c r="L1" s="108"/>
      <c r="M1" s="108"/>
      <c r="N1" s="108"/>
    </row>
    <row r="2" spans="1:27">
      <c r="B2" s="107" t="s">
        <v>206</v>
      </c>
      <c r="C2" s="107"/>
      <c r="D2" s="107"/>
      <c r="E2" s="107"/>
      <c r="F2" s="107"/>
      <c r="G2" s="107"/>
      <c r="H2" s="107" t="s">
        <v>2106</v>
      </c>
      <c r="I2" s="107"/>
      <c r="J2" s="107"/>
      <c r="K2" s="107"/>
      <c r="L2" s="107"/>
      <c r="M2" s="107"/>
      <c r="N2" s="107"/>
    </row>
    <row r="3" spans="1:27" ht="90">
      <c r="B3" s="73" t="s">
        <v>7</v>
      </c>
      <c r="C3" s="73" t="s">
        <v>0</v>
      </c>
      <c r="D3" s="73" t="s">
        <v>1</v>
      </c>
      <c r="E3" s="73" t="s">
        <v>678</v>
      </c>
      <c r="F3" s="73" t="s">
        <v>13</v>
      </c>
      <c r="G3" s="73" t="s">
        <v>19</v>
      </c>
      <c r="H3" s="73" t="s">
        <v>7</v>
      </c>
      <c r="I3" s="73" t="s">
        <v>37</v>
      </c>
      <c r="J3" s="73" t="s">
        <v>0</v>
      </c>
      <c r="K3" s="73" t="s">
        <v>1</v>
      </c>
      <c r="L3" s="73" t="s">
        <v>678</v>
      </c>
      <c r="M3" s="73" t="s">
        <v>13</v>
      </c>
      <c r="N3" s="73" t="s">
        <v>19</v>
      </c>
      <c r="Q3" s="77" t="s">
        <v>211</v>
      </c>
      <c r="R3" s="77" t="s">
        <v>212</v>
      </c>
      <c r="S3" s="77" t="s">
        <v>213</v>
      </c>
      <c r="T3" s="77" t="s">
        <v>214</v>
      </c>
      <c r="U3" s="77" t="s">
        <v>215</v>
      </c>
      <c r="W3" s="77" t="s">
        <v>216</v>
      </c>
      <c r="X3" s="77" t="s">
        <v>217</v>
      </c>
      <c r="Y3" s="77" t="s">
        <v>218</v>
      </c>
      <c r="Z3" s="77" t="s">
        <v>219</v>
      </c>
      <c r="AA3" s="77" t="s">
        <v>220</v>
      </c>
    </row>
    <row r="4" spans="1:27" hidden="1" outlineLevel="1">
      <c r="Q4" s="64" t="s">
        <v>221</v>
      </c>
      <c r="R4" s="64" t="s">
        <v>222</v>
      </c>
      <c r="S4" s="64" t="s">
        <v>223</v>
      </c>
      <c r="T4" s="64" t="s">
        <v>224</v>
      </c>
      <c r="U4" s="64" t="s">
        <v>225</v>
      </c>
      <c r="W4" s="64" t="s">
        <v>226</v>
      </c>
      <c r="X4" s="64" t="s">
        <v>227</v>
      </c>
      <c r="Y4" s="64" t="s">
        <v>228</v>
      </c>
      <c r="Z4" s="64" t="s">
        <v>229</v>
      </c>
      <c r="AA4" s="64" t="s">
        <v>230</v>
      </c>
    </row>
    <row r="5" spans="1:27" collapsed="1">
      <c r="A5" s="64">
        <v>1984</v>
      </c>
      <c r="B5" s="56">
        <v>11064</v>
      </c>
      <c r="C5" s="56">
        <v>53.4</v>
      </c>
      <c r="D5" s="56" t="s">
        <v>188</v>
      </c>
      <c r="E5" s="56">
        <f>SUM(F5:G5)</f>
        <v>181.29999999999998</v>
      </c>
      <c r="F5" s="56">
        <v>159.69999999999999</v>
      </c>
      <c r="G5" s="56">
        <v>21.6</v>
      </c>
      <c r="H5" s="56">
        <f t="shared" ref="H5:H26" si="0">H6*(1/R35)</f>
        <v>19242.532932064893</v>
      </c>
      <c r="I5" s="56" t="s">
        <v>22</v>
      </c>
      <c r="J5" s="56">
        <f t="shared" ref="J5" si="1">J6*(1/S35)</f>
        <v>61.769674908937816</v>
      </c>
      <c r="K5" s="56" t="s">
        <v>188</v>
      </c>
      <c r="L5" s="56" t="s">
        <v>22</v>
      </c>
      <c r="M5" s="56" t="s">
        <v>22</v>
      </c>
      <c r="N5" s="56" t="s">
        <v>22</v>
      </c>
      <c r="W5" s="64">
        <v>14907700000</v>
      </c>
      <c r="X5" s="64">
        <v>91300000</v>
      </c>
      <c r="Y5" s="64" t="s">
        <v>188</v>
      </c>
      <c r="Z5" s="64">
        <v>131600000</v>
      </c>
      <c r="AA5" s="64">
        <v>28900000</v>
      </c>
    </row>
    <row r="6" spans="1:27">
      <c r="A6" s="64">
        <v>1985</v>
      </c>
      <c r="B6" s="56">
        <v>11858.7</v>
      </c>
      <c r="C6" s="56">
        <v>66.099999999999994</v>
      </c>
      <c r="D6" s="56">
        <v>45.1</v>
      </c>
      <c r="E6" s="56">
        <f t="shared" ref="E6:E16" si="2">SUM(F6:G6)</f>
        <v>189.7</v>
      </c>
      <c r="F6" s="56">
        <v>168</v>
      </c>
      <c r="G6" s="56">
        <v>21.7</v>
      </c>
      <c r="H6" s="56">
        <f t="shared" si="0"/>
        <v>20072.116027742839</v>
      </c>
      <c r="I6" s="56" t="s">
        <v>22</v>
      </c>
      <c r="J6" s="56">
        <f t="shared" ref="J6:K6" si="3">J7*(1/S36)</f>
        <v>75.503786635678651</v>
      </c>
      <c r="K6" s="56">
        <f t="shared" si="3"/>
        <v>130.91711972921877</v>
      </c>
      <c r="L6" s="56" t="s">
        <v>22</v>
      </c>
      <c r="M6" s="56" t="s">
        <v>22</v>
      </c>
      <c r="N6" s="56" t="s">
        <v>22</v>
      </c>
      <c r="W6" s="64">
        <v>15550400000</v>
      </c>
      <c r="X6" s="64">
        <v>111600000</v>
      </c>
      <c r="Y6" s="64">
        <v>136100000</v>
      </c>
      <c r="Z6" s="64">
        <v>157500000</v>
      </c>
      <c r="AA6" s="64">
        <v>28100000</v>
      </c>
    </row>
    <row r="7" spans="1:27">
      <c r="A7" s="64">
        <v>1986</v>
      </c>
      <c r="B7" s="56">
        <v>12965.7</v>
      </c>
      <c r="C7" s="56">
        <v>54.9</v>
      </c>
      <c r="D7" s="56">
        <v>49.3</v>
      </c>
      <c r="E7" s="56">
        <f t="shared" si="2"/>
        <v>223.4</v>
      </c>
      <c r="F7" s="56">
        <v>202.4</v>
      </c>
      <c r="G7" s="56">
        <v>21</v>
      </c>
      <c r="H7" s="56">
        <f t="shared" si="0"/>
        <v>20698.530647833872</v>
      </c>
      <c r="I7" s="56" t="s">
        <v>22</v>
      </c>
      <c r="J7" s="56">
        <f t="shared" ref="J7:K7" si="4">J8*(1/S37)</f>
        <v>59.875314670766663</v>
      </c>
      <c r="K7" s="56">
        <f t="shared" si="4"/>
        <v>126.68467794517349</v>
      </c>
      <c r="L7" s="56" t="s">
        <v>22</v>
      </c>
      <c r="M7" s="56" t="s">
        <v>22</v>
      </c>
      <c r="N7" s="56" t="s">
        <v>22</v>
      </c>
      <c r="W7" s="64">
        <v>16035700000</v>
      </c>
      <c r="X7" s="64">
        <v>88500000</v>
      </c>
      <c r="Y7" s="64">
        <v>131700000</v>
      </c>
      <c r="Z7" s="64">
        <v>143500000</v>
      </c>
      <c r="AA7" s="64">
        <v>26100000</v>
      </c>
    </row>
    <row r="8" spans="1:27">
      <c r="A8" s="64">
        <v>1987</v>
      </c>
      <c r="B8" s="56">
        <v>13673.2</v>
      </c>
      <c r="C8" s="56">
        <v>70.599999999999994</v>
      </c>
      <c r="D8" s="56">
        <v>55.8</v>
      </c>
      <c r="E8" s="56">
        <f t="shared" si="2"/>
        <v>279.3</v>
      </c>
      <c r="F8" s="56">
        <v>260.10000000000002</v>
      </c>
      <c r="G8" s="56">
        <v>19.2</v>
      </c>
      <c r="H8" s="56">
        <f t="shared" si="0"/>
        <v>21114.677512695504</v>
      </c>
      <c r="I8" s="56" t="s">
        <v>22</v>
      </c>
      <c r="J8" s="56">
        <f t="shared" ref="J8:K8" si="5">J9*(1/S38)</f>
        <v>71.647410436544519</v>
      </c>
      <c r="K8" s="56">
        <f t="shared" si="5"/>
        <v>137.45816612274331</v>
      </c>
      <c r="L8" s="56" t="s">
        <v>22</v>
      </c>
      <c r="M8" s="56" t="s">
        <v>22</v>
      </c>
      <c r="N8" s="56" t="s">
        <v>22</v>
      </c>
      <c r="W8" s="64">
        <v>16358100000</v>
      </c>
      <c r="X8" s="64">
        <v>105900000</v>
      </c>
      <c r="Y8" s="64">
        <v>142900000</v>
      </c>
      <c r="Z8" s="64">
        <v>145700000</v>
      </c>
      <c r="AA8" s="64">
        <v>22400000</v>
      </c>
    </row>
    <row r="9" spans="1:27">
      <c r="A9" s="64">
        <v>1988</v>
      </c>
      <c r="B9" s="56">
        <v>14474.7</v>
      </c>
      <c r="C9" s="56">
        <v>98</v>
      </c>
      <c r="D9" s="56">
        <v>44.6</v>
      </c>
      <c r="E9" s="56">
        <f t="shared" si="2"/>
        <v>308.8</v>
      </c>
      <c r="F9" s="56">
        <v>287.10000000000002</v>
      </c>
      <c r="G9" s="56">
        <v>21.7</v>
      </c>
      <c r="H9" s="56">
        <f t="shared" si="0"/>
        <v>21688.17022999706</v>
      </c>
      <c r="I9" s="56" t="s">
        <v>22</v>
      </c>
      <c r="J9" s="56">
        <f t="shared" ref="J9:K9" si="6">J10*(1/S39)</f>
        <v>88.696652580084859</v>
      </c>
      <c r="K9" s="56">
        <f t="shared" si="6"/>
        <v>120.52839898656217</v>
      </c>
      <c r="L9" s="56" t="s">
        <v>22</v>
      </c>
      <c r="M9" s="56" t="s">
        <v>22</v>
      </c>
      <c r="N9" s="56" t="s">
        <v>22</v>
      </c>
      <c r="W9" s="64">
        <v>16802400000</v>
      </c>
      <c r="X9" s="64">
        <v>131100000</v>
      </c>
      <c r="Y9" s="64">
        <v>125300000</v>
      </c>
      <c r="Z9" s="64">
        <v>129300000</v>
      </c>
      <c r="AA9" s="64">
        <v>25700000</v>
      </c>
    </row>
    <row r="10" spans="1:27">
      <c r="A10" s="64">
        <v>1989</v>
      </c>
      <c r="B10" s="56">
        <v>15241</v>
      </c>
      <c r="C10" s="56">
        <v>89.7</v>
      </c>
      <c r="D10" s="56">
        <v>45.6</v>
      </c>
      <c r="E10" s="56">
        <f t="shared" si="2"/>
        <v>340.40000000000003</v>
      </c>
      <c r="F10" s="56">
        <v>306.60000000000002</v>
      </c>
      <c r="G10" s="56">
        <v>33.799999999999997</v>
      </c>
      <c r="H10" s="56">
        <f t="shared" si="0"/>
        <v>21957.168389541614</v>
      </c>
      <c r="I10" s="56" t="s">
        <v>22</v>
      </c>
      <c r="J10" s="56">
        <f t="shared" ref="J10:K10" si="7">J11*(1/S40)</f>
        <v>82.404670360444968</v>
      </c>
      <c r="K10" s="56">
        <f t="shared" si="7"/>
        <v>115.33403861523387</v>
      </c>
      <c r="L10" s="56" t="s">
        <v>22</v>
      </c>
      <c r="M10" s="56" t="s">
        <v>22</v>
      </c>
      <c r="N10" s="56" t="s">
        <v>22</v>
      </c>
      <c r="W10" s="64">
        <v>17010800000</v>
      </c>
      <c r="X10" s="64">
        <v>121800000</v>
      </c>
      <c r="Y10" s="64">
        <v>119900000</v>
      </c>
      <c r="Z10" s="64">
        <v>116200000</v>
      </c>
      <c r="AA10" s="64">
        <v>38300000</v>
      </c>
    </row>
    <row r="11" spans="1:27">
      <c r="A11" s="64">
        <v>1990</v>
      </c>
      <c r="B11" s="56">
        <v>16088.5</v>
      </c>
      <c r="C11" s="56">
        <v>86.7</v>
      </c>
      <c r="D11" s="56">
        <v>40.4</v>
      </c>
      <c r="E11" s="56">
        <f t="shared" si="2"/>
        <v>257.39999999999998</v>
      </c>
      <c r="F11" s="56">
        <v>233.4</v>
      </c>
      <c r="G11" s="56">
        <v>24</v>
      </c>
      <c r="H11" s="56">
        <f t="shared" si="0"/>
        <v>22223.714070664213</v>
      </c>
      <c r="I11" s="56" t="s">
        <v>22</v>
      </c>
      <c r="J11" s="56">
        <f t="shared" ref="J11:K11" si="8">J12*(1/S41)</f>
        <v>74.015360734258451</v>
      </c>
      <c r="K11" s="56">
        <f t="shared" si="8"/>
        <v>108.88918408043764</v>
      </c>
      <c r="L11" s="56" t="s">
        <v>22</v>
      </c>
      <c r="M11" s="56" t="s">
        <v>22</v>
      </c>
      <c r="N11" s="56" t="s">
        <v>22</v>
      </c>
      <c r="W11" s="64">
        <v>17217300000</v>
      </c>
      <c r="X11" s="64">
        <v>109400000</v>
      </c>
      <c r="Y11" s="64">
        <v>113200000</v>
      </c>
      <c r="Z11" s="64">
        <v>91700000</v>
      </c>
      <c r="AA11" s="64">
        <v>24300000</v>
      </c>
    </row>
    <row r="12" spans="1:27">
      <c r="A12" s="64">
        <v>1991</v>
      </c>
      <c r="B12" s="56">
        <v>16539.900000000001</v>
      </c>
      <c r="C12" s="56">
        <v>81.099999999999994</v>
      </c>
      <c r="D12" s="56">
        <v>29.7</v>
      </c>
      <c r="E12" s="56">
        <f t="shared" si="2"/>
        <v>164.10000000000002</v>
      </c>
      <c r="F12" s="56">
        <v>134.30000000000001</v>
      </c>
      <c r="G12" s="56">
        <v>29.8</v>
      </c>
      <c r="H12" s="56">
        <f t="shared" si="0"/>
        <v>22171.050323498101</v>
      </c>
      <c r="I12" s="56" t="s">
        <v>22</v>
      </c>
      <c r="J12" s="56">
        <f t="shared" ref="J12:K12" si="9">J13*(1/S42)</f>
        <v>67.385099900659426</v>
      </c>
      <c r="K12" s="56">
        <f t="shared" si="9"/>
        <v>80.993545049230121</v>
      </c>
      <c r="L12" s="56" t="s">
        <v>22</v>
      </c>
      <c r="M12" s="56" t="s">
        <v>22</v>
      </c>
      <c r="N12" s="56" t="s">
        <v>22</v>
      </c>
      <c r="W12" s="64">
        <v>17176500000</v>
      </c>
      <c r="X12" s="64">
        <v>99600000</v>
      </c>
      <c r="Y12" s="64">
        <v>84200000</v>
      </c>
      <c r="Z12" s="64">
        <v>119500000</v>
      </c>
      <c r="AA12" s="64">
        <v>27700000</v>
      </c>
    </row>
    <row r="13" spans="1:27">
      <c r="A13" s="64">
        <v>1992</v>
      </c>
      <c r="B13" s="56">
        <v>16790.099999999999</v>
      </c>
      <c r="C13" s="56">
        <v>90.1</v>
      </c>
      <c r="D13" s="56">
        <v>34.299999999999997</v>
      </c>
      <c r="E13" s="56">
        <f t="shared" si="2"/>
        <v>169.29999999999998</v>
      </c>
      <c r="F13" s="56">
        <v>142.69999999999999</v>
      </c>
      <c r="G13" s="56">
        <v>26.6</v>
      </c>
      <c r="H13" s="56">
        <f t="shared" si="0"/>
        <v>22271.472860986425</v>
      </c>
      <c r="I13" s="56" t="s">
        <v>22</v>
      </c>
      <c r="J13" s="56">
        <f t="shared" ref="J13" si="10">J14*(1/S43)</f>
        <v>66.91150984111664</v>
      </c>
      <c r="K13" s="56">
        <f>K15*(Y13/Y15)</f>
        <v>82.051655495241434</v>
      </c>
      <c r="L13" s="56" t="s">
        <v>22</v>
      </c>
      <c r="M13" s="56" t="s">
        <v>22</v>
      </c>
      <c r="N13" s="56" t="s">
        <v>22</v>
      </c>
      <c r="W13" s="64">
        <v>17254300000</v>
      </c>
      <c r="X13" s="64">
        <v>98900000</v>
      </c>
      <c r="Y13" s="64">
        <v>85300000</v>
      </c>
      <c r="Z13" s="64">
        <v>129600000</v>
      </c>
      <c r="AA13" s="64">
        <v>27400000</v>
      </c>
    </row>
    <row r="14" spans="1:27">
      <c r="A14" s="64">
        <v>1993</v>
      </c>
      <c r="B14" s="56">
        <v>16968.2</v>
      </c>
      <c r="C14" s="56">
        <v>89.7</v>
      </c>
      <c r="D14" s="56" t="s">
        <v>188</v>
      </c>
      <c r="E14" s="56">
        <f t="shared" si="2"/>
        <v>153.1</v>
      </c>
      <c r="F14" s="56">
        <v>126</v>
      </c>
      <c r="G14" s="56">
        <v>27.1</v>
      </c>
      <c r="H14" s="56">
        <f t="shared" si="0"/>
        <v>22354.857127332765</v>
      </c>
      <c r="I14" s="56" t="s">
        <v>22</v>
      </c>
      <c r="J14" s="56">
        <f t="shared" ref="J14" si="11">J15*(1/S44)</f>
        <v>55.883627026048885</v>
      </c>
      <c r="K14" s="56" t="s">
        <v>188</v>
      </c>
      <c r="L14" s="56" t="s">
        <v>22</v>
      </c>
      <c r="M14" s="56" t="s">
        <v>22</v>
      </c>
      <c r="N14" s="56" t="s">
        <v>22</v>
      </c>
      <c r="W14" s="64">
        <v>17318900000</v>
      </c>
      <c r="X14" s="64">
        <v>82600000</v>
      </c>
      <c r="Y14" s="64" t="s">
        <v>188</v>
      </c>
      <c r="Z14" s="64">
        <v>134400000</v>
      </c>
      <c r="AA14" s="64">
        <v>28200000</v>
      </c>
    </row>
    <row r="15" spans="1:27">
      <c r="A15" s="64">
        <v>1994</v>
      </c>
      <c r="B15" s="56">
        <v>17291.8</v>
      </c>
      <c r="C15" s="56">
        <v>96.1</v>
      </c>
      <c r="D15" s="56">
        <v>66.5</v>
      </c>
      <c r="E15" s="56">
        <f t="shared" si="2"/>
        <v>215.1</v>
      </c>
      <c r="F15" s="56">
        <v>186.4</v>
      </c>
      <c r="G15" s="56">
        <v>28.7</v>
      </c>
      <c r="H15" s="56">
        <f t="shared" si="0"/>
        <v>22607.849638228796</v>
      </c>
      <c r="I15" s="56" t="s">
        <v>22</v>
      </c>
      <c r="J15" s="56">
        <f t="shared" ref="J15:K15" si="12">J16*(1/S45)</f>
        <v>57.845642987011864</v>
      </c>
      <c r="K15" s="56">
        <f t="shared" si="12"/>
        <v>86.380289138015016</v>
      </c>
      <c r="L15" s="56" t="s">
        <v>22</v>
      </c>
      <c r="M15" s="56" t="s">
        <v>22</v>
      </c>
      <c r="N15" s="56" t="s">
        <v>22</v>
      </c>
      <c r="W15" s="64">
        <v>17514900000</v>
      </c>
      <c r="X15" s="64">
        <v>85500000</v>
      </c>
      <c r="Y15" s="64">
        <v>89800000</v>
      </c>
      <c r="Z15" s="64">
        <v>140500000</v>
      </c>
      <c r="AA15" s="64">
        <v>30000000</v>
      </c>
    </row>
    <row r="16" spans="1:27">
      <c r="A16" s="64">
        <v>1995</v>
      </c>
      <c r="B16" s="56">
        <v>17966.5</v>
      </c>
      <c r="C16" s="56">
        <v>135</v>
      </c>
      <c r="D16" s="56">
        <v>56.5</v>
      </c>
      <c r="E16" s="56">
        <f t="shared" si="2"/>
        <v>439</v>
      </c>
      <c r="F16" s="56">
        <v>411.4</v>
      </c>
      <c r="G16" s="56">
        <v>27.6</v>
      </c>
      <c r="H16" s="56">
        <f t="shared" si="0"/>
        <v>23061.558146289786</v>
      </c>
      <c r="I16" s="56" t="s">
        <v>22</v>
      </c>
      <c r="J16" s="56">
        <f t="shared" ref="J16:K16" si="13">J17*(1/S46)</f>
        <v>73.677082120299318</v>
      </c>
      <c r="K16" s="56">
        <f t="shared" si="13"/>
        <v>82.436422930154649</v>
      </c>
      <c r="L16" s="56" t="s">
        <v>22</v>
      </c>
      <c r="M16" s="56" t="s">
        <v>22</v>
      </c>
      <c r="N16" s="56" t="s">
        <v>22</v>
      </c>
      <c r="W16" s="64">
        <v>17866400000</v>
      </c>
      <c r="X16" s="64">
        <v>108900000</v>
      </c>
      <c r="Y16" s="64">
        <v>85700000</v>
      </c>
      <c r="Z16" s="64">
        <v>125300000</v>
      </c>
      <c r="AA16" s="64">
        <v>34500000</v>
      </c>
    </row>
    <row r="17" spans="1:27">
      <c r="A17" s="64">
        <v>1996</v>
      </c>
      <c r="B17" s="56">
        <v>17995.400000000001</v>
      </c>
      <c r="C17" s="56">
        <v>101.3</v>
      </c>
      <c r="D17" s="56">
        <v>71.599999999999994</v>
      </c>
      <c r="E17" s="56" t="s">
        <v>188</v>
      </c>
      <c r="F17" s="56" t="s">
        <v>188</v>
      </c>
      <c r="G17" s="56">
        <v>32.200000000000003</v>
      </c>
      <c r="H17" s="56">
        <f t="shared" si="0"/>
        <v>23104.799213203136</v>
      </c>
      <c r="I17" s="56" t="s">
        <v>22</v>
      </c>
      <c r="J17" s="56">
        <f t="shared" ref="J17:K17" si="14">J18*(1/S47)</f>
        <v>52.636152332041199</v>
      </c>
      <c r="K17" s="56">
        <f t="shared" si="14"/>
        <v>96.384242445758417</v>
      </c>
      <c r="L17" s="56" t="s">
        <v>22</v>
      </c>
      <c r="M17" s="56" t="s">
        <v>22</v>
      </c>
      <c r="N17" s="56" t="s">
        <v>22</v>
      </c>
      <c r="W17" s="64">
        <v>17899900000</v>
      </c>
      <c r="X17" s="64">
        <v>77800000</v>
      </c>
      <c r="Y17" s="64">
        <v>100200000</v>
      </c>
      <c r="Z17" s="64" t="s">
        <v>188</v>
      </c>
      <c r="AA17" s="64">
        <v>29700000</v>
      </c>
    </row>
    <row r="18" spans="1:27">
      <c r="A18" s="64">
        <v>1997</v>
      </c>
      <c r="B18" s="56">
        <v>18379.900000000001</v>
      </c>
      <c r="C18" s="56">
        <v>79.099999999999994</v>
      </c>
      <c r="D18" s="56">
        <v>127.4</v>
      </c>
      <c r="E18" s="56" t="s">
        <v>188</v>
      </c>
      <c r="F18" s="56" t="s">
        <v>188</v>
      </c>
      <c r="G18" s="56">
        <v>31.9</v>
      </c>
      <c r="H18" s="56">
        <f t="shared" si="0"/>
        <v>23724.372709275041</v>
      </c>
      <c r="I18" s="56" t="s">
        <v>22</v>
      </c>
      <c r="J18" s="56">
        <f t="shared" ref="J18:K18" si="15">J19*(1/S48)</f>
        <v>53.515676728334952</v>
      </c>
      <c r="K18" s="56">
        <f t="shared" si="15"/>
        <v>122.54842801985652</v>
      </c>
      <c r="L18" s="56" t="s">
        <v>188</v>
      </c>
      <c r="M18" s="56" t="s">
        <v>188</v>
      </c>
      <c r="N18" s="56" t="s">
        <v>188</v>
      </c>
      <c r="Q18" s="56">
        <v>20026.8</v>
      </c>
      <c r="R18" s="56">
        <v>65.900000000000006</v>
      </c>
      <c r="S18" s="56">
        <v>134.9</v>
      </c>
      <c r="T18" s="56" t="s">
        <v>188</v>
      </c>
      <c r="U18" s="56">
        <v>33.700000000000003</v>
      </c>
      <c r="W18" s="64">
        <v>18379900000</v>
      </c>
      <c r="X18" s="64">
        <v>79100000</v>
      </c>
      <c r="Y18" s="64">
        <v>127400000</v>
      </c>
      <c r="Z18" s="64" t="s">
        <v>188</v>
      </c>
      <c r="AA18" s="64">
        <v>31900000</v>
      </c>
    </row>
    <row r="19" spans="1:27">
      <c r="A19" s="64">
        <v>1998</v>
      </c>
      <c r="B19" s="56">
        <v>19380.400000000001</v>
      </c>
      <c r="C19" s="56">
        <v>59.2</v>
      </c>
      <c r="D19" s="56">
        <v>142.5</v>
      </c>
      <c r="E19" s="56" t="s">
        <v>188</v>
      </c>
      <c r="F19" s="56" t="s">
        <v>188</v>
      </c>
      <c r="G19" s="56" t="s">
        <v>188</v>
      </c>
      <c r="H19" s="56">
        <f t="shared" si="0"/>
        <v>24607.041438461973</v>
      </c>
      <c r="I19" s="56" t="s">
        <v>22</v>
      </c>
      <c r="J19" s="56">
        <f t="shared" ref="J19:K19" si="16">J20*(1/S49)</f>
        <v>36.624537487828626</v>
      </c>
      <c r="K19" s="56">
        <f t="shared" si="16"/>
        <v>155.43392167677871</v>
      </c>
      <c r="L19" s="56" t="s">
        <v>188</v>
      </c>
      <c r="M19" s="56" t="s">
        <v>188</v>
      </c>
      <c r="N19" s="56" t="s">
        <v>188</v>
      </c>
      <c r="Q19" s="56">
        <v>20771.900000000001</v>
      </c>
      <c r="R19" s="56">
        <v>45.1</v>
      </c>
      <c r="S19" s="56">
        <v>171.1</v>
      </c>
      <c r="T19" s="56" t="s">
        <v>188</v>
      </c>
      <c r="U19" s="56" t="s">
        <v>188</v>
      </c>
      <c r="W19" s="64">
        <v>19100000000</v>
      </c>
      <c r="X19" s="64">
        <v>54000000</v>
      </c>
      <c r="Y19" s="64">
        <v>161100000</v>
      </c>
      <c r="Z19" s="64" t="s">
        <v>188</v>
      </c>
      <c r="AA19" s="64" t="s">
        <v>188</v>
      </c>
    </row>
    <row r="20" spans="1:27">
      <c r="A20" s="64">
        <v>1999</v>
      </c>
      <c r="B20" s="56">
        <v>20942.099999999999</v>
      </c>
      <c r="C20" s="56">
        <v>108.2</v>
      </c>
      <c r="D20" s="56">
        <v>165.4</v>
      </c>
      <c r="E20" s="56" t="s">
        <v>188</v>
      </c>
      <c r="F20" s="56" t="s">
        <v>188</v>
      </c>
      <c r="G20" s="56" t="s">
        <v>188</v>
      </c>
      <c r="H20" s="56">
        <f t="shared" si="0"/>
        <v>26027.17735652571</v>
      </c>
      <c r="I20" s="56" t="s">
        <v>22</v>
      </c>
      <c r="J20" s="56">
        <f t="shared" ref="J20:K20" si="17">J21*(1/S50)</f>
        <v>90.059006815968843</v>
      </c>
      <c r="K20" s="56">
        <f t="shared" si="17"/>
        <v>131.81450634307768</v>
      </c>
      <c r="L20" s="56" t="s">
        <v>188</v>
      </c>
      <c r="M20" s="56" t="s">
        <v>188</v>
      </c>
      <c r="N20" s="56" t="s">
        <v>188</v>
      </c>
      <c r="Q20" s="56">
        <v>21970.7</v>
      </c>
      <c r="R20" s="56">
        <v>110.9</v>
      </c>
      <c r="S20" s="56">
        <v>145.1</v>
      </c>
      <c r="T20" s="56" t="s">
        <v>188</v>
      </c>
      <c r="U20" s="56" t="s">
        <v>188</v>
      </c>
    </row>
    <row r="21" spans="1:27">
      <c r="A21" s="64">
        <v>2000</v>
      </c>
      <c r="B21" s="56">
        <v>22481.9</v>
      </c>
      <c r="C21" s="56">
        <v>133.9</v>
      </c>
      <c r="D21" s="56">
        <v>178.9</v>
      </c>
      <c r="E21" s="56" t="s">
        <v>188</v>
      </c>
      <c r="F21" s="56" t="s">
        <v>188</v>
      </c>
      <c r="G21" s="56" t="s">
        <v>188</v>
      </c>
      <c r="H21" s="56">
        <f t="shared" si="0"/>
        <v>26925.83860731246</v>
      </c>
      <c r="I21" s="56" t="s">
        <v>22</v>
      </c>
      <c r="J21" s="56">
        <f t="shared" ref="J21:K21" si="18">J22*(1/S51)</f>
        <v>96.799221032132422</v>
      </c>
      <c r="K21" s="56">
        <f t="shared" si="18"/>
        <v>137.53767236624373</v>
      </c>
      <c r="L21" s="56" t="s">
        <v>188</v>
      </c>
      <c r="M21" s="56" t="s">
        <v>188</v>
      </c>
      <c r="N21" s="56" t="s">
        <v>188</v>
      </c>
      <c r="Q21" s="56">
        <v>22729.3</v>
      </c>
      <c r="R21" s="56">
        <v>119.2</v>
      </c>
      <c r="S21" s="56">
        <v>151.4</v>
      </c>
      <c r="T21" s="56" t="s">
        <v>188</v>
      </c>
      <c r="U21" s="56" t="s">
        <v>188</v>
      </c>
    </row>
    <row r="22" spans="1:27">
      <c r="A22" s="64">
        <v>2001</v>
      </c>
      <c r="B22" s="56">
        <v>23592.6</v>
      </c>
      <c r="C22" s="56">
        <v>140.69999999999999</v>
      </c>
      <c r="D22" s="56">
        <v>162.1</v>
      </c>
      <c r="E22" s="56" t="s">
        <v>188</v>
      </c>
      <c r="F22" s="56" t="s">
        <v>188</v>
      </c>
      <c r="G22" s="56" t="s">
        <v>188</v>
      </c>
      <c r="H22" s="56">
        <f t="shared" si="0"/>
        <v>27875.202074726774</v>
      </c>
      <c r="I22" s="56" t="s">
        <v>22</v>
      </c>
      <c r="J22" s="56">
        <f t="shared" ref="J22:K22" si="19">J23*(1/S52)</f>
        <v>111.82259006815966</v>
      </c>
      <c r="K22" s="56">
        <f t="shared" si="19"/>
        <v>132.2687258687258</v>
      </c>
      <c r="L22" s="56" t="s">
        <v>188</v>
      </c>
      <c r="M22" s="56" t="s">
        <v>188</v>
      </c>
      <c r="N22" s="56" t="s">
        <v>188</v>
      </c>
      <c r="Q22" s="56">
        <v>23530.7</v>
      </c>
      <c r="R22" s="56">
        <v>137.69999999999999</v>
      </c>
      <c r="S22" s="56">
        <v>145.6</v>
      </c>
      <c r="T22" s="56" t="s">
        <v>188</v>
      </c>
      <c r="U22" s="56" t="s">
        <v>188</v>
      </c>
    </row>
    <row r="23" spans="1:27">
      <c r="A23" s="64">
        <v>2002</v>
      </c>
      <c r="B23" s="56">
        <v>24509.200000000001</v>
      </c>
      <c r="C23" s="56">
        <v>150.1</v>
      </c>
      <c r="D23" s="56">
        <v>198.4</v>
      </c>
      <c r="E23" s="56" t="s">
        <v>188</v>
      </c>
      <c r="F23" s="56" t="s">
        <v>188</v>
      </c>
      <c r="G23" s="56" t="s">
        <v>188</v>
      </c>
      <c r="H23" s="56">
        <f t="shared" si="0"/>
        <v>29034.363732906095</v>
      </c>
      <c r="I23" s="56" t="s">
        <v>22</v>
      </c>
      <c r="J23" s="56">
        <f t="shared" ref="J23:K23" si="20">J24*(1/S53)</f>
        <v>121.89230769230767</v>
      </c>
      <c r="K23" s="56">
        <f t="shared" si="20"/>
        <v>180.23430777716482</v>
      </c>
      <c r="L23" s="56" t="s">
        <v>188</v>
      </c>
      <c r="M23" s="56" t="s">
        <v>188</v>
      </c>
      <c r="N23" s="56" t="s">
        <v>188</v>
      </c>
      <c r="Q23" s="56">
        <v>24509.200000000001</v>
      </c>
      <c r="R23" s="56">
        <v>150.1</v>
      </c>
      <c r="S23" s="56">
        <v>198.4</v>
      </c>
      <c r="T23" s="56" t="s">
        <v>188</v>
      </c>
      <c r="U23" s="56" t="s">
        <v>188</v>
      </c>
    </row>
    <row r="24" spans="1:27">
      <c r="A24" s="64">
        <v>2003</v>
      </c>
      <c r="B24" s="56">
        <v>26130.7</v>
      </c>
      <c r="C24" s="56">
        <v>136.6</v>
      </c>
      <c r="D24" s="56">
        <v>221.9</v>
      </c>
      <c r="E24" s="56" t="s">
        <v>188</v>
      </c>
      <c r="F24" s="56" t="s">
        <v>188</v>
      </c>
      <c r="G24" s="56" t="s">
        <v>188</v>
      </c>
      <c r="H24" s="56">
        <f t="shared" si="0"/>
        <v>29562.116945700051</v>
      </c>
      <c r="I24" s="56" t="s">
        <v>22</v>
      </c>
      <c r="J24" s="56">
        <f t="shared" ref="J24:K24" si="21">J25*(1/S54)</f>
        <v>112.22862706913338</v>
      </c>
      <c r="K24" s="56">
        <f t="shared" si="21"/>
        <v>184.68565912851616</v>
      </c>
      <c r="L24" s="56" t="s">
        <v>188</v>
      </c>
      <c r="M24" s="56" t="s">
        <v>188</v>
      </c>
      <c r="N24" s="56" t="s">
        <v>188</v>
      </c>
      <c r="Q24" s="56">
        <v>24954.7</v>
      </c>
      <c r="R24" s="56">
        <v>138.19999999999999</v>
      </c>
      <c r="S24" s="56">
        <v>203.3</v>
      </c>
      <c r="T24" s="56" t="s">
        <v>188</v>
      </c>
      <c r="U24" s="56" t="s">
        <v>188</v>
      </c>
    </row>
    <row r="25" spans="1:27">
      <c r="A25" s="64">
        <v>2004</v>
      </c>
      <c r="B25" s="56">
        <v>27062.799999999999</v>
      </c>
      <c r="C25" s="56">
        <v>132.1</v>
      </c>
      <c r="D25" s="56">
        <v>218.2</v>
      </c>
      <c r="E25" s="56" t="s">
        <v>188</v>
      </c>
      <c r="F25" s="56" t="s">
        <v>188</v>
      </c>
      <c r="G25" s="56" t="s">
        <v>188</v>
      </c>
      <c r="H25" s="56">
        <f t="shared" si="0"/>
        <v>29912.175474051601</v>
      </c>
      <c r="I25" s="56" t="s">
        <v>22</v>
      </c>
      <c r="J25" s="56">
        <f t="shared" ref="J25:K25" si="22">J26*(1/S55)</f>
        <v>104.51392405063289</v>
      </c>
      <c r="K25" s="56">
        <f t="shared" si="22"/>
        <v>188.59194704908981</v>
      </c>
      <c r="L25" s="56" t="s">
        <v>188</v>
      </c>
      <c r="M25" s="56" t="s">
        <v>188</v>
      </c>
      <c r="N25" s="56" t="s">
        <v>188</v>
      </c>
      <c r="Q25" s="56">
        <v>25250.2</v>
      </c>
      <c r="R25" s="56">
        <v>128.69999999999999</v>
      </c>
      <c r="S25" s="56">
        <v>207.6</v>
      </c>
      <c r="T25" s="56" t="s">
        <v>188</v>
      </c>
      <c r="U25" s="56" t="s">
        <v>188</v>
      </c>
    </row>
    <row r="26" spans="1:27">
      <c r="A26" s="64">
        <v>2005</v>
      </c>
      <c r="B26" s="56">
        <v>28373</v>
      </c>
      <c r="C26" s="56">
        <v>124.7</v>
      </c>
      <c r="D26" s="56">
        <v>209.8</v>
      </c>
      <c r="E26" s="56" t="s">
        <v>22</v>
      </c>
      <c r="F26" s="56" t="s">
        <v>188</v>
      </c>
      <c r="G26" s="56" t="s">
        <v>188</v>
      </c>
      <c r="H26" s="56">
        <f t="shared" si="0"/>
        <v>30317.674743949185</v>
      </c>
      <c r="I26" s="56" t="s">
        <v>22</v>
      </c>
      <c r="J26" s="56">
        <f t="shared" ref="J26:K26" si="23">J27*(1/S56)</f>
        <v>102.80856864654332</v>
      </c>
      <c r="K26" s="56">
        <f t="shared" si="23"/>
        <v>191.40810810810802</v>
      </c>
      <c r="L26" s="56" t="s">
        <v>188</v>
      </c>
      <c r="M26" s="56" t="s">
        <v>188</v>
      </c>
      <c r="N26" s="56" t="s">
        <v>188</v>
      </c>
      <c r="Q26" s="56">
        <v>25592.5</v>
      </c>
      <c r="R26" s="56">
        <v>126.6</v>
      </c>
      <c r="S26" s="56">
        <v>210.7</v>
      </c>
      <c r="T26" s="56" t="s">
        <v>188</v>
      </c>
      <c r="U26" s="56" t="s">
        <v>188</v>
      </c>
    </row>
    <row r="27" spans="1:27">
      <c r="A27" s="64">
        <v>2006</v>
      </c>
      <c r="B27" s="56">
        <v>28804.5</v>
      </c>
      <c r="C27" s="56">
        <v>104.6</v>
      </c>
      <c r="D27" s="56">
        <v>204.7</v>
      </c>
      <c r="E27" s="56" t="s">
        <v>22</v>
      </c>
      <c r="F27" s="56" t="s">
        <v>188</v>
      </c>
      <c r="G27" s="56" t="s">
        <v>188</v>
      </c>
      <c r="H27" s="56">
        <f>H28*(1/R57)</f>
        <v>30533.159164616351</v>
      </c>
      <c r="I27" s="56" t="s">
        <v>22</v>
      </c>
      <c r="J27" s="56">
        <f>J28*(1/S57)</f>
        <v>89.490555014605647</v>
      </c>
      <c r="K27" s="56">
        <f>K28*(1/T57)</f>
        <v>176.41886376172084</v>
      </c>
      <c r="L27" s="56" t="s">
        <v>188</v>
      </c>
      <c r="M27" s="56" t="s">
        <v>188</v>
      </c>
      <c r="N27" s="56" t="s">
        <v>188</v>
      </c>
      <c r="Q27" s="56">
        <v>25774.400000000001</v>
      </c>
      <c r="R27" s="56">
        <v>110.2</v>
      </c>
      <c r="S27" s="56">
        <v>194.2</v>
      </c>
      <c r="T27" s="56" t="s">
        <v>188</v>
      </c>
      <c r="U27" s="56" t="s">
        <v>188</v>
      </c>
    </row>
    <row r="28" spans="1:27">
      <c r="A28" s="64">
        <v>2007</v>
      </c>
      <c r="B28" s="56">
        <v>30220.5</v>
      </c>
      <c r="C28" s="56">
        <v>86.8</v>
      </c>
      <c r="D28" s="56">
        <v>171.2</v>
      </c>
      <c r="E28" s="56" t="s">
        <v>22</v>
      </c>
      <c r="F28" s="56" t="s">
        <v>188</v>
      </c>
      <c r="G28" s="56" t="s">
        <v>188</v>
      </c>
      <c r="H28" s="56">
        <v>31055.7</v>
      </c>
      <c r="I28" s="56" t="s">
        <v>22</v>
      </c>
      <c r="J28" s="56">
        <v>83.4</v>
      </c>
      <c r="K28" s="56">
        <v>164.7</v>
      </c>
      <c r="L28" s="56" t="s">
        <v>188</v>
      </c>
      <c r="M28" s="56" t="s">
        <v>188</v>
      </c>
      <c r="N28" s="56" t="s">
        <v>188</v>
      </c>
      <c r="Q28" s="56">
        <v>26215.5</v>
      </c>
      <c r="R28" s="56">
        <v>102.7</v>
      </c>
      <c r="S28" s="56">
        <v>181.3</v>
      </c>
      <c r="T28" s="56" t="s">
        <v>188</v>
      </c>
      <c r="U28" s="56" t="s">
        <v>188</v>
      </c>
    </row>
    <row r="29" spans="1:27">
      <c r="A29" s="64">
        <v>2008</v>
      </c>
      <c r="B29" s="56">
        <v>31710.5</v>
      </c>
      <c r="C29" s="56">
        <v>79.599999999999994</v>
      </c>
      <c r="D29" s="56">
        <v>157.1</v>
      </c>
      <c r="E29" s="56"/>
      <c r="F29" s="56" t="s">
        <v>188</v>
      </c>
      <c r="G29" s="56" t="s">
        <v>188</v>
      </c>
      <c r="H29" s="56">
        <v>31756.6</v>
      </c>
      <c r="I29" s="56" t="s">
        <v>22</v>
      </c>
      <c r="J29" s="56">
        <v>86.6</v>
      </c>
      <c r="K29" s="56">
        <v>164.8</v>
      </c>
      <c r="L29" s="56" t="s">
        <v>188</v>
      </c>
      <c r="M29" s="56" t="s">
        <v>188</v>
      </c>
      <c r="N29" s="56" t="s">
        <v>188</v>
      </c>
      <c r="Q29" s="56">
        <v>26833.4</v>
      </c>
      <c r="R29" s="56">
        <v>108.2</v>
      </c>
      <c r="S29" s="56">
        <v>170.9</v>
      </c>
      <c r="T29" s="56" t="s">
        <v>188</v>
      </c>
      <c r="U29" s="56" t="s">
        <v>188</v>
      </c>
    </row>
    <row r="30" spans="1:27">
      <c r="A30" s="64">
        <v>2009</v>
      </c>
      <c r="B30" s="56" t="s">
        <v>22</v>
      </c>
      <c r="C30" s="56" t="s">
        <v>22</v>
      </c>
      <c r="D30" s="56" t="s">
        <v>22</v>
      </c>
      <c r="E30" s="56" t="s">
        <v>22</v>
      </c>
      <c r="F30" s="56" t="s">
        <v>22</v>
      </c>
      <c r="G30" s="56" t="s">
        <v>22</v>
      </c>
      <c r="H30" s="56">
        <v>31611.4</v>
      </c>
      <c r="I30" s="56" t="s">
        <v>22</v>
      </c>
      <c r="J30" s="56">
        <v>66.8</v>
      </c>
      <c r="K30" s="56">
        <v>150.19999999999999</v>
      </c>
      <c r="L30" s="56" t="s">
        <v>188</v>
      </c>
      <c r="M30" s="56" t="s">
        <v>188</v>
      </c>
      <c r="N30" s="56" t="s">
        <v>188</v>
      </c>
      <c r="Q30" s="56">
        <v>26830.1</v>
      </c>
      <c r="R30" s="56">
        <v>87.7</v>
      </c>
      <c r="S30" s="56">
        <v>162.19999999999999</v>
      </c>
      <c r="T30" s="56" t="s">
        <v>188</v>
      </c>
      <c r="U30" s="56" t="s">
        <v>188</v>
      </c>
    </row>
    <row r="31" spans="1:27">
      <c r="A31" s="64">
        <v>2010</v>
      </c>
      <c r="B31" s="56" t="s">
        <v>22</v>
      </c>
      <c r="C31" s="56" t="s">
        <v>22</v>
      </c>
      <c r="D31" s="56" t="s">
        <v>22</v>
      </c>
      <c r="E31" s="56" t="s">
        <v>22</v>
      </c>
      <c r="F31" s="56" t="s">
        <v>22</v>
      </c>
      <c r="G31" s="56" t="s">
        <v>22</v>
      </c>
      <c r="H31" s="56">
        <v>32277.3</v>
      </c>
      <c r="I31" s="56" t="s">
        <v>22</v>
      </c>
      <c r="J31" s="56">
        <v>81.599999999999994</v>
      </c>
      <c r="K31" s="56">
        <v>172.4</v>
      </c>
      <c r="L31" s="56" t="s">
        <v>188</v>
      </c>
      <c r="M31" s="56" t="s">
        <v>188</v>
      </c>
      <c r="N31" s="56" t="s">
        <v>188</v>
      </c>
      <c r="Q31" s="56">
        <v>27272.6</v>
      </c>
      <c r="R31" s="56">
        <v>107.9</v>
      </c>
      <c r="S31" s="56">
        <v>186.7</v>
      </c>
      <c r="T31" s="56" t="s">
        <v>188</v>
      </c>
      <c r="U31" s="56" t="s">
        <v>188</v>
      </c>
    </row>
    <row r="32" spans="1:27">
      <c r="A32" s="64">
        <v>2011</v>
      </c>
      <c r="B32" s="56" t="s">
        <v>22</v>
      </c>
      <c r="C32" s="56" t="s">
        <v>22</v>
      </c>
      <c r="D32" s="56" t="s">
        <v>22</v>
      </c>
      <c r="E32" s="56" t="s">
        <v>22</v>
      </c>
      <c r="F32" s="56" t="s">
        <v>22</v>
      </c>
      <c r="G32" s="56" t="s">
        <v>22</v>
      </c>
      <c r="H32" s="56">
        <v>32455.7</v>
      </c>
      <c r="I32" s="56" t="s">
        <v>22</v>
      </c>
      <c r="J32" s="56">
        <v>77.099999999999994</v>
      </c>
      <c r="K32" s="56">
        <v>161.69999999999999</v>
      </c>
      <c r="L32" s="56" t="s">
        <v>188</v>
      </c>
      <c r="M32" s="56" t="s">
        <v>188</v>
      </c>
      <c r="N32" s="56" t="s">
        <v>188</v>
      </c>
      <c r="Q32" s="56">
        <v>27349.1</v>
      </c>
      <c r="R32" s="56">
        <v>102.3</v>
      </c>
      <c r="S32" s="56">
        <v>179</v>
      </c>
      <c r="T32" s="56" t="s">
        <v>188</v>
      </c>
      <c r="U32" s="56" t="s">
        <v>188</v>
      </c>
    </row>
    <row r="34" spans="1:22" ht="45">
      <c r="A34" s="66" t="s">
        <v>23</v>
      </c>
      <c r="Q34" s="146" t="s">
        <v>1826</v>
      </c>
      <c r="R34" s="117" t="s">
        <v>7</v>
      </c>
      <c r="S34" s="117" t="s">
        <v>192</v>
      </c>
      <c r="T34" s="117" t="s">
        <v>1</v>
      </c>
      <c r="U34" s="117" t="s">
        <v>13</v>
      </c>
      <c r="V34" s="117" t="s">
        <v>19</v>
      </c>
    </row>
    <row r="35" spans="1:22">
      <c r="A35" s="57" t="s">
        <v>2142</v>
      </c>
      <c r="B35" s="147" t="str">
        <f>IFERROR(((B32/B5)^(1/27)-1)*100,"n.a.")</f>
        <v>n.a.</v>
      </c>
      <c r="C35" s="147" t="str">
        <f t="shared" ref="C35:N35" si="24">IFERROR(((C32/C5)^(1/27)-1)*100,"n.a.")</f>
        <v>n.a.</v>
      </c>
      <c r="D35" s="147" t="str">
        <f t="shared" si="24"/>
        <v>n.a.</v>
      </c>
      <c r="E35" s="147" t="str">
        <f t="shared" si="24"/>
        <v>n.a.</v>
      </c>
      <c r="F35" s="147" t="str">
        <f t="shared" si="24"/>
        <v>n.a.</v>
      </c>
      <c r="G35" s="147" t="str">
        <f t="shared" si="24"/>
        <v>n.a.</v>
      </c>
      <c r="H35" s="147">
        <f t="shared" si="24"/>
        <v>1.9549866054067389</v>
      </c>
      <c r="I35" s="147" t="str">
        <f t="shared" si="24"/>
        <v>n.a.</v>
      </c>
      <c r="J35" s="147">
        <f t="shared" si="24"/>
        <v>0.82445687203949181</v>
      </c>
      <c r="K35" s="147" t="str">
        <f t="shared" si="24"/>
        <v>n.a.</v>
      </c>
      <c r="L35" s="147" t="str">
        <f t="shared" si="24"/>
        <v>n.a.</v>
      </c>
      <c r="M35" s="147" t="str">
        <f t="shared" si="24"/>
        <v>n.a.</v>
      </c>
      <c r="N35" s="147" t="str">
        <f t="shared" si="24"/>
        <v>n.a.</v>
      </c>
      <c r="Q35" s="56" t="s">
        <v>1856</v>
      </c>
      <c r="R35" s="64">
        <f>W6/W5</f>
        <v>1.0431119488586436</v>
      </c>
      <c r="S35" s="64">
        <f t="shared" ref="S35:V35" si="25">X6/X5</f>
        <v>1.2223439211391018</v>
      </c>
      <c r="T35" s="64" t="e">
        <f t="shared" si="25"/>
        <v>#VALUE!</v>
      </c>
      <c r="U35" s="64">
        <f t="shared" si="25"/>
        <v>1.196808510638298</v>
      </c>
      <c r="V35" s="64">
        <f t="shared" si="25"/>
        <v>0.97231833910034604</v>
      </c>
    </row>
    <row r="36" spans="1:22">
      <c r="A36" s="57" t="s">
        <v>2141</v>
      </c>
      <c r="B36" s="147">
        <f>IFERROR(((B29/B5)^(1/24)-1)*100,"n.a.")</f>
        <v>4.4849618425410798</v>
      </c>
      <c r="C36" s="147">
        <f t="shared" ref="C36:N36" si="26">IFERROR(((C29/C5)^(1/24)-1)*100,"n.a.")</f>
        <v>1.6772579199293869</v>
      </c>
      <c r="D36" s="147" t="str">
        <f t="shared" si="26"/>
        <v>n.a.</v>
      </c>
      <c r="E36" s="147">
        <f t="shared" si="26"/>
        <v>-100</v>
      </c>
      <c r="F36" s="147" t="str">
        <f t="shared" si="26"/>
        <v>n.a.</v>
      </c>
      <c r="G36" s="147" t="str">
        <f t="shared" si="26"/>
        <v>n.a.</v>
      </c>
      <c r="H36" s="147">
        <f t="shared" si="26"/>
        <v>2.1093449239005135</v>
      </c>
      <c r="I36" s="147" t="str">
        <f t="shared" si="26"/>
        <v>n.a.</v>
      </c>
      <c r="J36" s="147">
        <f t="shared" si="26"/>
        <v>1.4178206923329828</v>
      </c>
      <c r="K36" s="147" t="str">
        <f t="shared" si="26"/>
        <v>n.a.</v>
      </c>
      <c r="L36" s="147" t="str">
        <f t="shared" si="26"/>
        <v>n.a.</v>
      </c>
      <c r="M36" s="147" t="str">
        <f t="shared" si="26"/>
        <v>n.a.</v>
      </c>
      <c r="N36" s="147" t="str">
        <f t="shared" si="26"/>
        <v>n.a.</v>
      </c>
      <c r="Q36" s="56" t="s">
        <v>1857</v>
      </c>
      <c r="R36" s="64">
        <f t="shared" ref="R36:R46" si="27">W7/W6</f>
        <v>1.0312082004321432</v>
      </c>
      <c r="S36" s="64">
        <f t="shared" ref="S36:S47" si="28">X7/X6</f>
        <v>0.793010752688172</v>
      </c>
      <c r="T36" s="64">
        <f t="shared" ref="T36:T47" si="29">Y7/Y6</f>
        <v>0.96767083027185896</v>
      </c>
      <c r="U36" s="64">
        <f t="shared" ref="U36:U47" si="30">Z7/Z6</f>
        <v>0.91111111111111109</v>
      </c>
      <c r="V36" s="64">
        <f t="shared" ref="V36:V47" si="31">AA7/AA6</f>
        <v>0.92882562277580072</v>
      </c>
    </row>
    <row r="37" spans="1:22">
      <c r="A37" s="57" t="s">
        <v>682</v>
      </c>
      <c r="B37" s="147">
        <f>IFERROR(((B10/B5)^(1/5)-1)*100,"n.a.")</f>
        <v>6.6154782032664894</v>
      </c>
      <c r="C37" s="147">
        <f t="shared" ref="C37:N37" si="32">IFERROR(((C10/C5)^(1/5)-1)*100,"n.a.")</f>
        <v>10.930312696274736</v>
      </c>
      <c r="D37" s="147" t="str">
        <f t="shared" si="32"/>
        <v>n.a.</v>
      </c>
      <c r="E37" s="147">
        <f t="shared" si="32"/>
        <v>13.427497217894867</v>
      </c>
      <c r="F37" s="147">
        <f t="shared" si="32"/>
        <v>13.934026758554463</v>
      </c>
      <c r="G37" s="147">
        <f t="shared" si="32"/>
        <v>9.3685841270984014</v>
      </c>
      <c r="H37" s="147">
        <f t="shared" si="32"/>
        <v>2.6745525268243808</v>
      </c>
      <c r="I37" s="147" t="str">
        <f t="shared" si="32"/>
        <v>n.a.</v>
      </c>
      <c r="J37" s="147">
        <f t="shared" si="32"/>
        <v>5.933983139774468</v>
      </c>
      <c r="K37" s="147" t="str">
        <f t="shared" si="32"/>
        <v>n.a.</v>
      </c>
      <c r="L37" s="147" t="str">
        <f t="shared" si="32"/>
        <v>n.a.</v>
      </c>
      <c r="M37" s="147" t="str">
        <f t="shared" si="32"/>
        <v>n.a.</v>
      </c>
      <c r="N37" s="147" t="str">
        <f t="shared" si="32"/>
        <v>n.a.</v>
      </c>
      <c r="Q37" s="56" t="s">
        <v>1858</v>
      </c>
      <c r="R37" s="64">
        <f t="shared" si="27"/>
        <v>1.0201051404054704</v>
      </c>
      <c r="S37" s="64">
        <f t="shared" si="28"/>
        <v>1.1966101694915254</v>
      </c>
      <c r="T37" s="64">
        <f t="shared" si="29"/>
        <v>1.0850417615793471</v>
      </c>
      <c r="U37" s="64">
        <f t="shared" si="30"/>
        <v>1.0153310104529616</v>
      </c>
      <c r="V37" s="64">
        <f t="shared" si="31"/>
        <v>0.85823754789272033</v>
      </c>
    </row>
    <row r="38" spans="1:22">
      <c r="A38" s="57" t="s">
        <v>26</v>
      </c>
      <c r="B38" s="147">
        <f>IFERROR(((B21/B10)^(1/11)-1)*100,"n.a.")</f>
        <v>3.59701253847311</v>
      </c>
      <c r="C38" s="147">
        <f t="shared" ref="C38:N38" si="33">IFERROR(((C21/C10)^(1/11)-1)*100,"n.a.")</f>
        <v>3.7091567551743365</v>
      </c>
      <c r="D38" s="147">
        <f t="shared" si="33"/>
        <v>13.231633491210481</v>
      </c>
      <c r="E38" s="147" t="str">
        <f t="shared" si="33"/>
        <v>n.a.</v>
      </c>
      <c r="F38" s="147" t="str">
        <f t="shared" si="33"/>
        <v>n.a.</v>
      </c>
      <c r="G38" s="147" t="str">
        <f t="shared" si="33"/>
        <v>n.a.</v>
      </c>
      <c r="H38" s="147">
        <f t="shared" si="33"/>
        <v>1.871781384168747</v>
      </c>
      <c r="I38" s="147" t="str">
        <f t="shared" si="33"/>
        <v>n.a.</v>
      </c>
      <c r="J38" s="147">
        <f t="shared" si="33"/>
        <v>1.4743707510021409</v>
      </c>
      <c r="K38" s="147">
        <f t="shared" si="33"/>
        <v>1.6134713736195572</v>
      </c>
      <c r="L38" s="147" t="str">
        <f t="shared" si="33"/>
        <v>n.a.</v>
      </c>
      <c r="M38" s="147" t="str">
        <f t="shared" si="33"/>
        <v>n.a.</v>
      </c>
      <c r="N38" s="147" t="str">
        <f t="shared" si="33"/>
        <v>n.a.</v>
      </c>
      <c r="Q38" s="56" t="s">
        <v>1861</v>
      </c>
      <c r="R38" s="64">
        <f t="shared" si="27"/>
        <v>1.0271608560896437</v>
      </c>
      <c r="S38" s="64">
        <f t="shared" si="28"/>
        <v>1.2379603399433428</v>
      </c>
      <c r="T38" s="64">
        <f t="shared" si="29"/>
        <v>0.87683694891532538</v>
      </c>
      <c r="U38" s="64">
        <f t="shared" si="30"/>
        <v>0.88743994509265611</v>
      </c>
      <c r="V38" s="64">
        <f t="shared" si="31"/>
        <v>1.1473214285714286</v>
      </c>
    </row>
    <row r="39" spans="1:22">
      <c r="A39" s="57" t="s">
        <v>2028</v>
      </c>
      <c r="B39" s="147" t="str">
        <f>IFERROR(((B32/B21)^(1/11)-1)*100,"n.a.")</f>
        <v>n.a.</v>
      </c>
      <c r="C39" s="147" t="str">
        <f t="shared" ref="C39:N39" si="34">IFERROR(((C32/C21)^(1/11)-1)*100,"n.a.")</f>
        <v>n.a.</v>
      </c>
      <c r="D39" s="147" t="str">
        <f t="shared" si="34"/>
        <v>n.a.</v>
      </c>
      <c r="E39" s="147" t="str">
        <f t="shared" si="34"/>
        <v>n.a.</v>
      </c>
      <c r="F39" s="147" t="str">
        <f t="shared" si="34"/>
        <v>n.a.</v>
      </c>
      <c r="G39" s="147" t="str">
        <f t="shared" si="34"/>
        <v>n.a.</v>
      </c>
      <c r="H39" s="147">
        <f t="shared" si="34"/>
        <v>1.7125877834028191</v>
      </c>
      <c r="I39" s="147" t="str">
        <f t="shared" si="34"/>
        <v>n.a.</v>
      </c>
      <c r="J39" s="147">
        <f t="shared" si="34"/>
        <v>-2.0472592219857977</v>
      </c>
      <c r="K39" s="147">
        <f t="shared" si="34"/>
        <v>1.4821944824527034</v>
      </c>
      <c r="L39" s="147" t="str">
        <f t="shared" si="34"/>
        <v>n.a.</v>
      </c>
      <c r="M39" s="147" t="str">
        <f t="shared" si="34"/>
        <v>n.a.</v>
      </c>
      <c r="N39" s="147" t="str">
        <f t="shared" si="34"/>
        <v>n.a.</v>
      </c>
      <c r="Q39" s="56" t="s">
        <v>1859</v>
      </c>
      <c r="R39" s="64">
        <f t="shared" si="27"/>
        <v>1.0124029900490406</v>
      </c>
      <c r="S39" s="64">
        <f t="shared" si="28"/>
        <v>0.92906178489702518</v>
      </c>
      <c r="T39" s="64">
        <f t="shared" si="29"/>
        <v>0.95690343176376691</v>
      </c>
      <c r="U39" s="64">
        <f t="shared" si="30"/>
        <v>0.89868522815158547</v>
      </c>
      <c r="V39" s="64">
        <f t="shared" si="31"/>
        <v>1.4902723735408561</v>
      </c>
    </row>
    <row r="40" spans="1:22">
      <c r="A40" s="57"/>
      <c r="B40" s="147"/>
      <c r="C40" s="147"/>
      <c r="D40" s="147"/>
      <c r="E40" s="56"/>
      <c r="F40" s="56"/>
      <c r="G40" s="56"/>
      <c r="H40" s="147"/>
      <c r="I40" s="56"/>
      <c r="J40" s="147"/>
      <c r="K40" s="147"/>
      <c r="L40" s="56"/>
      <c r="M40" s="56"/>
      <c r="N40" s="56"/>
      <c r="Q40" s="56" t="s">
        <v>1860</v>
      </c>
      <c r="R40" s="64">
        <f t="shared" si="27"/>
        <v>1.0121393467679356</v>
      </c>
      <c r="S40" s="64">
        <f t="shared" si="28"/>
        <v>0.89819376026272579</v>
      </c>
      <c r="T40" s="64">
        <f t="shared" si="29"/>
        <v>0.94412010008340286</v>
      </c>
      <c r="U40" s="64">
        <f t="shared" si="30"/>
        <v>0.78915662650602414</v>
      </c>
      <c r="V40" s="64">
        <f t="shared" si="31"/>
        <v>0.63446475195822449</v>
      </c>
    </row>
    <row r="41" spans="1:22">
      <c r="A41" s="64" t="s">
        <v>503</v>
      </c>
      <c r="Q41" s="56" t="s">
        <v>1846</v>
      </c>
      <c r="R41" s="64">
        <f t="shared" si="27"/>
        <v>0.99763029046366158</v>
      </c>
      <c r="S41" s="64">
        <f t="shared" si="28"/>
        <v>0.91042047531992687</v>
      </c>
      <c r="T41" s="64">
        <f t="shared" si="29"/>
        <v>0.74381625441696109</v>
      </c>
      <c r="U41" s="64">
        <f t="shared" si="30"/>
        <v>1.3031624863685933</v>
      </c>
      <c r="V41" s="64">
        <f t="shared" si="31"/>
        <v>1.1399176954732511</v>
      </c>
    </row>
    <row r="42" spans="1:22">
      <c r="A42" s="64" t="s">
        <v>193</v>
      </c>
      <c r="Q42" s="56" t="s">
        <v>1847</v>
      </c>
      <c r="R42" s="64">
        <f t="shared" si="27"/>
        <v>1.0045294442988968</v>
      </c>
      <c r="S42" s="64">
        <f t="shared" si="28"/>
        <v>0.99297188755020083</v>
      </c>
      <c r="T42" s="64">
        <f t="shared" si="29"/>
        <v>1.013064133016627</v>
      </c>
      <c r="U42" s="64">
        <f t="shared" si="30"/>
        <v>1.0845188284518827</v>
      </c>
      <c r="V42" s="64">
        <f t="shared" si="31"/>
        <v>0.98916967509025266</v>
      </c>
    </row>
    <row r="43" spans="1:22">
      <c r="A43" s="104" t="s">
        <v>679</v>
      </c>
      <c r="B43" s="104"/>
      <c r="C43" s="104"/>
      <c r="D43" s="104"/>
      <c r="E43" s="104"/>
      <c r="F43" s="104"/>
      <c r="G43" s="104"/>
      <c r="H43" s="104"/>
      <c r="I43" s="104"/>
      <c r="J43" s="104"/>
      <c r="K43" s="104"/>
      <c r="L43" s="104"/>
      <c r="M43" s="104"/>
      <c r="N43" s="104"/>
      <c r="Q43" s="56" t="s">
        <v>1848</v>
      </c>
      <c r="R43" s="64">
        <f t="shared" si="27"/>
        <v>1.0037439942507085</v>
      </c>
      <c r="S43" s="64">
        <f t="shared" si="28"/>
        <v>0.83518705763397372</v>
      </c>
      <c r="T43" s="64" t="e">
        <f t="shared" si="29"/>
        <v>#VALUE!</v>
      </c>
      <c r="U43" s="64">
        <f t="shared" si="30"/>
        <v>1.037037037037037</v>
      </c>
      <c r="V43" s="64">
        <f t="shared" si="31"/>
        <v>1.0291970802919708</v>
      </c>
    </row>
    <row r="44" spans="1:22" ht="35.25" customHeight="1">
      <c r="A44" s="104" t="s">
        <v>680</v>
      </c>
      <c r="B44" s="104"/>
      <c r="C44" s="104"/>
      <c r="D44" s="104"/>
      <c r="E44" s="104"/>
      <c r="F44" s="104"/>
      <c r="G44" s="104"/>
      <c r="H44" s="104"/>
      <c r="I44" s="104"/>
      <c r="J44" s="104"/>
      <c r="K44" s="104"/>
      <c r="L44" s="104"/>
      <c r="M44" s="104"/>
      <c r="N44" s="104"/>
      <c r="Q44" s="56" t="s">
        <v>1849</v>
      </c>
      <c r="R44" s="64">
        <f t="shared" si="27"/>
        <v>1.0113171159831167</v>
      </c>
      <c r="S44" s="64">
        <f t="shared" si="28"/>
        <v>1.0351089588377724</v>
      </c>
      <c r="T44" s="64" t="e">
        <f t="shared" si="29"/>
        <v>#VALUE!</v>
      </c>
      <c r="U44" s="64">
        <f t="shared" si="30"/>
        <v>1.0453869047619047</v>
      </c>
      <c r="V44" s="64">
        <f t="shared" si="31"/>
        <v>1.0638297872340425</v>
      </c>
    </row>
    <row r="45" spans="1:22" ht="35.25" customHeight="1">
      <c r="A45" s="104" t="s">
        <v>681</v>
      </c>
      <c r="B45" s="104"/>
      <c r="C45" s="104"/>
      <c r="D45" s="104"/>
      <c r="E45" s="104"/>
      <c r="F45" s="104"/>
      <c r="G45" s="104"/>
      <c r="H45" s="104"/>
      <c r="I45" s="104"/>
      <c r="J45" s="104"/>
      <c r="K45" s="104"/>
      <c r="L45" s="104"/>
      <c r="M45" s="104"/>
      <c r="N45" s="104"/>
      <c r="Q45" s="56" t="s">
        <v>1850</v>
      </c>
      <c r="R45" s="64">
        <f t="shared" si="27"/>
        <v>1.0200686272830561</v>
      </c>
      <c r="S45" s="64">
        <f t="shared" si="28"/>
        <v>1.2736842105263158</v>
      </c>
      <c r="T45" s="64">
        <f t="shared" si="29"/>
        <v>0.95434298440979959</v>
      </c>
      <c r="U45" s="64">
        <f t="shared" si="30"/>
        <v>0.89181494661921712</v>
      </c>
      <c r="V45" s="64">
        <f t="shared" si="31"/>
        <v>1.1499999999999999</v>
      </c>
    </row>
    <row r="46" spans="1:22" ht="35.25" customHeight="1">
      <c r="A46" s="104" t="s">
        <v>851</v>
      </c>
      <c r="B46" s="104"/>
      <c r="C46" s="104"/>
      <c r="D46" s="104"/>
      <c r="E46" s="104"/>
      <c r="F46" s="104"/>
      <c r="G46" s="104"/>
      <c r="H46" s="104"/>
      <c r="I46" s="104"/>
      <c r="J46" s="104"/>
      <c r="K46" s="104"/>
      <c r="L46" s="104"/>
      <c r="M46" s="104"/>
      <c r="N46" s="104"/>
      <c r="Q46" s="56" t="s">
        <v>1851</v>
      </c>
      <c r="R46" s="64">
        <f t="shared" si="27"/>
        <v>1.0018750279854922</v>
      </c>
      <c r="S46" s="64">
        <f t="shared" si="28"/>
        <v>0.71441689623507809</v>
      </c>
      <c r="T46" s="64">
        <f t="shared" si="29"/>
        <v>1.1691948658109685</v>
      </c>
      <c r="U46" s="64" t="e">
        <f t="shared" si="30"/>
        <v>#VALUE!</v>
      </c>
      <c r="V46" s="64">
        <f t="shared" si="31"/>
        <v>0.86086956521739133</v>
      </c>
    </row>
    <row r="47" spans="1:22">
      <c r="Q47" s="56" t="s">
        <v>1852</v>
      </c>
      <c r="R47" s="64">
        <f>W18/W17</f>
        <v>1.0268157922669958</v>
      </c>
      <c r="S47" s="64">
        <f t="shared" si="28"/>
        <v>1.0167095115681235</v>
      </c>
      <c r="T47" s="64">
        <f t="shared" si="29"/>
        <v>1.2714570858283434</v>
      </c>
      <c r="U47" s="64" t="e">
        <f t="shared" si="30"/>
        <v>#VALUE!</v>
      </c>
      <c r="V47" s="64">
        <f t="shared" si="31"/>
        <v>1.0740740740740742</v>
      </c>
    </row>
    <row r="48" spans="1:22">
      <c r="Q48" s="56" t="s">
        <v>1837</v>
      </c>
      <c r="R48" s="64">
        <f>Q19/Q18</f>
        <v>1.0372051451055586</v>
      </c>
      <c r="S48" s="64">
        <f t="shared" ref="S48:V48" si="35">R19/R18</f>
        <v>0.6843702579666161</v>
      </c>
      <c r="T48" s="64">
        <f t="shared" si="35"/>
        <v>1.2683469236471459</v>
      </c>
      <c r="U48" s="64" t="e">
        <f t="shared" si="35"/>
        <v>#VALUE!</v>
      </c>
      <c r="V48" s="64" t="e">
        <f t="shared" si="35"/>
        <v>#VALUE!</v>
      </c>
    </row>
    <row r="49" spans="1:22">
      <c r="A49" s="104"/>
      <c r="B49" s="104"/>
      <c r="C49" s="104"/>
      <c r="D49" s="104"/>
      <c r="E49" s="104"/>
      <c r="F49" s="104"/>
      <c r="G49" s="104"/>
      <c r="H49" s="104"/>
      <c r="I49" s="104"/>
      <c r="J49" s="104"/>
      <c r="K49" s="104"/>
      <c r="L49" s="104"/>
      <c r="M49" s="104"/>
      <c r="N49" s="104"/>
      <c r="Q49" s="56" t="s">
        <v>1827</v>
      </c>
      <c r="R49" s="64">
        <f t="shared" ref="R49:V49" si="36">Q20/Q19</f>
        <v>1.0577125828643503</v>
      </c>
      <c r="S49" s="64">
        <f t="shared" si="36"/>
        <v>2.458980044345898</v>
      </c>
      <c r="T49" s="64">
        <f t="shared" si="36"/>
        <v>0.84804208065458797</v>
      </c>
      <c r="U49" s="64" t="e">
        <f t="shared" si="36"/>
        <v>#VALUE!</v>
      </c>
      <c r="V49" s="64" t="e">
        <f t="shared" si="36"/>
        <v>#VALUE!</v>
      </c>
    </row>
    <row r="50" spans="1:22" ht="30" customHeight="1">
      <c r="A50" s="104"/>
      <c r="B50" s="104"/>
      <c r="C50" s="104"/>
      <c r="D50" s="104"/>
      <c r="E50" s="104"/>
      <c r="F50" s="104"/>
      <c r="G50" s="104"/>
      <c r="H50" s="104"/>
      <c r="I50" s="104"/>
      <c r="J50" s="104"/>
      <c r="K50" s="104"/>
      <c r="L50" s="104"/>
      <c r="M50" s="104"/>
      <c r="N50" s="104"/>
      <c r="Q50" s="56" t="s">
        <v>1828</v>
      </c>
      <c r="R50" s="64">
        <f t="shared" ref="R50:V50" si="37">Q21/Q20</f>
        <v>1.0345278029375486</v>
      </c>
      <c r="S50" s="64">
        <f t="shared" si="37"/>
        <v>1.0748422001803426</v>
      </c>
      <c r="T50" s="64">
        <f t="shared" si="37"/>
        <v>1.0434183321847004</v>
      </c>
      <c r="U50" s="64" t="e">
        <f t="shared" si="37"/>
        <v>#VALUE!</v>
      </c>
      <c r="V50" s="64" t="e">
        <f t="shared" si="37"/>
        <v>#VALUE!</v>
      </c>
    </row>
    <row r="51" spans="1:22" ht="30" customHeight="1">
      <c r="A51" s="104"/>
      <c r="B51" s="104"/>
      <c r="C51" s="104"/>
      <c r="D51" s="104"/>
      <c r="E51" s="104"/>
      <c r="F51" s="104"/>
      <c r="G51" s="104"/>
      <c r="H51" s="104"/>
      <c r="I51" s="104"/>
      <c r="J51" s="104"/>
      <c r="K51" s="104"/>
      <c r="L51" s="104"/>
      <c r="M51" s="104"/>
      <c r="N51" s="104"/>
      <c r="Q51" s="148" t="s">
        <v>1829</v>
      </c>
      <c r="R51" s="64">
        <f t="shared" ref="R51:V51" si="38">Q22/Q21</f>
        <v>1.0352584549458188</v>
      </c>
      <c r="S51" s="64">
        <f t="shared" si="38"/>
        <v>1.155201342281879</v>
      </c>
      <c r="T51" s="64">
        <f t="shared" si="38"/>
        <v>0.9616908850726551</v>
      </c>
      <c r="U51" s="64" t="e">
        <f t="shared" si="38"/>
        <v>#VALUE!</v>
      </c>
      <c r="V51" s="64" t="e">
        <f t="shared" si="38"/>
        <v>#VALUE!</v>
      </c>
    </row>
    <row r="52" spans="1:22" ht="30" customHeight="1">
      <c r="A52" s="104"/>
      <c r="B52" s="104"/>
      <c r="C52" s="104"/>
      <c r="D52" s="104"/>
      <c r="E52" s="104"/>
      <c r="F52" s="104"/>
      <c r="G52" s="104"/>
      <c r="H52" s="104"/>
      <c r="I52" s="104"/>
      <c r="J52" s="104"/>
      <c r="K52" s="104"/>
      <c r="L52" s="104"/>
      <c r="M52" s="104"/>
      <c r="N52" s="104"/>
      <c r="Q52" s="148" t="s">
        <v>1830</v>
      </c>
      <c r="R52" s="64">
        <f t="shared" ref="R52:V52" si="39">Q23/Q22</f>
        <v>1.041583973277463</v>
      </c>
      <c r="S52" s="64">
        <f t="shared" si="39"/>
        <v>1.0900508351488745</v>
      </c>
      <c r="T52" s="64">
        <f t="shared" si="39"/>
        <v>1.3626373626373627</v>
      </c>
      <c r="U52" s="64" t="e">
        <f t="shared" si="39"/>
        <v>#VALUE!</v>
      </c>
      <c r="V52" s="64" t="e">
        <f t="shared" si="39"/>
        <v>#VALUE!</v>
      </c>
    </row>
    <row r="53" spans="1:22">
      <c r="Q53" s="148" t="s">
        <v>1831</v>
      </c>
      <c r="R53" s="64">
        <f t="shared" ref="R53:V53" si="40">Q24/Q23</f>
        <v>1.0181768478775317</v>
      </c>
      <c r="S53" s="64">
        <f t="shared" si="40"/>
        <v>0.92071952031978677</v>
      </c>
      <c r="T53" s="64">
        <f t="shared" si="40"/>
        <v>1.0246975806451613</v>
      </c>
      <c r="U53" s="64" t="e">
        <f t="shared" si="40"/>
        <v>#VALUE!</v>
      </c>
      <c r="V53" s="64" t="e">
        <f t="shared" si="40"/>
        <v>#VALUE!</v>
      </c>
    </row>
    <row r="54" spans="1:22">
      <c r="Q54" s="148" t="s">
        <v>1832</v>
      </c>
      <c r="R54" s="64">
        <f t="shared" ref="R54:V54" si="41">Q25/Q24</f>
        <v>1.0118414567195759</v>
      </c>
      <c r="S54" s="64">
        <f t="shared" si="41"/>
        <v>0.93125904486251809</v>
      </c>
      <c r="T54" s="64">
        <f t="shared" si="41"/>
        <v>1.0211510083620265</v>
      </c>
      <c r="U54" s="64" t="e">
        <f t="shared" si="41"/>
        <v>#VALUE!</v>
      </c>
      <c r="V54" s="64" t="e">
        <f t="shared" si="41"/>
        <v>#VALUE!</v>
      </c>
    </row>
    <row r="55" spans="1:22">
      <c r="Q55" s="148" t="s">
        <v>1833</v>
      </c>
      <c r="R55" s="64">
        <f t="shared" ref="R55:V55" si="42">Q26/Q25</f>
        <v>1.0135563282667068</v>
      </c>
      <c r="S55" s="64">
        <f t="shared" si="42"/>
        <v>0.98368298368298368</v>
      </c>
      <c r="T55" s="64">
        <f t="shared" si="42"/>
        <v>1.014932562620424</v>
      </c>
      <c r="U55" s="64" t="e">
        <f t="shared" si="42"/>
        <v>#VALUE!</v>
      </c>
      <c r="V55" s="64" t="e">
        <f t="shared" si="42"/>
        <v>#VALUE!</v>
      </c>
    </row>
    <row r="56" spans="1:22">
      <c r="Q56" s="148" t="s">
        <v>1834</v>
      </c>
      <c r="R56" s="64">
        <f t="shared" ref="R56:V56" si="43">Q27/Q26</f>
        <v>1.007107551040344</v>
      </c>
      <c r="S56" s="64">
        <f t="shared" si="43"/>
        <v>0.87045813586097953</v>
      </c>
      <c r="T56" s="64">
        <f t="shared" si="43"/>
        <v>0.92168960607498818</v>
      </c>
      <c r="U56" s="64" t="e">
        <f t="shared" si="43"/>
        <v>#VALUE!</v>
      </c>
      <c r="V56" s="64" t="e">
        <f t="shared" si="43"/>
        <v>#VALUE!</v>
      </c>
    </row>
    <row r="57" spans="1:22">
      <c r="Q57" s="148" t="s">
        <v>1839</v>
      </c>
      <c r="R57" s="64">
        <f t="shared" ref="R57:V57" si="44">Q28/Q27</f>
        <v>1.0171138804395059</v>
      </c>
      <c r="S57" s="64">
        <f t="shared" si="44"/>
        <v>0.93194192377495466</v>
      </c>
      <c r="T57" s="64">
        <f t="shared" si="44"/>
        <v>0.93357363542739458</v>
      </c>
      <c r="U57" s="64" t="e">
        <f t="shared" si="44"/>
        <v>#VALUE!</v>
      </c>
      <c r="V57" s="64" t="e">
        <f t="shared" si="44"/>
        <v>#VALUE!</v>
      </c>
    </row>
    <row r="58" spans="1:22">
      <c r="Q58" s="148" t="s">
        <v>1835</v>
      </c>
      <c r="R58" s="64">
        <f t="shared" ref="R58:V58" si="45">Q29/Q28</f>
        <v>1.0235700253666724</v>
      </c>
      <c r="S58" s="64">
        <f t="shared" si="45"/>
        <v>1.0535540408958131</v>
      </c>
      <c r="T58" s="64">
        <f t="shared" si="45"/>
        <v>0.94263651406508542</v>
      </c>
      <c r="U58" s="64" t="e">
        <f t="shared" si="45"/>
        <v>#VALUE!</v>
      </c>
      <c r="V58" s="64" t="e">
        <f t="shared" si="45"/>
        <v>#VALUE!</v>
      </c>
    </row>
    <row r="59" spans="1:22">
      <c r="Q59" s="148" t="s">
        <v>1836</v>
      </c>
      <c r="R59" s="64">
        <f>Q30/Q29</f>
        <v>0.99987701893908332</v>
      </c>
      <c r="S59" s="64">
        <f t="shared" ref="S59:V59" si="46">R30/R29</f>
        <v>0.8105360443622921</v>
      </c>
      <c r="T59" s="64">
        <f t="shared" si="46"/>
        <v>0.94909303686366286</v>
      </c>
      <c r="U59" s="64" t="e">
        <f t="shared" si="46"/>
        <v>#VALUE!</v>
      </c>
      <c r="V59" s="64" t="e">
        <f t="shared" si="46"/>
        <v>#VALUE!</v>
      </c>
    </row>
  </sheetData>
  <mergeCells count="11">
    <mergeCell ref="A52:N52"/>
    <mergeCell ref="A51:N51"/>
    <mergeCell ref="A1:N1"/>
    <mergeCell ref="B2:G2"/>
    <mergeCell ref="H2:N2"/>
    <mergeCell ref="A49:N49"/>
    <mergeCell ref="A50:N50"/>
    <mergeCell ref="A43:N43"/>
    <mergeCell ref="A44:N44"/>
    <mergeCell ref="A45:N45"/>
    <mergeCell ref="A46:N46"/>
  </mergeCells>
  <pageMargins left="0.7" right="0.7" top="0.75" bottom="0.75" header="0.3" footer="0.3"/>
  <pageSetup scale="51" orientation="landscape" horizontalDpi="0" verticalDpi="0" r:id="rId1"/>
  <rowBreaks count="1" manualBreakCount="1">
    <brk id="53" max="13" man="1"/>
  </rowBreaks>
</worksheet>
</file>

<file path=xl/worksheets/sheet163.xml><?xml version="1.0" encoding="utf-8"?>
<worksheet xmlns="http://schemas.openxmlformats.org/spreadsheetml/2006/main" xmlns:r="http://schemas.openxmlformats.org/officeDocument/2006/relationships">
  <sheetPr codeName="Sheet157"/>
  <dimension ref="A1:AF59"/>
  <sheetViews>
    <sheetView view="pageBreakPre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4" width="12" style="64" customWidth="1"/>
    <col min="15" max="15" width="9.140625" style="64"/>
    <col min="16" max="16" width="12.28515625" style="64" hidden="1" customWidth="1" outlineLevel="1"/>
    <col min="17" max="19" width="10.28515625" style="64" hidden="1" customWidth="1" outlineLevel="1"/>
    <col min="20" max="20" width="9.28515625" style="64" hidden="1" customWidth="1" outlineLevel="1"/>
    <col min="21" max="31" width="9.140625" style="64" hidden="1" customWidth="1" outlineLevel="1"/>
    <col min="32" max="32" width="9.140625" style="64" collapsed="1"/>
    <col min="33" max="16384" width="9.140625" style="64"/>
  </cols>
  <sheetData>
    <row r="1" spans="1:31">
      <c r="A1" s="66" t="s">
        <v>2087</v>
      </c>
    </row>
    <row r="2" spans="1:31">
      <c r="B2" s="107" t="s">
        <v>206</v>
      </c>
      <c r="C2" s="107"/>
      <c r="D2" s="107"/>
      <c r="E2" s="107"/>
      <c r="F2" s="107"/>
      <c r="G2" s="107"/>
      <c r="H2" s="107" t="s">
        <v>2106</v>
      </c>
      <c r="I2" s="107"/>
      <c r="J2" s="107"/>
      <c r="K2" s="107"/>
      <c r="L2" s="107"/>
      <c r="M2" s="107"/>
      <c r="N2" s="107"/>
    </row>
    <row r="3" spans="1:31" ht="75">
      <c r="B3" s="73" t="s">
        <v>7</v>
      </c>
      <c r="C3" s="73" t="s">
        <v>0</v>
      </c>
      <c r="D3" s="73" t="s">
        <v>1</v>
      </c>
      <c r="E3" s="73" t="s">
        <v>678</v>
      </c>
      <c r="F3" s="73" t="s">
        <v>13</v>
      </c>
      <c r="G3" s="73" t="s">
        <v>19</v>
      </c>
      <c r="H3" s="73" t="s">
        <v>7</v>
      </c>
      <c r="I3" s="73" t="s">
        <v>37</v>
      </c>
      <c r="J3" s="73" t="s">
        <v>0</v>
      </c>
      <c r="K3" s="73" t="s">
        <v>1</v>
      </c>
      <c r="L3" s="73" t="s">
        <v>678</v>
      </c>
      <c r="M3" s="73" t="s">
        <v>13</v>
      </c>
      <c r="N3" s="73" t="s">
        <v>19</v>
      </c>
      <c r="P3" s="64" t="s">
        <v>236</v>
      </c>
      <c r="Q3" s="64" t="s">
        <v>237</v>
      </c>
      <c r="R3" s="64" t="s">
        <v>238</v>
      </c>
      <c r="S3" s="64" t="s">
        <v>239</v>
      </c>
      <c r="T3" s="64" t="s">
        <v>240</v>
      </c>
      <c r="V3" s="64" t="s">
        <v>231</v>
      </c>
      <c r="X3" s="64" t="s">
        <v>232</v>
      </c>
      <c r="Z3" s="64" t="s">
        <v>233</v>
      </c>
      <c r="AB3" s="64" t="s">
        <v>234</v>
      </c>
      <c r="AD3" s="64" t="s">
        <v>235</v>
      </c>
    </row>
    <row r="4" spans="1:31" hidden="1" outlineLevel="1">
      <c r="J4" s="56" t="e">
        <f t="shared" ref="J4:K4" si="0">J5*(1/R34)</f>
        <v>#VALUE!</v>
      </c>
      <c r="K4" s="56" t="e">
        <f t="shared" si="0"/>
        <v>#VALUE!</v>
      </c>
      <c r="P4" s="64" t="s">
        <v>246</v>
      </c>
      <c r="Q4" s="64" t="s">
        <v>247</v>
      </c>
      <c r="R4" s="64" t="s">
        <v>248</v>
      </c>
      <c r="S4" s="64" t="s">
        <v>249</v>
      </c>
      <c r="T4" s="64" t="s">
        <v>250</v>
      </c>
      <c r="V4" s="64" t="s">
        <v>241</v>
      </c>
      <c r="X4" s="64" t="s">
        <v>242</v>
      </c>
      <c r="Z4" s="64" t="s">
        <v>243</v>
      </c>
      <c r="AB4" s="64" t="s">
        <v>244</v>
      </c>
      <c r="AD4" s="64" t="s">
        <v>245</v>
      </c>
    </row>
    <row r="5" spans="1:31" collapsed="1">
      <c r="A5" s="64">
        <v>1984</v>
      </c>
      <c r="B5" s="56">
        <v>8369.5</v>
      </c>
      <c r="C5" s="56">
        <v>226.7</v>
      </c>
      <c r="D5" s="56" t="s">
        <v>188</v>
      </c>
      <c r="E5" s="56">
        <f>SUM(F5:G5)</f>
        <v>236.1</v>
      </c>
      <c r="F5" s="56">
        <v>226.5</v>
      </c>
      <c r="G5" s="56">
        <v>9.6</v>
      </c>
      <c r="H5" s="56">
        <f t="shared" ref="H5:H26" si="1">H6*(1/Q35)</f>
        <v>14773.888865161534</v>
      </c>
      <c r="I5" s="56" t="s">
        <v>22</v>
      </c>
      <c r="J5" s="56">
        <f t="shared" ref="J5:K5" si="2">J6*(1/R35)</f>
        <v>194.53553571300247</v>
      </c>
      <c r="K5" s="56">
        <f t="shared" si="2"/>
        <v>601.73777394902959</v>
      </c>
      <c r="L5" s="56" t="s">
        <v>22</v>
      </c>
      <c r="M5" s="56" t="s">
        <v>22</v>
      </c>
      <c r="N5" s="56" t="s">
        <v>22</v>
      </c>
      <c r="V5" s="64">
        <v>11657500000</v>
      </c>
      <c r="W5" s="64">
        <f t="shared" ref="W5:Y17" si="3">V5/V6</f>
        <v>0.9580850626669406</v>
      </c>
      <c r="X5" s="64">
        <v>565400000</v>
      </c>
      <c r="Y5" s="64">
        <f t="shared" si="3"/>
        <v>1.2374699058875027</v>
      </c>
      <c r="Z5" s="64" t="s">
        <v>188</v>
      </c>
      <c r="AA5" s="64" t="e">
        <f>Z5/Z6</f>
        <v>#VALUE!</v>
      </c>
      <c r="AB5" s="64">
        <v>292200000</v>
      </c>
      <c r="AC5" s="64">
        <f t="shared" ref="AC5:AC18" si="4">AB5/AB6</f>
        <v>0.84062140391254314</v>
      </c>
      <c r="AD5" s="64">
        <v>22900000</v>
      </c>
      <c r="AE5" s="64">
        <f t="shared" ref="AE5:AE18" si="5">AD5/AD6</f>
        <v>1.0177777777777777</v>
      </c>
    </row>
    <row r="6" spans="1:31">
      <c r="A6" s="64">
        <v>1985</v>
      </c>
      <c r="B6" s="56">
        <v>8865.7000000000007</v>
      </c>
      <c r="C6" s="56">
        <v>165.9</v>
      </c>
      <c r="D6" s="56">
        <v>97.9</v>
      </c>
      <c r="E6" s="56">
        <f t="shared" ref="E6:E25" si="6">SUM(F6:G6)</f>
        <v>251.3</v>
      </c>
      <c r="F6" s="56">
        <v>240.9</v>
      </c>
      <c r="G6" s="56">
        <v>10.4</v>
      </c>
      <c r="H6" s="56">
        <f t="shared" si="1"/>
        <v>15420.226700995321</v>
      </c>
      <c r="I6" s="56" t="s">
        <v>22</v>
      </c>
      <c r="J6" s="56">
        <f t="shared" ref="J6:K6" si="7">J7*(1/R36)</f>
        <v>193.72875509993827</v>
      </c>
      <c r="K6" s="56">
        <f t="shared" si="7"/>
        <v>486.26457183818826</v>
      </c>
      <c r="L6" s="56" t="s">
        <v>22</v>
      </c>
      <c r="M6" s="56" t="s">
        <v>22</v>
      </c>
      <c r="N6" s="56" t="s">
        <v>22</v>
      </c>
      <c r="V6" s="64">
        <v>12167500000</v>
      </c>
      <c r="W6" s="64">
        <f t="shared" si="3"/>
        <v>0.95411167831125954</v>
      </c>
      <c r="X6" s="64">
        <v>456900000</v>
      </c>
      <c r="Y6" s="64">
        <f t="shared" si="3"/>
        <v>1.0753118380795481</v>
      </c>
      <c r="Z6" s="64">
        <v>202100000</v>
      </c>
      <c r="AA6" s="64">
        <f>Z6/Z7</f>
        <v>0.85382340515420363</v>
      </c>
      <c r="AB6" s="64">
        <v>347600000</v>
      </c>
      <c r="AC6" s="64">
        <f t="shared" si="4"/>
        <v>0.93971343606380098</v>
      </c>
      <c r="AD6" s="64">
        <v>22500000</v>
      </c>
      <c r="AE6" s="64">
        <f t="shared" si="5"/>
        <v>1.1479591836734695</v>
      </c>
    </row>
    <row r="7" spans="1:31">
      <c r="A7" s="64">
        <v>1986</v>
      </c>
      <c r="B7" s="56">
        <v>9717.2999999999993</v>
      </c>
      <c r="C7" s="56">
        <v>159.30000000000001</v>
      </c>
      <c r="D7" s="56">
        <v>124</v>
      </c>
      <c r="E7" s="56">
        <f t="shared" si="6"/>
        <v>362.5</v>
      </c>
      <c r="F7" s="56">
        <v>352.5</v>
      </c>
      <c r="G7" s="56">
        <v>10</v>
      </c>
      <c r="H7" s="56">
        <f t="shared" si="1"/>
        <v>16161.867684387347</v>
      </c>
      <c r="I7" s="56" t="s">
        <v>22</v>
      </c>
      <c r="J7" s="56">
        <f t="shared" ref="J7:K7" si="8">J8*(1/R37)</f>
        <v>193.69173541943121</v>
      </c>
      <c r="K7" s="56">
        <f t="shared" si="8"/>
        <v>452.20795923406916</v>
      </c>
      <c r="L7" s="56" t="s">
        <v>22</v>
      </c>
      <c r="M7" s="56" t="s">
        <v>22</v>
      </c>
      <c r="N7" s="56" t="s">
        <v>22</v>
      </c>
      <c r="V7" s="64">
        <v>12752700000</v>
      </c>
      <c r="W7" s="64">
        <f t="shared" si="3"/>
        <v>0.95392935685112878</v>
      </c>
      <c r="X7" s="64">
        <v>424900000</v>
      </c>
      <c r="Y7" s="64">
        <f t="shared" si="3"/>
        <v>0.8885403596821414</v>
      </c>
      <c r="Z7" s="64">
        <v>236700000</v>
      </c>
      <c r="AA7" s="64">
        <f>Z7/Z8</f>
        <v>0.87666666666666671</v>
      </c>
      <c r="AB7" s="64">
        <v>369900000</v>
      </c>
      <c r="AC7" s="64">
        <f t="shared" si="4"/>
        <v>0.83442364087525378</v>
      </c>
      <c r="AD7" s="64">
        <v>19600000</v>
      </c>
      <c r="AE7" s="64">
        <f t="shared" si="5"/>
        <v>0.95609756097560972</v>
      </c>
    </row>
    <row r="8" spans="1:31">
      <c r="A8" s="64">
        <v>1987</v>
      </c>
      <c r="B8" s="56">
        <v>10758.3</v>
      </c>
      <c r="C8" s="56">
        <v>193</v>
      </c>
      <c r="D8" s="56">
        <v>154.30000000000001</v>
      </c>
      <c r="E8" s="56">
        <f t="shared" si="6"/>
        <v>581.5</v>
      </c>
      <c r="F8" s="56">
        <v>570.20000000000005</v>
      </c>
      <c r="G8" s="56">
        <v>11.3</v>
      </c>
      <c r="H8" s="56">
        <f t="shared" si="1"/>
        <v>16942.415670838385</v>
      </c>
      <c r="I8" s="56" t="s">
        <v>22</v>
      </c>
      <c r="J8" s="56">
        <f t="shared" ref="J8:K8" si="9">J9*(1/R38)</f>
        <v>198.60280014753033</v>
      </c>
      <c r="K8" s="56">
        <f t="shared" si="9"/>
        <v>508.9335046028051</v>
      </c>
      <c r="L8" s="56" t="s">
        <v>22</v>
      </c>
      <c r="M8" s="56" t="s">
        <v>22</v>
      </c>
      <c r="N8" s="56" t="s">
        <v>22</v>
      </c>
      <c r="V8" s="64">
        <v>13368600000</v>
      </c>
      <c r="W8" s="64">
        <f t="shared" si="3"/>
        <v>0.97811628876841017</v>
      </c>
      <c r="X8" s="64">
        <v>478200000</v>
      </c>
      <c r="Y8" s="64">
        <f t="shared" si="3"/>
        <v>0.83616016786151426</v>
      </c>
      <c r="Z8" s="64">
        <v>270000000</v>
      </c>
      <c r="AA8" s="64">
        <f>Z8/Z9</f>
        <v>0.83102493074792239</v>
      </c>
      <c r="AB8" s="64">
        <v>443300000</v>
      </c>
      <c r="AC8" s="64">
        <f t="shared" si="4"/>
        <v>1.1392958108455411</v>
      </c>
      <c r="AD8" s="64">
        <v>20500000</v>
      </c>
      <c r="AE8" s="64">
        <f t="shared" si="5"/>
        <v>0.80392156862745101</v>
      </c>
    </row>
    <row r="9" spans="1:31">
      <c r="A9" s="64">
        <v>1988</v>
      </c>
      <c r="B9" s="56">
        <v>11562.2</v>
      </c>
      <c r="C9" s="56">
        <v>258.60000000000002</v>
      </c>
      <c r="D9" s="56">
        <v>167.6</v>
      </c>
      <c r="E9" s="56">
        <f t="shared" si="6"/>
        <v>612.5</v>
      </c>
      <c r="F9" s="56">
        <v>598.20000000000005</v>
      </c>
      <c r="G9" s="56">
        <v>14.3</v>
      </c>
      <c r="H9" s="56">
        <f t="shared" si="1"/>
        <v>17321.473801618551</v>
      </c>
      <c r="I9" s="56" t="s">
        <v>22</v>
      </c>
      <c r="J9" s="56">
        <f t="shared" ref="J9:K9" si="10">J10*(1/R39)</f>
        <v>199.43762927698762</v>
      </c>
      <c r="K9" s="56">
        <f t="shared" si="10"/>
        <v>608.65552338424129</v>
      </c>
      <c r="L9" s="56" t="s">
        <v>22</v>
      </c>
      <c r="M9" s="56" t="s">
        <v>22</v>
      </c>
      <c r="N9" s="56" t="s">
        <v>22</v>
      </c>
      <c r="V9" s="64">
        <v>13667700000</v>
      </c>
      <c r="W9" s="64">
        <f t="shared" si="3"/>
        <v>0.98222781171397777</v>
      </c>
      <c r="X9" s="64">
        <v>571900000</v>
      </c>
      <c r="Y9" s="64">
        <f t="shared" si="3"/>
        <v>0.93280052193769369</v>
      </c>
      <c r="Z9" s="64">
        <v>324900000</v>
      </c>
      <c r="AA9" s="64">
        <f>Z9/Z12</f>
        <v>1.1866325785244705</v>
      </c>
      <c r="AB9" s="64">
        <v>389100000</v>
      </c>
      <c r="AC9" s="64">
        <f t="shared" si="4"/>
        <v>1.1239168110918545</v>
      </c>
      <c r="AD9" s="64">
        <v>25500000</v>
      </c>
      <c r="AE9" s="64">
        <f t="shared" si="5"/>
        <v>1.0079051383399209</v>
      </c>
    </row>
    <row r="10" spans="1:31">
      <c r="A10" s="64">
        <v>1989</v>
      </c>
      <c r="B10" s="56">
        <v>12110.2</v>
      </c>
      <c r="C10" s="56">
        <v>271.89999999999998</v>
      </c>
      <c r="D10" s="56" t="s">
        <v>188</v>
      </c>
      <c r="E10" s="56">
        <f t="shared" si="6"/>
        <v>515.9</v>
      </c>
      <c r="F10" s="56">
        <v>499.9</v>
      </c>
      <c r="G10" s="56">
        <v>16</v>
      </c>
      <c r="H10" s="56">
        <f t="shared" si="1"/>
        <v>17634.884285543445</v>
      </c>
      <c r="I10" s="56" t="s">
        <v>22</v>
      </c>
      <c r="J10" s="56">
        <f t="shared" ref="J10:K10" si="11">J11*(1/R40)</f>
        <v>203.22584374264977</v>
      </c>
      <c r="K10" s="56">
        <f t="shared" si="11"/>
        <v>652.50341211204477</v>
      </c>
      <c r="L10" s="56" t="s">
        <v>22</v>
      </c>
      <c r="M10" s="56" t="s">
        <v>22</v>
      </c>
      <c r="N10" s="56" t="s">
        <v>22</v>
      </c>
      <c r="V10" s="64">
        <v>13915000000</v>
      </c>
      <c r="W10" s="64">
        <f t="shared" si="3"/>
        <v>1.0008847202341991</v>
      </c>
      <c r="X10" s="64">
        <v>613100000</v>
      </c>
      <c r="Y10" s="64">
        <f t="shared" si="3"/>
        <v>1.1972271040812341</v>
      </c>
      <c r="Z10" s="64" t="s">
        <v>188</v>
      </c>
      <c r="AA10" s="64" t="e">
        <f t="shared" ref="AA10:AA18" si="12">Z10/Z11</f>
        <v>#VALUE!</v>
      </c>
      <c r="AB10" s="64">
        <v>346200000</v>
      </c>
      <c r="AC10" s="64">
        <f t="shared" si="4"/>
        <v>1.2355460385438972</v>
      </c>
      <c r="AD10" s="64">
        <v>25300000</v>
      </c>
      <c r="AE10" s="64">
        <f t="shared" si="5"/>
        <v>1.1048034934497817</v>
      </c>
    </row>
    <row r="11" spans="1:31">
      <c r="A11" s="64">
        <v>1990</v>
      </c>
      <c r="B11" s="56">
        <v>12512.8</v>
      </c>
      <c r="C11" s="56">
        <v>242.4</v>
      </c>
      <c r="D11" s="56" t="s">
        <v>188</v>
      </c>
      <c r="E11" s="56">
        <f t="shared" si="6"/>
        <v>390.59999999999997</v>
      </c>
      <c r="F11" s="56">
        <v>374.2</v>
      </c>
      <c r="G11" s="56">
        <v>16.399999999999999</v>
      </c>
      <c r="H11" s="56">
        <f t="shared" si="1"/>
        <v>17619.296137738042</v>
      </c>
      <c r="I11" s="56" t="s">
        <v>22</v>
      </c>
      <c r="J11" s="56">
        <f t="shared" ref="J11:K11" si="13">J12*(1/R41)</f>
        <v>203.62914465830798</v>
      </c>
      <c r="K11" s="56">
        <f t="shared" si="13"/>
        <v>545.01222858029382</v>
      </c>
      <c r="L11" s="56" t="s">
        <v>22</v>
      </c>
      <c r="M11" s="56" t="s">
        <v>22</v>
      </c>
      <c r="N11" s="56" t="s">
        <v>22</v>
      </c>
      <c r="V11" s="64">
        <v>13902700000</v>
      </c>
      <c r="W11" s="64">
        <f t="shared" si="3"/>
        <v>1.0028709721631117</v>
      </c>
      <c r="X11" s="64">
        <v>512100000</v>
      </c>
      <c r="Y11" s="64">
        <f t="shared" si="3"/>
        <v>1.3416295520041919</v>
      </c>
      <c r="Z11" s="64" t="s">
        <v>188</v>
      </c>
      <c r="AA11" s="64" t="e">
        <f t="shared" si="12"/>
        <v>#VALUE!</v>
      </c>
      <c r="AB11" s="64">
        <v>280200000</v>
      </c>
      <c r="AC11" s="64">
        <f t="shared" si="4"/>
        <v>0.91718494271685758</v>
      </c>
      <c r="AD11" s="64">
        <v>22900000</v>
      </c>
      <c r="AE11" s="64">
        <f t="shared" si="5"/>
        <v>0.80918727915194344</v>
      </c>
    </row>
    <row r="12" spans="1:31">
      <c r="A12" s="64">
        <v>1991</v>
      </c>
      <c r="B12" s="56">
        <v>12657.8</v>
      </c>
      <c r="C12" s="56">
        <v>185.2</v>
      </c>
      <c r="D12" s="56">
        <v>137.4</v>
      </c>
      <c r="E12" s="56">
        <f t="shared" si="6"/>
        <v>246.5</v>
      </c>
      <c r="F12" s="56">
        <v>225.1</v>
      </c>
      <c r="G12" s="56">
        <v>21.4</v>
      </c>
      <c r="H12" s="56">
        <f t="shared" si="1"/>
        <v>17568.856439961208</v>
      </c>
      <c r="I12" s="56" t="s">
        <v>22</v>
      </c>
      <c r="J12" s="56">
        <f t="shared" ref="J12:K12" si="14">J13*(1/R42)</f>
        <v>202.70842795177245</v>
      </c>
      <c r="K12" s="56">
        <f t="shared" si="14"/>
        <v>406.23153221850833</v>
      </c>
      <c r="L12" s="56" t="s">
        <v>22</v>
      </c>
      <c r="M12" s="56" t="s">
        <v>22</v>
      </c>
      <c r="N12" s="56" t="s">
        <v>22</v>
      </c>
      <c r="V12" s="64">
        <v>13862900000</v>
      </c>
      <c r="W12" s="64">
        <f t="shared" si="3"/>
        <v>0.99833645398242832</v>
      </c>
      <c r="X12" s="64">
        <v>381700000</v>
      </c>
      <c r="Y12" s="64">
        <f t="shared" si="3"/>
        <v>1.1704998466727998</v>
      </c>
      <c r="Z12" s="64">
        <v>273800000</v>
      </c>
      <c r="AA12" s="64">
        <f t="shared" si="12"/>
        <v>1.0559197840339376</v>
      </c>
      <c r="AB12" s="64">
        <v>305500000</v>
      </c>
      <c r="AC12" s="64">
        <f t="shared" si="4"/>
        <v>0.88371420306624238</v>
      </c>
      <c r="AD12" s="64">
        <v>28300000</v>
      </c>
      <c r="AE12" s="64">
        <f t="shared" si="5"/>
        <v>0.94648829431438131</v>
      </c>
    </row>
    <row r="13" spans="1:31">
      <c r="A13" s="64">
        <v>1992</v>
      </c>
      <c r="B13" s="56">
        <v>12866.4</v>
      </c>
      <c r="C13" s="56">
        <v>179.1</v>
      </c>
      <c r="D13" s="56">
        <v>148</v>
      </c>
      <c r="E13" s="56">
        <f t="shared" si="6"/>
        <v>220.4</v>
      </c>
      <c r="F13" s="56">
        <v>198.6</v>
      </c>
      <c r="G13" s="56">
        <v>21.8</v>
      </c>
      <c r="H13" s="56">
        <f t="shared" si="1"/>
        <v>17598.131741937206</v>
      </c>
      <c r="I13" s="56" t="s">
        <v>22</v>
      </c>
      <c r="J13" s="56">
        <f t="shared" ref="J13:K13" si="15">J14*(1/R43)</f>
        <v>201.06537908733543</v>
      </c>
      <c r="K13" s="56">
        <f t="shared" si="15"/>
        <v>347.05816781885136</v>
      </c>
      <c r="L13" s="56" t="s">
        <v>22</v>
      </c>
      <c r="M13" s="56" t="s">
        <v>22</v>
      </c>
      <c r="N13" s="56" t="s">
        <v>22</v>
      </c>
      <c r="V13" s="64">
        <v>13886000000</v>
      </c>
      <c r="W13" s="64">
        <f t="shared" si="3"/>
        <v>0.99024445902387537</v>
      </c>
      <c r="X13" s="64">
        <v>326100000</v>
      </c>
      <c r="Y13" s="64">
        <f t="shared" si="3"/>
        <v>1.2019904165130852</v>
      </c>
      <c r="Z13" s="64">
        <v>259300000</v>
      </c>
      <c r="AA13" s="64">
        <f t="shared" si="12"/>
        <v>1.0666392431098313</v>
      </c>
      <c r="AB13" s="64">
        <v>345700000</v>
      </c>
      <c r="AC13" s="64">
        <f t="shared" si="4"/>
        <v>0.83441950277576638</v>
      </c>
      <c r="AD13" s="64">
        <v>29900000</v>
      </c>
      <c r="AE13" s="64">
        <f t="shared" si="5"/>
        <v>0.91717791411042948</v>
      </c>
    </row>
    <row r="14" spans="1:31">
      <c r="A14" s="64">
        <v>1993</v>
      </c>
      <c r="B14" s="56">
        <v>13079.5</v>
      </c>
      <c r="C14" s="56">
        <v>181.4</v>
      </c>
      <c r="D14" s="56">
        <v>194.7</v>
      </c>
      <c r="E14" s="56">
        <f t="shared" si="6"/>
        <v>244.4</v>
      </c>
      <c r="F14" s="56">
        <v>220.8</v>
      </c>
      <c r="G14" s="56">
        <v>23.6</v>
      </c>
      <c r="H14" s="56">
        <f t="shared" si="1"/>
        <v>17771.502361431445</v>
      </c>
      <c r="I14" s="56" t="s">
        <v>22</v>
      </c>
      <c r="J14" s="56">
        <f t="shared" ref="J14:K14" si="16">J15*(1/R44)</f>
        <v>197.88005467151436</v>
      </c>
      <c r="K14" s="56">
        <f t="shared" si="16"/>
        <v>288.73621873429738</v>
      </c>
      <c r="L14" s="56" t="s">
        <v>22</v>
      </c>
      <c r="M14" s="56" t="s">
        <v>22</v>
      </c>
      <c r="N14" s="56" t="s">
        <v>22</v>
      </c>
      <c r="V14" s="64">
        <v>14022800000</v>
      </c>
      <c r="W14" s="64">
        <f t="shared" si="3"/>
        <v>0.97455677640403371</v>
      </c>
      <c r="X14" s="64">
        <v>271300000</v>
      </c>
      <c r="Y14" s="64">
        <f t="shared" si="3"/>
        <v>0.72930107526881716</v>
      </c>
      <c r="Z14" s="64">
        <v>243100000</v>
      </c>
      <c r="AA14" s="64">
        <f t="shared" si="12"/>
        <v>0.9357197844495766</v>
      </c>
      <c r="AB14" s="64">
        <v>414300000</v>
      </c>
      <c r="AC14" s="64">
        <f t="shared" si="4"/>
        <v>1.0722049689440993</v>
      </c>
      <c r="AD14" s="64">
        <v>32600000</v>
      </c>
      <c r="AE14" s="64">
        <f t="shared" si="5"/>
        <v>0.82741116751269039</v>
      </c>
    </row>
    <row r="15" spans="1:31">
      <c r="A15" s="64">
        <v>1994</v>
      </c>
      <c r="B15" s="56">
        <v>14037.3</v>
      </c>
      <c r="C15" s="56">
        <v>254</v>
      </c>
      <c r="D15" s="56">
        <v>277.8</v>
      </c>
      <c r="E15" s="56">
        <f t="shared" si="6"/>
        <v>362.59999999999997</v>
      </c>
      <c r="F15" s="56">
        <v>334.9</v>
      </c>
      <c r="G15" s="56">
        <v>27.7</v>
      </c>
      <c r="H15" s="56">
        <f t="shared" si="1"/>
        <v>18235.471541232917</v>
      </c>
      <c r="I15" s="56" t="s">
        <v>22</v>
      </c>
      <c r="J15" s="56">
        <f t="shared" ref="J15:K15" si="17">J16*(1/R45)</f>
        <v>196.83562741700402</v>
      </c>
      <c r="K15" s="56">
        <f t="shared" si="17"/>
        <v>395.90812152288476</v>
      </c>
      <c r="L15" s="56" t="s">
        <v>22</v>
      </c>
      <c r="M15" s="56" t="s">
        <v>22</v>
      </c>
      <c r="N15" s="56" t="s">
        <v>22</v>
      </c>
      <c r="V15" s="64">
        <v>14388900000</v>
      </c>
      <c r="W15" s="64">
        <f t="shared" si="3"/>
        <v>0.96941298533305487</v>
      </c>
      <c r="X15" s="64">
        <v>372000000</v>
      </c>
      <c r="Y15" s="64">
        <f t="shared" si="3"/>
        <v>0.97612175282078195</v>
      </c>
      <c r="Z15" s="64">
        <v>259800000</v>
      </c>
      <c r="AA15" s="64">
        <f t="shared" si="12"/>
        <v>1.0948166877370418</v>
      </c>
      <c r="AB15" s="64">
        <v>386400000</v>
      </c>
      <c r="AC15" s="64">
        <f t="shared" si="4"/>
        <v>0.72264821395174861</v>
      </c>
      <c r="AD15" s="64">
        <v>39400000</v>
      </c>
      <c r="AE15" s="64">
        <f t="shared" si="5"/>
        <v>0.85466377440347074</v>
      </c>
    </row>
    <row r="16" spans="1:31">
      <c r="A16" s="64">
        <v>1995</v>
      </c>
      <c r="B16" s="56">
        <v>15078.5</v>
      </c>
      <c r="C16" s="56">
        <v>297</v>
      </c>
      <c r="D16" s="56">
        <v>215.8</v>
      </c>
      <c r="E16" s="56">
        <f t="shared" si="6"/>
        <v>1083</v>
      </c>
      <c r="F16" s="56">
        <v>1051.2</v>
      </c>
      <c r="G16" s="56">
        <v>31.8</v>
      </c>
      <c r="H16" s="56">
        <f t="shared" si="1"/>
        <v>18810.838948033976</v>
      </c>
      <c r="I16" s="56" t="s">
        <v>22</v>
      </c>
      <c r="J16" s="56">
        <f t="shared" ref="J16:K16" si="18">J17*(1/R46)</f>
        <v>198.9762988876696</v>
      </c>
      <c r="K16" s="56">
        <f t="shared" si="18"/>
        <v>405.59297073218113</v>
      </c>
      <c r="L16" s="56" t="s">
        <v>22</v>
      </c>
      <c r="M16" s="56" t="s">
        <v>22</v>
      </c>
      <c r="N16" s="56" t="s">
        <v>22</v>
      </c>
      <c r="V16" s="64">
        <v>14842900000</v>
      </c>
      <c r="W16" s="64">
        <f t="shared" si="3"/>
        <v>0.97995576535833362</v>
      </c>
      <c r="X16" s="64">
        <v>381100000</v>
      </c>
      <c r="Y16" s="64">
        <f t="shared" si="3"/>
        <v>1.0489953206716212</v>
      </c>
      <c r="Z16" s="64">
        <v>237300000</v>
      </c>
      <c r="AA16" s="64">
        <f t="shared" si="12"/>
        <v>0.71909090909090911</v>
      </c>
      <c r="AB16" s="64">
        <v>534700000</v>
      </c>
      <c r="AC16" s="64">
        <f t="shared" si="4"/>
        <v>0.93137084131684378</v>
      </c>
      <c r="AD16" s="64">
        <v>46100000</v>
      </c>
      <c r="AE16" s="64">
        <f t="shared" si="5"/>
        <v>1.1216545012165451</v>
      </c>
    </row>
    <row r="17" spans="1:31">
      <c r="A17" s="64">
        <v>1996</v>
      </c>
      <c r="B17" s="56">
        <v>15301.3</v>
      </c>
      <c r="C17" s="56">
        <v>345.1</v>
      </c>
      <c r="D17" s="56">
        <v>336.4</v>
      </c>
      <c r="E17" s="56">
        <f t="shared" si="6"/>
        <v>718.9</v>
      </c>
      <c r="F17" s="56">
        <v>688.8</v>
      </c>
      <c r="G17" s="56">
        <v>30.1</v>
      </c>
      <c r="H17" s="56">
        <f t="shared" si="1"/>
        <v>19195.600059718559</v>
      </c>
      <c r="I17" s="56" t="s">
        <v>22</v>
      </c>
      <c r="J17" s="56">
        <f t="shared" ref="J17:K17" si="19">J18*(1/R47)</f>
        <v>201.40269800694989</v>
      </c>
      <c r="K17" s="56">
        <f t="shared" si="19"/>
        <v>386.64897997113991</v>
      </c>
      <c r="L17" s="56" t="s">
        <v>22</v>
      </c>
      <c r="M17" s="56" t="s">
        <v>22</v>
      </c>
      <c r="N17" s="56" t="s">
        <v>22</v>
      </c>
      <c r="V17" s="64">
        <v>15146500000</v>
      </c>
      <c r="W17" s="64">
        <f t="shared" si="3"/>
        <v>0.9919057504535006</v>
      </c>
      <c r="X17" s="64">
        <v>363300000</v>
      </c>
      <c r="Y17" s="64">
        <f t="shared" si="3"/>
        <v>1.2429011289770784</v>
      </c>
      <c r="Z17" s="64">
        <v>330000000</v>
      </c>
      <c r="AA17" s="64">
        <f t="shared" si="12"/>
        <v>0.78740157480314965</v>
      </c>
      <c r="AB17" s="64">
        <v>574100000</v>
      </c>
      <c r="AC17" s="64">
        <f t="shared" si="4"/>
        <v>1.0430595930232558</v>
      </c>
      <c r="AD17" s="64">
        <v>41100000</v>
      </c>
      <c r="AE17" s="64">
        <f t="shared" si="5"/>
        <v>1.2123893805309736</v>
      </c>
    </row>
    <row r="18" spans="1:31">
      <c r="A18" s="64">
        <v>1997</v>
      </c>
      <c r="B18" s="56">
        <v>15270.1</v>
      </c>
      <c r="C18" s="56">
        <v>292.3</v>
      </c>
      <c r="D18" s="56">
        <v>419.1</v>
      </c>
      <c r="E18" s="56">
        <f t="shared" si="6"/>
        <v>584.29999999999995</v>
      </c>
      <c r="F18" s="56">
        <v>550.4</v>
      </c>
      <c r="G18" s="56">
        <v>33.9</v>
      </c>
      <c r="H18" s="56">
        <f t="shared" si="1"/>
        <v>19352.24193522651</v>
      </c>
      <c r="I18" s="56" t="s">
        <v>22</v>
      </c>
      <c r="J18" s="56">
        <f t="shared" ref="J18:K18" si="20">J19*(1/R48)</f>
        <v>194.92011854951187</v>
      </c>
      <c r="K18" s="56">
        <f t="shared" si="20"/>
        <v>311.08587075575059</v>
      </c>
      <c r="L18" s="56" t="s">
        <v>22</v>
      </c>
      <c r="M18" s="56" t="s">
        <v>22</v>
      </c>
      <c r="N18" s="56" t="s">
        <v>22</v>
      </c>
      <c r="P18" s="56">
        <v>15937.4</v>
      </c>
      <c r="Q18" s="56">
        <v>241.9</v>
      </c>
      <c r="R18" s="56">
        <v>405.6</v>
      </c>
      <c r="S18" s="56">
        <v>457.5</v>
      </c>
      <c r="T18" s="56">
        <v>41.3</v>
      </c>
      <c r="V18" s="64">
        <v>15270100000</v>
      </c>
      <c r="W18" s="64">
        <f>V18/V19</f>
        <v>0.95997912829185184</v>
      </c>
      <c r="X18" s="64">
        <v>292300000</v>
      </c>
      <c r="Y18" s="64">
        <f>X18/X19</f>
        <v>1.016695652173913</v>
      </c>
      <c r="Z18" s="64">
        <v>419100000</v>
      </c>
      <c r="AA18" s="64">
        <f t="shared" si="12"/>
        <v>0.94158616041339027</v>
      </c>
      <c r="AB18" s="64">
        <v>550400000</v>
      </c>
      <c r="AC18" s="64">
        <f t="shared" si="4"/>
        <v>0.90960171872417783</v>
      </c>
      <c r="AD18" s="64">
        <v>33900000</v>
      </c>
      <c r="AE18" s="64">
        <f t="shared" si="5"/>
        <v>0.89210526315789473</v>
      </c>
    </row>
    <row r="19" spans="1:31">
      <c r="A19" s="64">
        <v>1998</v>
      </c>
      <c r="B19" s="56">
        <v>16043.6</v>
      </c>
      <c r="C19" s="56">
        <v>230.5</v>
      </c>
      <c r="D19" s="56">
        <v>411.2</v>
      </c>
      <c r="E19" s="56">
        <f t="shared" si="6"/>
        <v>751.09999999999991</v>
      </c>
      <c r="F19" s="56">
        <v>711.8</v>
      </c>
      <c r="G19" s="56">
        <v>39.299999999999997</v>
      </c>
      <c r="H19" s="56">
        <f t="shared" si="1"/>
        <v>20139.693395000028</v>
      </c>
      <c r="I19" s="56" t="s">
        <v>22</v>
      </c>
      <c r="J19" s="56">
        <f t="shared" ref="J19:K19" si="21">J20*(1/R49)</f>
        <v>191.77754532775452</v>
      </c>
      <c r="K19" s="56">
        <f t="shared" si="21"/>
        <v>336.77960021905835</v>
      </c>
      <c r="L19" s="56" t="s">
        <v>22</v>
      </c>
      <c r="M19" s="56" t="s">
        <v>22</v>
      </c>
      <c r="N19" s="56" t="s">
        <v>22</v>
      </c>
      <c r="P19" s="56">
        <v>16585.900000000001</v>
      </c>
      <c r="Q19" s="56">
        <v>238</v>
      </c>
      <c r="R19" s="56">
        <v>439.1</v>
      </c>
      <c r="S19" s="56">
        <v>498</v>
      </c>
      <c r="T19" s="56">
        <v>45</v>
      </c>
      <c r="V19" s="64">
        <v>15906700000</v>
      </c>
      <c r="X19" s="64">
        <v>287500000</v>
      </c>
      <c r="Z19" s="64">
        <v>445100000</v>
      </c>
      <c r="AB19" s="64">
        <v>605100000</v>
      </c>
      <c r="AD19" s="64">
        <v>38000000</v>
      </c>
    </row>
    <row r="20" spans="1:31">
      <c r="A20" s="64">
        <v>1999</v>
      </c>
      <c r="B20" s="56">
        <v>17356.400000000001</v>
      </c>
      <c r="C20" s="56">
        <v>310</v>
      </c>
      <c r="D20" s="56">
        <v>588.9</v>
      </c>
      <c r="E20" s="56">
        <f t="shared" si="6"/>
        <v>732.80000000000007</v>
      </c>
      <c r="F20" s="56">
        <v>689.1</v>
      </c>
      <c r="G20" s="56">
        <v>43.7</v>
      </c>
      <c r="H20" s="56">
        <f t="shared" si="1"/>
        <v>21386.015952149653</v>
      </c>
      <c r="I20" s="56" t="s">
        <v>22</v>
      </c>
      <c r="J20" s="56">
        <f t="shared" ref="J20:K20" si="22">J21*(1/R50)</f>
        <v>215.7094490934449</v>
      </c>
      <c r="K20" s="56">
        <f t="shared" si="22"/>
        <v>361.85974808324232</v>
      </c>
      <c r="L20" s="56" t="s">
        <v>22</v>
      </c>
      <c r="M20" s="56" t="s">
        <v>22</v>
      </c>
      <c r="N20" s="56" t="s">
        <v>22</v>
      </c>
      <c r="P20" s="56">
        <v>17612.3</v>
      </c>
      <c r="Q20" s="56">
        <v>267.7</v>
      </c>
      <c r="R20" s="56">
        <v>471.8</v>
      </c>
      <c r="S20" s="56">
        <v>577.1</v>
      </c>
      <c r="T20" s="56">
        <v>45.4</v>
      </c>
    </row>
    <row r="21" spans="1:31">
      <c r="A21" s="64">
        <v>2000</v>
      </c>
      <c r="B21" s="56">
        <v>18306.2</v>
      </c>
      <c r="C21" s="56">
        <v>286.39999999999998</v>
      </c>
      <c r="D21" s="56">
        <v>552.6</v>
      </c>
      <c r="E21" s="56">
        <f t="shared" si="6"/>
        <v>909.9</v>
      </c>
      <c r="F21" s="56">
        <v>872.5</v>
      </c>
      <c r="G21" s="56">
        <v>37.4</v>
      </c>
      <c r="H21" s="56">
        <f t="shared" si="1"/>
        <v>21946.156828623854</v>
      </c>
      <c r="I21" s="56" t="s">
        <v>22</v>
      </c>
      <c r="J21" s="56">
        <f t="shared" ref="J21:K21" si="23">J22*(1/R51)</f>
        <v>207.73214783821479</v>
      </c>
      <c r="K21" s="56">
        <f t="shared" si="23"/>
        <v>363.85388828039453</v>
      </c>
      <c r="L21" s="56" t="s">
        <v>22</v>
      </c>
      <c r="M21" s="56" t="s">
        <v>22</v>
      </c>
      <c r="N21" s="56" t="s">
        <v>22</v>
      </c>
      <c r="P21" s="56">
        <v>18073.599999999999</v>
      </c>
      <c r="Q21" s="56">
        <v>257.8</v>
      </c>
      <c r="R21" s="56">
        <v>474.4</v>
      </c>
      <c r="S21" s="56">
        <v>689.1</v>
      </c>
      <c r="T21" s="56">
        <v>38.299999999999997</v>
      </c>
    </row>
    <row r="22" spans="1:31">
      <c r="A22" s="64">
        <v>2001</v>
      </c>
      <c r="B22" s="56">
        <v>18813.099999999999</v>
      </c>
      <c r="C22" s="56">
        <v>308.5</v>
      </c>
      <c r="D22" s="56">
        <v>507</v>
      </c>
      <c r="E22" s="56">
        <f t="shared" si="6"/>
        <v>744.8</v>
      </c>
      <c r="F22" s="56">
        <v>699.9</v>
      </c>
      <c r="G22" s="56">
        <v>44.9</v>
      </c>
      <c r="H22" s="56">
        <f t="shared" si="1"/>
        <v>22313.836554174231</v>
      </c>
      <c r="I22" s="56" t="s">
        <v>22</v>
      </c>
      <c r="J22" s="56">
        <f t="shared" ref="J22:K22" si="24">J23*(1/R52)</f>
        <v>242.46161087866105</v>
      </c>
      <c r="K22" s="56">
        <f t="shared" si="24"/>
        <v>361.09277108433753</v>
      </c>
      <c r="L22" s="56" t="s">
        <v>22</v>
      </c>
      <c r="M22" s="56" t="s">
        <v>22</v>
      </c>
      <c r="N22" s="56" t="s">
        <v>22</v>
      </c>
      <c r="P22" s="56">
        <v>18376.400000000001</v>
      </c>
      <c r="Q22" s="56">
        <v>300.89999999999998</v>
      </c>
      <c r="R22" s="56">
        <v>470.8</v>
      </c>
      <c r="S22" s="56">
        <v>568.5</v>
      </c>
      <c r="T22" s="56">
        <v>41.2</v>
      </c>
    </row>
    <row r="23" spans="1:31">
      <c r="A23" s="64">
        <v>2002</v>
      </c>
      <c r="B23" s="56">
        <v>19115.400000000001</v>
      </c>
      <c r="C23" s="56">
        <v>336.4</v>
      </c>
      <c r="D23" s="56">
        <v>494.6</v>
      </c>
      <c r="E23" s="56">
        <f t="shared" si="6"/>
        <v>665.8</v>
      </c>
      <c r="F23" s="56">
        <v>618.5</v>
      </c>
      <c r="G23" s="56">
        <v>47.3</v>
      </c>
      <c r="H23" s="56">
        <f t="shared" si="1"/>
        <v>23211.179081194474</v>
      </c>
      <c r="I23" s="56" t="s">
        <v>22</v>
      </c>
      <c r="J23" s="56">
        <f t="shared" ref="J23:K23" si="25">J24*(1/R53)</f>
        <v>271.06708507670845</v>
      </c>
      <c r="K23" s="56">
        <f t="shared" si="25"/>
        <v>379.34682365826961</v>
      </c>
      <c r="L23" s="56" t="s">
        <v>22</v>
      </c>
      <c r="M23" s="56" t="s">
        <v>22</v>
      </c>
      <c r="N23" s="56" t="s">
        <v>22</v>
      </c>
      <c r="P23" s="56">
        <v>19115.400000000001</v>
      </c>
      <c r="Q23" s="56">
        <v>336.4</v>
      </c>
      <c r="R23" s="56">
        <v>494.6</v>
      </c>
      <c r="S23" s="56">
        <v>618.5</v>
      </c>
      <c r="T23" s="56">
        <v>47.3</v>
      </c>
    </row>
    <row r="24" spans="1:31">
      <c r="A24" s="64">
        <v>2003</v>
      </c>
      <c r="B24" s="56">
        <v>20166.900000000001</v>
      </c>
      <c r="C24" s="56">
        <v>291.7</v>
      </c>
      <c r="D24" s="56">
        <v>481</v>
      </c>
      <c r="E24" s="56">
        <f t="shared" si="6"/>
        <v>697.9</v>
      </c>
      <c r="F24" s="56">
        <v>646.9</v>
      </c>
      <c r="G24" s="56">
        <v>51</v>
      </c>
      <c r="H24" s="56">
        <f t="shared" si="1"/>
        <v>23811.269306977156</v>
      </c>
      <c r="I24" s="56" t="s">
        <v>22</v>
      </c>
      <c r="J24" s="56">
        <f>J25*(1/R54)</f>
        <v>240.76945606694554</v>
      </c>
      <c r="K24" s="56">
        <f t="shared" ref="K24" si="26">K25*(1/S54)</f>
        <v>381.57105695509324</v>
      </c>
      <c r="L24" s="56" t="s">
        <v>22</v>
      </c>
      <c r="M24" s="56" t="s">
        <v>22</v>
      </c>
      <c r="N24" s="56" t="s">
        <v>22</v>
      </c>
      <c r="P24" s="56">
        <v>19609.599999999999</v>
      </c>
      <c r="Q24" s="56">
        <v>298.8</v>
      </c>
      <c r="R24" s="56">
        <v>497.5</v>
      </c>
      <c r="S24" s="56">
        <v>708.3</v>
      </c>
      <c r="T24" s="56">
        <v>48.8</v>
      </c>
    </row>
    <row r="25" spans="1:31">
      <c r="A25" s="64">
        <v>2004</v>
      </c>
      <c r="B25" s="56">
        <v>21477.8</v>
      </c>
      <c r="C25" s="56">
        <v>333.4</v>
      </c>
      <c r="D25" s="56">
        <v>525.4</v>
      </c>
      <c r="E25" s="56">
        <f t="shared" si="6"/>
        <v>0</v>
      </c>
      <c r="F25" s="56" t="s">
        <v>188</v>
      </c>
      <c r="G25" s="56" t="s">
        <v>188</v>
      </c>
      <c r="H25" s="56">
        <f t="shared" si="1"/>
        <v>24511.050766140575</v>
      </c>
      <c r="I25" s="56" t="s">
        <v>22</v>
      </c>
      <c r="J25" s="56">
        <f t="shared" ref="J25:K25" si="27">J26*(1/R55)</f>
        <v>274.93486750348666</v>
      </c>
      <c r="K25" s="56">
        <f t="shared" si="27"/>
        <v>380.8040799561885</v>
      </c>
      <c r="L25" s="56" t="s">
        <v>188</v>
      </c>
      <c r="M25" s="56" t="s">
        <v>188</v>
      </c>
      <c r="N25" s="56" t="s">
        <v>188</v>
      </c>
      <c r="P25" s="56">
        <v>20185.900000000001</v>
      </c>
      <c r="Q25" s="56">
        <v>341.2</v>
      </c>
      <c r="R25" s="56">
        <v>496.5</v>
      </c>
      <c r="S25" s="56" t="s">
        <v>188</v>
      </c>
      <c r="T25" s="56" t="s">
        <v>188</v>
      </c>
    </row>
    <row r="26" spans="1:31">
      <c r="A26" s="64">
        <v>2005</v>
      </c>
      <c r="B26" s="56">
        <v>22514.400000000001</v>
      </c>
      <c r="C26" s="56">
        <v>286.10000000000002</v>
      </c>
      <c r="D26" s="56">
        <v>497.4</v>
      </c>
      <c r="E26" s="56" t="s">
        <v>22</v>
      </c>
      <c r="F26" s="56" t="s">
        <v>188</v>
      </c>
      <c r="G26" s="56" t="s">
        <v>188</v>
      </c>
      <c r="H26" s="56">
        <f t="shared" si="1"/>
        <v>24887.351779839591</v>
      </c>
      <c r="I26" s="56" t="s">
        <v>22</v>
      </c>
      <c r="J26" s="56">
        <f t="shared" ref="J26:K26" si="28">J27*(1/R56)</f>
        <v>236.74051603905156</v>
      </c>
      <c r="K26" s="56">
        <f t="shared" si="28"/>
        <v>385.09915115005487</v>
      </c>
      <c r="L26" s="56" t="s">
        <v>188</v>
      </c>
      <c r="M26" s="56" t="s">
        <v>188</v>
      </c>
      <c r="N26" s="56" t="s">
        <v>188</v>
      </c>
      <c r="P26" s="56">
        <v>20495.8</v>
      </c>
      <c r="Q26" s="56">
        <v>293.8</v>
      </c>
      <c r="R26" s="56">
        <v>502.1</v>
      </c>
      <c r="S26" s="56" t="s">
        <v>188</v>
      </c>
      <c r="T26" s="56" t="s">
        <v>188</v>
      </c>
    </row>
    <row r="27" spans="1:31">
      <c r="A27" s="64">
        <v>2006</v>
      </c>
      <c r="B27" s="56">
        <v>23650</v>
      </c>
      <c r="C27" s="56">
        <v>254.9</v>
      </c>
      <c r="D27" s="56">
        <v>390.1</v>
      </c>
      <c r="E27" s="56" t="s">
        <v>22</v>
      </c>
      <c r="F27" s="56" t="s">
        <v>188</v>
      </c>
      <c r="G27" s="56" t="s">
        <v>188</v>
      </c>
      <c r="H27" s="56">
        <f>H28*(1/Q57)</f>
        <v>25567.947837207448</v>
      </c>
      <c r="I27" s="56" t="s">
        <v>22</v>
      </c>
      <c r="J27" s="56">
        <f>J28*(1/R57)</f>
        <v>218.36854951185492</v>
      </c>
      <c r="K27" s="56">
        <f>K28*(1/S57)</f>
        <v>336.85629791894854</v>
      </c>
      <c r="L27" s="56" t="s">
        <v>188</v>
      </c>
      <c r="M27" s="56" t="s">
        <v>188</v>
      </c>
      <c r="N27" s="56" t="s">
        <v>188</v>
      </c>
      <c r="P27" s="56">
        <v>21056.3</v>
      </c>
      <c r="Q27" s="56">
        <v>271</v>
      </c>
      <c r="R27" s="56">
        <v>439.2</v>
      </c>
      <c r="S27" s="56" t="s">
        <v>188</v>
      </c>
      <c r="T27" s="56" t="s">
        <v>188</v>
      </c>
    </row>
    <row r="28" spans="1:31">
      <c r="A28" s="64">
        <v>2007</v>
      </c>
      <c r="B28" s="56">
        <v>24767.5</v>
      </c>
      <c r="C28" s="56">
        <v>246.4</v>
      </c>
      <c r="D28" s="56">
        <v>308.3</v>
      </c>
      <c r="E28" s="56" t="s">
        <v>22</v>
      </c>
      <c r="F28" s="56" t="s">
        <v>188</v>
      </c>
      <c r="G28" s="56" t="s">
        <v>188</v>
      </c>
      <c r="H28" s="56">
        <v>25873.7</v>
      </c>
      <c r="I28" s="56" t="s">
        <v>22</v>
      </c>
      <c r="J28" s="56">
        <v>231.1</v>
      </c>
      <c r="K28" s="56">
        <v>280.10000000000002</v>
      </c>
      <c r="L28" s="56" t="s">
        <v>188</v>
      </c>
      <c r="M28" s="56" t="s">
        <v>188</v>
      </c>
      <c r="N28" s="56" t="s">
        <v>188</v>
      </c>
      <c r="P28" s="56">
        <v>21308.1</v>
      </c>
      <c r="Q28" s="56">
        <v>286.8</v>
      </c>
      <c r="R28" s="56">
        <v>365.2</v>
      </c>
      <c r="S28" s="56" t="s">
        <v>188</v>
      </c>
      <c r="T28" s="56" t="s">
        <v>188</v>
      </c>
    </row>
    <row r="29" spans="1:31">
      <c r="A29" s="64">
        <v>2008</v>
      </c>
      <c r="B29" s="56">
        <v>25238.6</v>
      </c>
      <c r="C29" s="56">
        <v>260</v>
      </c>
      <c r="D29" s="56">
        <v>263.10000000000002</v>
      </c>
      <c r="E29" s="56"/>
      <c r="F29" s="56" t="s">
        <v>188</v>
      </c>
      <c r="G29" s="56" t="s">
        <v>188</v>
      </c>
      <c r="H29" s="56">
        <v>26121.3</v>
      </c>
      <c r="I29" s="56" t="s">
        <v>22</v>
      </c>
      <c r="J29" s="56">
        <v>255.6</v>
      </c>
      <c r="K29" s="56">
        <v>256.7</v>
      </c>
      <c r="L29" s="56" t="s">
        <v>188</v>
      </c>
      <c r="M29" s="56" t="s">
        <v>188</v>
      </c>
      <c r="N29" s="56" t="s">
        <v>188</v>
      </c>
      <c r="P29" s="56">
        <v>21448.2</v>
      </c>
      <c r="Q29" s="56">
        <v>307.60000000000002</v>
      </c>
      <c r="R29" s="56">
        <v>329.7</v>
      </c>
      <c r="S29" s="56" t="s">
        <v>188</v>
      </c>
      <c r="T29" s="56" t="s">
        <v>188</v>
      </c>
    </row>
    <row r="30" spans="1:31">
      <c r="A30" s="64">
        <v>2009</v>
      </c>
      <c r="B30" s="56" t="s">
        <v>22</v>
      </c>
      <c r="C30" s="56" t="s">
        <v>22</v>
      </c>
      <c r="D30" s="56" t="s">
        <v>22</v>
      </c>
      <c r="E30" s="56" t="s">
        <v>22</v>
      </c>
      <c r="F30" s="56" t="s">
        <v>22</v>
      </c>
      <c r="G30" s="56" t="s">
        <v>22</v>
      </c>
      <c r="H30" s="56">
        <v>25902</v>
      </c>
      <c r="I30" s="56" t="s">
        <v>22</v>
      </c>
      <c r="J30" s="56">
        <v>222.1</v>
      </c>
      <c r="K30" s="56">
        <v>220.5</v>
      </c>
      <c r="L30" s="56" t="s">
        <v>188</v>
      </c>
      <c r="M30" s="56" t="s">
        <v>188</v>
      </c>
      <c r="N30" s="56" t="s">
        <v>188</v>
      </c>
      <c r="P30" s="56">
        <v>21341.3</v>
      </c>
      <c r="Q30" s="56">
        <v>285</v>
      </c>
      <c r="R30" s="56">
        <v>313.3</v>
      </c>
      <c r="S30" s="56" t="s">
        <v>188</v>
      </c>
      <c r="T30" s="56" t="s">
        <v>188</v>
      </c>
    </row>
    <row r="31" spans="1:31">
      <c r="A31" s="64">
        <v>2010</v>
      </c>
      <c r="B31" s="56" t="s">
        <v>22</v>
      </c>
      <c r="C31" s="56" t="s">
        <v>22</v>
      </c>
      <c r="D31" s="56" t="s">
        <v>22</v>
      </c>
      <c r="E31" s="56" t="s">
        <v>22</v>
      </c>
      <c r="F31" s="56" t="s">
        <v>22</v>
      </c>
      <c r="G31" s="56" t="s">
        <v>22</v>
      </c>
      <c r="H31" s="56">
        <v>26769.599999999999</v>
      </c>
      <c r="I31" s="56" t="s">
        <v>22</v>
      </c>
      <c r="J31" s="56">
        <v>259</v>
      </c>
      <c r="K31" s="56">
        <v>252.6</v>
      </c>
      <c r="L31" s="56" t="s">
        <v>188</v>
      </c>
      <c r="M31" s="56" t="s">
        <v>188</v>
      </c>
      <c r="N31" s="56" t="s">
        <v>188</v>
      </c>
      <c r="P31" s="56">
        <v>21989.599999999999</v>
      </c>
      <c r="Q31" s="56">
        <v>332.2</v>
      </c>
      <c r="R31" s="56">
        <v>367.2</v>
      </c>
      <c r="S31" s="56" t="s">
        <v>188</v>
      </c>
      <c r="T31" s="56" t="s">
        <v>188</v>
      </c>
    </row>
    <row r="32" spans="1:31">
      <c r="A32" s="64">
        <v>2011</v>
      </c>
      <c r="B32" s="56" t="s">
        <v>22</v>
      </c>
      <c r="C32" s="56" t="s">
        <v>22</v>
      </c>
      <c r="D32" s="56" t="s">
        <v>22</v>
      </c>
      <c r="E32" s="56" t="s">
        <v>22</v>
      </c>
      <c r="F32" s="56" t="s">
        <v>22</v>
      </c>
      <c r="G32" s="56" t="s">
        <v>22</v>
      </c>
      <c r="H32" s="56">
        <v>26825.5</v>
      </c>
      <c r="I32" s="56" t="s">
        <v>22</v>
      </c>
      <c r="J32" s="56">
        <v>263.60000000000002</v>
      </c>
      <c r="K32" s="56">
        <v>264.39999999999998</v>
      </c>
      <c r="L32" s="56" t="s">
        <v>188</v>
      </c>
      <c r="M32" s="56" t="s">
        <v>188</v>
      </c>
      <c r="N32" s="56" t="s">
        <v>188</v>
      </c>
      <c r="P32" s="56">
        <v>22011.4</v>
      </c>
      <c r="Q32" s="56">
        <v>335.1</v>
      </c>
      <c r="R32" s="56">
        <v>380</v>
      </c>
      <c r="S32" s="56" t="s">
        <v>188</v>
      </c>
      <c r="T32" s="56" t="s">
        <v>188</v>
      </c>
    </row>
    <row r="34" spans="1:21" ht="18" customHeight="1">
      <c r="A34" s="66" t="s">
        <v>23</v>
      </c>
      <c r="P34" s="146" t="s">
        <v>1826</v>
      </c>
      <c r="Q34" s="117" t="s">
        <v>7</v>
      </c>
      <c r="R34" s="117" t="s">
        <v>192</v>
      </c>
      <c r="S34" s="117" t="s">
        <v>1</v>
      </c>
      <c r="T34" s="117" t="s">
        <v>13</v>
      </c>
      <c r="U34" s="117" t="s">
        <v>19</v>
      </c>
    </row>
    <row r="35" spans="1:21">
      <c r="A35" s="57" t="s">
        <v>2142</v>
      </c>
      <c r="B35" s="147" t="str">
        <f>IFERROR(((B32/B5)^(1/27)-1)*100,"n.a.")</f>
        <v>n.a.</v>
      </c>
      <c r="C35" s="147" t="str">
        <f t="shared" ref="C35:N35" si="29">IFERROR(((C32/C5)^(1/27)-1)*100,"n.a.")</f>
        <v>n.a.</v>
      </c>
      <c r="D35" s="147" t="str">
        <f t="shared" si="29"/>
        <v>n.a.</v>
      </c>
      <c r="E35" s="147" t="str">
        <f t="shared" si="29"/>
        <v>n.a.</v>
      </c>
      <c r="F35" s="147" t="str">
        <f t="shared" si="29"/>
        <v>n.a.</v>
      </c>
      <c r="G35" s="147" t="str">
        <f t="shared" si="29"/>
        <v>n.a.</v>
      </c>
      <c r="H35" s="147">
        <f t="shared" si="29"/>
        <v>2.2338121892967466</v>
      </c>
      <c r="I35" s="147" t="str">
        <f t="shared" si="29"/>
        <v>n.a.</v>
      </c>
      <c r="J35" s="147">
        <f t="shared" si="29"/>
        <v>1.1316064491816658</v>
      </c>
      <c r="K35" s="147">
        <f t="shared" si="29"/>
        <v>-2.999856471867357</v>
      </c>
      <c r="L35" s="147" t="str">
        <f t="shared" si="29"/>
        <v>n.a.</v>
      </c>
      <c r="M35" s="147" t="str">
        <f t="shared" si="29"/>
        <v>n.a.</v>
      </c>
      <c r="N35" s="147" t="str">
        <f t="shared" si="29"/>
        <v>n.a.</v>
      </c>
      <c r="P35" s="56" t="s">
        <v>1856</v>
      </c>
      <c r="Q35" s="64">
        <f>V6/V5</f>
        <v>1.0437486596611623</v>
      </c>
      <c r="R35" s="64">
        <f t="shared" ref="R35:U47" si="30">W6/W5</f>
        <v>0.99585278540443922</v>
      </c>
      <c r="S35" s="64">
        <f t="shared" si="30"/>
        <v>0.80810045985143264</v>
      </c>
      <c r="T35" s="64">
        <f t="shared" si="30"/>
        <v>0.86895999083577213</v>
      </c>
      <c r="U35" s="64" t="e">
        <f t="shared" si="30"/>
        <v>#VALUE!</v>
      </c>
    </row>
    <row r="36" spans="1:21">
      <c r="A36" s="57" t="s">
        <v>2141</v>
      </c>
      <c r="B36" s="147">
        <f>IFERROR(((B29/B5)^(1/24)-1)*100,"n.a.")</f>
        <v>4.706483127605976</v>
      </c>
      <c r="C36" s="147">
        <f t="shared" ref="C36:N36" si="31">IFERROR(((C29/C5)^(1/24)-1)*100,"n.a.")</f>
        <v>0.57269228765683966</v>
      </c>
      <c r="D36" s="147" t="str">
        <f t="shared" si="31"/>
        <v>n.a.</v>
      </c>
      <c r="E36" s="147">
        <f t="shared" si="31"/>
        <v>-100</v>
      </c>
      <c r="F36" s="147" t="str">
        <f t="shared" si="31"/>
        <v>n.a.</v>
      </c>
      <c r="G36" s="147" t="str">
        <f t="shared" si="31"/>
        <v>n.a.</v>
      </c>
      <c r="H36" s="147">
        <f t="shared" si="31"/>
        <v>2.402957175039977</v>
      </c>
      <c r="I36" s="147" t="str">
        <f t="shared" si="31"/>
        <v>n.a.</v>
      </c>
      <c r="J36" s="147">
        <f t="shared" si="31"/>
        <v>1.1439893829244818</v>
      </c>
      <c r="K36" s="147">
        <f t="shared" si="31"/>
        <v>-3.4873794180582784</v>
      </c>
      <c r="L36" s="147" t="str">
        <f t="shared" si="31"/>
        <v>n.a.</v>
      </c>
      <c r="M36" s="147" t="str">
        <f t="shared" si="31"/>
        <v>n.a.</v>
      </c>
      <c r="N36" s="147" t="str">
        <f t="shared" si="31"/>
        <v>n.a.</v>
      </c>
      <c r="P36" s="56" t="s">
        <v>1857</v>
      </c>
      <c r="Q36" s="64">
        <f t="shared" ref="Q36:Q46" si="32">V7/V6</f>
        <v>1.0480953359358949</v>
      </c>
      <c r="R36" s="64">
        <f t="shared" si="30"/>
        <v>0.99980890972799596</v>
      </c>
      <c r="S36" s="64">
        <f t="shared" si="30"/>
        <v>0.9299627927336398</v>
      </c>
      <c r="T36" s="64">
        <f t="shared" si="30"/>
        <v>0.82630947434655699</v>
      </c>
      <c r="U36" s="64">
        <f t="shared" si="30"/>
        <v>1.1712023750618505</v>
      </c>
    </row>
    <row r="37" spans="1:21">
      <c r="A37" s="57" t="s">
        <v>682</v>
      </c>
      <c r="B37" s="147">
        <f>IFERROR(((B10/B5)^(1/5)-1)*100,"n.a.")</f>
        <v>7.6689208924593633</v>
      </c>
      <c r="C37" s="147">
        <f t="shared" ref="C37:N37" si="33">IFERROR(((C10/C5)^(1/5)-1)*100,"n.a.")</f>
        <v>3.7030518921046474</v>
      </c>
      <c r="D37" s="147" t="str">
        <f t="shared" si="33"/>
        <v>n.a.</v>
      </c>
      <c r="E37" s="147">
        <f t="shared" si="33"/>
        <v>16.921373417834531</v>
      </c>
      <c r="F37" s="147">
        <f t="shared" si="33"/>
        <v>17.155582064973494</v>
      </c>
      <c r="G37" s="147">
        <f t="shared" si="33"/>
        <v>10.756634324829006</v>
      </c>
      <c r="H37" s="147">
        <f t="shared" si="33"/>
        <v>3.6037695771847567</v>
      </c>
      <c r="I37" s="147" t="str">
        <f t="shared" si="33"/>
        <v>n.a.</v>
      </c>
      <c r="J37" s="147">
        <f t="shared" si="33"/>
        <v>0.8778919080964398</v>
      </c>
      <c r="K37" s="147">
        <f t="shared" si="33"/>
        <v>1.6330835762100371</v>
      </c>
      <c r="L37" s="147" t="str">
        <f t="shared" si="33"/>
        <v>n.a.</v>
      </c>
      <c r="M37" s="147" t="str">
        <f t="shared" si="33"/>
        <v>n.a.</v>
      </c>
      <c r="N37" s="147" t="str">
        <f t="shared" si="33"/>
        <v>n.a.</v>
      </c>
      <c r="P37" s="56" t="s">
        <v>1858</v>
      </c>
      <c r="Q37" s="64">
        <f t="shared" si="32"/>
        <v>1.0482956550377567</v>
      </c>
      <c r="R37" s="64">
        <f t="shared" si="30"/>
        <v>1.0253550556375801</v>
      </c>
      <c r="S37" s="64">
        <f t="shared" si="30"/>
        <v>1.1254412803012475</v>
      </c>
      <c r="T37" s="64">
        <f t="shared" si="30"/>
        <v>0.94104916985496845</v>
      </c>
      <c r="U37" s="64">
        <f t="shared" si="30"/>
        <v>1.1406844106463878</v>
      </c>
    </row>
    <row r="38" spans="1:21">
      <c r="A38" s="57" t="s">
        <v>26</v>
      </c>
      <c r="B38" s="147">
        <f>IFERROR(((B21/B10)^(1/11)-1)*100,"n.a.")</f>
        <v>3.8277286395501875</v>
      </c>
      <c r="C38" s="147">
        <f t="shared" ref="C38:N38" si="34">IFERROR(((C21/C10)^(1/11)-1)*100,"n.a.")</f>
        <v>0.47343612454262551</v>
      </c>
      <c r="D38" s="147" t="str">
        <f t="shared" si="34"/>
        <v>n.a.</v>
      </c>
      <c r="E38" s="147">
        <f t="shared" si="34"/>
        <v>5.2937414454086396</v>
      </c>
      <c r="F38" s="147">
        <f t="shared" si="34"/>
        <v>5.1935956016073925</v>
      </c>
      <c r="G38" s="147">
        <f t="shared" si="34"/>
        <v>8.0246516499061791</v>
      </c>
      <c r="H38" s="147">
        <f t="shared" si="34"/>
        <v>2.0081986663610829</v>
      </c>
      <c r="I38" s="147" t="str">
        <f t="shared" si="34"/>
        <v>n.a.</v>
      </c>
      <c r="J38" s="147">
        <f t="shared" si="34"/>
        <v>0.19957714214020594</v>
      </c>
      <c r="K38" s="147">
        <f t="shared" si="34"/>
        <v>-5.1711716193769242</v>
      </c>
      <c r="L38" s="147" t="str">
        <f t="shared" si="34"/>
        <v>n.a.</v>
      </c>
      <c r="M38" s="147" t="str">
        <f t="shared" si="34"/>
        <v>n.a.</v>
      </c>
      <c r="N38" s="147" t="str">
        <f t="shared" si="34"/>
        <v>n.a.</v>
      </c>
      <c r="P38" s="56" t="s">
        <v>1861</v>
      </c>
      <c r="Q38" s="64">
        <f t="shared" si="32"/>
        <v>1.0223733225618239</v>
      </c>
      <c r="R38" s="64">
        <f t="shared" si="30"/>
        <v>1.004203511374649</v>
      </c>
      <c r="S38" s="64">
        <f t="shared" si="30"/>
        <v>1.1959431200334587</v>
      </c>
      <c r="T38" s="64">
        <f t="shared" si="30"/>
        <v>1.1155763665750043</v>
      </c>
      <c r="U38" s="64">
        <f t="shared" si="30"/>
        <v>1.2033333333333334</v>
      </c>
    </row>
    <row r="39" spans="1:21">
      <c r="A39" s="57" t="s">
        <v>2028</v>
      </c>
      <c r="B39" s="147" t="str">
        <f>IFERROR(((B32/B21)^(1/11)-1)*100,"n.a.")</f>
        <v>n.a.</v>
      </c>
      <c r="C39" s="147" t="str">
        <f t="shared" ref="C39:N39" si="35">IFERROR(((C32/C21)^(1/11)-1)*100,"n.a.")</f>
        <v>n.a.</v>
      </c>
      <c r="D39" s="147" t="str">
        <f t="shared" si="35"/>
        <v>n.a.</v>
      </c>
      <c r="E39" s="147" t="str">
        <f t="shared" si="35"/>
        <v>n.a.</v>
      </c>
      <c r="F39" s="147" t="str">
        <f t="shared" si="35"/>
        <v>n.a.</v>
      </c>
      <c r="G39" s="147" t="str">
        <f t="shared" si="35"/>
        <v>n.a.</v>
      </c>
      <c r="H39" s="147">
        <f t="shared" si="35"/>
        <v>1.8418557281951742</v>
      </c>
      <c r="I39" s="147" t="str">
        <f t="shared" si="35"/>
        <v>n.a.</v>
      </c>
      <c r="J39" s="147">
        <f t="shared" si="35"/>
        <v>2.1889155614989164</v>
      </c>
      <c r="K39" s="147">
        <f t="shared" si="35"/>
        <v>-2.8609081088317057</v>
      </c>
      <c r="L39" s="147" t="str">
        <f t="shared" si="35"/>
        <v>n.a.</v>
      </c>
      <c r="M39" s="147" t="str">
        <f t="shared" si="35"/>
        <v>n.a.</v>
      </c>
      <c r="N39" s="147" t="str">
        <f t="shared" si="35"/>
        <v>n.a.</v>
      </c>
      <c r="P39" s="56" t="s">
        <v>1859</v>
      </c>
      <c r="Q39" s="64">
        <f t="shared" si="32"/>
        <v>1.0180937538869013</v>
      </c>
      <c r="R39" s="64">
        <f t="shared" si="30"/>
        <v>1.0189944820312766</v>
      </c>
      <c r="S39" s="64">
        <f t="shared" si="30"/>
        <v>1.0720405665326107</v>
      </c>
      <c r="T39" s="64">
        <f t="shared" si="30"/>
        <v>1.2834760229274429</v>
      </c>
      <c r="U39" s="64" t="e">
        <f t="shared" si="30"/>
        <v>#VALUE!</v>
      </c>
    </row>
    <row r="40" spans="1:21">
      <c r="A40" s="57"/>
      <c r="B40" s="147"/>
      <c r="C40" s="147"/>
      <c r="D40" s="147"/>
      <c r="E40" s="56"/>
      <c r="F40" s="56"/>
      <c r="G40" s="56"/>
      <c r="H40" s="147"/>
      <c r="I40" s="56"/>
      <c r="J40" s="147"/>
      <c r="K40" s="147"/>
      <c r="L40" s="56"/>
      <c r="M40" s="56"/>
      <c r="N40" s="56"/>
      <c r="P40" s="56" t="s">
        <v>1860</v>
      </c>
      <c r="Q40" s="64">
        <f t="shared" si="32"/>
        <v>0.99911606180380885</v>
      </c>
      <c r="R40" s="64">
        <f t="shared" si="30"/>
        <v>1.0019844962049655</v>
      </c>
      <c r="S40" s="64">
        <f t="shared" si="30"/>
        <v>0.83526341542978311</v>
      </c>
      <c r="T40" s="64">
        <f t="shared" si="30"/>
        <v>1.120614081848551</v>
      </c>
      <c r="U40" s="64" t="e">
        <f t="shared" si="30"/>
        <v>#VALUE!</v>
      </c>
    </row>
    <row r="41" spans="1:21">
      <c r="A41" s="64" t="s">
        <v>503</v>
      </c>
      <c r="P41" s="56" t="s">
        <v>1846</v>
      </c>
      <c r="Q41" s="64">
        <f t="shared" si="32"/>
        <v>0.99713724672185977</v>
      </c>
      <c r="R41" s="64">
        <f t="shared" si="30"/>
        <v>0.9954784630261031</v>
      </c>
      <c r="S41" s="64">
        <f t="shared" si="30"/>
        <v>0.74536223393868384</v>
      </c>
      <c r="T41" s="64">
        <f t="shared" si="30"/>
        <v>0.87244638054092494</v>
      </c>
      <c r="U41" s="64" t="e">
        <f t="shared" si="30"/>
        <v>#VALUE!</v>
      </c>
    </row>
    <row r="42" spans="1:21">
      <c r="A42" s="64" t="s">
        <v>193</v>
      </c>
      <c r="P42" s="56" t="s">
        <v>1847</v>
      </c>
      <c r="Q42" s="64">
        <f t="shared" si="32"/>
        <v>1.0016663180142682</v>
      </c>
      <c r="R42" s="64">
        <f t="shared" si="30"/>
        <v>0.9918945212044763</v>
      </c>
      <c r="S42" s="64">
        <f t="shared" si="30"/>
        <v>0.85433586586324339</v>
      </c>
      <c r="T42" s="64">
        <f t="shared" si="30"/>
        <v>1.0269035232510271</v>
      </c>
      <c r="U42" s="64">
        <f t="shared" si="30"/>
        <v>0.94704163623082538</v>
      </c>
    </row>
    <row r="43" spans="1:21">
      <c r="A43" s="104" t="s">
        <v>679</v>
      </c>
      <c r="B43" s="104"/>
      <c r="C43" s="104"/>
      <c r="D43" s="104"/>
      <c r="E43" s="104"/>
      <c r="F43" s="104"/>
      <c r="G43" s="104"/>
      <c r="H43" s="104"/>
      <c r="I43" s="104"/>
      <c r="J43" s="104"/>
      <c r="K43" s="104"/>
      <c r="L43" s="104"/>
      <c r="M43" s="104"/>
      <c r="N43" s="104"/>
      <c r="P43" s="56" t="s">
        <v>1848</v>
      </c>
      <c r="Q43" s="64">
        <f t="shared" si="32"/>
        <v>1.0098516491430218</v>
      </c>
      <c r="R43" s="64">
        <f t="shared" si="30"/>
        <v>0.98415776783512054</v>
      </c>
      <c r="S43" s="64">
        <f t="shared" si="30"/>
        <v>0.83195338853112544</v>
      </c>
      <c r="T43" s="64">
        <f t="shared" si="30"/>
        <v>0.60674450082928577</v>
      </c>
      <c r="U43" s="64">
        <f t="shared" si="30"/>
        <v>0.93752410335518699</v>
      </c>
    </row>
    <row r="44" spans="1:21" ht="48.75" customHeight="1">
      <c r="A44" s="104" t="s">
        <v>680</v>
      </c>
      <c r="B44" s="104"/>
      <c r="C44" s="104"/>
      <c r="D44" s="104"/>
      <c r="E44" s="104"/>
      <c r="F44" s="104"/>
      <c r="G44" s="104"/>
      <c r="H44" s="104"/>
      <c r="I44" s="104"/>
      <c r="J44" s="104"/>
      <c r="K44" s="104"/>
      <c r="L44" s="104"/>
      <c r="M44" s="104"/>
      <c r="N44" s="104"/>
      <c r="P44" s="56" t="s">
        <v>1849</v>
      </c>
      <c r="Q44" s="64">
        <f t="shared" si="32"/>
        <v>1.0261074821005791</v>
      </c>
      <c r="R44" s="64">
        <f t="shared" si="30"/>
        <v>0.99472191749570649</v>
      </c>
      <c r="S44" s="64">
        <f t="shared" si="30"/>
        <v>1.3711758201253226</v>
      </c>
      <c r="T44" s="64">
        <f t="shared" si="30"/>
        <v>1.3384345449662032</v>
      </c>
      <c r="U44" s="64">
        <f t="shared" si="30"/>
        <v>1.0686960098724805</v>
      </c>
    </row>
    <row r="45" spans="1:21" ht="48.75" customHeight="1">
      <c r="A45" s="104" t="s">
        <v>681</v>
      </c>
      <c r="B45" s="104"/>
      <c r="C45" s="104"/>
      <c r="D45" s="104"/>
      <c r="E45" s="104"/>
      <c r="F45" s="104"/>
      <c r="G45" s="104"/>
      <c r="H45" s="104"/>
      <c r="I45" s="104"/>
      <c r="J45" s="104"/>
      <c r="K45" s="104"/>
      <c r="L45" s="104"/>
      <c r="M45" s="104"/>
      <c r="N45" s="104"/>
      <c r="P45" s="56" t="s">
        <v>1850</v>
      </c>
      <c r="Q45" s="64">
        <f t="shared" si="32"/>
        <v>1.0315520991875682</v>
      </c>
      <c r="R45" s="64">
        <f t="shared" si="30"/>
        <v>1.0108754268663491</v>
      </c>
      <c r="S45" s="64">
        <f t="shared" si="30"/>
        <v>1.0244623655913978</v>
      </c>
      <c r="T45" s="64">
        <f t="shared" si="30"/>
        <v>1.0746562277095559</v>
      </c>
      <c r="U45" s="64">
        <f t="shared" si="30"/>
        <v>0.91339491916859128</v>
      </c>
    </row>
    <row r="46" spans="1:21" ht="48.75" customHeight="1">
      <c r="A46" s="104" t="s">
        <v>851</v>
      </c>
      <c r="B46" s="104"/>
      <c r="C46" s="104"/>
      <c r="D46" s="104"/>
      <c r="E46" s="104"/>
      <c r="F46" s="104"/>
      <c r="G46" s="104"/>
      <c r="H46" s="104"/>
      <c r="I46" s="104"/>
      <c r="J46" s="104"/>
      <c r="K46" s="104"/>
      <c r="L46" s="104"/>
      <c r="M46" s="104"/>
      <c r="N46" s="104"/>
      <c r="P46" s="56" t="s">
        <v>1851</v>
      </c>
      <c r="Q46" s="64">
        <f t="shared" si="32"/>
        <v>1.020454223905032</v>
      </c>
      <c r="R46" s="64">
        <f t="shared" si="30"/>
        <v>1.0121944127659652</v>
      </c>
      <c r="S46" s="64">
        <f t="shared" si="30"/>
        <v>0.95329309892416692</v>
      </c>
      <c r="T46" s="64">
        <f t="shared" si="30"/>
        <v>1.1848490688989048</v>
      </c>
      <c r="U46" s="64">
        <f t="shared" si="30"/>
        <v>1.390644753476612</v>
      </c>
    </row>
    <row r="47" spans="1:21">
      <c r="P47" s="56" t="s">
        <v>1852</v>
      </c>
      <c r="Q47" s="64">
        <f>V18/V17</f>
        <v>1.0081603010596507</v>
      </c>
      <c r="R47" s="64">
        <f t="shared" si="30"/>
        <v>0.9678128469896945</v>
      </c>
      <c r="S47" s="64">
        <f t="shared" si="30"/>
        <v>0.80456922653454443</v>
      </c>
      <c r="T47" s="64">
        <f t="shared" si="30"/>
        <v>0.81800203449059938</v>
      </c>
      <c r="U47" s="64">
        <f t="shared" si="30"/>
        <v>1.27</v>
      </c>
    </row>
    <row r="48" spans="1:21">
      <c r="P48" s="56" t="s">
        <v>1837</v>
      </c>
      <c r="Q48" s="64">
        <f>P19/P18</f>
        <v>1.0406904513910678</v>
      </c>
      <c r="R48" s="64">
        <f t="shared" ref="R48:U48" si="36">Q19/Q18</f>
        <v>0.98387763538652329</v>
      </c>
      <c r="S48" s="64">
        <f t="shared" si="36"/>
        <v>1.082593688362919</v>
      </c>
      <c r="T48" s="64">
        <f t="shared" si="36"/>
        <v>1.0885245901639344</v>
      </c>
      <c r="U48" s="64">
        <f t="shared" si="36"/>
        <v>1.089588377723971</v>
      </c>
    </row>
    <row r="49" spans="1:21">
      <c r="A49" s="104"/>
      <c r="B49" s="104"/>
      <c r="C49" s="104"/>
      <c r="D49" s="104"/>
      <c r="E49" s="104"/>
      <c r="F49" s="104"/>
      <c r="G49" s="104"/>
      <c r="H49" s="104"/>
      <c r="I49" s="104"/>
      <c r="J49" s="104"/>
      <c r="K49" s="104"/>
      <c r="L49" s="104"/>
      <c r="M49" s="104"/>
      <c r="N49" s="104"/>
      <c r="P49" s="56" t="s">
        <v>1827</v>
      </c>
      <c r="Q49" s="64">
        <f t="shared" ref="Q49:U59" si="37">P20/P19</f>
        <v>1.0618838893276819</v>
      </c>
      <c r="R49" s="64">
        <f t="shared" si="37"/>
        <v>1.1247899159663866</v>
      </c>
      <c r="S49" s="64">
        <f t="shared" si="37"/>
        <v>1.0744705078569801</v>
      </c>
      <c r="T49" s="64">
        <f t="shared" si="37"/>
        <v>1.158835341365462</v>
      </c>
      <c r="U49" s="64">
        <f t="shared" si="37"/>
        <v>1.0088888888888889</v>
      </c>
    </row>
    <row r="50" spans="1:21" ht="30" customHeight="1">
      <c r="A50" s="104"/>
      <c r="B50" s="104"/>
      <c r="C50" s="104"/>
      <c r="D50" s="104"/>
      <c r="E50" s="104"/>
      <c r="F50" s="104"/>
      <c r="G50" s="104"/>
      <c r="H50" s="104"/>
      <c r="I50" s="104"/>
      <c r="J50" s="104"/>
      <c r="K50" s="104"/>
      <c r="L50" s="104"/>
      <c r="M50" s="104"/>
      <c r="N50" s="104"/>
      <c r="P50" s="56" t="s">
        <v>1828</v>
      </c>
      <c r="Q50" s="64">
        <f t="shared" si="37"/>
        <v>1.0261919226903924</v>
      </c>
      <c r="R50" s="64">
        <f t="shared" si="37"/>
        <v>0.96301830407172218</v>
      </c>
      <c r="S50" s="64">
        <f t="shared" si="37"/>
        <v>1.0055108096651122</v>
      </c>
      <c r="T50" s="64">
        <f t="shared" si="37"/>
        <v>1.1940738173626755</v>
      </c>
      <c r="U50" s="64">
        <f t="shared" si="37"/>
        <v>0.84361233480176212</v>
      </c>
    </row>
    <row r="51" spans="1:21" ht="30" customHeight="1">
      <c r="A51" s="104"/>
      <c r="B51" s="104"/>
      <c r="C51" s="104"/>
      <c r="D51" s="104"/>
      <c r="E51" s="104"/>
      <c r="F51" s="104"/>
      <c r="G51" s="104"/>
      <c r="H51" s="104"/>
      <c r="I51" s="104"/>
      <c r="J51" s="104"/>
      <c r="K51" s="104"/>
      <c r="L51" s="104"/>
      <c r="M51" s="104"/>
      <c r="N51" s="104"/>
      <c r="P51" s="148" t="s">
        <v>1829</v>
      </c>
      <c r="Q51" s="64">
        <f t="shared" si="37"/>
        <v>1.0167537181303117</v>
      </c>
      <c r="R51" s="64">
        <f t="shared" si="37"/>
        <v>1.1671838634600464</v>
      </c>
      <c r="S51" s="64">
        <f t="shared" si="37"/>
        <v>0.99241146711635753</v>
      </c>
      <c r="T51" s="64">
        <f t="shared" si="37"/>
        <v>0.82498911623857207</v>
      </c>
      <c r="U51" s="64">
        <f t="shared" si="37"/>
        <v>1.0757180156657964</v>
      </c>
    </row>
    <row r="52" spans="1:21" ht="45" customHeight="1">
      <c r="A52" s="104"/>
      <c r="B52" s="104"/>
      <c r="C52" s="104"/>
      <c r="D52" s="104"/>
      <c r="E52" s="104"/>
      <c r="F52" s="104"/>
      <c r="G52" s="104"/>
      <c r="H52" s="104"/>
      <c r="I52" s="104"/>
      <c r="J52" s="104"/>
      <c r="K52" s="104"/>
      <c r="L52" s="104"/>
      <c r="M52" s="104"/>
      <c r="N52" s="104"/>
      <c r="P52" s="148" t="s">
        <v>1830</v>
      </c>
      <c r="Q52" s="64">
        <f t="shared" si="37"/>
        <v>1.0402146231035458</v>
      </c>
      <c r="R52" s="64">
        <f t="shared" si="37"/>
        <v>1.1179793951478896</v>
      </c>
      <c r="S52" s="64">
        <f t="shared" si="37"/>
        <v>1.0505522514868308</v>
      </c>
      <c r="T52" s="64">
        <f t="shared" si="37"/>
        <v>1.0879507475813543</v>
      </c>
      <c r="U52" s="64">
        <f t="shared" si="37"/>
        <v>1.1480582524271843</v>
      </c>
    </row>
    <row r="53" spans="1:21">
      <c r="P53" s="148" t="s">
        <v>1831</v>
      </c>
      <c r="Q53" s="64">
        <f t="shared" si="37"/>
        <v>1.0258535003191143</v>
      </c>
      <c r="R53" s="64">
        <f t="shared" si="37"/>
        <v>0.88822829964328187</v>
      </c>
      <c r="S53" s="64">
        <f t="shared" si="37"/>
        <v>1.0058633238980994</v>
      </c>
      <c r="T53" s="64">
        <f t="shared" si="37"/>
        <v>1.1451899757477768</v>
      </c>
      <c r="U53" s="64">
        <f t="shared" si="37"/>
        <v>1.0317124735729386</v>
      </c>
    </row>
    <row r="54" spans="1:21">
      <c r="P54" s="148" t="s">
        <v>1832</v>
      </c>
      <c r="Q54" s="64">
        <f t="shared" si="37"/>
        <v>1.029388666775457</v>
      </c>
      <c r="R54" s="64">
        <f t="shared" si="37"/>
        <v>1.14190093708166</v>
      </c>
      <c r="S54" s="64">
        <f t="shared" si="37"/>
        <v>0.99798994974874367</v>
      </c>
      <c r="T54" s="64" t="e">
        <f t="shared" si="37"/>
        <v>#VALUE!</v>
      </c>
      <c r="U54" s="64" t="e">
        <f t="shared" si="37"/>
        <v>#VALUE!</v>
      </c>
    </row>
    <row r="55" spans="1:21">
      <c r="P55" s="148" t="s">
        <v>1833</v>
      </c>
      <c r="Q55" s="64">
        <f t="shared" si="37"/>
        <v>1.0153523003680787</v>
      </c>
      <c r="R55" s="64">
        <f t="shared" si="37"/>
        <v>0.8610785463071513</v>
      </c>
      <c r="S55" s="64">
        <f t="shared" si="37"/>
        <v>1.0112789526686807</v>
      </c>
      <c r="T55" s="64" t="e">
        <f t="shared" si="37"/>
        <v>#VALUE!</v>
      </c>
      <c r="U55" s="64" t="e">
        <f t="shared" si="37"/>
        <v>#VALUE!</v>
      </c>
    </row>
    <row r="56" spans="1:21">
      <c r="P56" s="148" t="s">
        <v>1834</v>
      </c>
      <c r="Q56" s="64">
        <f t="shared" si="37"/>
        <v>1.0273470662282029</v>
      </c>
      <c r="R56" s="64">
        <f t="shared" si="37"/>
        <v>0.92239618788291355</v>
      </c>
      <c r="S56" s="64">
        <f t="shared" si="37"/>
        <v>0.8747261501692889</v>
      </c>
      <c r="T56" s="64" t="e">
        <f t="shared" si="37"/>
        <v>#VALUE!</v>
      </c>
      <c r="U56" s="64" t="e">
        <f t="shared" si="37"/>
        <v>#VALUE!</v>
      </c>
    </row>
    <row r="57" spans="1:21">
      <c r="P57" s="148" t="s">
        <v>1839</v>
      </c>
      <c r="Q57" s="64">
        <f t="shared" si="37"/>
        <v>1.0119584162459692</v>
      </c>
      <c r="R57" s="64">
        <f>Q28/Q27</f>
        <v>1.0583025830258304</v>
      </c>
      <c r="S57" s="64">
        <f t="shared" si="37"/>
        <v>0.83151183970856102</v>
      </c>
      <c r="T57" s="64" t="e">
        <f t="shared" si="37"/>
        <v>#VALUE!</v>
      </c>
      <c r="U57" s="64" t="e">
        <f t="shared" si="37"/>
        <v>#VALUE!</v>
      </c>
    </row>
    <row r="58" spans="1:21">
      <c r="P58" s="148" t="s">
        <v>1835</v>
      </c>
      <c r="Q58" s="64">
        <f t="shared" si="37"/>
        <v>1.0065749644501387</v>
      </c>
      <c r="R58" s="64">
        <f t="shared" si="37"/>
        <v>1.0725244072524407</v>
      </c>
      <c r="S58" s="64">
        <f t="shared" si="37"/>
        <v>0.90279299014238767</v>
      </c>
      <c r="T58" s="64" t="e">
        <f t="shared" si="37"/>
        <v>#VALUE!</v>
      </c>
      <c r="U58" s="64" t="e">
        <f t="shared" si="37"/>
        <v>#VALUE!</v>
      </c>
    </row>
    <row r="59" spans="1:21">
      <c r="P59" s="148" t="s">
        <v>1836</v>
      </c>
      <c r="Q59" s="64">
        <f>P30/P29</f>
        <v>0.99501589877005991</v>
      </c>
      <c r="R59" s="64">
        <f t="shared" si="37"/>
        <v>0.92652795838751623</v>
      </c>
      <c r="S59" s="64">
        <f t="shared" si="37"/>
        <v>0.95025781013042165</v>
      </c>
      <c r="T59" s="64" t="e">
        <f t="shared" si="37"/>
        <v>#VALUE!</v>
      </c>
      <c r="U59" s="64" t="e">
        <f t="shared" si="37"/>
        <v>#VALUE!</v>
      </c>
    </row>
  </sheetData>
  <mergeCells count="10">
    <mergeCell ref="A52:N52"/>
    <mergeCell ref="B2:G2"/>
    <mergeCell ref="H2:N2"/>
    <mergeCell ref="A49:N49"/>
    <mergeCell ref="A50:N50"/>
    <mergeCell ref="A51:N51"/>
    <mergeCell ref="A43:N43"/>
    <mergeCell ref="A44:N44"/>
    <mergeCell ref="A45:N45"/>
    <mergeCell ref="A46:N46"/>
  </mergeCells>
  <pageMargins left="0.7" right="0.7" top="0.75" bottom="0.75" header="0.3" footer="0.3"/>
  <pageSetup scale="60" orientation="landscape" horizontalDpi="0" verticalDpi="0" r:id="rId1"/>
</worksheet>
</file>

<file path=xl/worksheets/sheet164.xml><?xml version="1.0" encoding="utf-8"?>
<worksheet xmlns="http://schemas.openxmlformats.org/spreadsheetml/2006/main" xmlns:r="http://schemas.openxmlformats.org/officeDocument/2006/relationships">
  <sheetPr codeName="Sheet158"/>
  <dimension ref="A1:AA59"/>
  <sheetViews>
    <sheetView view="pageBreakPre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2.5703125" style="64" customWidth="1"/>
    <col min="2" max="8" width="14.28515625" style="64" customWidth="1"/>
    <col min="9" max="9" width="12" style="64" customWidth="1"/>
    <col min="10" max="14" width="14.28515625" style="64" customWidth="1"/>
    <col min="15" max="15" width="9.140625" style="64"/>
    <col min="16" max="16" width="12" style="64" hidden="1" customWidth="1" outlineLevel="1"/>
    <col min="17" max="17" width="10" style="64" hidden="1" customWidth="1" outlineLevel="1"/>
    <col min="18" max="19" width="11" style="64" hidden="1" customWidth="1" outlineLevel="1"/>
    <col min="20" max="20" width="10" style="64" hidden="1" customWidth="1" outlineLevel="1"/>
    <col min="21" max="26" width="9.140625" style="64" hidden="1" customWidth="1" outlineLevel="1"/>
    <col min="27" max="27" width="9.140625" style="64" collapsed="1"/>
    <col min="28" max="16384" width="9.140625" style="64"/>
  </cols>
  <sheetData>
    <row r="1" spans="1:26">
      <c r="A1" s="66" t="s">
        <v>2088</v>
      </c>
    </row>
    <row r="2" spans="1:26">
      <c r="B2" s="107" t="s">
        <v>206</v>
      </c>
      <c r="C2" s="107"/>
      <c r="D2" s="107"/>
      <c r="E2" s="107"/>
      <c r="F2" s="107"/>
      <c r="G2" s="107"/>
      <c r="H2" s="107" t="s">
        <v>2106</v>
      </c>
      <c r="I2" s="107"/>
      <c r="J2" s="107"/>
      <c r="K2" s="107"/>
      <c r="L2" s="107"/>
      <c r="M2" s="107"/>
      <c r="N2" s="107"/>
    </row>
    <row r="3" spans="1:26" ht="60">
      <c r="B3" s="73" t="s">
        <v>7</v>
      </c>
      <c r="C3" s="73" t="s">
        <v>0</v>
      </c>
      <c r="D3" s="73" t="s">
        <v>1</v>
      </c>
      <c r="E3" s="73" t="s">
        <v>678</v>
      </c>
      <c r="F3" s="73" t="s">
        <v>13</v>
      </c>
      <c r="G3" s="73" t="s">
        <v>19</v>
      </c>
      <c r="H3" s="73" t="s">
        <v>7</v>
      </c>
      <c r="I3" s="73" t="s">
        <v>37</v>
      </c>
      <c r="J3" s="73" t="s">
        <v>0</v>
      </c>
      <c r="K3" s="73" t="s">
        <v>1</v>
      </c>
      <c r="L3" s="73" t="s">
        <v>678</v>
      </c>
      <c r="M3" s="73" t="s">
        <v>13</v>
      </c>
      <c r="N3" s="73" t="s">
        <v>19</v>
      </c>
      <c r="P3" s="64" t="s">
        <v>256</v>
      </c>
      <c r="Q3" s="64" t="s">
        <v>257</v>
      </c>
      <c r="R3" s="64" t="s">
        <v>258</v>
      </c>
      <c r="S3" s="64" t="s">
        <v>259</v>
      </c>
      <c r="T3" s="64" t="s">
        <v>260</v>
      </c>
      <c r="V3" s="64" t="s">
        <v>251</v>
      </c>
      <c r="W3" s="64" t="s">
        <v>252</v>
      </c>
      <c r="X3" s="64" t="s">
        <v>253</v>
      </c>
      <c r="Y3" s="64" t="s">
        <v>254</v>
      </c>
      <c r="Z3" s="64" t="s">
        <v>255</v>
      </c>
    </row>
    <row r="4" spans="1:26" hidden="1" outlineLevel="1">
      <c r="P4" s="64" t="s">
        <v>266</v>
      </c>
      <c r="Q4" s="64" t="s">
        <v>267</v>
      </c>
      <c r="R4" s="64" t="s">
        <v>268</v>
      </c>
      <c r="S4" s="64" t="s">
        <v>269</v>
      </c>
      <c r="T4" s="64" t="s">
        <v>270</v>
      </c>
      <c r="V4" s="64" t="s">
        <v>261</v>
      </c>
      <c r="W4" s="64" t="s">
        <v>262</v>
      </c>
      <c r="X4" s="64" t="s">
        <v>263</v>
      </c>
      <c r="Y4" s="64" t="s">
        <v>264</v>
      </c>
      <c r="Z4" s="64" t="s">
        <v>265</v>
      </c>
    </row>
    <row r="5" spans="1:26" collapsed="1">
      <c r="A5" s="64">
        <v>1984</v>
      </c>
      <c r="B5" s="56">
        <v>92088.7</v>
      </c>
      <c r="C5" s="56">
        <v>486.6</v>
      </c>
      <c r="D5" s="56">
        <v>813.4</v>
      </c>
      <c r="E5" s="56">
        <f>SUM(F5:G5)</f>
        <v>2114.8000000000002</v>
      </c>
      <c r="F5" s="56">
        <v>1793.4</v>
      </c>
      <c r="G5" s="56">
        <v>321.39999999999998</v>
      </c>
      <c r="H5" s="56">
        <f t="shared" ref="H5:H26" si="0">H6*(1/Q35)</f>
        <v>168985.55228288248</v>
      </c>
      <c r="I5" s="56">
        <f t="shared" ref="I5:I26" si="1">SUM(J5:L5)</f>
        <v>8214.2846486825729</v>
      </c>
      <c r="J5" s="56">
        <f t="shared" ref="J5:K5" si="2">J6/(1/R35)</f>
        <v>1275.3695736018467</v>
      </c>
      <c r="K5" s="56">
        <f t="shared" si="2"/>
        <v>4350.1897332639619</v>
      </c>
      <c r="L5" s="56">
        <f t="shared" ref="L5:L26" si="3">SUM(M5:N5)</f>
        <v>2588.7253418167643</v>
      </c>
      <c r="M5" s="56">
        <f t="shared" ref="M5:N5" si="4">M6*(1/T35)</f>
        <v>1839.0808448740536</v>
      </c>
      <c r="N5" s="56">
        <f t="shared" si="4"/>
        <v>749.64449694271082</v>
      </c>
      <c r="V5" s="64">
        <v>135199100000</v>
      </c>
      <c r="W5" s="64">
        <v>888800000</v>
      </c>
      <c r="X5" s="64">
        <v>1523800000</v>
      </c>
      <c r="Y5" s="64">
        <v>2863200000</v>
      </c>
      <c r="Z5" s="64">
        <v>539500000</v>
      </c>
    </row>
    <row r="6" spans="1:26">
      <c r="A6" s="64">
        <v>1985</v>
      </c>
      <c r="B6" s="56">
        <v>98747.8</v>
      </c>
      <c r="C6" s="56">
        <v>509.5</v>
      </c>
      <c r="D6" s="56">
        <v>838.8</v>
      </c>
      <c r="E6" s="56">
        <f t="shared" ref="E6:E29" si="5">SUM(F6:G6)</f>
        <v>2263.9</v>
      </c>
      <c r="F6" s="56">
        <v>1894.2</v>
      </c>
      <c r="G6" s="56">
        <v>369.7</v>
      </c>
      <c r="H6" s="56">
        <f t="shared" si="0"/>
        <v>175642.77743134196</v>
      </c>
      <c r="I6" s="56">
        <f t="shared" si="1"/>
        <v>7957.2447835356343</v>
      </c>
      <c r="J6" s="56">
        <f t="shared" ref="J6:K6" si="6">J7/(1/R36)</f>
        <v>1229.8453694448533</v>
      </c>
      <c r="K6" s="56">
        <f t="shared" si="6"/>
        <v>4200.2402202177327</v>
      </c>
      <c r="L6" s="56">
        <f t="shared" si="3"/>
        <v>2527.159193873048</v>
      </c>
      <c r="M6" s="56">
        <f t="shared" ref="M6:N6" si="7">M7*(1/T36)</f>
        <v>1729.4374038919354</v>
      </c>
      <c r="N6" s="56">
        <f t="shared" si="7"/>
        <v>797.72178998111269</v>
      </c>
      <c r="V6" s="64">
        <v>140525300000</v>
      </c>
      <c r="W6" s="64">
        <v>921700000</v>
      </c>
      <c r="X6" s="64">
        <v>1578200000</v>
      </c>
      <c r="Y6" s="64">
        <v>2692500000</v>
      </c>
      <c r="Z6" s="64">
        <v>574100000</v>
      </c>
    </row>
    <row r="7" spans="1:26">
      <c r="A7" s="64">
        <v>1986</v>
      </c>
      <c r="B7" s="56">
        <v>105251</v>
      </c>
      <c r="C7" s="56">
        <v>517</v>
      </c>
      <c r="D7" s="56">
        <v>930.9</v>
      </c>
      <c r="E7" s="56">
        <f t="shared" si="5"/>
        <v>2522</v>
      </c>
      <c r="F7" s="56">
        <v>2170.1999999999998</v>
      </c>
      <c r="G7" s="56">
        <v>351.8</v>
      </c>
      <c r="H7" s="56">
        <f t="shared" si="0"/>
        <v>180894.36339953082</v>
      </c>
      <c r="I7" s="56">
        <f t="shared" si="1"/>
        <v>7970.8060745595994</v>
      </c>
      <c r="J7" s="56">
        <f t="shared" ref="J7:K7" si="8">J8/(1/R37)</f>
        <v>1273.5068835156965</v>
      </c>
      <c r="K7" s="56">
        <f t="shared" si="8"/>
        <v>4168.0200676230043</v>
      </c>
      <c r="L7" s="56">
        <f t="shared" si="3"/>
        <v>2529.2791234208989</v>
      </c>
      <c r="M7" s="56">
        <f t="shared" ref="M7:N7" si="9">M8*(1/T37)</f>
        <v>1820.9032855313828</v>
      </c>
      <c r="N7" s="56">
        <f t="shared" si="9"/>
        <v>708.37583788951622</v>
      </c>
      <c r="V7" s="64">
        <v>144726900000</v>
      </c>
      <c r="W7" s="64">
        <v>890100000</v>
      </c>
      <c r="X7" s="64">
        <v>1590400000</v>
      </c>
      <c r="Y7" s="64">
        <v>2834900000</v>
      </c>
      <c r="Z7" s="64">
        <v>509800000</v>
      </c>
    </row>
    <row r="8" spans="1:26">
      <c r="A8" s="64">
        <v>1987</v>
      </c>
      <c r="B8" s="56">
        <v>116118</v>
      </c>
      <c r="C8" s="56">
        <v>683.8</v>
      </c>
      <c r="D8" s="56">
        <v>1087.9000000000001</v>
      </c>
      <c r="E8" s="56">
        <f t="shared" si="5"/>
        <v>2774.6000000000004</v>
      </c>
      <c r="F8" s="56">
        <v>2380.8000000000002</v>
      </c>
      <c r="G8" s="56">
        <v>393.8</v>
      </c>
      <c r="H8" s="56">
        <f t="shared" si="0"/>
        <v>189341.94739719862</v>
      </c>
      <c r="I8" s="56">
        <f t="shared" si="1"/>
        <v>7433.2011028900106</v>
      </c>
      <c r="J8" s="56">
        <f t="shared" ref="J8:K8" si="10">J9/(1/R38)</f>
        <v>1037.9530052351629</v>
      </c>
      <c r="K8" s="56">
        <f t="shared" si="10"/>
        <v>3901.3707936834949</v>
      </c>
      <c r="L8" s="56">
        <f t="shared" si="3"/>
        <v>2493.8773039713524</v>
      </c>
      <c r="M8" s="56">
        <f t="shared" ref="M8:N8" si="11">M9*(1/T38)</f>
        <v>1758.4058818549911</v>
      </c>
      <c r="N8" s="56">
        <f t="shared" si="11"/>
        <v>735.47142211636117</v>
      </c>
      <c r="V8" s="64">
        <v>151485500000</v>
      </c>
      <c r="W8" s="64">
        <v>1092100000</v>
      </c>
      <c r="X8" s="64">
        <v>1699100000</v>
      </c>
      <c r="Y8" s="64">
        <v>2737600000</v>
      </c>
      <c r="Z8" s="64">
        <v>529300000</v>
      </c>
    </row>
    <row r="9" spans="1:26">
      <c r="A9" s="64">
        <v>1988</v>
      </c>
      <c r="B9" s="56">
        <v>126981.8</v>
      </c>
      <c r="C9" s="56">
        <v>771.5</v>
      </c>
      <c r="D9" s="56">
        <v>1121.4000000000001</v>
      </c>
      <c r="E9" s="56">
        <f t="shared" si="5"/>
        <v>3097.2</v>
      </c>
      <c r="F9" s="56">
        <v>2673.5</v>
      </c>
      <c r="G9" s="56">
        <v>423.7</v>
      </c>
      <c r="H9" s="56">
        <f t="shared" si="0"/>
        <v>197330.31759899994</v>
      </c>
      <c r="I9" s="56">
        <f t="shared" si="1"/>
        <v>7028.048498755662</v>
      </c>
      <c r="J9" s="56">
        <f t="shared" ref="J9:K9" si="12">J10/(1/R39)</f>
        <v>1008.4053705340463</v>
      </c>
      <c r="K9" s="56">
        <f t="shared" si="12"/>
        <v>3488.3013816490165</v>
      </c>
      <c r="L9" s="56">
        <f t="shared" si="3"/>
        <v>2531.3417465725988</v>
      </c>
      <c r="M9" s="56">
        <f t="shared" ref="M9:N9" si="13">M10*(1/T39)</f>
        <v>1765.8567542357325</v>
      </c>
      <c r="N9" s="56">
        <f t="shared" si="13"/>
        <v>765.48499233686641</v>
      </c>
      <c r="V9" s="64">
        <v>157876700000</v>
      </c>
      <c r="W9" s="64">
        <v>1124100000</v>
      </c>
      <c r="X9" s="64">
        <v>1900300000</v>
      </c>
      <c r="Y9" s="64">
        <v>2749200000</v>
      </c>
      <c r="Z9" s="64">
        <v>550900000</v>
      </c>
    </row>
    <row r="10" spans="1:26">
      <c r="A10" s="64">
        <v>1989</v>
      </c>
      <c r="B10" s="56">
        <v>134610.70000000001</v>
      </c>
      <c r="C10" s="56">
        <v>855.3</v>
      </c>
      <c r="D10" s="56">
        <v>1066</v>
      </c>
      <c r="E10" s="56">
        <f t="shared" si="5"/>
        <v>2750.1</v>
      </c>
      <c r="F10" s="56">
        <v>2275.1999999999998</v>
      </c>
      <c r="G10" s="56">
        <v>474.9</v>
      </c>
      <c r="H10" s="56">
        <f t="shared" si="0"/>
        <v>200476.19457999157</v>
      </c>
      <c r="I10" s="56">
        <f t="shared" si="1"/>
        <v>7285.5704463853599</v>
      </c>
      <c r="J10" s="56">
        <f t="shared" ref="J10:K10" si="14">J11/(1/R40)</f>
        <v>994.42799983974157</v>
      </c>
      <c r="K10" s="56">
        <f t="shared" si="14"/>
        <v>3875.8224379042422</v>
      </c>
      <c r="L10" s="56">
        <f t="shared" si="3"/>
        <v>2415.3200086413767</v>
      </c>
      <c r="M10" s="56">
        <f t="shared" ref="M10:N10" si="15">M11*(1/T40)</f>
        <v>1623.7120940755522</v>
      </c>
      <c r="N10" s="56">
        <f t="shared" si="15"/>
        <v>791.60791456582456</v>
      </c>
      <c r="V10" s="64">
        <v>160393600000</v>
      </c>
      <c r="W10" s="64">
        <v>1139900000</v>
      </c>
      <c r="X10" s="64">
        <v>1710300000</v>
      </c>
      <c r="Y10" s="64">
        <v>2527900000</v>
      </c>
      <c r="Z10" s="64">
        <v>569700000</v>
      </c>
    </row>
    <row r="11" spans="1:26">
      <c r="A11" s="64">
        <v>1990</v>
      </c>
      <c r="B11" s="56">
        <v>140124.79999999999</v>
      </c>
      <c r="C11" s="56">
        <v>722.4</v>
      </c>
      <c r="D11" s="56">
        <v>967.1</v>
      </c>
      <c r="E11" s="56">
        <f t="shared" si="5"/>
        <v>2473.6</v>
      </c>
      <c r="F11" s="56">
        <v>2013.8</v>
      </c>
      <c r="G11" s="56">
        <v>459.8</v>
      </c>
      <c r="H11" s="56">
        <f t="shared" si="0"/>
        <v>201446.49308225379</v>
      </c>
      <c r="I11" s="56">
        <f t="shared" si="1"/>
        <v>7876.3706493194877</v>
      </c>
      <c r="J11" s="56">
        <f t="shared" ref="J11:K11" si="16">J12/(1/R41)</f>
        <v>1167.7639610768738</v>
      </c>
      <c r="K11" s="56">
        <f t="shared" si="16"/>
        <v>4107.329521994935</v>
      </c>
      <c r="L11" s="56">
        <f t="shared" si="3"/>
        <v>2601.2771662476794</v>
      </c>
      <c r="M11" s="56">
        <f t="shared" ref="M11" si="17">M12*(1/T41)</f>
        <v>1813.8378031013694</v>
      </c>
      <c r="N11" s="56">
        <f>N12*(Z11/Z12)</f>
        <v>787.43936314630992</v>
      </c>
      <c r="V11" s="64">
        <v>161169900000</v>
      </c>
      <c r="W11" s="64">
        <v>970700000</v>
      </c>
      <c r="X11" s="64">
        <v>1613900000</v>
      </c>
      <c r="Y11" s="64">
        <v>2823900000</v>
      </c>
      <c r="Z11" s="64">
        <v>566700000</v>
      </c>
    </row>
    <row r="12" spans="1:26">
      <c r="A12" s="64">
        <v>1991</v>
      </c>
      <c r="B12" s="56">
        <v>141298.5</v>
      </c>
      <c r="C12" s="56">
        <v>623.5</v>
      </c>
      <c r="D12" s="56">
        <v>912</v>
      </c>
      <c r="E12" s="56">
        <f t="shared" si="5"/>
        <v>2238.6999999999998</v>
      </c>
      <c r="F12" s="56">
        <v>1704.3</v>
      </c>
      <c r="G12" s="56">
        <v>534.4</v>
      </c>
      <c r="H12" s="56">
        <f t="shared" si="0"/>
        <v>196305.02343256207</v>
      </c>
      <c r="I12" s="56">
        <f>SUM(J12:L12)</f>
        <v>8277.6985033927667</v>
      </c>
      <c r="J12" s="56">
        <f t="shared" ref="J12:K12" si="18">J13/(1/R42)</f>
        <v>1389.1525453643644</v>
      </c>
      <c r="K12" s="56">
        <f t="shared" si="18"/>
        <v>4288.2773421837401</v>
      </c>
      <c r="L12" s="56">
        <f t="shared" si="3"/>
        <v>2600.2686158446618</v>
      </c>
      <c r="M12" s="56">
        <f t="shared" ref="M12" si="19">M13*(1/T42)</f>
        <v>1742.7975888505066</v>
      </c>
      <c r="N12" s="56">
        <f>N18*(Z12/Z18)</f>
        <v>857.4710269941553</v>
      </c>
      <c r="V12" s="64">
        <v>157056400000</v>
      </c>
      <c r="W12" s="64">
        <v>816000000</v>
      </c>
      <c r="X12" s="64">
        <v>1545800000</v>
      </c>
      <c r="Y12" s="64">
        <v>2713300000</v>
      </c>
      <c r="Z12" s="64">
        <v>617100000</v>
      </c>
    </row>
    <row r="13" spans="1:26">
      <c r="A13" s="64">
        <v>1992</v>
      </c>
      <c r="B13" s="56">
        <v>143198.70000000001</v>
      </c>
      <c r="C13" s="56">
        <v>657.3</v>
      </c>
      <c r="D13" s="56">
        <v>1003.4</v>
      </c>
      <c r="E13" s="56" t="s">
        <v>188</v>
      </c>
      <c r="F13" s="56">
        <v>1307</v>
      </c>
      <c r="G13" s="56" t="s">
        <v>188</v>
      </c>
      <c r="H13" s="56">
        <f t="shared" si="0"/>
        <v>197675.54038184782</v>
      </c>
      <c r="I13" s="56" t="s">
        <v>22</v>
      </c>
      <c r="J13" s="56">
        <f t="shared" ref="J13:K13" si="20">J14/(1/R43)</f>
        <v>1455.3196520956749</v>
      </c>
      <c r="K13" s="56">
        <f t="shared" si="20"/>
        <v>4228.6419466366578</v>
      </c>
      <c r="L13" s="56" t="s">
        <v>22</v>
      </c>
      <c r="M13" s="56">
        <f t="shared" ref="M13" si="21">M14*(1/T43)</f>
        <v>1767.5267773555538</v>
      </c>
      <c r="N13" s="56" t="s">
        <v>188</v>
      </c>
      <c r="V13" s="64">
        <v>158152900000</v>
      </c>
      <c r="W13" s="64">
        <v>778900000</v>
      </c>
      <c r="X13" s="64">
        <v>1567600000</v>
      </c>
      <c r="Y13" s="64">
        <v>2751800000</v>
      </c>
      <c r="Z13" s="64" t="s">
        <v>188</v>
      </c>
    </row>
    <row r="14" spans="1:26">
      <c r="A14" s="64">
        <v>1993</v>
      </c>
      <c r="B14" s="56">
        <v>148174.5</v>
      </c>
      <c r="C14" s="56">
        <v>730</v>
      </c>
      <c r="D14" s="56">
        <v>1396.7</v>
      </c>
      <c r="E14" s="56" t="s">
        <v>188</v>
      </c>
      <c r="F14" s="56">
        <v>1617.6</v>
      </c>
      <c r="G14" s="56" t="s">
        <v>188</v>
      </c>
      <c r="H14" s="56">
        <f t="shared" si="0"/>
        <v>202419.7913480165</v>
      </c>
      <c r="I14" s="56" t="s">
        <v>22</v>
      </c>
      <c r="J14" s="56">
        <f t="shared" ref="J14" si="22">J15/(1/R44)</f>
        <v>1538.0576350302865</v>
      </c>
      <c r="K14" s="56">
        <f>K16*(X14/X16)</f>
        <v>3932.6169408801761</v>
      </c>
      <c r="L14" s="56" t="s">
        <v>22</v>
      </c>
      <c r="M14" s="56">
        <f t="shared" ref="M14" si="23">M15*(1/T44)</f>
        <v>1937.8691355773333</v>
      </c>
      <c r="N14" s="56" t="s">
        <v>188</v>
      </c>
      <c r="V14" s="64">
        <v>161948600000</v>
      </c>
      <c r="W14" s="64">
        <v>737000000</v>
      </c>
      <c r="X14" s="64">
        <v>1685600000</v>
      </c>
      <c r="Y14" s="64">
        <v>3017000000</v>
      </c>
      <c r="Z14" s="64" t="s">
        <v>188</v>
      </c>
    </row>
    <row r="15" spans="1:26">
      <c r="A15" s="64">
        <v>1994</v>
      </c>
      <c r="B15" s="56">
        <v>155823.20000000001</v>
      </c>
      <c r="C15" s="56">
        <v>732.8</v>
      </c>
      <c r="D15" s="56" t="s">
        <v>188</v>
      </c>
      <c r="E15" s="56" t="s">
        <v>188</v>
      </c>
      <c r="F15" s="56">
        <v>1965.6</v>
      </c>
      <c r="G15" s="56" t="s">
        <v>188</v>
      </c>
      <c r="H15" s="56">
        <f t="shared" si="0"/>
        <v>209423.73916107413</v>
      </c>
      <c r="I15" s="56" t="s">
        <v>22</v>
      </c>
      <c r="J15" s="56">
        <f t="shared" ref="J15" si="24">J16/(1/R45)</f>
        <v>1594.5259206883122</v>
      </c>
      <c r="K15" s="56" t="s">
        <v>188</v>
      </c>
      <c r="L15" s="56" t="s">
        <v>22</v>
      </c>
      <c r="M15" s="56">
        <f t="shared" ref="M15" si="25">M16*(1/T45)</f>
        <v>2114.5704279861252</v>
      </c>
      <c r="N15" s="56" t="s">
        <v>188</v>
      </c>
      <c r="V15" s="64">
        <v>167552200000</v>
      </c>
      <c r="W15" s="64">
        <v>710900000</v>
      </c>
      <c r="X15" s="64" t="s">
        <v>188</v>
      </c>
      <c r="Y15" s="64">
        <v>3292100000</v>
      </c>
      <c r="Z15" s="64" t="s">
        <v>188</v>
      </c>
    </row>
    <row r="16" spans="1:26">
      <c r="A16" s="64">
        <v>1995</v>
      </c>
      <c r="B16" s="56">
        <v>161967.20000000001</v>
      </c>
      <c r="C16" s="56">
        <v>955.6</v>
      </c>
      <c r="D16" s="56">
        <v>1814.5</v>
      </c>
      <c r="E16" s="56" t="s">
        <v>188</v>
      </c>
      <c r="F16" s="56">
        <v>4019.3</v>
      </c>
      <c r="G16" s="56" t="s">
        <v>188</v>
      </c>
      <c r="H16" s="56">
        <f t="shared" si="0"/>
        <v>211532.19793148013</v>
      </c>
      <c r="I16" s="56" t="s">
        <v>22</v>
      </c>
      <c r="J16" s="56">
        <f t="shared" ref="J16:K16" si="26">J17/(1/R46)</f>
        <v>1425.8471409022909</v>
      </c>
      <c r="K16" s="56">
        <f t="shared" si="26"/>
        <v>4287.0097465990293</v>
      </c>
      <c r="L16" s="56" t="s">
        <v>22</v>
      </c>
      <c r="M16" s="56">
        <f t="shared" ref="M16" si="27">M17*(1/T46)</f>
        <v>2069.0301821417652</v>
      </c>
      <c r="N16" s="56" t="s">
        <v>188</v>
      </c>
      <c r="V16" s="64">
        <v>169239100000</v>
      </c>
      <c r="W16" s="64">
        <v>795000000</v>
      </c>
      <c r="X16" s="64">
        <v>1837500000</v>
      </c>
      <c r="Y16" s="64">
        <v>3221200000</v>
      </c>
      <c r="Z16" s="64" t="s">
        <v>188</v>
      </c>
    </row>
    <row r="17" spans="1:26">
      <c r="A17" s="64">
        <v>1996</v>
      </c>
      <c r="B17" s="56">
        <v>164651.79999999999</v>
      </c>
      <c r="C17" s="56">
        <v>789.9</v>
      </c>
      <c r="D17" s="56">
        <v>2089.1999999999998</v>
      </c>
      <c r="E17" s="56" t="s">
        <v>188</v>
      </c>
      <c r="F17" s="56">
        <v>3476.8</v>
      </c>
      <c r="G17" s="56" t="s">
        <v>188</v>
      </c>
      <c r="H17" s="56">
        <f t="shared" si="0"/>
        <v>212333.88472698574</v>
      </c>
      <c r="I17" s="56" t="s">
        <v>22</v>
      </c>
      <c r="J17" s="56">
        <f t="shared" ref="J17:K17" si="28">J18/(1/R47)</f>
        <v>1435.2348404878719</v>
      </c>
      <c r="K17" s="56">
        <f t="shared" si="28"/>
        <v>3753.0994375033188</v>
      </c>
      <c r="L17" s="56" t="s">
        <v>22</v>
      </c>
      <c r="M17" s="56">
        <f t="shared" ref="M17" si="29">M18*(1/T47)</f>
        <v>1807.3504055974474</v>
      </c>
      <c r="N17" s="56" t="s">
        <v>188</v>
      </c>
      <c r="V17" s="64">
        <v>169880500000</v>
      </c>
      <c r="W17" s="64">
        <v>789800000</v>
      </c>
      <c r="X17" s="64">
        <v>2098900000</v>
      </c>
      <c r="Y17" s="64">
        <v>2813800000</v>
      </c>
      <c r="Z17" s="64" t="s">
        <v>188</v>
      </c>
    </row>
    <row r="18" spans="1:26">
      <c r="A18" s="64">
        <v>1997</v>
      </c>
      <c r="B18" s="56">
        <v>175117.7</v>
      </c>
      <c r="C18" s="56">
        <v>798.1</v>
      </c>
      <c r="D18" s="56">
        <v>2414.6</v>
      </c>
      <c r="E18" s="56">
        <f t="shared" si="5"/>
        <v>3912</v>
      </c>
      <c r="F18" s="56">
        <v>3178.1</v>
      </c>
      <c r="G18" s="56">
        <v>733.9</v>
      </c>
      <c r="H18" s="56">
        <f t="shared" si="0"/>
        <v>218879.86864563543</v>
      </c>
      <c r="I18" s="56">
        <f t="shared" si="1"/>
        <v>7743.817393373316</v>
      </c>
      <c r="J18" s="56">
        <f t="shared" ref="J18:K18" si="30">J19/(1/R48)</f>
        <v>1420.3088297422896</v>
      </c>
      <c r="K18" s="56">
        <f t="shared" si="30"/>
        <v>3262.3955973559664</v>
      </c>
      <c r="L18" s="56">
        <f t="shared" si="3"/>
        <v>3061.1129662750604</v>
      </c>
      <c r="M18" s="56">
        <f t="shared" ref="M18:N18" si="31">M19*(1/T48)</f>
        <v>2041.346337347803</v>
      </c>
      <c r="N18" s="56">
        <f t="shared" si="31"/>
        <v>1019.7666289272574</v>
      </c>
      <c r="P18" s="56">
        <v>187598.7</v>
      </c>
      <c r="Q18" s="56">
        <v>710.1</v>
      </c>
      <c r="R18" s="56">
        <v>2450.8000000000002</v>
      </c>
      <c r="S18" s="56">
        <v>2985.9</v>
      </c>
      <c r="T18" s="56">
        <v>1028.5</v>
      </c>
      <c r="V18" s="64">
        <v>175117700000</v>
      </c>
      <c r="W18" s="64">
        <v>798100000</v>
      </c>
      <c r="X18" s="64">
        <v>2414600000</v>
      </c>
      <c r="Y18" s="64">
        <v>3178100000</v>
      </c>
      <c r="Z18" s="64">
        <v>733900000</v>
      </c>
    </row>
    <row r="19" spans="1:26">
      <c r="A19" s="64">
        <v>1998</v>
      </c>
      <c r="B19" s="56">
        <v>182252</v>
      </c>
      <c r="C19" s="56">
        <v>992.7</v>
      </c>
      <c r="D19" s="56">
        <v>2482.4</v>
      </c>
      <c r="E19" s="56">
        <f t="shared" si="5"/>
        <v>4514.1000000000004</v>
      </c>
      <c r="F19" s="56">
        <v>3492.9</v>
      </c>
      <c r="G19" s="56">
        <v>1021.2</v>
      </c>
      <c r="H19" s="56">
        <f t="shared" si="0"/>
        <v>226145.89058490019</v>
      </c>
      <c r="I19" s="56">
        <f t="shared" si="1"/>
        <v>7510.8350556425312</v>
      </c>
      <c r="J19" s="56">
        <f t="shared" ref="J19:K19" si="32">J20/(1/R49)</f>
        <v>1235.6791227640283</v>
      </c>
      <c r="K19" s="56">
        <f t="shared" si="32"/>
        <v>3032.3810558652872</v>
      </c>
      <c r="L19" s="56">
        <f t="shared" si="3"/>
        <v>3242.7748770132157</v>
      </c>
      <c r="M19" s="56">
        <f t="shared" ref="M19:N19" si="33">M20*(1/T49)</f>
        <v>1988.0207020910534</v>
      </c>
      <c r="N19" s="56">
        <f t="shared" si="33"/>
        <v>1254.7541749221625</v>
      </c>
      <c r="P19" s="56">
        <v>193826.3</v>
      </c>
      <c r="Q19" s="56">
        <v>816.2</v>
      </c>
      <c r="R19" s="56">
        <v>2636.7</v>
      </c>
      <c r="S19" s="56">
        <v>2907.9</v>
      </c>
      <c r="T19" s="56">
        <v>1265.5</v>
      </c>
      <c r="V19" s="64">
        <v>181041900000</v>
      </c>
      <c r="W19" s="64">
        <v>917100000</v>
      </c>
      <c r="X19" s="64">
        <v>2594400000</v>
      </c>
      <c r="Y19" s="64">
        <v>3064000000</v>
      </c>
      <c r="Z19" s="64">
        <v>900800000</v>
      </c>
    </row>
    <row r="20" spans="1:26">
      <c r="A20" s="64">
        <v>1999</v>
      </c>
      <c r="B20" s="56">
        <v>195765.2</v>
      </c>
      <c r="C20" s="56">
        <v>965.8</v>
      </c>
      <c r="D20" s="56">
        <v>3117.6</v>
      </c>
      <c r="E20" s="56">
        <f t="shared" si="5"/>
        <v>4153.7</v>
      </c>
      <c r="F20" s="56">
        <v>3005.5</v>
      </c>
      <c r="G20" s="56">
        <v>1148.2</v>
      </c>
      <c r="H20" s="56">
        <f t="shared" si="0"/>
        <v>240648.88250982208</v>
      </c>
      <c r="I20" s="56">
        <f t="shared" si="1"/>
        <v>7428.7977305754503</v>
      </c>
      <c r="J20" s="56">
        <f t="shared" ref="J20:K20" si="34">J21/(1/R50)</f>
        <v>1110.6280145358439</v>
      </c>
      <c r="K20" s="56">
        <f t="shared" si="34"/>
        <v>2920.0829516818239</v>
      </c>
      <c r="L20" s="56">
        <f t="shared" si="3"/>
        <v>3398.0867643577826</v>
      </c>
      <c r="M20" s="56">
        <f t="shared" ref="M20:N20" si="35">M21*(1/T50)</f>
        <v>2036.1505062202225</v>
      </c>
      <c r="N20" s="56">
        <f t="shared" si="35"/>
        <v>1361.9362581375601</v>
      </c>
      <c r="P20" s="56">
        <v>206256.6</v>
      </c>
      <c r="Q20" s="56">
        <v>908.1</v>
      </c>
      <c r="R20" s="56">
        <v>2738.1</v>
      </c>
      <c r="S20" s="56">
        <v>2978.3</v>
      </c>
      <c r="T20" s="56">
        <v>1373.6</v>
      </c>
    </row>
    <row r="21" spans="1:26">
      <c r="A21" s="64">
        <v>2000</v>
      </c>
      <c r="B21" s="56">
        <v>209300.6</v>
      </c>
      <c r="C21" s="56">
        <v>1185</v>
      </c>
      <c r="D21" s="56">
        <v>3238.7</v>
      </c>
      <c r="E21" s="56">
        <f t="shared" si="5"/>
        <v>4872.3999999999996</v>
      </c>
      <c r="F21" s="56">
        <v>3825.3</v>
      </c>
      <c r="G21" s="56">
        <v>1047.0999999999999</v>
      </c>
      <c r="H21" s="56">
        <f t="shared" si="0"/>
        <v>251559.46619545494</v>
      </c>
      <c r="I21" s="56">
        <f t="shared" si="1"/>
        <v>6860.528939928985</v>
      </c>
      <c r="J21" s="56">
        <f t="shared" ref="J21:K21" si="36">J22/(1/R51)</f>
        <v>873.89420327527955</v>
      </c>
      <c r="K21" s="56">
        <f t="shared" si="36"/>
        <v>2702.5449146526962</v>
      </c>
      <c r="L21" s="56">
        <f t="shared" si="3"/>
        <v>3284.0898220010095</v>
      </c>
      <c r="M21" s="56">
        <f t="shared" ref="M21:N21" si="37">M22*(1/T51)</f>
        <v>2176.5746790629964</v>
      </c>
      <c r="N21" s="56">
        <f t="shared" si="37"/>
        <v>1107.515142938013</v>
      </c>
      <c r="P21" s="56">
        <v>215607.9</v>
      </c>
      <c r="Q21" s="56">
        <v>1154.0999999999999</v>
      </c>
      <c r="R21" s="56">
        <v>2958.5</v>
      </c>
      <c r="S21" s="56">
        <v>3183.7</v>
      </c>
      <c r="T21" s="56">
        <v>1117</v>
      </c>
    </row>
    <row r="22" spans="1:26">
      <c r="A22" s="64">
        <v>2001</v>
      </c>
      <c r="B22" s="56">
        <v>215711.3</v>
      </c>
      <c r="C22" s="56">
        <v>1101.0999999999999</v>
      </c>
      <c r="D22" s="56">
        <v>3307.4</v>
      </c>
      <c r="E22" s="56">
        <f t="shared" si="5"/>
        <v>5100.7</v>
      </c>
      <c r="F22" s="56">
        <v>3912.2</v>
      </c>
      <c r="G22" s="56">
        <v>1188.5</v>
      </c>
      <c r="H22" s="56">
        <f t="shared" si="0"/>
        <v>254725.66244065104</v>
      </c>
      <c r="I22" s="56">
        <f t="shared" si="1"/>
        <v>6589.1749983780355</v>
      </c>
      <c r="J22" s="56">
        <f t="shared" ref="J22:K22" si="38">J23/(1/R52)</f>
        <v>847.74422123224338</v>
      </c>
      <c r="K22" s="56">
        <f t="shared" si="38"/>
        <v>2500.1498217636026</v>
      </c>
      <c r="L22" s="56">
        <f t="shared" si="3"/>
        <v>3241.2809553821889</v>
      </c>
      <c r="M22" s="56">
        <f t="shared" ref="M22:N22" si="39">M23*(1/T52)</f>
        <v>2106.4993250397038</v>
      </c>
      <c r="N22" s="56">
        <f t="shared" si="39"/>
        <v>1134.7816303424852</v>
      </c>
      <c r="P22" s="56">
        <v>218321.6</v>
      </c>
      <c r="Q22" s="56">
        <v>1189.7</v>
      </c>
      <c r="R22" s="56">
        <v>3198</v>
      </c>
      <c r="S22" s="56">
        <v>3081.2</v>
      </c>
      <c r="T22" s="56">
        <v>1144.5</v>
      </c>
    </row>
    <row r="23" spans="1:26">
      <c r="A23" s="64">
        <v>2002</v>
      </c>
      <c r="B23" s="56">
        <v>223849.5</v>
      </c>
      <c r="C23" s="56">
        <v>1209.2</v>
      </c>
      <c r="D23" s="56">
        <v>3493.2</v>
      </c>
      <c r="E23" s="56">
        <f t="shared" si="5"/>
        <v>4409.1000000000004</v>
      </c>
      <c r="F23" s="56">
        <v>3147.1</v>
      </c>
      <c r="G23" s="56">
        <v>1262</v>
      </c>
      <c r="H23" s="56">
        <f t="shared" si="0"/>
        <v>261175.31281608649</v>
      </c>
      <c r="I23" s="56">
        <f t="shared" si="1"/>
        <v>6525.779288939706</v>
      </c>
      <c r="J23" s="56">
        <f t="shared" ref="J23:K23" si="40">J24/(1/R53)</f>
        <v>834.0731888852132</v>
      </c>
      <c r="K23" s="56">
        <f t="shared" si="40"/>
        <v>2288.8695551356927</v>
      </c>
      <c r="L23" s="56">
        <f t="shared" si="3"/>
        <v>3402.8365449188004</v>
      </c>
      <c r="M23" s="56">
        <f t="shared" ref="M23:N23" si="41">M24*(1/T53)</f>
        <v>2151.5526502117527</v>
      </c>
      <c r="N23" s="56">
        <f t="shared" si="41"/>
        <v>1251.2838947070477</v>
      </c>
      <c r="P23" s="56">
        <v>223849.5</v>
      </c>
      <c r="Q23" s="56">
        <v>1209.2</v>
      </c>
      <c r="R23" s="56">
        <v>3493.2</v>
      </c>
      <c r="S23" s="56">
        <v>3147.1</v>
      </c>
      <c r="T23" s="56">
        <v>1262</v>
      </c>
    </row>
    <row r="24" spans="1:26">
      <c r="A24" s="64">
        <v>2003</v>
      </c>
      <c r="B24" s="56">
        <v>232979.9</v>
      </c>
      <c r="C24" s="56">
        <v>1098.5999999999999</v>
      </c>
      <c r="D24" s="56">
        <v>3272.3</v>
      </c>
      <c r="E24" s="56">
        <f t="shared" si="5"/>
        <v>3693</v>
      </c>
      <c r="F24" s="56">
        <v>2532</v>
      </c>
      <c r="G24" s="56">
        <v>1161</v>
      </c>
      <c r="H24" s="56">
        <f t="shared" si="0"/>
        <v>264623.16133441165</v>
      </c>
      <c r="I24" s="56">
        <f t="shared" si="1"/>
        <v>6530.3152315595589</v>
      </c>
      <c r="J24" s="56">
        <f t="shared" ref="J24:K24" si="42">J25/(1/R54)</f>
        <v>895.86187599928928</v>
      </c>
      <c r="K24" s="56">
        <f t="shared" si="42"/>
        <v>2362.171806310565</v>
      </c>
      <c r="L24" s="56">
        <f t="shared" si="3"/>
        <v>3272.2815492497048</v>
      </c>
      <c r="M24" s="56">
        <f t="shared" ref="M24:N24" si="43">M25*(1/T54)</f>
        <v>2069.5815775542619</v>
      </c>
      <c r="N24" s="56">
        <f t="shared" si="43"/>
        <v>1202.6999716954429</v>
      </c>
      <c r="P24" s="56">
        <v>226804.6</v>
      </c>
      <c r="Q24" s="56">
        <v>1125.8</v>
      </c>
      <c r="R24" s="56">
        <v>3384.8</v>
      </c>
      <c r="S24" s="56">
        <v>3027.2</v>
      </c>
      <c r="T24" s="56">
        <v>1213</v>
      </c>
    </row>
    <row r="25" spans="1:26">
      <c r="A25" s="64">
        <v>2004</v>
      </c>
      <c r="B25" s="56">
        <v>243988.6</v>
      </c>
      <c r="C25" s="56">
        <v>1245.4000000000001</v>
      </c>
      <c r="D25" s="56">
        <v>3520.6</v>
      </c>
      <c r="E25" s="56">
        <f t="shared" si="5"/>
        <v>3456.8999999999996</v>
      </c>
      <c r="F25" s="56">
        <v>2236.1999999999998</v>
      </c>
      <c r="G25" s="56">
        <v>1220.7</v>
      </c>
      <c r="H25" s="56">
        <f t="shared" si="0"/>
        <v>270987.75599024852</v>
      </c>
      <c r="I25" s="56">
        <f t="shared" si="1"/>
        <v>6408.9097933604162</v>
      </c>
      <c r="J25" s="56">
        <f t="shared" ref="J25:K25" si="44">J26/(1/R55)</f>
        <v>786.64792137898746</v>
      </c>
      <c r="K25" s="56">
        <f t="shared" si="44"/>
        <v>2521.8353982021767</v>
      </c>
      <c r="L25" s="56">
        <f t="shared" si="3"/>
        <v>3100.4264737792519</v>
      </c>
      <c r="M25" s="56">
        <f t="shared" ref="M25:N25" si="45">M26*(1/T55)</f>
        <v>1861.3381352567496</v>
      </c>
      <c r="N25" s="56">
        <f t="shared" si="45"/>
        <v>1239.0883385225022</v>
      </c>
      <c r="P25" s="56">
        <v>232259.6</v>
      </c>
      <c r="Q25" s="56">
        <v>1282.0999999999999</v>
      </c>
      <c r="R25" s="56">
        <v>3170.5</v>
      </c>
      <c r="S25" s="56">
        <v>2722.6</v>
      </c>
      <c r="T25" s="56">
        <v>1249.7</v>
      </c>
    </row>
    <row r="26" spans="1:26">
      <c r="A26" s="64">
        <v>2005</v>
      </c>
      <c r="B26" s="56">
        <v>252709.6</v>
      </c>
      <c r="C26" s="56">
        <v>1313.4</v>
      </c>
      <c r="D26" s="56">
        <v>3384</v>
      </c>
      <c r="E26" s="56">
        <f t="shared" si="5"/>
        <v>3943.1</v>
      </c>
      <c r="F26" s="56">
        <v>2754.2</v>
      </c>
      <c r="G26" s="56">
        <v>1188.9000000000001</v>
      </c>
      <c r="H26" s="56">
        <f t="shared" si="0"/>
        <v>275617.40064549336</v>
      </c>
      <c r="I26" s="56">
        <f t="shared" si="1"/>
        <v>6303.957403940628</v>
      </c>
      <c r="J26" s="56">
        <f t="shared" ref="J26:K26" si="46">J27/(1/R56)</f>
        <v>728.67661296149117</v>
      </c>
      <c r="K26" s="56">
        <f t="shared" si="46"/>
        <v>2292.0190144478847</v>
      </c>
      <c r="L26" s="56">
        <f t="shared" si="3"/>
        <v>3283.2617765312521</v>
      </c>
      <c r="M26" s="56">
        <f t="shared" ref="M26:N26" si="47">M27*(1/T56)</f>
        <v>2128.649973530969</v>
      </c>
      <c r="N26" s="56">
        <f t="shared" si="47"/>
        <v>1154.6118030002831</v>
      </c>
      <c r="P26" s="56">
        <v>236227.6</v>
      </c>
      <c r="Q26" s="56">
        <v>1384.1</v>
      </c>
      <c r="R26" s="56">
        <v>3488.4</v>
      </c>
      <c r="S26" s="56">
        <v>3113.6</v>
      </c>
      <c r="T26" s="56">
        <v>1164.5</v>
      </c>
    </row>
    <row r="27" spans="1:26">
      <c r="A27" s="64">
        <v>2006</v>
      </c>
      <c r="B27" s="56">
        <v>263692.40000000002</v>
      </c>
      <c r="C27" s="56">
        <v>1401.6</v>
      </c>
      <c r="D27" s="56">
        <v>2896.9</v>
      </c>
      <c r="E27" s="56">
        <f t="shared" si="5"/>
        <v>3773.7</v>
      </c>
      <c r="F27" s="56">
        <v>2683.2</v>
      </c>
      <c r="G27" s="56">
        <v>1090.5</v>
      </c>
      <c r="H27" s="56">
        <f>H28*(1/Q57)</f>
        <v>279795.86496097432</v>
      </c>
      <c r="I27" s="56">
        <f t="shared" ref="I27:I32" si="48">SUM(J27:L27)</f>
        <v>6180.3691644902519</v>
      </c>
      <c r="J27" s="56">
        <f>J28/(1/R57)</f>
        <v>773.91137200736637</v>
      </c>
      <c r="K27" s="56">
        <f>K28/(1/S57)</f>
        <v>2297.8155908725143</v>
      </c>
      <c r="L27" s="56">
        <f t="shared" ref="L27" si="49">SUM(M27:N27)</f>
        <v>3108.6422016103706</v>
      </c>
      <c r="M27" s="56">
        <f>M28*(1/T57)</f>
        <v>2032.4587314716782</v>
      </c>
      <c r="N27" s="56">
        <f>N28*(1/U57)</f>
        <v>1076.1834701386924</v>
      </c>
      <c r="P27" s="56">
        <v>239808.9</v>
      </c>
      <c r="Q27" s="56">
        <v>1303.2</v>
      </c>
      <c r="R27" s="56">
        <v>3479.6</v>
      </c>
      <c r="S27" s="56">
        <v>2972.9</v>
      </c>
      <c r="T27" s="56">
        <v>1085.4000000000001</v>
      </c>
    </row>
    <row r="28" spans="1:26">
      <c r="A28" s="64">
        <v>2007</v>
      </c>
      <c r="B28" s="56">
        <v>276941.2</v>
      </c>
      <c r="C28" s="56">
        <v>1245.4000000000001</v>
      </c>
      <c r="D28" s="56">
        <v>2421.4</v>
      </c>
      <c r="E28" s="56">
        <f t="shared" si="5"/>
        <v>3300.6000000000004</v>
      </c>
      <c r="F28" s="56">
        <v>2224.9</v>
      </c>
      <c r="G28" s="56">
        <v>1075.7</v>
      </c>
      <c r="H28" s="56">
        <v>285769.59999999998</v>
      </c>
      <c r="I28" s="56">
        <f>SUM(J28:L28)</f>
        <v>6550.6</v>
      </c>
      <c r="J28" s="56">
        <v>870.5</v>
      </c>
      <c r="K28" s="56">
        <v>2562.9</v>
      </c>
      <c r="L28" s="56">
        <v>3117.2</v>
      </c>
      <c r="M28" s="56">
        <v>2066.3000000000002</v>
      </c>
      <c r="N28" s="56">
        <v>1050.9000000000001</v>
      </c>
      <c r="P28" s="56">
        <v>244928.9</v>
      </c>
      <c r="Q28" s="56">
        <v>1158.5999999999999</v>
      </c>
      <c r="R28" s="56">
        <v>3119.7</v>
      </c>
      <c r="S28" s="56">
        <v>3022.4</v>
      </c>
      <c r="T28" s="56">
        <v>1059.9000000000001</v>
      </c>
    </row>
    <row r="29" spans="1:26">
      <c r="A29" s="64">
        <v>2008</v>
      </c>
      <c r="B29" s="56">
        <v>286275.7</v>
      </c>
      <c r="C29" s="56">
        <v>1151.4000000000001</v>
      </c>
      <c r="D29" s="56">
        <v>2225</v>
      </c>
      <c r="E29" s="56">
        <f t="shared" si="5"/>
        <v>3295.3</v>
      </c>
      <c r="F29" s="56">
        <v>2182.9</v>
      </c>
      <c r="G29" s="56">
        <v>1112.4000000000001</v>
      </c>
      <c r="H29" s="56">
        <v>290249.40000000002</v>
      </c>
      <c r="I29" s="56">
        <f t="shared" si="48"/>
        <v>6230.7999999999993</v>
      </c>
      <c r="J29" s="56">
        <v>863.8</v>
      </c>
      <c r="K29" s="56">
        <v>2442.6</v>
      </c>
      <c r="L29" s="56">
        <v>2924.4</v>
      </c>
      <c r="M29" s="56">
        <v>1870.2</v>
      </c>
      <c r="N29" s="56">
        <v>1053.9000000000001</v>
      </c>
      <c r="P29" s="56">
        <v>248492.2</v>
      </c>
      <c r="Q29" s="56">
        <v>1116.8</v>
      </c>
      <c r="R29" s="56">
        <v>2909</v>
      </c>
      <c r="S29" s="56">
        <v>2708</v>
      </c>
      <c r="T29" s="56">
        <v>1061.0999999999999</v>
      </c>
    </row>
    <row r="30" spans="1:26">
      <c r="A30" s="64">
        <v>2009</v>
      </c>
      <c r="B30" s="56" t="s">
        <v>22</v>
      </c>
      <c r="C30" s="56" t="s">
        <v>22</v>
      </c>
      <c r="D30" s="56" t="s">
        <v>22</v>
      </c>
      <c r="E30" s="56" t="s">
        <v>22</v>
      </c>
      <c r="F30" s="56" t="s">
        <v>22</v>
      </c>
      <c r="G30" s="56" t="s">
        <v>22</v>
      </c>
      <c r="H30" s="56">
        <v>288310.7</v>
      </c>
      <c r="I30" s="56">
        <f t="shared" si="48"/>
        <v>5485.1</v>
      </c>
      <c r="J30" s="56">
        <v>768.2</v>
      </c>
      <c r="K30" s="56">
        <v>2122.5</v>
      </c>
      <c r="L30" s="56">
        <v>2594.4</v>
      </c>
      <c r="M30" s="56">
        <v>1557.9</v>
      </c>
      <c r="N30" s="56">
        <v>1055.0999999999999</v>
      </c>
      <c r="P30" s="56">
        <v>246487.8</v>
      </c>
      <c r="Q30" s="56">
        <v>854.1</v>
      </c>
      <c r="R30" s="56">
        <v>2535.8000000000002</v>
      </c>
      <c r="S30" s="56">
        <v>2271.3000000000002</v>
      </c>
      <c r="T30" s="56">
        <v>1073.3</v>
      </c>
    </row>
    <row r="31" spans="1:26">
      <c r="A31" s="64">
        <v>2010</v>
      </c>
      <c r="B31" s="56" t="s">
        <v>22</v>
      </c>
      <c r="C31" s="56" t="s">
        <v>22</v>
      </c>
      <c r="D31" s="56" t="s">
        <v>22</v>
      </c>
      <c r="E31" s="56" t="s">
        <v>22</v>
      </c>
      <c r="F31" s="56" t="s">
        <v>22</v>
      </c>
      <c r="G31" s="56" t="s">
        <v>22</v>
      </c>
      <c r="H31" s="56">
        <v>295398.40000000002</v>
      </c>
      <c r="I31" s="56">
        <f t="shared" si="48"/>
        <v>5655.2</v>
      </c>
      <c r="J31" s="56">
        <v>871.9</v>
      </c>
      <c r="K31" s="56">
        <v>2299.1999999999998</v>
      </c>
      <c r="L31" s="56">
        <v>2484.1</v>
      </c>
      <c r="M31" s="56">
        <v>1488.7</v>
      </c>
      <c r="N31" s="56">
        <v>1013.9</v>
      </c>
      <c r="P31" s="56">
        <v>252754.5</v>
      </c>
      <c r="Q31" s="56">
        <v>1083.5999999999999</v>
      </c>
      <c r="R31" s="56">
        <v>2699.8</v>
      </c>
      <c r="S31" s="56">
        <v>2272.5</v>
      </c>
      <c r="T31" s="56">
        <v>1028.7</v>
      </c>
    </row>
    <row r="32" spans="1:26">
      <c r="A32" s="64">
        <v>2011</v>
      </c>
      <c r="B32" s="56" t="s">
        <v>22</v>
      </c>
      <c r="C32" s="56" t="s">
        <v>22</v>
      </c>
      <c r="D32" s="56" t="s">
        <v>22</v>
      </c>
      <c r="E32" s="56" t="s">
        <v>22</v>
      </c>
      <c r="F32" s="56" t="s">
        <v>22</v>
      </c>
      <c r="G32" s="56" t="s">
        <v>22</v>
      </c>
      <c r="H32" s="56">
        <v>300274.7</v>
      </c>
      <c r="I32" s="56">
        <f t="shared" si="48"/>
        <v>5577</v>
      </c>
      <c r="J32" s="56">
        <v>964</v>
      </c>
      <c r="K32" s="56">
        <v>2209</v>
      </c>
      <c r="L32" s="56">
        <v>2404</v>
      </c>
      <c r="M32" s="56">
        <v>1405.9</v>
      </c>
      <c r="N32" s="56">
        <v>1024.0999999999999</v>
      </c>
      <c r="P32" s="56">
        <v>256961.1</v>
      </c>
      <c r="Q32" s="56">
        <v>1192.8</v>
      </c>
      <c r="R32" s="56">
        <v>2561.9</v>
      </c>
      <c r="S32" s="56">
        <v>2130.1999999999998</v>
      </c>
      <c r="T32" s="56">
        <v>1030.5999999999999</v>
      </c>
    </row>
    <row r="34" spans="1:21" ht="15" customHeight="1">
      <c r="A34" s="66" t="s">
        <v>23</v>
      </c>
      <c r="P34" s="146" t="s">
        <v>1826</v>
      </c>
      <c r="Q34" s="117" t="s">
        <v>7</v>
      </c>
      <c r="R34" s="117" t="s">
        <v>192</v>
      </c>
      <c r="S34" s="117" t="s">
        <v>1</v>
      </c>
      <c r="T34" s="117" t="s">
        <v>13</v>
      </c>
      <c r="U34" s="117" t="s">
        <v>19</v>
      </c>
    </row>
    <row r="35" spans="1:21">
      <c r="A35" s="57" t="s">
        <v>2142</v>
      </c>
      <c r="B35" s="147" t="str">
        <f>IFERROR(((B32/B5)^(1/27)-1)*100,"n.a.")</f>
        <v>n.a.</v>
      </c>
      <c r="C35" s="147" t="str">
        <f t="shared" ref="C35:N35" si="50">IFERROR(((C32/C5)^(1/27)-1)*100,"n.a.")</f>
        <v>n.a.</v>
      </c>
      <c r="D35" s="147" t="str">
        <f t="shared" si="50"/>
        <v>n.a.</v>
      </c>
      <c r="E35" s="147" t="str">
        <f t="shared" si="50"/>
        <v>n.a.</v>
      </c>
      <c r="F35" s="147" t="str">
        <f t="shared" si="50"/>
        <v>n.a.</v>
      </c>
      <c r="G35" s="147" t="str">
        <f t="shared" si="50"/>
        <v>n.a.</v>
      </c>
      <c r="H35" s="147">
        <f t="shared" si="50"/>
        <v>2.152031095496687</v>
      </c>
      <c r="I35" s="147">
        <f t="shared" si="50"/>
        <v>-1.4239266349172386</v>
      </c>
      <c r="J35" s="147">
        <f t="shared" si="50"/>
        <v>-1.0313117341244626</v>
      </c>
      <c r="K35" s="147">
        <f t="shared" si="50"/>
        <v>-2.4786874967452133</v>
      </c>
      <c r="L35" s="147">
        <f t="shared" si="50"/>
        <v>-0.27381552061522818</v>
      </c>
      <c r="M35" s="147">
        <f t="shared" si="50"/>
        <v>-0.98983977171864801</v>
      </c>
      <c r="N35" s="147">
        <f t="shared" si="50"/>
        <v>1.1621468629067655</v>
      </c>
      <c r="P35" s="56" t="s">
        <v>1856</v>
      </c>
      <c r="Q35" s="64">
        <f>V6/V5</f>
        <v>1.0393952326605724</v>
      </c>
      <c r="R35" s="64">
        <f t="shared" ref="R35:U35" si="51">W6/W5</f>
        <v>1.0370162016201621</v>
      </c>
      <c r="S35" s="64">
        <f t="shared" si="51"/>
        <v>1.0357002231263945</v>
      </c>
      <c r="T35" s="64">
        <f t="shared" si="51"/>
        <v>0.94038139145012578</v>
      </c>
      <c r="U35" s="64">
        <f t="shared" si="51"/>
        <v>1.0641334569045413</v>
      </c>
    </row>
    <row r="36" spans="1:21">
      <c r="A36" s="57" t="s">
        <v>2141</v>
      </c>
      <c r="B36" s="147">
        <f>IFERROR(((B29/B5)^(1/24)-1)*100,"n.a.")</f>
        <v>4.8392943867072047</v>
      </c>
      <c r="C36" s="147">
        <f t="shared" ref="C36:N36" si="52">IFERROR(((C29/C5)^(1/24)-1)*100,"n.a.")</f>
        <v>3.6538859650835587</v>
      </c>
      <c r="D36" s="147">
        <f t="shared" si="52"/>
        <v>4.28201404545554</v>
      </c>
      <c r="E36" s="147">
        <f t="shared" si="52"/>
        <v>1.8652532009381773</v>
      </c>
      <c r="F36" s="147">
        <f t="shared" si="52"/>
        <v>0.82228319754245049</v>
      </c>
      <c r="G36" s="147">
        <f t="shared" si="52"/>
        <v>5.309438257556387</v>
      </c>
      <c r="H36" s="147">
        <f t="shared" si="52"/>
        <v>2.2794552971079796</v>
      </c>
      <c r="I36" s="147">
        <f t="shared" si="52"/>
        <v>-1.144936528817575</v>
      </c>
      <c r="J36" s="147">
        <f t="shared" si="52"/>
        <v>-1.6104333334600707</v>
      </c>
      <c r="K36" s="147">
        <f t="shared" si="52"/>
        <v>-2.376133042838513</v>
      </c>
      <c r="L36" s="147">
        <f t="shared" si="52"/>
        <v>0.50930809874680794</v>
      </c>
      <c r="M36" s="147">
        <f t="shared" si="52"/>
        <v>6.9938908522693133E-2</v>
      </c>
      <c r="N36" s="147">
        <f t="shared" si="52"/>
        <v>1.4295118366132842</v>
      </c>
      <c r="P36" s="56" t="s">
        <v>1857</v>
      </c>
      <c r="Q36" s="64">
        <f t="shared" ref="Q36:Q47" si="53">V7/V6</f>
        <v>1.0298992423428379</v>
      </c>
      <c r="R36" s="64">
        <f t="shared" ref="R36:R47" si="54">W7/W6</f>
        <v>0.96571552565910812</v>
      </c>
      <c r="S36" s="64">
        <f t="shared" ref="S36:S47" si="55">X7/X6</f>
        <v>1.0077303256874921</v>
      </c>
      <c r="T36" s="64">
        <f t="shared" ref="T36:T47" si="56">Y7/Y6</f>
        <v>1.0528876508820799</v>
      </c>
      <c r="U36" s="64">
        <f t="shared" ref="U36:U47" si="57">Z7/Z6</f>
        <v>0.88799860651454454</v>
      </c>
    </row>
    <row r="37" spans="1:21">
      <c r="A37" s="57" t="s">
        <v>682</v>
      </c>
      <c r="B37" s="147">
        <f>IFERROR(((B10/B5)^(1/5)-1)*100,"n.a.")</f>
        <v>7.8883740660644408</v>
      </c>
      <c r="C37" s="147">
        <f t="shared" ref="C37:N37" si="58">IFERROR(((C10/C5)^(1/5)-1)*100,"n.a.")</f>
        <v>11.941023513778992</v>
      </c>
      <c r="D37" s="147">
        <f t="shared" si="58"/>
        <v>5.5578673510090271</v>
      </c>
      <c r="E37" s="147">
        <f t="shared" si="58"/>
        <v>5.3939877060318775</v>
      </c>
      <c r="F37" s="147">
        <f t="shared" si="58"/>
        <v>4.8741569571972621</v>
      </c>
      <c r="G37" s="147">
        <f t="shared" si="58"/>
        <v>8.1213001540799468</v>
      </c>
      <c r="H37" s="147">
        <f t="shared" si="58"/>
        <v>3.476718307110227</v>
      </c>
      <c r="I37" s="147">
        <f t="shared" si="58"/>
        <v>-2.3710175814220968</v>
      </c>
      <c r="J37" s="147">
        <f t="shared" si="58"/>
        <v>-4.854674008822613</v>
      </c>
      <c r="K37" s="147">
        <f t="shared" si="58"/>
        <v>-2.2827728765502875</v>
      </c>
      <c r="L37" s="147">
        <f t="shared" si="58"/>
        <v>-1.3771063581958676</v>
      </c>
      <c r="M37" s="147">
        <f t="shared" si="58"/>
        <v>-2.460249378220436</v>
      </c>
      <c r="N37" s="147">
        <f t="shared" si="58"/>
        <v>1.0952973740547822</v>
      </c>
      <c r="P37" s="56" t="s">
        <v>1858</v>
      </c>
      <c r="Q37" s="64">
        <f t="shared" si="53"/>
        <v>1.046698989614232</v>
      </c>
      <c r="R37" s="64">
        <f t="shared" si="54"/>
        <v>1.2269407931693068</v>
      </c>
      <c r="S37" s="64">
        <f t="shared" si="55"/>
        <v>1.0683475855130784</v>
      </c>
      <c r="T37" s="64">
        <f t="shared" si="56"/>
        <v>0.96567780168612649</v>
      </c>
      <c r="U37" s="64">
        <f t="shared" si="57"/>
        <v>1.0382502942330325</v>
      </c>
    </row>
    <row r="38" spans="1:21">
      <c r="A38" s="57" t="s">
        <v>26</v>
      </c>
      <c r="B38" s="147">
        <f>IFERROR(((B21/B10)^(1/11)-1)*100,"n.a.")</f>
        <v>4.0941790926525279</v>
      </c>
      <c r="C38" s="147">
        <f t="shared" ref="C38:N38" si="59">IFERROR(((C21/C10)^(1/11)-1)*100,"n.a.")</f>
        <v>3.0084177317283523</v>
      </c>
      <c r="D38" s="147">
        <f t="shared" si="59"/>
        <v>10.630265857591127</v>
      </c>
      <c r="E38" s="147">
        <f t="shared" si="59"/>
        <v>5.3370892609279519</v>
      </c>
      <c r="F38" s="147">
        <f t="shared" si="59"/>
        <v>4.8366815597235657</v>
      </c>
      <c r="G38" s="147">
        <f t="shared" si="59"/>
        <v>7.4525949843287087</v>
      </c>
      <c r="H38" s="147">
        <f t="shared" si="59"/>
        <v>2.084927136132908</v>
      </c>
      <c r="I38" s="147">
        <f t="shared" si="59"/>
        <v>-0.54497502203741943</v>
      </c>
      <c r="J38" s="147">
        <f t="shared" si="59"/>
        <v>-1.167749869346224</v>
      </c>
      <c r="K38" s="147">
        <f t="shared" si="59"/>
        <v>-3.2247150191618057</v>
      </c>
      <c r="L38" s="147">
        <f t="shared" si="59"/>
        <v>2.8326293944157754</v>
      </c>
      <c r="M38" s="147">
        <f t="shared" si="59"/>
        <v>2.6997778741373324</v>
      </c>
      <c r="N38" s="147">
        <f t="shared" si="59"/>
        <v>3.099875414577058</v>
      </c>
      <c r="P38" s="56" t="s">
        <v>1861</v>
      </c>
      <c r="Q38" s="64">
        <f t="shared" si="53"/>
        <v>1.0421901766175641</v>
      </c>
      <c r="R38" s="64">
        <f t="shared" si="54"/>
        <v>1.0293013460305833</v>
      </c>
      <c r="S38" s="64">
        <f t="shared" si="55"/>
        <v>1.1184156318050733</v>
      </c>
      <c r="T38" s="64">
        <f t="shared" si="56"/>
        <v>1.0042372881355932</v>
      </c>
      <c r="U38" s="64">
        <f t="shared" si="57"/>
        <v>1.0408086151520877</v>
      </c>
    </row>
    <row r="39" spans="1:21">
      <c r="A39" s="57" t="s">
        <v>2028</v>
      </c>
      <c r="B39" s="147" t="str">
        <f>IFERROR(((B32/B21)^(1/11)-1)*100,"n.a.")</f>
        <v>n.a.</v>
      </c>
      <c r="C39" s="147" t="str">
        <f t="shared" ref="C39:N39" si="60">IFERROR(((C32/C21)^(1/11)-1)*100,"n.a.")</f>
        <v>n.a.</v>
      </c>
      <c r="D39" s="147" t="str">
        <f t="shared" si="60"/>
        <v>n.a.</v>
      </c>
      <c r="E39" s="147" t="str">
        <f t="shared" si="60"/>
        <v>n.a.</v>
      </c>
      <c r="F39" s="147" t="str">
        <f t="shared" si="60"/>
        <v>n.a.</v>
      </c>
      <c r="G39" s="147" t="str">
        <f t="shared" si="60"/>
        <v>n.a.</v>
      </c>
      <c r="H39" s="147">
        <f t="shared" si="60"/>
        <v>1.6222756918197412</v>
      </c>
      <c r="I39" s="147">
        <f t="shared" si="60"/>
        <v>-1.8654139464146957</v>
      </c>
      <c r="J39" s="147">
        <f t="shared" si="60"/>
        <v>0.89610001592448363</v>
      </c>
      <c r="K39" s="147">
        <f t="shared" si="60"/>
        <v>-1.8165166428610879</v>
      </c>
      <c r="L39" s="147">
        <f t="shared" si="60"/>
        <v>-2.7961234648070876</v>
      </c>
      <c r="M39" s="147">
        <f t="shared" si="60"/>
        <v>-3.8955020279438979</v>
      </c>
      <c r="N39" s="147">
        <f t="shared" si="60"/>
        <v>-0.70933334175400375</v>
      </c>
      <c r="P39" s="56" t="s">
        <v>1859</v>
      </c>
      <c r="Q39" s="64">
        <f t="shared" si="53"/>
        <v>1.0159421877959192</v>
      </c>
      <c r="R39" s="64">
        <f t="shared" si="54"/>
        <v>1.0140556889956409</v>
      </c>
      <c r="S39" s="64">
        <f t="shared" si="55"/>
        <v>0.90001578698100304</v>
      </c>
      <c r="T39" s="64">
        <f t="shared" si="56"/>
        <v>0.91950385566710313</v>
      </c>
      <c r="U39" s="64">
        <f t="shared" si="57"/>
        <v>1.0341259756761663</v>
      </c>
    </row>
    <row r="40" spans="1:21">
      <c r="A40" s="57"/>
      <c r="B40" s="147"/>
      <c r="C40" s="147"/>
      <c r="D40" s="147"/>
      <c r="E40" s="56"/>
      <c r="F40" s="56"/>
      <c r="G40" s="56"/>
      <c r="H40" s="147"/>
      <c r="I40" s="56"/>
      <c r="J40" s="147"/>
      <c r="K40" s="147"/>
      <c r="L40" s="56"/>
      <c r="M40" s="56"/>
      <c r="N40" s="56"/>
      <c r="P40" s="56" t="s">
        <v>1860</v>
      </c>
      <c r="Q40" s="64">
        <f t="shared" si="53"/>
        <v>1.0048399686770544</v>
      </c>
      <c r="R40" s="64">
        <f t="shared" si="54"/>
        <v>0.85156592683568733</v>
      </c>
      <c r="S40" s="64">
        <f t="shared" si="55"/>
        <v>0.94363561948196217</v>
      </c>
      <c r="T40" s="64">
        <f t="shared" si="56"/>
        <v>1.1170932394477631</v>
      </c>
      <c r="U40" s="64">
        <f t="shared" si="57"/>
        <v>0.99473407056345442</v>
      </c>
    </row>
    <row r="41" spans="1:21">
      <c r="A41" s="64" t="s">
        <v>503</v>
      </c>
      <c r="P41" s="56" t="s">
        <v>1846</v>
      </c>
      <c r="Q41" s="64">
        <f t="shared" si="53"/>
        <v>0.97447724420006465</v>
      </c>
      <c r="R41" s="64">
        <f t="shared" si="54"/>
        <v>0.84063047285464099</v>
      </c>
      <c r="S41" s="64">
        <f t="shared" si="55"/>
        <v>0.9578040770803643</v>
      </c>
      <c r="T41" s="64">
        <f t="shared" si="56"/>
        <v>0.96083430716385143</v>
      </c>
      <c r="U41" s="64">
        <f>Z12/Z11</f>
        <v>1.0889359449444149</v>
      </c>
    </row>
    <row r="42" spans="1:21">
      <c r="A42" s="64" t="s">
        <v>193</v>
      </c>
      <c r="P42" s="56" t="s">
        <v>1847</v>
      </c>
      <c r="Q42" s="64">
        <f t="shared" si="53"/>
        <v>1.0069815684047259</v>
      </c>
      <c r="R42" s="64">
        <f t="shared" si="54"/>
        <v>0.95453431372549025</v>
      </c>
      <c r="S42" s="64">
        <f t="shared" si="55"/>
        <v>1.014102729978005</v>
      </c>
      <c r="T42" s="64">
        <f t="shared" si="56"/>
        <v>1.0141893635056942</v>
      </c>
      <c r="U42" s="64" t="e">
        <f t="shared" si="57"/>
        <v>#VALUE!</v>
      </c>
    </row>
    <row r="43" spans="1:21" ht="17.25" customHeight="1">
      <c r="A43" s="104" t="s">
        <v>679</v>
      </c>
      <c r="B43" s="104"/>
      <c r="C43" s="104"/>
      <c r="D43" s="104"/>
      <c r="E43" s="104"/>
      <c r="F43" s="104"/>
      <c r="G43" s="104"/>
      <c r="H43" s="104"/>
      <c r="I43" s="104"/>
      <c r="J43" s="104"/>
      <c r="K43" s="104"/>
      <c r="L43" s="104"/>
      <c r="M43" s="104"/>
      <c r="N43" s="104"/>
      <c r="P43" s="56" t="s">
        <v>1848</v>
      </c>
      <c r="Q43" s="64">
        <f t="shared" si="53"/>
        <v>1.0240001922190487</v>
      </c>
      <c r="R43" s="64">
        <f t="shared" si="54"/>
        <v>0.94620618821414815</v>
      </c>
      <c r="S43" s="64">
        <f t="shared" si="55"/>
        <v>1.0752743046695585</v>
      </c>
      <c r="T43" s="64">
        <f t="shared" si="56"/>
        <v>1.0963732829420743</v>
      </c>
      <c r="U43" s="64" t="e">
        <f t="shared" si="57"/>
        <v>#VALUE!</v>
      </c>
    </row>
    <row r="44" spans="1:21" ht="42" customHeight="1">
      <c r="A44" s="104" t="s">
        <v>680</v>
      </c>
      <c r="B44" s="104"/>
      <c r="C44" s="104"/>
      <c r="D44" s="104"/>
      <c r="E44" s="104"/>
      <c r="F44" s="104"/>
      <c r="G44" s="104"/>
      <c r="H44" s="104"/>
      <c r="I44" s="104"/>
      <c r="J44" s="104"/>
      <c r="K44" s="104"/>
      <c r="L44" s="104"/>
      <c r="M44" s="104"/>
      <c r="N44" s="104"/>
      <c r="P44" s="56" t="s">
        <v>1849</v>
      </c>
      <c r="Q44" s="64">
        <f t="shared" si="53"/>
        <v>1.0346011018310748</v>
      </c>
      <c r="R44" s="64">
        <f t="shared" si="54"/>
        <v>0.96458616010854814</v>
      </c>
      <c r="S44" s="64" t="e">
        <f t="shared" si="55"/>
        <v>#VALUE!</v>
      </c>
      <c r="T44" s="64">
        <f t="shared" si="56"/>
        <v>1.0911832946635731</v>
      </c>
      <c r="U44" s="64" t="e">
        <f t="shared" si="57"/>
        <v>#VALUE!</v>
      </c>
    </row>
    <row r="45" spans="1:21" ht="42" customHeight="1">
      <c r="A45" s="104" t="s">
        <v>681</v>
      </c>
      <c r="B45" s="104"/>
      <c r="C45" s="104"/>
      <c r="D45" s="104"/>
      <c r="E45" s="104"/>
      <c r="F45" s="104"/>
      <c r="G45" s="104"/>
      <c r="H45" s="104"/>
      <c r="I45" s="104"/>
      <c r="J45" s="104"/>
      <c r="K45" s="104"/>
      <c r="L45" s="104"/>
      <c r="M45" s="104"/>
      <c r="N45" s="104"/>
      <c r="P45" s="56" t="s">
        <v>1850</v>
      </c>
      <c r="Q45" s="64">
        <f t="shared" si="53"/>
        <v>1.010067907195489</v>
      </c>
      <c r="R45" s="64">
        <f t="shared" si="54"/>
        <v>1.1183007455338303</v>
      </c>
      <c r="S45" s="64" t="e">
        <f>X16/X15</f>
        <v>#VALUE!</v>
      </c>
      <c r="T45" s="64">
        <f t="shared" si="56"/>
        <v>0.97846359466601862</v>
      </c>
      <c r="U45" s="64" t="e">
        <f t="shared" si="57"/>
        <v>#VALUE!</v>
      </c>
    </row>
    <row r="46" spans="1:21" ht="42" customHeight="1">
      <c r="A46" s="104" t="s">
        <v>851</v>
      </c>
      <c r="B46" s="104"/>
      <c r="C46" s="104"/>
      <c r="D46" s="104"/>
      <c r="E46" s="104"/>
      <c r="F46" s="104"/>
      <c r="G46" s="104"/>
      <c r="H46" s="104"/>
      <c r="I46" s="104"/>
      <c r="J46" s="104"/>
      <c r="K46" s="104"/>
      <c r="L46" s="104"/>
      <c r="M46" s="104"/>
      <c r="N46" s="104"/>
      <c r="P46" s="56" t="s">
        <v>1851</v>
      </c>
      <c r="Q46" s="64">
        <f t="shared" si="53"/>
        <v>1.0037899043424363</v>
      </c>
      <c r="R46" s="64">
        <f t="shared" si="54"/>
        <v>0.99345911949685539</v>
      </c>
      <c r="S46" s="64">
        <f t="shared" si="55"/>
        <v>1.1422585034013606</v>
      </c>
      <c r="T46" s="64">
        <f t="shared" si="56"/>
        <v>0.87352539426300757</v>
      </c>
      <c r="U46" s="64" t="e">
        <f t="shared" si="57"/>
        <v>#VALUE!</v>
      </c>
    </row>
    <row r="47" spans="1:21">
      <c r="P47" s="56" t="s">
        <v>1852</v>
      </c>
      <c r="Q47" s="64">
        <f t="shared" si="53"/>
        <v>1.0308287296069885</v>
      </c>
      <c r="R47" s="64">
        <f t="shared" si="54"/>
        <v>1.0105089896176247</v>
      </c>
      <c r="S47" s="64">
        <f t="shared" si="55"/>
        <v>1.1504121206346181</v>
      </c>
      <c r="T47" s="64">
        <f t="shared" si="56"/>
        <v>1.1294690454190064</v>
      </c>
      <c r="U47" s="64" t="e">
        <f t="shared" si="57"/>
        <v>#VALUE!</v>
      </c>
    </row>
    <row r="48" spans="1:21">
      <c r="P48" s="56" t="s">
        <v>1837</v>
      </c>
      <c r="Q48" s="64">
        <f>P19/P18</f>
        <v>1.0331963920858724</v>
      </c>
      <c r="R48" s="64">
        <f>Q19/Q18</f>
        <v>1.1494155752710886</v>
      </c>
      <c r="S48" s="64">
        <f>R19/R18</f>
        <v>1.0758527827648114</v>
      </c>
      <c r="T48" s="64">
        <f>S19/S18</f>
        <v>0.97387722294785495</v>
      </c>
      <c r="U48" s="64">
        <f>T19/T18</f>
        <v>1.2304326689353426</v>
      </c>
    </row>
    <row r="49" spans="1:21">
      <c r="A49" s="104"/>
      <c r="B49" s="104"/>
      <c r="C49" s="104"/>
      <c r="D49" s="104"/>
      <c r="E49" s="104"/>
      <c r="F49" s="104"/>
      <c r="G49" s="104"/>
      <c r="H49" s="104"/>
      <c r="I49" s="104"/>
      <c r="J49" s="104"/>
      <c r="K49" s="104"/>
      <c r="L49" s="104"/>
      <c r="M49" s="104"/>
      <c r="N49" s="104"/>
      <c r="P49" s="56" t="s">
        <v>1827</v>
      </c>
      <c r="Q49" s="64">
        <f t="shared" ref="Q49:U59" si="61">P20/P19</f>
        <v>1.0641311318433051</v>
      </c>
      <c r="R49" s="64">
        <f t="shared" si="61"/>
        <v>1.1125949522175937</v>
      </c>
      <c r="S49" s="64">
        <f t="shared" si="61"/>
        <v>1.0384571623620436</v>
      </c>
      <c r="T49" s="64">
        <f t="shared" si="61"/>
        <v>1.024209910932288</v>
      </c>
      <c r="U49" s="64">
        <f t="shared" si="61"/>
        <v>1.0854207822994864</v>
      </c>
    </row>
    <row r="50" spans="1:21" ht="30" customHeight="1">
      <c r="A50" s="104"/>
      <c r="B50" s="104"/>
      <c r="C50" s="104"/>
      <c r="D50" s="104"/>
      <c r="E50" s="104"/>
      <c r="F50" s="104"/>
      <c r="G50" s="104"/>
      <c r="H50" s="104"/>
      <c r="I50" s="104"/>
      <c r="J50" s="104"/>
      <c r="K50" s="104"/>
      <c r="L50" s="104"/>
      <c r="M50" s="104"/>
      <c r="N50" s="104"/>
      <c r="P50" s="56" t="s">
        <v>1828</v>
      </c>
      <c r="Q50" s="64">
        <f t="shared" si="61"/>
        <v>1.045338185541699</v>
      </c>
      <c r="R50" s="64">
        <f t="shared" si="61"/>
        <v>1.2708952758506771</v>
      </c>
      <c r="S50" s="64">
        <f t="shared" si="61"/>
        <v>1.0804937730543078</v>
      </c>
      <c r="T50" s="64">
        <f t="shared" si="61"/>
        <v>1.0689655172413792</v>
      </c>
      <c r="U50" s="64">
        <f t="shared" si="61"/>
        <v>0.81319161327897505</v>
      </c>
    </row>
    <row r="51" spans="1:21" ht="30" customHeight="1">
      <c r="A51" s="104"/>
      <c r="B51" s="104"/>
      <c r="C51" s="104"/>
      <c r="D51" s="104"/>
      <c r="E51" s="104"/>
      <c r="F51" s="104"/>
      <c r="G51" s="104"/>
      <c r="H51" s="104"/>
      <c r="I51" s="104"/>
      <c r="J51" s="104"/>
      <c r="K51" s="104"/>
      <c r="L51" s="104"/>
      <c r="M51" s="104"/>
      <c r="N51" s="104"/>
      <c r="P51" s="148" t="s">
        <v>1829</v>
      </c>
      <c r="Q51" s="64">
        <f t="shared" si="61"/>
        <v>1.0125862735085311</v>
      </c>
      <c r="R51" s="64">
        <f t="shared" si="61"/>
        <v>1.0308465470929731</v>
      </c>
      <c r="S51" s="64">
        <f t="shared" si="61"/>
        <v>1.0809531857360148</v>
      </c>
      <c r="T51" s="64">
        <f t="shared" si="61"/>
        <v>0.96780475547319156</v>
      </c>
      <c r="U51" s="64">
        <f t="shared" si="61"/>
        <v>1.0246195165622203</v>
      </c>
    </row>
    <row r="52" spans="1:21" ht="30" customHeight="1">
      <c r="A52" s="104"/>
      <c r="B52" s="104"/>
      <c r="C52" s="104"/>
      <c r="D52" s="104"/>
      <c r="E52" s="104"/>
      <c r="F52" s="104"/>
      <c r="G52" s="104"/>
      <c r="H52" s="104"/>
      <c r="I52" s="104"/>
      <c r="J52" s="104"/>
      <c r="K52" s="104"/>
      <c r="L52" s="104"/>
      <c r="M52" s="104"/>
      <c r="N52" s="104"/>
      <c r="P52" s="148" t="s">
        <v>1830</v>
      </c>
      <c r="Q52" s="64">
        <f t="shared" si="61"/>
        <v>1.0253199866618785</v>
      </c>
      <c r="R52" s="64">
        <f t="shared" si="61"/>
        <v>1.0163906867277466</v>
      </c>
      <c r="S52" s="64">
        <f t="shared" si="61"/>
        <v>1.0923076923076922</v>
      </c>
      <c r="T52" s="64">
        <f t="shared" si="61"/>
        <v>1.0213877709983123</v>
      </c>
      <c r="U52" s="64">
        <f t="shared" si="61"/>
        <v>1.1026649191786806</v>
      </c>
    </row>
    <row r="53" spans="1:21">
      <c r="P53" s="148" t="s">
        <v>1831</v>
      </c>
      <c r="Q53" s="64">
        <f t="shared" si="61"/>
        <v>1.0132012803245039</v>
      </c>
      <c r="R53" s="64">
        <f t="shared" si="61"/>
        <v>0.93102877935825334</v>
      </c>
      <c r="S53" s="64">
        <f t="shared" si="61"/>
        <v>0.96896828123210821</v>
      </c>
      <c r="T53" s="64">
        <f t="shared" si="61"/>
        <v>0.96190143306536169</v>
      </c>
      <c r="U53" s="64">
        <f t="shared" si="61"/>
        <v>0.96117274167987321</v>
      </c>
    </row>
    <row r="54" spans="1:21">
      <c r="P54" s="148" t="s">
        <v>1832</v>
      </c>
      <c r="Q54" s="64">
        <f t="shared" si="61"/>
        <v>1.0240515404008561</v>
      </c>
      <c r="R54" s="64">
        <f t="shared" si="61"/>
        <v>1.1388346065020429</v>
      </c>
      <c r="S54" s="64">
        <f t="shared" si="61"/>
        <v>0.93668754431576451</v>
      </c>
      <c r="T54" s="64">
        <f t="shared" si="61"/>
        <v>0.8993789640591966</v>
      </c>
      <c r="U54" s="64">
        <f t="shared" si="61"/>
        <v>1.0302555647155813</v>
      </c>
    </row>
    <row r="55" spans="1:21">
      <c r="P55" s="148" t="s">
        <v>1833</v>
      </c>
      <c r="Q55" s="64">
        <f t="shared" si="61"/>
        <v>1.0170843314980307</v>
      </c>
      <c r="R55" s="64">
        <f t="shared" si="61"/>
        <v>1.0795569768348803</v>
      </c>
      <c r="S55" s="64">
        <f t="shared" si="61"/>
        <v>1.1002680965147453</v>
      </c>
      <c r="T55" s="64">
        <f t="shared" si="61"/>
        <v>1.1436127231323001</v>
      </c>
      <c r="U55" s="64">
        <f t="shared" si="61"/>
        <v>0.93182363767304155</v>
      </c>
    </row>
    <row r="56" spans="1:21">
      <c r="P56" s="148" t="s">
        <v>1834</v>
      </c>
      <c r="Q56" s="64">
        <f t="shared" si="61"/>
        <v>1.0151603792274908</v>
      </c>
      <c r="R56" s="64">
        <f t="shared" si="61"/>
        <v>0.94155046600679149</v>
      </c>
      <c r="S56" s="64">
        <f t="shared" si="61"/>
        <v>0.99747735351450517</v>
      </c>
      <c r="T56" s="64">
        <f t="shared" si="61"/>
        <v>0.95481115107913672</v>
      </c>
      <c r="U56" s="64">
        <f t="shared" si="61"/>
        <v>0.93207385143838561</v>
      </c>
    </row>
    <row r="57" spans="1:21">
      <c r="P57" s="148" t="s">
        <v>1839</v>
      </c>
      <c r="Q57" s="64">
        <f t="shared" si="61"/>
        <v>1.0213503335364118</v>
      </c>
      <c r="R57" s="64">
        <f t="shared" si="61"/>
        <v>0.8890423572744014</v>
      </c>
      <c r="S57" s="64">
        <f t="shared" si="61"/>
        <v>0.89656857110012644</v>
      </c>
      <c r="T57" s="64">
        <f t="shared" si="61"/>
        <v>1.0166504086918497</v>
      </c>
      <c r="U57" s="64">
        <f t="shared" si="61"/>
        <v>0.97650635710337208</v>
      </c>
    </row>
    <row r="58" spans="1:21">
      <c r="P58" s="148" t="s">
        <v>1835</v>
      </c>
      <c r="Q58" s="64">
        <f t="shared" si="61"/>
        <v>1.0145483036097416</v>
      </c>
      <c r="R58" s="64">
        <f t="shared" si="61"/>
        <v>0.96392197479716901</v>
      </c>
      <c r="S58" s="64">
        <f t="shared" si="61"/>
        <v>0.93246145462704755</v>
      </c>
      <c r="T58" s="64">
        <f t="shared" si="61"/>
        <v>0.89597670725251455</v>
      </c>
      <c r="U58" s="64">
        <f t="shared" si="61"/>
        <v>1.001132182281347</v>
      </c>
    </row>
    <row r="59" spans="1:21">
      <c r="P59" s="148" t="s">
        <v>1836</v>
      </c>
      <c r="Q59" s="64">
        <f>P30/P29</f>
        <v>0.99193375083805435</v>
      </c>
      <c r="R59" s="64">
        <f t="shared" si="61"/>
        <v>0.76477435530085969</v>
      </c>
      <c r="S59" s="64">
        <f t="shared" si="61"/>
        <v>0.87170849089034042</v>
      </c>
      <c r="T59" s="64">
        <f t="shared" si="61"/>
        <v>0.83873707533234865</v>
      </c>
      <c r="U59" s="64">
        <f t="shared" si="61"/>
        <v>1.0114975025916502</v>
      </c>
    </row>
  </sheetData>
  <mergeCells count="10">
    <mergeCell ref="A52:N52"/>
    <mergeCell ref="B2:G2"/>
    <mergeCell ref="H2:N2"/>
    <mergeCell ref="A49:N49"/>
    <mergeCell ref="A50:N50"/>
    <mergeCell ref="A51:N51"/>
    <mergeCell ref="A43:N43"/>
    <mergeCell ref="A44:N44"/>
    <mergeCell ref="A45:N45"/>
    <mergeCell ref="A46:N46"/>
  </mergeCells>
  <pageMargins left="0.7" right="0.7" top="0.75" bottom="0.75" header="0.3" footer="0.3"/>
  <pageSetup scale="63" orientation="landscape" horizontalDpi="0" verticalDpi="0" r:id="rId1"/>
</worksheet>
</file>

<file path=xl/worksheets/sheet165.xml><?xml version="1.0" encoding="utf-8"?>
<worksheet xmlns="http://schemas.openxmlformats.org/spreadsheetml/2006/main" xmlns:r="http://schemas.openxmlformats.org/officeDocument/2006/relationships">
  <sheetPr codeName="Sheet159">
    <pageSetUpPr fitToPage="1"/>
  </sheetPr>
  <dimension ref="A1:AA59"/>
  <sheetViews>
    <sheetView view="pageBreakPreview" zoomScale="85" zoomScaleNormal="70"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2.28515625" style="64" customWidth="1"/>
    <col min="2" max="8" width="14.28515625" style="64" customWidth="1"/>
    <col min="9" max="9" width="12" style="64" customWidth="1"/>
    <col min="10" max="14" width="14.28515625" style="64" customWidth="1"/>
    <col min="15" max="15" width="9.140625" style="64"/>
    <col min="16" max="16" width="12" style="64" hidden="1" customWidth="1" outlineLevel="1"/>
    <col min="17" max="17" width="10" style="64" hidden="1" customWidth="1" outlineLevel="1"/>
    <col min="18" max="18" width="12" style="64" hidden="1" customWidth="1" outlineLevel="1"/>
    <col min="19" max="20" width="11" style="64" hidden="1" customWidth="1" outlineLevel="1"/>
    <col min="21" max="26" width="9.140625" style="64" hidden="1" customWidth="1" outlineLevel="1"/>
    <col min="27" max="27" width="9.140625" style="64" collapsed="1"/>
    <col min="28" max="16384" width="9.140625" style="64"/>
  </cols>
  <sheetData>
    <row r="1" spans="1:26">
      <c r="A1" s="66" t="s">
        <v>2090</v>
      </c>
    </row>
    <row r="2" spans="1:26">
      <c r="B2" s="107" t="s">
        <v>206</v>
      </c>
      <c r="C2" s="107"/>
      <c r="D2" s="107"/>
      <c r="E2" s="107"/>
      <c r="F2" s="107"/>
      <c r="G2" s="107"/>
      <c r="H2" s="107" t="s">
        <v>2106</v>
      </c>
      <c r="I2" s="107"/>
      <c r="J2" s="107"/>
      <c r="K2" s="107"/>
      <c r="L2" s="107"/>
      <c r="M2" s="107"/>
      <c r="N2" s="107"/>
    </row>
    <row r="3" spans="1:26" ht="60">
      <c r="B3" s="73" t="s">
        <v>7</v>
      </c>
      <c r="C3" s="73" t="s">
        <v>0</v>
      </c>
      <c r="D3" s="73" t="s">
        <v>1</v>
      </c>
      <c r="E3" s="73" t="s">
        <v>678</v>
      </c>
      <c r="F3" s="73" t="s">
        <v>13</v>
      </c>
      <c r="G3" s="73" t="s">
        <v>19</v>
      </c>
      <c r="H3" s="73" t="s">
        <v>7</v>
      </c>
      <c r="I3" s="73" t="s">
        <v>37</v>
      </c>
      <c r="J3" s="73" t="s">
        <v>0</v>
      </c>
      <c r="K3" s="73" t="s">
        <v>1</v>
      </c>
      <c r="L3" s="73" t="s">
        <v>678</v>
      </c>
      <c r="M3" s="73" t="s">
        <v>13</v>
      </c>
      <c r="N3" s="73" t="s">
        <v>19</v>
      </c>
      <c r="P3" s="64" t="s">
        <v>276</v>
      </c>
      <c r="Q3" s="64" t="s">
        <v>277</v>
      </c>
      <c r="R3" s="64" t="s">
        <v>278</v>
      </c>
      <c r="S3" s="64" t="s">
        <v>279</v>
      </c>
      <c r="T3" s="64" t="s">
        <v>280</v>
      </c>
      <c r="V3" s="64" t="s">
        <v>271</v>
      </c>
      <c r="W3" s="64" t="s">
        <v>272</v>
      </c>
      <c r="X3" s="64" t="s">
        <v>273</v>
      </c>
      <c r="Y3" s="64" t="s">
        <v>274</v>
      </c>
      <c r="Z3" s="64" t="s">
        <v>275</v>
      </c>
    </row>
    <row r="4" spans="1:26" hidden="1" outlineLevel="1">
      <c r="P4" s="64" t="s">
        <v>286</v>
      </c>
      <c r="Q4" s="64" t="s">
        <v>287</v>
      </c>
      <c r="R4" s="64" t="s">
        <v>288</v>
      </c>
      <c r="S4" s="64" t="s">
        <v>289</v>
      </c>
      <c r="T4" s="64" t="s">
        <v>290</v>
      </c>
      <c r="V4" s="64" t="s">
        <v>281</v>
      </c>
      <c r="W4" s="64" t="s">
        <v>282</v>
      </c>
      <c r="X4" s="64" t="s">
        <v>283</v>
      </c>
      <c r="Y4" s="64" t="s">
        <v>284</v>
      </c>
      <c r="Z4" s="64" t="s">
        <v>285</v>
      </c>
    </row>
    <row r="5" spans="1:26" collapsed="1">
      <c r="A5" s="64">
        <v>1984</v>
      </c>
      <c r="B5" s="56">
        <v>157992.1</v>
      </c>
      <c r="C5" s="56">
        <v>501.4</v>
      </c>
      <c r="D5" s="56">
        <v>569.6</v>
      </c>
      <c r="E5" s="56">
        <f>SUM(F5:G5)</f>
        <v>2024</v>
      </c>
      <c r="F5" s="56">
        <v>1316.2</v>
      </c>
      <c r="G5" s="56">
        <v>707.8</v>
      </c>
      <c r="H5" s="56">
        <f t="shared" ref="H5:H26" si="0">H6*(1/Q35)</f>
        <v>249599.52368162121</v>
      </c>
      <c r="I5" s="56">
        <f t="shared" ref="I5:I27" si="1">SUM(J5:L5)</f>
        <v>5374.3926268722144</v>
      </c>
      <c r="J5" s="56">
        <f t="shared" ref="J5:K20" si="2">J6/(1/R35)</f>
        <v>251.99722031894223</v>
      </c>
      <c r="K5" s="56">
        <f t="shared" si="2"/>
        <v>1418.0667546308102</v>
      </c>
      <c r="L5" s="56">
        <f t="shared" ref="L5:L27" si="3">SUM(M5:N5)</f>
        <v>3704.3286519224621</v>
      </c>
      <c r="M5" s="56">
        <f t="shared" ref="M5:N20" si="4">M6*(1/T35)</f>
        <v>2302.8737614213201</v>
      </c>
      <c r="N5" s="56">
        <f t="shared" si="4"/>
        <v>1401.454890501142</v>
      </c>
      <c r="V5" s="64">
        <v>233881400000</v>
      </c>
      <c r="W5" s="64">
        <v>1202800000</v>
      </c>
      <c r="X5" s="64">
        <v>947100000</v>
      </c>
      <c r="Y5" s="64">
        <v>2398700000</v>
      </c>
      <c r="Z5" s="64">
        <v>1167500000</v>
      </c>
    </row>
    <row r="6" spans="1:26">
      <c r="A6" s="64">
        <v>1985</v>
      </c>
      <c r="B6" s="56">
        <v>172223.5</v>
      </c>
      <c r="C6" s="56">
        <v>473.2</v>
      </c>
      <c r="D6" s="56">
        <v>663.7</v>
      </c>
      <c r="E6" s="56">
        <f t="shared" ref="E6:E25" si="5">SUM(F6:G6)</f>
        <v>2028.8</v>
      </c>
      <c r="F6" s="56">
        <v>1275.5999999999999</v>
      </c>
      <c r="G6" s="56">
        <v>753.2</v>
      </c>
      <c r="H6" s="56">
        <f t="shared" si="0"/>
        <v>263022.1945274141</v>
      </c>
      <c r="I6" s="56">
        <f t="shared" si="1"/>
        <v>5004.7716862870475</v>
      </c>
      <c r="J6" s="56">
        <f t="shared" si="2"/>
        <v>264.81063830126129</v>
      </c>
      <c r="K6" s="56">
        <f>K8*(X6/X8)</f>
        <v>1222.7339979159144</v>
      </c>
      <c r="L6" s="56">
        <f>SUM(M6:N6)</f>
        <v>3517.2270500698714</v>
      </c>
      <c r="M6" s="56">
        <f t="shared" si="4"/>
        <v>2158.8661472081221</v>
      </c>
      <c r="N6" s="56">
        <f t="shared" si="4"/>
        <v>1358.3609028617493</v>
      </c>
      <c r="V6" s="64">
        <v>246458800000</v>
      </c>
      <c r="W6" s="64">
        <v>1144600000</v>
      </c>
      <c r="X6" s="64">
        <v>1098400000</v>
      </c>
      <c r="Y6" s="64">
        <v>2248700000</v>
      </c>
      <c r="Z6" s="64">
        <v>1131600000</v>
      </c>
    </row>
    <row r="7" spans="1:26">
      <c r="A7" s="64">
        <v>1986</v>
      </c>
      <c r="B7" s="56">
        <v>189142.8</v>
      </c>
      <c r="C7" s="56">
        <v>521</v>
      </c>
      <c r="D7" s="56" t="s">
        <v>188</v>
      </c>
      <c r="E7" s="56">
        <f t="shared" si="5"/>
        <v>2246.8000000000002</v>
      </c>
      <c r="F7" s="56">
        <v>1481.7</v>
      </c>
      <c r="G7" s="56">
        <v>765.1</v>
      </c>
      <c r="H7" s="56">
        <f t="shared" si="0"/>
        <v>274945.44160213036</v>
      </c>
      <c r="I7" s="56" t="s">
        <v>22</v>
      </c>
      <c r="J7" s="56">
        <f t="shared" si="2"/>
        <v>256.38830705432554</v>
      </c>
      <c r="K7" s="56" t="s">
        <v>188</v>
      </c>
      <c r="L7" s="56">
        <f t="shared" si="3"/>
        <v>3613.9509248140353</v>
      </c>
      <c r="M7" s="56">
        <f t="shared" si="4"/>
        <v>2260.1515025380713</v>
      </c>
      <c r="N7" s="56">
        <f t="shared" si="4"/>
        <v>1353.7994222759639</v>
      </c>
      <c r="V7" s="64">
        <v>257631200000</v>
      </c>
      <c r="W7" s="64">
        <v>1182200000</v>
      </c>
      <c r="X7" s="64" t="s">
        <v>188</v>
      </c>
      <c r="Y7" s="64">
        <v>2354200000</v>
      </c>
      <c r="Z7" s="64">
        <v>1127800000</v>
      </c>
    </row>
    <row r="8" spans="1:26">
      <c r="A8" s="64">
        <v>1987</v>
      </c>
      <c r="B8" s="56">
        <v>208964.7</v>
      </c>
      <c r="C8" s="56">
        <v>537.6</v>
      </c>
      <c r="D8" s="56">
        <v>783.5</v>
      </c>
      <c r="E8" s="56">
        <f t="shared" si="5"/>
        <v>2639.1</v>
      </c>
      <c r="F8" s="56">
        <v>1819.7</v>
      </c>
      <c r="G8" s="56">
        <v>819.4</v>
      </c>
      <c r="H8" s="56">
        <f t="shared" si="0"/>
        <v>289154.42948317539</v>
      </c>
      <c r="I8" s="56">
        <f t="shared" si="1"/>
        <v>5229.135176751478</v>
      </c>
      <c r="J8" s="56">
        <f t="shared" si="2"/>
        <v>266.0191825518902</v>
      </c>
      <c r="K8" s="56">
        <f>K12*(X8/X12)</f>
        <v>1217.6132983616417</v>
      </c>
      <c r="L8" s="56">
        <f t="shared" si="3"/>
        <v>3745.5026958379458</v>
      </c>
      <c r="M8" s="56">
        <f t="shared" si="4"/>
        <v>2388.7022994923859</v>
      </c>
      <c r="N8" s="56">
        <f t="shared" si="4"/>
        <v>1356.8003963455596</v>
      </c>
      <c r="V8" s="64">
        <v>270945400000</v>
      </c>
      <c r="W8" s="64">
        <v>1139400000</v>
      </c>
      <c r="X8" s="64">
        <v>1093800000</v>
      </c>
      <c r="Y8" s="64">
        <v>2488100000</v>
      </c>
      <c r="Z8" s="64">
        <v>1130300000</v>
      </c>
    </row>
    <row r="9" spans="1:26">
      <c r="A9" s="64">
        <v>1988</v>
      </c>
      <c r="B9" s="56">
        <v>233095.6</v>
      </c>
      <c r="C9" s="56">
        <v>577</v>
      </c>
      <c r="D9" s="56" t="s">
        <v>188</v>
      </c>
      <c r="E9" s="56">
        <f t="shared" si="5"/>
        <v>2926.7000000000003</v>
      </c>
      <c r="F9" s="56">
        <v>2062.3000000000002</v>
      </c>
      <c r="G9" s="56">
        <v>864.4</v>
      </c>
      <c r="H9" s="56">
        <f t="shared" si="0"/>
        <v>304668.60972865223</v>
      </c>
      <c r="I9" s="56" t="s">
        <v>22</v>
      </c>
      <c r="J9" s="56">
        <f t="shared" si="2"/>
        <v>269.52005744231167</v>
      </c>
      <c r="K9" s="56" t="s">
        <v>188</v>
      </c>
      <c r="L9" s="56">
        <f t="shared" si="3"/>
        <v>3775.7757655235628</v>
      </c>
      <c r="M9" s="56">
        <f t="shared" si="4"/>
        <v>2391.4864467005077</v>
      </c>
      <c r="N9" s="56">
        <f t="shared" si="4"/>
        <v>1384.2893188230553</v>
      </c>
      <c r="V9" s="64">
        <v>285482600000</v>
      </c>
      <c r="W9" s="64">
        <v>1124600000</v>
      </c>
      <c r="X9" s="64" t="s">
        <v>188</v>
      </c>
      <c r="Y9" s="64">
        <v>2491000000</v>
      </c>
      <c r="Z9" s="64">
        <v>1153200000</v>
      </c>
    </row>
    <row r="10" spans="1:26">
      <c r="A10" s="64">
        <v>1989</v>
      </c>
      <c r="B10" s="56">
        <v>252247.2</v>
      </c>
      <c r="C10" s="56">
        <v>578.70000000000005</v>
      </c>
      <c r="D10" s="56" t="s">
        <v>188</v>
      </c>
      <c r="E10" s="56">
        <f t="shared" si="5"/>
        <v>3001</v>
      </c>
      <c r="F10" s="56">
        <v>2028.9</v>
      </c>
      <c r="G10" s="56">
        <v>972.1</v>
      </c>
      <c r="H10" s="56">
        <f t="shared" si="0"/>
        <v>314046.99849410926</v>
      </c>
      <c r="I10" s="56" t="s">
        <v>22</v>
      </c>
      <c r="J10" s="56">
        <f t="shared" si="2"/>
        <v>296.75176874840781</v>
      </c>
      <c r="K10" s="56" t="s">
        <v>188</v>
      </c>
      <c r="L10" s="56">
        <f t="shared" si="3"/>
        <v>3987.4540145164165</v>
      </c>
      <c r="M10" s="56">
        <f t="shared" si="4"/>
        <v>2562.4714873096445</v>
      </c>
      <c r="N10" s="56">
        <f t="shared" si="4"/>
        <v>1424.9825272067717</v>
      </c>
      <c r="V10" s="64">
        <v>294270400000</v>
      </c>
      <c r="W10" s="64">
        <v>1021400000</v>
      </c>
      <c r="X10" s="64" t="s">
        <v>188</v>
      </c>
      <c r="Y10" s="64">
        <v>2669100000</v>
      </c>
      <c r="Z10" s="64">
        <v>1187100000</v>
      </c>
    </row>
    <row r="11" spans="1:26">
      <c r="A11" s="64">
        <v>1990</v>
      </c>
      <c r="B11" s="56">
        <v>256334.6</v>
      </c>
      <c r="C11" s="56">
        <v>490.1</v>
      </c>
      <c r="D11" s="56" t="s">
        <v>188</v>
      </c>
      <c r="E11" s="56">
        <f t="shared" si="5"/>
        <v>2712.4</v>
      </c>
      <c r="F11" s="56">
        <v>1798</v>
      </c>
      <c r="G11" s="56">
        <v>914.4</v>
      </c>
      <c r="H11" s="56">
        <f t="shared" si="0"/>
        <v>310051.06082432834</v>
      </c>
      <c r="I11" s="56" t="s">
        <v>22</v>
      </c>
      <c r="J11" s="56">
        <f t="shared" si="2"/>
        <v>353.06028724475686</v>
      </c>
      <c r="K11" s="56" t="s">
        <v>188</v>
      </c>
      <c r="L11" s="56">
        <f t="shared" si="3"/>
        <v>3879.1704926497223</v>
      </c>
      <c r="M11" s="56">
        <f t="shared" si="4"/>
        <v>2504.9644467005078</v>
      </c>
      <c r="N11" s="56">
        <f>N13*(Z11/Z13)</f>
        <v>1374.2060459492143</v>
      </c>
      <c r="V11" s="64">
        <v>290526100000</v>
      </c>
      <c r="W11" s="64">
        <v>858500000</v>
      </c>
      <c r="X11" s="64" t="s">
        <v>188</v>
      </c>
      <c r="Y11" s="64">
        <v>2609200000</v>
      </c>
      <c r="Z11" s="64">
        <v>1144800000</v>
      </c>
    </row>
    <row r="12" spans="1:26">
      <c r="A12" s="64">
        <v>1991</v>
      </c>
      <c r="B12" s="56">
        <v>257916.7</v>
      </c>
      <c r="C12" s="56">
        <v>420.6</v>
      </c>
      <c r="D12" s="56">
        <v>569.79999999999995</v>
      </c>
      <c r="E12" s="56" t="s">
        <v>188</v>
      </c>
      <c r="F12" s="56">
        <v>1108</v>
      </c>
      <c r="G12" s="56" t="s">
        <v>188</v>
      </c>
      <c r="H12" s="56">
        <f t="shared" si="0"/>
        <v>302463.01605770277</v>
      </c>
      <c r="I12" s="56">
        <f t="shared" si="1"/>
        <v>3344.3169480697175</v>
      </c>
      <c r="J12" s="56">
        <f t="shared" si="2"/>
        <v>422.8547106579573</v>
      </c>
      <c r="K12" s="56">
        <f>K18*(X12/X18)</f>
        <v>929.74092776708994</v>
      </c>
      <c r="L12" s="56">
        <f t="shared" si="3"/>
        <v>1991.7213096446703</v>
      </c>
      <c r="M12" s="56">
        <f t="shared" si="4"/>
        <v>1991.7213096446703</v>
      </c>
      <c r="N12" s="56" t="s">
        <v>22</v>
      </c>
      <c r="V12" s="64">
        <v>283415900000</v>
      </c>
      <c r="W12" s="64">
        <v>716800000</v>
      </c>
      <c r="X12" s="64">
        <v>835200000</v>
      </c>
      <c r="Y12" s="64">
        <v>2074600000</v>
      </c>
      <c r="Z12" s="64" t="s">
        <v>188</v>
      </c>
    </row>
    <row r="13" spans="1:26">
      <c r="A13" s="64">
        <v>1992</v>
      </c>
      <c r="B13" s="56">
        <v>263462.3</v>
      </c>
      <c r="C13" s="56">
        <v>484</v>
      </c>
      <c r="D13" s="56" t="s">
        <v>188</v>
      </c>
      <c r="E13" s="56">
        <f t="shared" si="5"/>
        <v>2165.8000000000002</v>
      </c>
      <c r="F13" s="56">
        <v>1237.0999999999999</v>
      </c>
      <c r="G13" s="56">
        <v>928.7</v>
      </c>
      <c r="H13" s="56">
        <f t="shared" si="0"/>
        <v>304432.11698297923</v>
      </c>
      <c r="I13" s="56" t="s">
        <v>22</v>
      </c>
      <c r="J13" s="56">
        <f t="shared" si="2"/>
        <v>408.76905812491412</v>
      </c>
      <c r="K13" s="56" t="s">
        <v>188</v>
      </c>
      <c r="L13" s="56">
        <f t="shared" si="3"/>
        <v>3551.0312745058732</v>
      </c>
      <c r="M13" s="56">
        <f t="shared" si="4"/>
        <v>2154.2579035532999</v>
      </c>
      <c r="N13" s="56">
        <f>N14*(1/U43)</f>
        <v>1396.7733709525733</v>
      </c>
      <c r="V13" s="64">
        <v>285261000000</v>
      </c>
      <c r="W13" s="64">
        <v>741500000</v>
      </c>
      <c r="X13" s="64" t="s">
        <v>188</v>
      </c>
      <c r="Y13" s="64">
        <v>2243900000</v>
      </c>
      <c r="Z13" s="64">
        <v>1163600000</v>
      </c>
    </row>
    <row r="14" spans="1:26">
      <c r="A14" s="64">
        <v>1993</v>
      </c>
      <c r="B14" s="56">
        <v>269549.3</v>
      </c>
      <c r="C14" s="56">
        <v>513.5</v>
      </c>
      <c r="D14" s="56" t="s">
        <v>188</v>
      </c>
      <c r="E14" s="56">
        <f t="shared" si="5"/>
        <v>2127</v>
      </c>
      <c r="F14" s="56">
        <v>1225.8</v>
      </c>
      <c r="G14" s="56">
        <v>901.2</v>
      </c>
      <c r="H14" s="56">
        <f t="shared" si="0"/>
        <v>308060.40234732529</v>
      </c>
      <c r="I14" s="56" t="s">
        <v>22</v>
      </c>
      <c r="J14" s="56">
        <f t="shared" si="2"/>
        <v>454.28995293708607</v>
      </c>
      <c r="K14" s="56" t="s">
        <v>188</v>
      </c>
      <c r="L14" s="56">
        <f t="shared" si="3"/>
        <v>3526.792928364539</v>
      </c>
      <c r="M14" s="56">
        <f t="shared" si="4"/>
        <v>2119.2160507614217</v>
      </c>
      <c r="N14" s="56">
        <f>N18*(Z14/Z18)</f>
        <v>1407.5768776031173</v>
      </c>
      <c r="V14" s="64">
        <v>288660800000</v>
      </c>
      <c r="W14" s="64">
        <v>667200000</v>
      </c>
      <c r="X14" s="64" t="s">
        <v>188</v>
      </c>
      <c r="Y14" s="64">
        <v>2207400000</v>
      </c>
      <c r="Z14" s="64">
        <v>1172600000</v>
      </c>
    </row>
    <row r="15" spans="1:26">
      <c r="A15" s="64">
        <v>1994</v>
      </c>
      <c r="B15" s="56">
        <v>284289.09999999998</v>
      </c>
      <c r="C15" s="56">
        <v>582.79999999999995</v>
      </c>
      <c r="D15" s="56" t="s">
        <v>188</v>
      </c>
      <c r="E15" s="56" t="s">
        <v>188</v>
      </c>
      <c r="F15" s="56">
        <v>1429.8</v>
      </c>
      <c r="G15" s="56" t="s">
        <v>188</v>
      </c>
      <c r="H15" s="56">
        <f t="shared" si="0"/>
        <v>322427.33664696058</v>
      </c>
      <c r="I15" s="56" t="s">
        <v>22</v>
      </c>
      <c r="J15" s="56">
        <f t="shared" si="2"/>
        <v>419.63485615343188</v>
      </c>
      <c r="K15" s="56" t="s">
        <v>188</v>
      </c>
      <c r="L15" s="56">
        <f t="shared" si="3"/>
        <v>2109.8075532994926</v>
      </c>
      <c r="M15" s="56">
        <f t="shared" si="4"/>
        <v>2109.8075532994926</v>
      </c>
      <c r="N15" s="56" t="s">
        <v>22</v>
      </c>
      <c r="V15" s="64">
        <v>302123000000</v>
      </c>
      <c r="W15" s="64">
        <v>722300000</v>
      </c>
      <c r="X15" s="64" t="s">
        <v>188</v>
      </c>
      <c r="Y15" s="64">
        <v>2197600000</v>
      </c>
      <c r="Z15" s="64" t="s">
        <v>188</v>
      </c>
    </row>
    <row r="16" spans="1:26">
      <c r="A16" s="64">
        <v>1995</v>
      </c>
      <c r="B16" s="56">
        <v>301731.09999999998</v>
      </c>
      <c r="C16" s="56">
        <v>691.3</v>
      </c>
      <c r="D16" s="56" t="s">
        <v>188</v>
      </c>
      <c r="E16" s="56" t="s">
        <v>188</v>
      </c>
      <c r="F16" s="56">
        <v>2653</v>
      </c>
      <c r="G16" s="56" t="s">
        <v>188</v>
      </c>
      <c r="H16" s="56">
        <f t="shared" si="0"/>
        <v>334902.00881955249</v>
      </c>
      <c r="I16" s="56" t="s">
        <v>22</v>
      </c>
      <c r="J16" s="56">
        <f t="shared" si="2"/>
        <v>405.37950595108174</v>
      </c>
      <c r="K16" s="56" t="s">
        <v>188</v>
      </c>
      <c r="L16" s="56">
        <f t="shared" si="3"/>
        <v>1965.0318984771573</v>
      </c>
      <c r="M16" s="56">
        <f t="shared" si="4"/>
        <v>1965.0318984771573</v>
      </c>
      <c r="N16" s="56" t="s">
        <v>22</v>
      </c>
      <c r="V16" s="64">
        <v>313812100000</v>
      </c>
      <c r="W16" s="64">
        <v>747700000</v>
      </c>
      <c r="X16" s="64" t="s">
        <v>188</v>
      </c>
      <c r="Y16" s="64">
        <v>2046800000</v>
      </c>
      <c r="Z16" s="64" t="s">
        <v>188</v>
      </c>
    </row>
    <row r="17" spans="1:26">
      <c r="A17" s="64">
        <v>1996</v>
      </c>
      <c r="B17" s="56">
        <v>310920.2</v>
      </c>
      <c r="C17" s="56">
        <v>593.9</v>
      </c>
      <c r="D17" s="56" t="s">
        <v>188</v>
      </c>
      <c r="E17" s="56" t="s">
        <v>188</v>
      </c>
      <c r="F17" s="56">
        <v>2326.9</v>
      </c>
      <c r="G17" s="56" t="s">
        <v>188</v>
      </c>
      <c r="H17" s="56">
        <f t="shared" si="0"/>
        <v>338879.48383364687</v>
      </c>
      <c r="I17" s="56" t="s">
        <v>22</v>
      </c>
      <c r="J17" s="56">
        <f t="shared" si="2"/>
        <v>493.33049576761681</v>
      </c>
      <c r="K17" s="56" t="s">
        <v>188</v>
      </c>
      <c r="L17" s="56">
        <f t="shared" si="3"/>
        <v>1892.6440710659895</v>
      </c>
      <c r="M17" s="56">
        <f t="shared" si="4"/>
        <v>1892.6440710659895</v>
      </c>
      <c r="N17" s="56" t="s">
        <v>22</v>
      </c>
      <c r="V17" s="64">
        <v>317539100000</v>
      </c>
      <c r="W17" s="64">
        <v>614400000</v>
      </c>
      <c r="X17" s="64" t="s">
        <v>188</v>
      </c>
      <c r="Y17" s="64">
        <v>1971400000</v>
      </c>
      <c r="Z17" s="64" t="s">
        <v>188</v>
      </c>
    </row>
    <row r="18" spans="1:26">
      <c r="A18" s="64">
        <v>1997</v>
      </c>
      <c r="B18" s="56">
        <v>331338.8</v>
      </c>
      <c r="C18" s="56">
        <v>744.6</v>
      </c>
      <c r="D18" s="56">
        <v>1498.9</v>
      </c>
      <c r="E18" s="56">
        <f t="shared" si="5"/>
        <v>3458.6</v>
      </c>
      <c r="F18" s="56">
        <v>1970</v>
      </c>
      <c r="G18" s="56">
        <v>1488.6</v>
      </c>
      <c r="H18" s="56">
        <f t="shared" si="0"/>
        <v>353606.59999999986</v>
      </c>
      <c r="I18" s="56">
        <f t="shared" si="1"/>
        <v>5753.8360439654198</v>
      </c>
      <c r="J18" s="56">
        <f t="shared" si="2"/>
        <v>407.06722616119225</v>
      </c>
      <c r="K18" s="56">
        <f t="shared" si="2"/>
        <v>1668.5688178042278</v>
      </c>
      <c r="L18" s="56">
        <f t="shared" si="3"/>
        <v>3678.2</v>
      </c>
      <c r="M18" s="56">
        <f t="shared" si="4"/>
        <v>1891.2999999999995</v>
      </c>
      <c r="N18" s="56">
        <f t="shared" si="4"/>
        <v>1786.9000000000003</v>
      </c>
      <c r="P18" s="32">
        <v>353606.6</v>
      </c>
      <c r="Q18" s="32">
        <v>691.1</v>
      </c>
      <c r="R18" s="32">
        <v>1613.1</v>
      </c>
      <c r="S18" s="32">
        <v>1891.3</v>
      </c>
      <c r="T18" s="32">
        <v>1786.9</v>
      </c>
      <c r="V18" s="64">
        <v>331338800000</v>
      </c>
      <c r="W18" s="64">
        <v>744600000</v>
      </c>
      <c r="X18" s="64">
        <v>1498900000</v>
      </c>
      <c r="Y18" s="64">
        <v>1970000000</v>
      </c>
      <c r="Z18" s="64">
        <v>1488600000</v>
      </c>
    </row>
    <row r="19" spans="1:26">
      <c r="A19" s="64">
        <v>1998</v>
      </c>
      <c r="B19" s="56">
        <v>348260.8</v>
      </c>
      <c r="C19" s="56">
        <v>783</v>
      </c>
      <c r="D19" s="56">
        <v>1701.5</v>
      </c>
      <c r="E19" s="56">
        <f t="shared" si="5"/>
        <v>3414.2</v>
      </c>
      <c r="F19" s="56">
        <v>2070</v>
      </c>
      <c r="G19" s="56">
        <v>1344.2</v>
      </c>
      <c r="H19" s="56">
        <f t="shared" si="0"/>
        <v>370328.59999999986</v>
      </c>
      <c r="I19" s="56">
        <f t="shared" si="1"/>
        <v>5467.5801386536723</v>
      </c>
      <c r="J19" s="56">
        <f t="shared" si="2"/>
        <v>408.18943702843876</v>
      </c>
      <c r="K19" s="56">
        <f t="shared" si="2"/>
        <v>1524.1907016252335</v>
      </c>
      <c r="L19" s="56">
        <f t="shared" si="3"/>
        <v>3535.2</v>
      </c>
      <c r="M19" s="56">
        <f t="shared" si="4"/>
        <v>1851.0999999999995</v>
      </c>
      <c r="N19" s="56">
        <f t="shared" si="4"/>
        <v>1684.1000000000001</v>
      </c>
      <c r="P19" s="32">
        <v>370328.6</v>
      </c>
      <c r="Q19" s="32">
        <v>689.2</v>
      </c>
      <c r="R19" s="32">
        <v>1765.9</v>
      </c>
      <c r="S19" s="32">
        <v>1851.1</v>
      </c>
      <c r="T19" s="32">
        <v>1684.1</v>
      </c>
      <c r="V19" s="64">
        <v>347139700000</v>
      </c>
      <c r="W19" s="64">
        <v>742300000</v>
      </c>
      <c r="X19" s="64">
        <v>1637300000</v>
      </c>
      <c r="Y19" s="64">
        <v>1936200000</v>
      </c>
      <c r="Z19" s="64">
        <v>1411400000</v>
      </c>
    </row>
    <row r="20" spans="1:26">
      <c r="A20" s="64">
        <v>1999</v>
      </c>
      <c r="B20" s="56">
        <v>376876.9</v>
      </c>
      <c r="C20" s="56">
        <v>786</v>
      </c>
      <c r="D20" s="56">
        <v>1957.3</v>
      </c>
      <c r="E20" s="56">
        <f t="shared" si="5"/>
        <v>3188.7</v>
      </c>
      <c r="F20" s="56">
        <v>1788.7</v>
      </c>
      <c r="G20" s="56">
        <v>1400</v>
      </c>
      <c r="H20" s="56">
        <f t="shared" si="0"/>
        <v>398743.99999999988</v>
      </c>
      <c r="I20" s="56">
        <f t="shared" si="1"/>
        <v>5358.7236853013328</v>
      </c>
      <c r="J20" s="56">
        <f t="shared" si="2"/>
        <v>381.76707830099065</v>
      </c>
      <c r="K20" s="56">
        <f t="shared" si="2"/>
        <v>1534.3566070003421</v>
      </c>
      <c r="L20" s="56">
        <f t="shared" si="3"/>
        <v>3442.6</v>
      </c>
      <c r="M20" s="56">
        <f t="shared" si="4"/>
        <v>1888.5999999999997</v>
      </c>
      <c r="N20" s="56">
        <f t="shared" si="4"/>
        <v>1554.0000000000002</v>
      </c>
      <c r="P20" s="32">
        <v>398744</v>
      </c>
      <c r="Q20" s="32">
        <v>736.9</v>
      </c>
      <c r="R20" s="32">
        <v>1754.2</v>
      </c>
      <c r="S20" s="32">
        <v>1888.6</v>
      </c>
      <c r="T20" s="32">
        <v>1554</v>
      </c>
    </row>
    <row r="21" spans="1:26">
      <c r="A21" s="64">
        <v>2000</v>
      </c>
      <c r="B21" s="56">
        <v>406239.2</v>
      </c>
      <c r="C21" s="56">
        <v>923.9</v>
      </c>
      <c r="D21" s="56">
        <v>2288.6</v>
      </c>
      <c r="E21" s="56">
        <f t="shared" si="5"/>
        <v>4296.8999999999996</v>
      </c>
      <c r="F21" s="56">
        <v>2679.2</v>
      </c>
      <c r="G21" s="56">
        <v>1617.7</v>
      </c>
      <c r="H21" s="56">
        <f t="shared" si="0"/>
        <v>423168.59999999986</v>
      </c>
      <c r="I21" s="56">
        <f t="shared" si="1"/>
        <v>5446.4382178990081</v>
      </c>
      <c r="J21" s="56">
        <f t="shared" ref="J21:K26" si="6">J22/(1/R51)</f>
        <v>308.94372940918078</v>
      </c>
      <c r="K21" s="56">
        <f t="shared" si="6"/>
        <v>1285.4944884898271</v>
      </c>
      <c r="L21" s="56">
        <f t="shared" si="3"/>
        <v>3852</v>
      </c>
      <c r="M21" s="56">
        <f t="shared" ref="M21:N26" si="7">M22*(1/T51)</f>
        <v>2157.5</v>
      </c>
      <c r="N21" s="56">
        <f t="shared" si="7"/>
        <v>1694.5000000000002</v>
      </c>
      <c r="P21" s="32">
        <v>423168.6</v>
      </c>
      <c r="Q21" s="32">
        <v>910.6</v>
      </c>
      <c r="R21" s="32">
        <v>2093.8000000000002</v>
      </c>
      <c r="S21" s="32">
        <v>2157.5</v>
      </c>
      <c r="T21" s="32">
        <v>1694.5</v>
      </c>
    </row>
    <row r="22" spans="1:26">
      <c r="A22" s="64">
        <v>2001</v>
      </c>
      <c r="B22" s="56">
        <v>417912.5</v>
      </c>
      <c r="C22" s="56">
        <v>778.5</v>
      </c>
      <c r="D22" s="56">
        <v>2169.6</v>
      </c>
      <c r="E22" s="56">
        <f t="shared" si="5"/>
        <v>4359.1000000000004</v>
      </c>
      <c r="F22" s="56">
        <v>2342.6</v>
      </c>
      <c r="G22" s="56">
        <v>2016.5</v>
      </c>
      <c r="H22" s="56">
        <f t="shared" si="0"/>
        <v>429277.99999999988</v>
      </c>
      <c r="I22" s="56">
        <f t="shared" si="1"/>
        <v>5465.035639567036</v>
      </c>
      <c r="J22" s="56">
        <f t="shared" si="6"/>
        <v>334.55126650017843</v>
      </c>
      <c r="K22" s="56">
        <f t="shared" si="6"/>
        <v>1280.7843730668571</v>
      </c>
      <c r="L22" s="56">
        <f t="shared" si="3"/>
        <v>3849.7000000000007</v>
      </c>
      <c r="M22" s="56">
        <f t="shared" si="7"/>
        <v>1859.4</v>
      </c>
      <c r="N22" s="56">
        <f t="shared" si="7"/>
        <v>1990.3000000000004</v>
      </c>
      <c r="P22" s="32">
        <v>429278</v>
      </c>
      <c r="Q22" s="32">
        <v>840.9</v>
      </c>
      <c r="R22" s="32">
        <v>2101.5</v>
      </c>
      <c r="S22" s="32">
        <v>1859.4</v>
      </c>
      <c r="T22" s="32">
        <v>1990.3</v>
      </c>
    </row>
    <row r="23" spans="1:26">
      <c r="A23" s="64">
        <v>2002</v>
      </c>
      <c r="B23" s="56">
        <v>440220.8</v>
      </c>
      <c r="C23" s="56">
        <v>861.7</v>
      </c>
      <c r="D23" s="56">
        <v>2300.6999999999998</v>
      </c>
      <c r="E23" s="56">
        <f t="shared" si="5"/>
        <v>4017.8</v>
      </c>
      <c r="F23" s="56">
        <v>1979</v>
      </c>
      <c r="G23" s="56">
        <v>2038.8</v>
      </c>
      <c r="H23" s="56">
        <f t="shared" si="0"/>
        <v>440220.79999999987</v>
      </c>
      <c r="I23" s="56">
        <f t="shared" si="1"/>
        <v>5514.1668164669318</v>
      </c>
      <c r="J23" s="56">
        <f t="shared" si="6"/>
        <v>326.47575722409192</v>
      </c>
      <c r="K23" s="56">
        <f t="shared" si="6"/>
        <v>1169.8910592428392</v>
      </c>
      <c r="L23" s="56">
        <f t="shared" si="3"/>
        <v>4017.8000000000006</v>
      </c>
      <c r="M23" s="56">
        <f t="shared" si="7"/>
        <v>1979.0000000000002</v>
      </c>
      <c r="N23" s="56">
        <f t="shared" si="7"/>
        <v>2038.8000000000004</v>
      </c>
      <c r="P23" s="32">
        <v>440220.8</v>
      </c>
      <c r="Q23" s="32">
        <v>861.7</v>
      </c>
      <c r="R23" s="32">
        <v>2300.6999999999998</v>
      </c>
      <c r="S23" s="32">
        <v>1979</v>
      </c>
      <c r="T23" s="32">
        <v>2038.8</v>
      </c>
    </row>
    <row r="24" spans="1:26">
      <c r="A24" s="64">
        <v>2003</v>
      </c>
      <c r="B24" s="56">
        <v>457025.8</v>
      </c>
      <c r="C24" s="56">
        <v>789.9</v>
      </c>
      <c r="D24" s="56">
        <v>2390.1</v>
      </c>
      <c r="E24" s="56">
        <f t="shared" si="5"/>
        <v>3870.5</v>
      </c>
      <c r="F24" s="56">
        <v>1695.2</v>
      </c>
      <c r="G24" s="56">
        <v>2175.3000000000002</v>
      </c>
      <c r="H24" s="56">
        <f t="shared" si="0"/>
        <v>447366.49999999994</v>
      </c>
      <c r="I24" s="56">
        <f t="shared" si="1"/>
        <v>5597.5807119941073</v>
      </c>
      <c r="J24" s="56">
        <f t="shared" si="6"/>
        <v>346.50099765981031</v>
      </c>
      <c r="K24" s="56">
        <f t="shared" si="6"/>
        <v>1144.1797143342967</v>
      </c>
      <c r="L24" s="56">
        <f t="shared" si="3"/>
        <v>4106.9000000000005</v>
      </c>
      <c r="M24" s="56">
        <f t="shared" si="7"/>
        <v>1916.3000000000004</v>
      </c>
      <c r="N24" s="56">
        <f t="shared" si="7"/>
        <v>2190.6000000000004</v>
      </c>
      <c r="P24" s="32">
        <v>447366.5</v>
      </c>
      <c r="Q24" s="32">
        <v>811.9</v>
      </c>
      <c r="R24" s="32">
        <v>2352.4</v>
      </c>
      <c r="S24" s="32">
        <v>1916.3</v>
      </c>
      <c r="T24" s="32">
        <v>2190.6</v>
      </c>
    </row>
    <row r="25" spans="1:26">
      <c r="A25" s="64">
        <v>2004</v>
      </c>
      <c r="B25" s="56">
        <v>477196.6</v>
      </c>
      <c r="C25" s="56">
        <v>839.8</v>
      </c>
      <c r="D25" s="56">
        <v>2538.1</v>
      </c>
      <c r="E25" s="56">
        <f t="shared" si="5"/>
        <v>3772.5</v>
      </c>
      <c r="F25" s="56">
        <v>1646</v>
      </c>
      <c r="G25" s="56">
        <v>2126.5</v>
      </c>
      <c r="H25" s="56">
        <f t="shared" si="0"/>
        <v>458650.1999999999</v>
      </c>
      <c r="I25" s="56">
        <f t="shared" si="1"/>
        <v>5631.5077999419946</v>
      </c>
      <c r="J25" s="56">
        <f t="shared" si="6"/>
        <v>368.998111227702</v>
      </c>
      <c r="K25" s="56">
        <f t="shared" si="6"/>
        <v>1149.3096887142917</v>
      </c>
      <c r="L25" s="56">
        <f t="shared" si="3"/>
        <v>4113.2000000000007</v>
      </c>
      <c r="M25" s="56">
        <f t="shared" si="7"/>
        <v>2070.2000000000003</v>
      </c>
      <c r="N25" s="56">
        <f t="shared" si="7"/>
        <v>2043.0000000000002</v>
      </c>
      <c r="P25" s="32">
        <v>458650.2</v>
      </c>
      <c r="Q25" s="32">
        <v>762.4</v>
      </c>
      <c r="R25" s="32">
        <v>2341.9</v>
      </c>
      <c r="S25" s="32">
        <v>2070.1999999999998</v>
      </c>
      <c r="T25" s="32">
        <v>2043</v>
      </c>
    </row>
    <row r="26" spans="1:26">
      <c r="A26" s="64">
        <v>2005</v>
      </c>
      <c r="B26" s="56">
        <v>497541</v>
      </c>
      <c r="C26" s="56">
        <v>868.2</v>
      </c>
      <c r="D26" s="56">
        <v>2359.8000000000002</v>
      </c>
      <c r="E26" s="56" t="s">
        <v>22</v>
      </c>
      <c r="F26" s="56">
        <v>1487.4</v>
      </c>
      <c r="G26" s="56">
        <v>2190.3000000000002</v>
      </c>
      <c r="H26" s="56">
        <f t="shared" si="0"/>
        <v>471000.09999999986</v>
      </c>
      <c r="I26" s="56">
        <f t="shared" si="1"/>
        <v>5397.7190592868928</v>
      </c>
      <c r="J26" s="56">
        <f t="shared" si="6"/>
        <v>352.27167543200602</v>
      </c>
      <c r="K26" s="56">
        <f t="shared" si="6"/>
        <v>1127.5473838548867</v>
      </c>
      <c r="L26" s="56">
        <f t="shared" si="3"/>
        <v>3917.9</v>
      </c>
      <c r="M26" s="56">
        <f t="shared" si="7"/>
        <v>1890.9</v>
      </c>
      <c r="N26" s="56">
        <f t="shared" si="7"/>
        <v>2027</v>
      </c>
      <c r="P26" s="32">
        <v>471000.1</v>
      </c>
      <c r="Q26" s="32">
        <v>798.6</v>
      </c>
      <c r="R26" s="32">
        <v>2387.1</v>
      </c>
      <c r="S26" s="32">
        <v>1890.9</v>
      </c>
      <c r="T26" s="32">
        <v>2027</v>
      </c>
    </row>
    <row r="27" spans="1:26">
      <c r="A27" s="64">
        <v>2006</v>
      </c>
      <c r="B27" s="56">
        <v>519527.6</v>
      </c>
      <c r="C27" s="56">
        <v>728.2</v>
      </c>
      <c r="D27" s="56">
        <v>2013.6</v>
      </c>
      <c r="E27" s="56" t="s">
        <v>22</v>
      </c>
      <c r="F27" s="56">
        <v>1332.3</v>
      </c>
      <c r="G27" s="56">
        <v>2074.9</v>
      </c>
      <c r="H27" s="56">
        <f>H28*(1/Q57)</f>
        <v>481237.49999999994</v>
      </c>
      <c r="I27" s="56">
        <f t="shared" si="1"/>
        <v>4857.9996779016137</v>
      </c>
      <c r="J27" s="56">
        <f>J28/(1/R57)</f>
        <v>413.52956048801997</v>
      </c>
      <c r="K27" s="56">
        <f>K28/(1/S57)</f>
        <v>1112.7701174135934</v>
      </c>
      <c r="L27" s="56">
        <f t="shared" si="3"/>
        <v>3331.7000000000003</v>
      </c>
      <c r="M27" s="56">
        <f>M28*(1/T57)</f>
        <v>1487</v>
      </c>
      <c r="N27" s="56">
        <f>N28*(1/U57)</f>
        <v>1844.7000000000003</v>
      </c>
      <c r="P27" s="32">
        <v>481237.5</v>
      </c>
      <c r="Q27" s="32">
        <v>680.3</v>
      </c>
      <c r="R27" s="32">
        <v>2418.8000000000002</v>
      </c>
      <c r="S27" s="32">
        <v>1487</v>
      </c>
      <c r="T27" s="32">
        <v>1844.7</v>
      </c>
    </row>
    <row r="28" spans="1:26">
      <c r="A28" s="64">
        <v>2007</v>
      </c>
      <c r="B28" s="56">
        <v>542873.59999999998</v>
      </c>
      <c r="C28" s="56">
        <v>658.8</v>
      </c>
      <c r="D28" s="56">
        <v>1589.9</v>
      </c>
      <c r="E28" s="56" t="s">
        <v>22</v>
      </c>
      <c r="F28" s="56">
        <v>1224.7</v>
      </c>
      <c r="G28" s="56">
        <v>1951.7</v>
      </c>
      <c r="H28" s="56">
        <v>557208.80000000005</v>
      </c>
      <c r="I28" s="56">
        <f t="shared" ref="I28:I32" si="8">SUM(J28:L28)</f>
        <v>5294.8</v>
      </c>
      <c r="J28" s="56">
        <v>530.4</v>
      </c>
      <c r="K28" s="56">
        <v>1640.6</v>
      </c>
      <c r="L28" s="56">
        <v>3123.8</v>
      </c>
      <c r="M28" s="56">
        <v>1227.0999999999999</v>
      </c>
      <c r="N28" s="56">
        <v>1896.7</v>
      </c>
      <c r="P28" s="32">
        <v>557208.80000000005</v>
      </c>
      <c r="Q28" s="32">
        <v>530.4</v>
      </c>
      <c r="R28" s="32">
        <v>1640.6</v>
      </c>
      <c r="S28" s="32">
        <v>1227.0999999999999</v>
      </c>
      <c r="T28" s="32">
        <v>1896.7</v>
      </c>
    </row>
    <row r="29" spans="1:26">
      <c r="A29" s="64">
        <v>2008</v>
      </c>
      <c r="B29" s="56">
        <v>548447.9</v>
      </c>
      <c r="C29" s="56">
        <v>632.29999999999995</v>
      </c>
      <c r="D29" s="56">
        <v>1352</v>
      </c>
      <c r="E29" s="56"/>
      <c r="F29" s="56">
        <v>1114.9000000000001</v>
      </c>
      <c r="G29" s="56">
        <v>1853.1</v>
      </c>
      <c r="H29" s="56">
        <v>556341.19999999995</v>
      </c>
      <c r="I29" s="56">
        <f t="shared" si="8"/>
        <v>4867</v>
      </c>
      <c r="J29" s="56">
        <v>498</v>
      </c>
      <c r="K29" s="56">
        <v>1449.4</v>
      </c>
      <c r="L29" s="56">
        <v>2919.6</v>
      </c>
      <c r="M29" s="56">
        <v>1157.3</v>
      </c>
      <c r="N29" s="56">
        <v>1762.6</v>
      </c>
      <c r="P29" s="32">
        <v>556341.19999999995</v>
      </c>
      <c r="Q29" s="32">
        <v>498</v>
      </c>
      <c r="R29" s="32">
        <v>1449.4</v>
      </c>
      <c r="S29" s="32">
        <v>1157.3</v>
      </c>
      <c r="T29" s="32">
        <v>1762.6</v>
      </c>
    </row>
    <row r="30" spans="1:26">
      <c r="A30" s="64">
        <v>2009</v>
      </c>
      <c r="B30" s="56" t="s">
        <v>22</v>
      </c>
      <c r="C30" s="56" t="s">
        <v>22</v>
      </c>
      <c r="D30" s="56" t="s">
        <v>22</v>
      </c>
      <c r="E30" s="56" t="s">
        <v>22</v>
      </c>
      <c r="F30" s="56" t="s">
        <v>22</v>
      </c>
      <c r="G30" s="56" t="s">
        <v>22</v>
      </c>
      <c r="H30" s="56">
        <v>537823.1</v>
      </c>
      <c r="I30" s="56">
        <f t="shared" si="8"/>
        <v>3824.3</v>
      </c>
      <c r="J30" s="56">
        <v>377.7</v>
      </c>
      <c r="K30" s="56">
        <v>1046.7</v>
      </c>
      <c r="L30" s="56">
        <v>2399.9</v>
      </c>
      <c r="M30" s="56">
        <v>792.4</v>
      </c>
      <c r="N30" s="56">
        <v>1620</v>
      </c>
      <c r="P30" s="32">
        <v>537823.1</v>
      </c>
      <c r="Q30" s="32">
        <v>377.7</v>
      </c>
      <c r="R30" s="32">
        <v>1046.7</v>
      </c>
      <c r="S30" s="32">
        <v>792.4</v>
      </c>
      <c r="T30" s="32">
        <v>1620</v>
      </c>
    </row>
    <row r="31" spans="1:26">
      <c r="A31" s="64">
        <v>2010</v>
      </c>
      <c r="B31" s="56" t="s">
        <v>22</v>
      </c>
      <c r="C31" s="56" t="s">
        <v>22</v>
      </c>
      <c r="D31" s="56" t="s">
        <v>22</v>
      </c>
      <c r="E31" s="56" t="s">
        <v>22</v>
      </c>
      <c r="F31" s="56" t="s">
        <v>22</v>
      </c>
      <c r="G31" s="56" t="s">
        <v>22</v>
      </c>
      <c r="H31" s="56">
        <v>556862.6</v>
      </c>
      <c r="I31" s="56">
        <f t="shared" si="8"/>
        <v>3994.2</v>
      </c>
      <c r="J31" s="56">
        <v>433.7</v>
      </c>
      <c r="K31" s="56">
        <v>1111.5</v>
      </c>
      <c r="L31" s="56">
        <v>2449</v>
      </c>
      <c r="M31" s="56">
        <v>779.5</v>
      </c>
      <c r="N31" s="56">
        <v>1685.4</v>
      </c>
      <c r="P31" s="32">
        <v>556862.6</v>
      </c>
      <c r="Q31" s="32">
        <v>433.7</v>
      </c>
      <c r="R31" s="32">
        <v>1111.5</v>
      </c>
      <c r="S31" s="32">
        <v>779.5</v>
      </c>
      <c r="T31" s="32">
        <v>1685.4</v>
      </c>
    </row>
    <row r="32" spans="1:26">
      <c r="A32" s="64">
        <v>2011</v>
      </c>
      <c r="B32" s="56" t="s">
        <v>22</v>
      </c>
      <c r="C32" s="56" t="s">
        <v>22</v>
      </c>
      <c r="D32" s="56" t="s">
        <v>22</v>
      </c>
      <c r="E32" s="56" t="s">
        <v>22</v>
      </c>
      <c r="F32" s="56" t="s">
        <v>22</v>
      </c>
      <c r="G32" s="56" t="s">
        <v>22</v>
      </c>
      <c r="H32" s="56">
        <v>566741.4</v>
      </c>
      <c r="I32" s="56">
        <f t="shared" si="8"/>
        <v>4048.4</v>
      </c>
      <c r="J32" s="56">
        <v>487.9</v>
      </c>
      <c r="K32" s="56">
        <v>1077</v>
      </c>
      <c r="L32" s="56">
        <v>2483.5</v>
      </c>
      <c r="M32" s="56">
        <v>807.2</v>
      </c>
      <c r="N32" s="56">
        <v>1691.2</v>
      </c>
      <c r="P32" s="32">
        <v>566741.4</v>
      </c>
      <c r="Q32" s="32">
        <v>487.9</v>
      </c>
      <c r="R32" s="32">
        <v>1077</v>
      </c>
      <c r="S32" s="32">
        <v>807.2</v>
      </c>
      <c r="T32" s="32">
        <v>1691.2</v>
      </c>
    </row>
    <row r="34" spans="1:21" ht="22.5" customHeight="1">
      <c r="A34" s="66" t="s">
        <v>23</v>
      </c>
      <c r="P34" s="146" t="s">
        <v>1826</v>
      </c>
      <c r="Q34" s="117" t="s">
        <v>7</v>
      </c>
      <c r="R34" s="117" t="s">
        <v>192</v>
      </c>
      <c r="S34" s="117" t="s">
        <v>1</v>
      </c>
      <c r="T34" s="117" t="s">
        <v>13</v>
      </c>
      <c r="U34" s="117" t="s">
        <v>19</v>
      </c>
    </row>
    <row r="35" spans="1:21">
      <c r="A35" s="57" t="s">
        <v>2142</v>
      </c>
      <c r="B35" s="147" t="str">
        <f>IFERROR(((B32/B5)^(1/27)-1)*100,"n.a.")</f>
        <v>n.a.</v>
      </c>
      <c r="C35" s="147" t="str">
        <f t="shared" ref="C35:N35" si="9">IFERROR(((C32/C5)^(1/27)-1)*100,"n.a.")</f>
        <v>n.a.</v>
      </c>
      <c r="D35" s="147" t="str">
        <f t="shared" si="9"/>
        <v>n.a.</v>
      </c>
      <c r="E35" s="147" t="str">
        <f t="shared" si="9"/>
        <v>n.a.</v>
      </c>
      <c r="F35" s="147" t="str">
        <f t="shared" si="9"/>
        <v>n.a.</v>
      </c>
      <c r="G35" s="147" t="str">
        <f t="shared" si="9"/>
        <v>n.a.</v>
      </c>
      <c r="H35" s="147">
        <f t="shared" si="9"/>
        <v>3.0837987297642533</v>
      </c>
      <c r="I35" s="147">
        <f t="shared" si="9"/>
        <v>-1.0438610625371658</v>
      </c>
      <c r="J35" s="147">
        <f t="shared" si="9"/>
        <v>2.4771938955369333</v>
      </c>
      <c r="K35" s="147">
        <f t="shared" si="9"/>
        <v>-1.0137711792085669</v>
      </c>
      <c r="L35" s="147">
        <f t="shared" si="9"/>
        <v>-1.4699527915401189</v>
      </c>
      <c r="M35" s="147">
        <f t="shared" si="9"/>
        <v>-3.8083342996921954</v>
      </c>
      <c r="N35" s="147">
        <f t="shared" si="9"/>
        <v>0.69845542575592834</v>
      </c>
      <c r="P35" s="56" t="s">
        <v>1856</v>
      </c>
      <c r="Q35" s="64">
        <f>V6/V5</f>
        <v>1.0537768287687692</v>
      </c>
      <c r="R35" s="64">
        <f t="shared" ref="R35:U47" si="10">W6/W5</f>
        <v>0.95161290322580649</v>
      </c>
      <c r="S35" s="64">
        <f t="shared" si="10"/>
        <v>1.1597508182874037</v>
      </c>
      <c r="T35" s="64">
        <f t="shared" si="10"/>
        <v>0.93746612748572145</v>
      </c>
      <c r="U35" s="64">
        <f t="shared" si="10"/>
        <v>0.96925053533190575</v>
      </c>
    </row>
    <row r="36" spans="1:21">
      <c r="A36" s="57" t="s">
        <v>2141</v>
      </c>
      <c r="B36" s="147">
        <f>IFERROR(((B29/B5)^(1/24)-1)*100,"n.a.")</f>
        <v>5.3224210263022487</v>
      </c>
      <c r="C36" s="147">
        <f t="shared" ref="C36:N36" si="11">IFERROR(((C29/C5)^(1/24)-1)*100,"n.a.")</f>
        <v>0.97118476648632157</v>
      </c>
      <c r="D36" s="147">
        <f t="shared" si="11"/>
        <v>3.6673378930227596</v>
      </c>
      <c r="E36" s="147">
        <f t="shared" si="11"/>
        <v>-100</v>
      </c>
      <c r="F36" s="147">
        <f t="shared" si="11"/>
        <v>-0.68921429134711776</v>
      </c>
      <c r="G36" s="147">
        <f t="shared" si="11"/>
        <v>4.0917186203921707</v>
      </c>
      <c r="H36" s="147">
        <f t="shared" si="11"/>
        <v>3.396076995964914</v>
      </c>
      <c r="I36" s="147">
        <f t="shared" si="11"/>
        <v>-0.41234682753201746</v>
      </c>
      <c r="J36" s="147">
        <f t="shared" si="11"/>
        <v>2.8789207602756051</v>
      </c>
      <c r="K36" s="147">
        <f t="shared" si="11"/>
        <v>9.1104700488253698E-2</v>
      </c>
      <c r="L36" s="147">
        <f t="shared" si="11"/>
        <v>-0.98699450866088778</v>
      </c>
      <c r="M36" s="147">
        <f t="shared" si="11"/>
        <v>-2.8262433325178415</v>
      </c>
      <c r="N36" s="147">
        <f t="shared" si="11"/>
        <v>0.95990736860400716</v>
      </c>
      <c r="P36" s="56" t="s">
        <v>1857</v>
      </c>
      <c r="Q36" s="64">
        <f t="shared" ref="Q36:Q47" si="12">V7/V6</f>
        <v>1.0453317146719858</v>
      </c>
      <c r="R36" s="64">
        <f t="shared" si="10"/>
        <v>1.0328499038965577</v>
      </c>
      <c r="S36" s="64" t="e">
        <f t="shared" si="10"/>
        <v>#VALUE!</v>
      </c>
      <c r="T36" s="64">
        <f t="shared" si="10"/>
        <v>1.0469159959087473</v>
      </c>
      <c r="U36" s="64">
        <f t="shared" si="10"/>
        <v>0.99664192294096854</v>
      </c>
    </row>
    <row r="37" spans="1:21">
      <c r="A37" s="57" t="s">
        <v>682</v>
      </c>
      <c r="B37" s="147">
        <f>IFERROR(((B10/B5)^(1/5)-1)*100,"n.a.")</f>
        <v>9.8090657226707059</v>
      </c>
      <c r="C37" s="147">
        <f t="shared" ref="C37:N37" si="13">IFERROR(((C10/C5)^(1/5)-1)*100,"n.a.")</f>
        <v>2.9091119637222995</v>
      </c>
      <c r="D37" s="147" t="str">
        <f t="shared" si="13"/>
        <v>n.a.</v>
      </c>
      <c r="E37" s="147">
        <f t="shared" si="13"/>
        <v>8.1959731503411284</v>
      </c>
      <c r="F37" s="147">
        <f t="shared" si="13"/>
        <v>9.0404791277424845</v>
      </c>
      <c r="G37" s="147">
        <f t="shared" si="13"/>
        <v>6.5516248814134981</v>
      </c>
      <c r="H37" s="147">
        <f t="shared" si="13"/>
        <v>4.7008431280374241</v>
      </c>
      <c r="I37" s="147" t="str">
        <f t="shared" si="13"/>
        <v>n.a.</v>
      </c>
      <c r="J37" s="147">
        <f t="shared" si="13"/>
        <v>3.3235961297101602</v>
      </c>
      <c r="K37" s="147" t="str">
        <f t="shared" si="13"/>
        <v>n.a.</v>
      </c>
      <c r="L37" s="147">
        <f t="shared" si="13"/>
        <v>1.4839202511906846</v>
      </c>
      <c r="M37" s="147">
        <f t="shared" si="13"/>
        <v>2.1592702598914881</v>
      </c>
      <c r="N37" s="147">
        <f t="shared" si="13"/>
        <v>0.33352792105347806</v>
      </c>
      <c r="P37" s="56" t="s">
        <v>1858</v>
      </c>
      <c r="Q37" s="64">
        <f t="shared" si="12"/>
        <v>1.0516792997121467</v>
      </c>
      <c r="R37" s="64">
        <f t="shared" si="10"/>
        <v>0.96379631196075111</v>
      </c>
      <c r="S37" s="64" t="e">
        <f t="shared" si="10"/>
        <v>#VALUE!</v>
      </c>
      <c r="T37" s="64">
        <f t="shared" si="10"/>
        <v>1.0568770707671395</v>
      </c>
      <c r="U37" s="64">
        <f t="shared" si="10"/>
        <v>1.002216705089555</v>
      </c>
    </row>
    <row r="38" spans="1:21">
      <c r="A38" s="57" t="s">
        <v>26</v>
      </c>
      <c r="B38" s="147">
        <f>IFERROR(((B21/B10)^(1/11)-1)*100,"n.a.")</f>
        <v>4.4273203611984835</v>
      </c>
      <c r="C38" s="147">
        <f t="shared" ref="C38:N38" si="14">IFERROR(((C21/C10)^(1/11)-1)*100,"n.a.")</f>
        <v>4.3446375838001483</v>
      </c>
      <c r="D38" s="147" t="str">
        <f t="shared" si="14"/>
        <v>n.a.</v>
      </c>
      <c r="E38" s="147">
        <f t="shared" si="14"/>
        <v>3.3169911905046368</v>
      </c>
      <c r="F38" s="147">
        <f t="shared" si="14"/>
        <v>2.5597071375786928</v>
      </c>
      <c r="G38" s="147">
        <f t="shared" si="14"/>
        <v>4.7388769552979104</v>
      </c>
      <c r="H38" s="147">
        <f t="shared" si="14"/>
        <v>2.7482503550412041</v>
      </c>
      <c r="I38" s="147" t="str">
        <f t="shared" si="14"/>
        <v>n.a.</v>
      </c>
      <c r="J38" s="147">
        <f t="shared" si="14"/>
        <v>0.36669943935621063</v>
      </c>
      <c r="K38" s="147" t="str">
        <f t="shared" si="14"/>
        <v>n.a.</v>
      </c>
      <c r="L38" s="147">
        <f t="shared" si="14"/>
        <v>-0.31369278643282872</v>
      </c>
      <c r="M38" s="147">
        <f t="shared" si="14"/>
        <v>-1.5516725939320852</v>
      </c>
      <c r="N38" s="147">
        <f t="shared" si="14"/>
        <v>1.5872668017770986</v>
      </c>
      <c r="P38" s="56" t="s">
        <v>1861</v>
      </c>
      <c r="Q38" s="64">
        <f t="shared" si="12"/>
        <v>1.0536536143444399</v>
      </c>
      <c r="R38" s="64">
        <f t="shared" si="10"/>
        <v>0.9870107073898543</v>
      </c>
      <c r="S38" s="64" t="e">
        <f t="shared" si="10"/>
        <v>#VALUE!</v>
      </c>
      <c r="T38" s="64">
        <f t="shared" si="10"/>
        <v>1.0011655480085206</v>
      </c>
      <c r="U38" s="64">
        <f t="shared" si="10"/>
        <v>1.0202601079359461</v>
      </c>
    </row>
    <row r="39" spans="1:21">
      <c r="A39" s="57" t="s">
        <v>2028</v>
      </c>
      <c r="B39" s="147" t="str">
        <f>IFERROR(((B32/B21)^(1/11)-1)*100,"n.a.")</f>
        <v>n.a.</v>
      </c>
      <c r="C39" s="147" t="str">
        <f t="shared" ref="C39:N39" si="15">IFERROR(((C32/C21)^(1/11)-1)*100,"n.a.")</f>
        <v>n.a.</v>
      </c>
      <c r="D39" s="147" t="str">
        <f t="shared" si="15"/>
        <v>n.a.</v>
      </c>
      <c r="E39" s="147" t="str">
        <f t="shared" si="15"/>
        <v>n.a.</v>
      </c>
      <c r="F39" s="147" t="str">
        <f t="shared" si="15"/>
        <v>n.a.</v>
      </c>
      <c r="G39" s="147" t="str">
        <f t="shared" si="15"/>
        <v>n.a.</v>
      </c>
      <c r="H39" s="147">
        <f t="shared" si="15"/>
        <v>2.6913286901977473</v>
      </c>
      <c r="I39" s="147">
        <f t="shared" si="15"/>
        <v>-2.660691273330662</v>
      </c>
      <c r="J39" s="147">
        <f t="shared" si="15"/>
        <v>4.2415929591967716</v>
      </c>
      <c r="K39" s="147">
        <f t="shared" si="15"/>
        <v>-1.5958927060366723</v>
      </c>
      <c r="L39" s="147">
        <f t="shared" si="15"/>
        <v>-3.9116541985445119</v>
      </c>
      <c r="M39" s="147">
        <f t="shared" si="15"/>
        <v>-8.5498173596586629</v>
      </c>
      <c r="N39" s="147">
        <f t="shared" si="15"/>
        <v>-1.772002919127047E-2</v>
      </c>
      <c r="P39" s="56" t="s">
        <v>1859</v>
      </c>
      <c r="Q39" s="64">
        <f t="shared" si="12"/>
        <v>1.0307822613357172</v>
      </c>
      <c r="R39" s="64">
        <f t="shared" si="10"/>
        <v>0.90823403876934017</v>
      </c>
      <c r="S39" s="64" t="e">
        <f t="shared" si="10"/>
        <v>#VALUE!</v>
      </c>
      <c r="T39" s="64">
        <f t="shared" si="10"/>
        <v>1.0714973906061822</v>
      </c>
      <c r="U39" s="64">
        <f t="shared" si="10"/>
        <v>1.0293964620187306</v>
      </c>
    </row>
    <row r="40" spans="1:21">
      <c r="A40" s="57"/>
      <c r="B40" s="147"/>
      <c r="C40" s="147"/>
      <c r="D40" s="147"/>
      <c r="E40" s="56"/>
      <c r="F40" s="56"/>
      <c r="G40" s="56"/>
      <c r="H40" s="147"/>
      <c r="I40" s="56"/>
      <c r="J40" s="147"/>
      <c r="K40" s="147"/>
      <c r="L40" s="56"/>
      <c r="M40" s="56"/>
      <c r="N40" s="56"/>
      <c r="P40" s="56" t="s">
        <v>1860</v>
      </c>
      <c r="Q40" s="64">
        <f t="shared" si="12"/>
        <v>0.98727598834269437</v>
      </c>
      <c r="R40" s="64">
        <f t="shared" si="10"/>
        <v>0.84051302134325434</v>
      </c>
      <c r="S40" s="64" t="e">
        <f t="shared" si="10"/>
        <v>#VALUE!</v>
      </c>
      <c r="T40" s="64">
        <f t="shared" si="10"/>
        <v>0.97755797834476044</v>
      </c>
      <c r="U40" s="64">
        <f t="shared" si="10"/>
        <v>0.96436694465504169</v>
      </c>
    </row>
    <row r="41" spans="1:21">
      <c r="A41" s="64" t="s">
        <v>503</v>
      </c>
      <c r="P41" s="56" t="s">
        <v>1846</v>
      </c>
      <c r="Q41" s="64">
        <f t="shared" si="12"/>
        <v>0.97552646732944126</v>
      </c>
      <c r="R41" s="64">
        <f t="shared" si="10"/>
        <v>0.83494467093768199</v>
      </c>
      <c r="S41" s="64" t="e">
        <f t="shared" si="10"/>
        <v>#VALUE!</v>
      </c>
      <c r="T41" s="64">
        <f t="shared" si="10"/>
        <v>0.79510961214165266</v>
      </c>
      <c r="U41" s="64" t="e">
        <f t="shared" si="10"/>
        <v>#VALUE!</v>
      </c>
    </row>
    <row r="42" spans="1:21">
      <c r="A42" s="64" t="s">
        <v>193</v>
      </c>
      <c r="P42" s="56" t="s">
        <v>1847</v>
      </c>
      <c r="Q42" s="64">
        <f t="shared" si="12"/>
        <v>1.0065102204922165</v>
      </c>
      <c r="R42" s="64">
        <f t="shared" si="10"/>
        <v>1.0344587053571428</v>
      </c>
      <c r="S42" s="64" t="e">
        <f t="shared" si="10"/>
        <v>#VALUE!</v>
      </c>
      <c r="T42" s="64">
        <f t="shared" si="10"/>
        <v>1.0816060927407694</v>
      </c>
      <c r="U42" s="64" t="e">
        <f t="shared" si="10"/>
        <v>#VALUE!</v>
      </c>
    </row>
    <row r="43" spans="1:21">
      <c r="A43" s="104" t="s">
        <v>679</v>
      </c>
      <c r="B43" s="104"/>
      <c r="C43" s="104"/>
      <c r="D43" s="104"/>
      <c r="E43" s="104"/>
      <c r="F43" s="104"/>
      <c r="G43" s="104"/>
      <c r="H43" s="104"/>
      <c r="I43" s="104"/>
      <c r="J43" s="104"/>
      <c r="K43" s="104"/>
      <c r="L43" s="104"/>
      <c r="M43" s="104"/>
      <c r="N43" s="104"/>
      <c r="P43" s="56" t="s">
        <v>1848</v>
      </c>
      <c r="Q43" s="64">
        <f t="shared" si="12"/>
        <v>1.0119182082373686</v>
      </c>
      <c r="R43" s="64">
        <f t="shared" si="10"/>
        <v>0.89979770734996634</v>
      </c>
      <c r="S43" s="64" t="e">
        <f t="shared" si="10"/>
        <v>#VALUE!</v>
      </c>
      <c r="T43" s="64">
        <f t="shared" si="10"/>
        <v>0.98373367797138911</v>
      </c>
      <c r="U43" s="64">
        <f t="shared" si="10"/>
        <v>1.007734616706772</v>
      </c>
    </row>
    <row r="44" spans="1:21" ht="39" customHeight="1">
      <c r="A44" s="104" t="s">
        <v>680</v>
      </c>
      <c r="B44" s="104"/>
      <c r="C44" s="104"/>
      <c r="D44" s="104"/>
      <c r="E44" s="104"/>
      <c r="F44" s="104"/>
      <c r="G44" s="104"/>
      <c r="H44" s="104"/>
      <c r="I44" s="104"/>
      <c r="J44" s="104"/>
      <c r="K44" s="104"/>
      <c r="L44" s="104"/>
      <c r="M44" s="104"/>
      <c r="N44" s="104"/>
      <c r="P44" s="56" t="s">
        <v>1849</v>
      </c>
      <c r="Q44" s="64">
        <f t="shared" si="12"/>
        <v>1.0466367445804903</v>
      </c>
      <c r="R44" s="64">
        <f t="shared" si="10"/>
        <v>1.082583932853717</v>
      </c>
      <c r="S44" s="64" t="e">
        <f t="shared" si="10"/>
        <v>#VALUE!</v>
      </c>
      <c r="T44" s="64">
        <f t="shared" si="10"/>
        <v>0.99556038778653622</v>
      </c>
      <c r="U44" s="64" t="e">
        <f t="shared" si="10"/>
        <v>#VALUE!</v>
      </c>
    </row>
    <row r="45" spans="1:21" ht="39" customHeight="1">
      <c r="A45" s="104" t="s">
        <v>681</v>
      </c>
      <c r="B45" s="104"/>
      <c r="C45" s="104"/>
      <c r="D45" s="104"/>
      <c r="E45" s="104"/>
      <c r="F45" s="104"/>
      <c r="G45" s="104"/>
      <c r="H45" s="104"/>
      <c r="I45" s="104"/>
      <c r="J45" s="104"/>
      <c r="K45" s="104"/>
      <c r="L45" s="104"/>
      <c r="M45" s="104"/>
      <c r="N45" s="104"/>
      <c r="P45" s="56" t="s">
        <v>1850</v>
      </c>
      <c r="Q45" s="64">
        <f t="shared" si="12"/>
        <v>1.0386898713437904</v>
      </c>
      <c r="R45" s="64">
        <f t="shared" si="10"/>
        <v>1.0351654437214455</v>
      </c>
      <c r="S45" s="64" t="e">
        <f t="shared" si="10"/>
        <v>#VALUE!</v>
      </c>
      <c r="T45" s="64">
        <f t="shared" si="10"/>
        <v>0.93137968693119766</v>
      </c>
      <c r="U45" s="64" t="e">
        <f t="shared" si="10"/>
        <v>#VALUE!</v>
      </c>
    </row>
    <row r="46" spans="1:21" ht="39" customHeight="1">
      <c r="A46" s="104" t="s">
        <v>851</v>
      </c>
      <c r="B46" s="104"/>
      <c r="C46" s="104"/>
      <c r="D46" s="104"/>
      <c r="E46" s="104"/>
      <c r="F46" s="104"/>
      <c r="G46" s="104"/>
      <c r="H46" s="104"/>
      <c r="I46" s="104"/>
      <c r="J46" s="104"/>
      <c r="K46" s="104"/>
      <c r="L46" s="104"/>
      <c r="M46" s="104"/>
      <c r="N46" s="104"/>
      <c r="P46" s="56" t="s">
        <v>1851</v>
      </c>
      <c r="Q46" s="64">
        <f t="shared" si="12"/>
        <v>1.0118765337601705</v>
      </c>
      <c r="R46" s="64">
        <f t="shared" si="10"/>
        <v>0.82171994115286884</v>
      </c>
      <c r="S46" s="64" t="e">
        <f t="shared" si="10"/>
        <v>#VALUE!</v>
      </c>
      <c r="T46" s="64">
        <f t="shared" si="10"/>
        <v>0.96316200898964233</v>
      </c>
      <c r="U46" s="64" t="e">
        <f t="shared" si="10"/>
        <v>#VALUE!</v>
      </c>
    </row>
    <row r="47" spans="1:21">
      <c r="P47" s="56" t="s">
        <v>1852</v>
      </c>
      <c r="Q47" s="64">
        <f t="shared" si="12"/>
        <v>1.0434582701783812</v>
      </c>
      <c r="R47" s="64">
        <f t="shared" si="10"/>
        <v>1.2119140625</v>
      </c>
      <c r="S47" s="64" t="e">
        <f t="shared" si="10"/>
        <v>#VALUE!</v>
      </c>
      <c r="T47" s="64">
        <f t="shared" si="10"/>
        <v>0.99928984478035909</v>
      </c>
      <c r="U47" s="64" t="e">
        <f t="shared" si="10"/>
        <v>#VALUE!</v>
      </c>
    </row>
    <row r="48" spans="1:21">
      <c r="P48" s="56" t="s">
        <v>1837</v>
      </c>
      <c r="Q48" s="64">
        <f>P19/P18</f>
        <v>1.0472898413095231</v>
      </c>
      <c r="R48" s="64">
        <f>Q19/Q18</f>
        <v>0.9972507596585154</v>
      </c>
      <c r="S48" s="64">
        <f>R19/R18</f>
        <v>1.0947244436178787</v>
      </c>
      <c r="T48" s="64">
        <f>S19/S18</f>
        <v>0.97874477872362919</v>
      </c>
      <c r="U48" s="64">
        <f>T19/T18</f>
        <v>0.94247019978734115</v>
      </c>
    </row>
    <row r="49" spans="1:21">
      <c r="A49" s="104"/>
      <c r="B49" s="104"/>
      <c r="C49" s="104"/>
      <c r="D49" s="104"/>
      <c r="E49" s="104"/>
      <c r="F49" s="104"/>
      <c r="G49" s="104"/>
      <c r="H49" s="104"/>
      <c r="I49" s="104"/>
      <c r="J49" s="104"/>
      <c r="K49" s="104"/>
      <c r="L49" s="104"/>
      <c r="M49" s="104"/>
      <c r="N49" s="104"/>
      <c r="P49" s="56" t="s">
        <v>1827</v>
      </c>
      <c r="Q49" s="64">
        <f t="shared" ref="Q49:U59" si="16">P20/P19</f>
        <v>1.0767302336357496</v>
      </c>
      <c r="R49" s="64">
        <f t="shared" si="16"/>
        <v>1.0692106790481717</v>
      </c>
      <c r="S49" s="64">
        <f t="shared" si="16"/>
        <v>0.99337448326632305</v>
      </c>
      <c r="T49" s="64">
        <f t="shared" si="16"/>
        <v>1.0202582248392849</v>
      </c>
      <c r="U49" s="64">
        <f t="shared" si="16"/>
        <v>0.9227480553411318</v>
      </c>
    </row>
    <row r="50" spans="1:21" ht="30" customHeight="1">
      <c r="A50" s="104"/>
      <c r="B50" s="104"/>
      <c r="C50" s="104"/>
      <c r="D50" s="104"/>
      <c r="E50" s="104"/>
      <c r="F50" s="104"/>
      <c r="G50" s="104"/>
      <c r="H50" s="104"/>
      <c r="I50" s="104"/>
      <c r="J50" s="104"/>
      <c r="K50" s="104"/>
      <c r="L50" s="104"/>
      <c r="M50" s="104"/>
      <c r="N50" s="104"/>
      <c r="P50" s="56" t="s">
        <v>1828</v>
      </c>
      <c r="Q50" s="64">
        <f t="shared" si="16"/>
        <v>1.0612538370483318</v>
      </c>
      <c r="R50" s="64">
        <f t="shared" si="16"/>
        <v>1.2357171936490705</v>
      </c>
      <c r="S50" s="64">
        <f t="shared" si="16"/>
        <v>1.1935925208072056</v>
      </c>
      <c r="T50" s="64">
        <f t="shared" si="16"/>
        <v>1.1423805993857885</v>
      </c>
      <c r="U50" s="64">
        <f t="shared" si="16"/>
        <v>1.0904118404118404</v>
      </c>
    </row>
    <row r="51" spans="1:21" ht="30" customHeight="1">
      <c r="A51" s="104"/>
      <c r="B51" s="104"/>
      <c r="C51" s="104"/>
      <c r="D51" s="104"/>
      <c r="E51" s="104"/>
      <c r="F51" s="104"/>
      <c r="G51" s="104"/>
      <c r="H51" s="104"/>
      <c r="I51" s="104"/>
      <c r="J51" s="104"/>
      <c r="K51" s="104"/>
      <c r="L51" s="104"/>
      <c r="M51" s="104"/>
      <c r="N51" s="104"/>
      <c r="P51" s="148" t="s">
        <v>1829</v>
      </c>
      <c r="Q51" s="64">
        <f t="shared" si="16"/>
        <v>1.0144372715744978</v>
      </c>
      <c r="R51" s="64">
        <f t="shared" si="16"/>
        <v>0.92345706127827798</v>
      </c>
      <c r="S51" s="64">
        <f t="shared" si="16"/>
        <v>1.0036775241188269</v>
      </c>
      <c r="T51" s="64">
        <f t="shared" si="16"/>
        <v>0.8618308227114716</v>
      </c>
      <c r="U51" s="64">
        <f t="shared" si="16"/>
        <v>1.1745647683682503</v>
      </c>
    </row>
    <row r="52" spans="1:21" ht="30" customHeight="1">
      <c r="A52" s="104"/>
      <c r="B52" s="104"/>
      <c r="C52" s="104"/>
      <c r="D52" s="104"/>
      <c r="E52" s="104"/>
      <c r="F52" s="104"/>
      <c r="G52" s="104"/>
      <c r="H52" s="104"/>
      <c r="I52" s="104"/>
      <c r="J52" s="104"/>
      <c r="K52" s="104"/>
      <c r="L52" s="104"/>
      <c r="M52" s="104"/>
      <c r="N52" s="104"/>
      <c r="P52" s="148" t="s">
        <v>1830</v>
      </c>
      <c r="Q52" s="64">
        <f t="shared" si="16"/>
        <v>1.0254911735518708</v>
      </c>
      <c r="R52" s="64">
        <f t="shared" si="16"/>
        <v>1.0247354025448925</v>
      </c>
      <c r="S52" s="64">
        <f t="shared" si="16"/>
        <v>1.0947894361170591</v>
      </c>
      <c r="T52" s="64">
        <f t="shared" si="16"/>
        <v>1.0643218242443799</v>
      </c>
      <c r="U52" s="64">
        <f t="shared" si="16"/>
        <v>1.0243681857006481</v>
      </c>
    </row>
    <row r="53" spans="1:21">
      <c r="P53" s="148" t="s">
        <v>1831</v>
      </c>
      <c r="Q53" s="64">
        <f t="shared" si="16"/>
        <v>1.016232081718992</v>
      </c>
      <c r="R53" s="64">
        <f t="shared" si="16"/>
        <v>0.9422072647092955</v>
      </c>
      <c r="S53" s="64">
        <f t="shared" si="16"/>
        <v>1.0224714217412094</v>
      </c>
      <c r="T53" s="64">
        <f t="shared" si="16"/>
        <v>0.96831733198585146</v>
      </c>
      <c r="U53" s="64">
        <f t="shared" si="16"/>
        <v>1.0744555620953502</v>
      </c>
    </row>
    <row r="54" spans="1:21" ht="62.25" customHeight="1">
      <c r="P54" s="148" t="s">
        <v>1832</v>
      </c>
      <c r="Q54" s="64">
        <f t="shared" si="16"/>
        <v>1.0252224965436616</v>
      </c>
      <c r="R54" s="64">
        <f t="shared" si="16"/>
        <v>0.93903190048035468</v>
      </c>
      <c r="S54" s="64">
        <f t="shared" si="16"/>
        <v>0.99553647338887941</v>
      </c>
      <c r="T54" s="64">
        <f t="shared" si="16"/>
        <v>1.0803110160204561</v>
      </c>
      <c r="U54" s="64">
        <f t="shared" si="16"/>
        <v>0.93262119967132295</v>
      </c>
    </row>
    <row r="55" spans="1:21">
      <c r="P55" s="148" t="s">
        <v>1833</v>
      </c>
      <c r="Q55" s="64">
        <f t="shared" si="16"/>
        <v>1.0269266207667629</v>
      </c>
      <c r="R55" s="64">
        <f t="shared" si="16"/>
        <v>1.0474816369359916</v>
      </c>
      <c r="S55" s="64">
        <f t="shared" si="16"/>
        <v>1.0193005679149407</v>
      </c>
      <c r="T55" s="64">
        <f t="shared" si="16"/>
        <v>0.91339001062699265</v>
      </c>
      <c r="U55" s="64">
        <f t="shared" si="16"/>
        <v>0.99216837983357808</v>
      </c>
    </row>
    <row r="56" spans="1:21">
      <c r="P56" s="148" t="s">
        <v>1834</v>
      </c>
      <c r="Q56" s="64">
        <f t="shared" si="16"/>
        <v>1.0217354518608384</v>
      </c>
      <c r="R56" s="64">
        <f t="shared" si="16"/>
        <v>0.85186576508890555</v>
      </c>
      <c r="S56" s="64">
        <f t="shared" si="16"/>
        <v>1.0132797117841734</v>
      </c>
      <c r="T56" s="64">
        <f t="shared" si="16"/>
        <v>0.78639801152890154</v>
      </c>
      <c r="U56" s="64">
        <f t="shared" si="16"/>
        <v>0.91006413418845589</v>
      </c>
    </row>
    <row r="57" spans="1:21">
      <c r="P57" s="148" t="s">
        <v>1839</v>
      </c>
      <c r="Q57" s="64">
        <f t="shared" si="16"/>
        <v>1.1578665419881038</v>
      </c>
      <c r="R57" s="64">
        <f t="shared" si="16"/>
        <v>0.77965603410260176</v>
      </c>
      <c r="S57" s="64">
        <f t="shared" si="16"/>
        <v>0.67827021663634857</v>
      </c>
      <c r="T57" s="64">
        <f t="shared" si="16"/>
        <v>0.82521856086079348</v>
      </c>
      <c r="U57" s="64">
        <f t="shared" si="16"/>
        <v>1.0281888653981677</v>
      </c>
    </row>
    <row r="58" spans="1:21">
      <c r="P58" s="148" t="s">
        <v>1835</v>
      </c>
      <c r="Q58" s="64">
        <f t="shared" si="16"/>
        <v>0.99844295352119328</v>
      </c>
      <c r="R58" s="64">
        <f t="shared" si="16"/>
        <v>0.93891402714932126</v>
      </c>
      <c r="S58" s="64">
        <f t="shared" si="16"/>
        <v>0.883457271729855</v>
      </c>
      <c r="T58" s="64">
        <f t="shared" si="16"/>
        <v>0.94311792029989405</v>
      </c>
      <c r="U58" s="64">
        <f t="shared" si="16"/>
        <v>0.92929825486371054</v>
      </c>
    </row>
    <row r="59" spans="1:21">
      <c r="P59" s="148" t="s">
        <v>1836</v>
      </c>
      <c r="Q59" s="64">
        <f>P30/P29</f>
        <v>0.96671449103535745</v>
      </c>
      <c r="R59" s="64">
        <f t="shared" si="16"/>
        <v>0.75843373493975896</v>
      </c>
      <c r="S59" s="64">
        <f t="shared" si="16"/>
        <v>0.72216089416310192</v>
      </c>
      <c r="T59" s="64">
        <f t="shared" si="16"/>
        <v>0.68469713989458225</v>
      </c>
      <c r="U59" s="64">
        <f t="shared" si="16"/>
        <v>0.91909678883467605</v>
      </c>
    </row>
  </sheetData>
  <mergeCells count="10">
    <mergeCell ref="A52:N52"/>
    <mergeCell ref="B2:G2"/>
    <mergeCell ref="H2:N2"/>
    <mergeCell ref="A49:N49"/>
    <mergeCell ref="A50:N50"/>
    <mergeCell ref="A51:N51"/>
    <mergeCell ref="A43:N43"/>
    <mergeCell ref="A44:N44"/>
    <mergeCell ref="A45:N45"/>
    <mergeCell ref="A46:N46"/>
  </mergeCells>
  <pageMargins left="0.70866141732283472" right="0.70866141732283472" top="0.74803149606299213" bottom="0.74803149606299213" header="0.31496062992125984" footer="0.31496062992125984"/>
  <pageSetup scale="62" orientation="landscape" horizontalDpi="0" verticalDpi="0" r:id="rId1"/>
</worksheet>
</file>

<file path=xl/worksheets/sheet166.xml><?xml version="1.0" encoding="utf-8"?>
<worksheet xmlns="http://schemas.openxmlformats.org/spreadsheetml/2006/main" xmlns:r="http://schemas.openxmlformats.org/officeDocument/2006/relationships">
  <sheetPr codeName="Sheet160"/>
  <dimension ref="A1:Z59"/>
  <sheetViews>
    <sheetView view="pageBreakPre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2" style="64" customWidth="1"/>
    <col min="2" max="8" width="14.28515625" style="64" customWidth="1"/>
    <col min="9" max="9" width="12" style="64" customWidth="1"/>
    <col min="10" max="14" width="14.28515625" style="64" customWidth="1"/>
    <col min="15" max="15" width="9.140625" style="64"/>
    <col min="16" max="16" width="12" style="64" hidden="1" customWidth="1" outlineLevel="1"/>
    <col min="17" max="25" width="9.140625" style="64" hidden="1" customWidth="1" outlineLevel="1"/>
    <col min="26" max="26" width="9.140625" style="64" collapsed="1"/>
    <col min="27" max="16384" width="9.140625" style="64"/>
  </cols>
  <sheetData>
    <row r="1" spans="1:25">
      <c r="A1" s="66" t="s">
        <v>2089</v>
      </c>
    </row>
    <row r="2" spans="1:25">
      <c r="B2" s="107" t="s">
        <v>206</v>
      </c>
      <c r="C2" s="107"/>
      <c r="D2" s="107"/>
      <c r="E2" s="107"/>
      <c r="F2" s="107"/>
      <c r="G2" s="107"/>
      <c r="H2" s="107" t="s">
        <v>2106</v>
      </c>
      <c r="I2" s="107"/>
      <c r="J2" s="107"/>
      <c r="K2" s="107"/>
      <c r="L2" s="107"/>
      <c r="M2" s="107"/>
      <c r="N2" s="107"/>
    </row>
    <row r="3" spans="1:25" ht="60">
      <c r="B3" s="73" t="s">
        <v>7</v>
      </c>
      <c r="C3" s="73" t="s">
        <v>0</v>
      </c>
      <c r="D3" s="73" t="s">
        <v>1</v>
      </c>
      <c r="E3" s="73" t="s">
        <v>678</v>
      </c>
      <c r="F3" s="73" t="s">
        <v>13</v>
      </c>
      <c r="G3" s="73" t="s">
        <v>19</v>
      </c>
      <c r="H3" s="73" t="s">
        <v>7</v>
      </c>
      <c r="I3" s="73" t="s">
        <v>37</v>
      </c>
      <c r="J3" s="73" t="s">
        <v>0</v>
      </c>
      <c r="K3" s="73" t="s">
        <v>1</v>
      </c>
      <c r="L3" s="73" t="s">
        <v>678</v>
      </c>
      <c r="M3" s="73" t="s">
        <v>13</v>
      </c>
      <c r="N3" s="73" t="s">
        <v>19</v>
      </c>
      <c r="P3" s="64" t="s">
        <v>296</v>
      </c>
      <c r="Q3" s="64" t="s">
        <v>297</v>
      </c>
      <c r="R3" s="64" t="s">
        <v>298</v>
      </c>
      <c r="S3" s="64" t="s">
        <v>299</v>
      </c>
      <c r="T3" s="64" t="s">
        <v>300</v>
      </c>
      <c r="U3" s="64" t="s">
        <v>291</v>
      </c>
      <c r="V3" s="64" t="s">
        <v>292</v>
      </c>
      <c r="W3" s="64" t="s">
        <v>293</v>
      </c>
      <c r="X3" s="64" t="s">
        <v>294</v>
      </c>
      <c r="Y3" s="64" t="s">
        <v>295</v>
      </c>
    </row>
    <row r="4" spans="1:25" hidden="1" outlineLevel="1">
      <c r="P4" s="64" t="s">
        <v>306</v>
      </c>
      <c r="Q4" s="64" t="s">
        <v>307</v>
      </c>
      <c r="R4" s="64" t="s">
        <v>308</v>
      </c>
      <c r="S4" s="64" t="s">
        <v>309</v>
      </c>
      <c r="T4" s="64" t="s">
        <v>310</v>
      </c>
      <c r="U4" s="64" t="s">
        <v>301</v>
      </c>
      <c r="V4" s="64" t="s">
        <v>302</v>
      </c>
      <c r="W4" s="64" t="s">
        <v>303</v>
      </c>
      <c r="X4" s="64" t="s">
        <v>304</v>
      </c>
      <c r="Y4" s="64" t="s">
        <v>305</v>
      </c>
    </row>
    <row r="5" spans="1:25" collapsed="1">
      <c r="A5" s="64">
        <v>1984</v>
      </c>
      <c r="B5" s="56">
        <v>16562.5</v>
      </c>
      <c r="C5" s="56">
        <v>24.6</v>
      </c>
      <c r="D5" s="56" t="s">
        <v>188</v>
      </c>
      <c r="E5" s="56" t="s">
        <v>188</v>
      </c>
      <c r="F5" s="56" t="s">
        <v>188</v>
      </c>
      <c r="G5" s="56">
        <v>33.299999999999997</v>
      </c>
      <c r="H5" s="56">
        <f t="shared" ref="H5:H26" si="0">H6*(1/Q35)</f>
        <v>24122.312510098775</v>
      </c>
      <c r="I5" s="56" t="s">
        <v>22</v>
      </c>
      <c r="J5" s="56">
        <f t="shared" ref="J5:K20" si="1">J6/(1/R35)</f>
        <v>20.238661028893592</v>
      </c>
      <c r="K5" s="56" t="s">
        <v>188</v>
      </c>
      <c r="L5" s="56" t="s">
        <v>22</v>
      </c>
      <c r="M5" s="56" t="s">
        <v>22</v>
      </c>
      <c r="N5" s="56" t="s">
        <v>22</v>
      </c>
      <c r="U5" s="64">
        <v>22338100000</v>
      </c>
      <c r="V5" s="64">
        <v>78000000</v>
      </c>
      <c r="W5" s="64" t="s">
        <v>188</v>
      </c>
      <c r="X5" s="64" t="s">
        <v>188</v>
      </c>
      <c r="Y5" s="64">
        <v>48000000</v>
      </c>
    </row>
    <row r="6" spans="1:25">
      <c r="A6" s="64">
        <v>1985</v>
      </c>
      <c r="B6" s="56">
        <v>18220.099999999999</v>
      </c>
      <c r="C6" s="56">
        <v>23.7</v>
      </c>
      <c r="D6" s="56" t="s">
        <v>188</v>
      </c>
      <c r="E6" s="56" t="s">
        <v>188</v>
      </c>
      <c r="F6" s="56" t="s">
        <v>188</v>
      </c>
      <c r="G6" s="56" t="s">
        <v>188</v>
      </c>
      <c r="H6" s="56">
        <f t="shared" si="0"/>
        <v>25902.375270210283</v>
      </c>
      <c r="I6" s="56" t="s">
        <v>22</v>
      </c>
      <c r="J6" s="56">
        <f t="shared" si="1"/>
        <v>21.076309215670229</v>
      </c>
      <c r="K6" s="56" t="s">
        <v>188</v>
      </c>
      <c r="L6" s="56" t="s">
        <v>22</v>
      </c>
      <c r="M6" s="56" t="s">
        <v>22</v>
      </c>
      <c r="N6" s="56" t="s">
        <v>22</v>
      </c>
      <c r="U6" s="64">
        <v>23986500000</v>
      </c>
      <c r="V6" s="64">
        <v>74900000</v>
      </c>
      <c r="W6" s="64" t="s">
        <v>188</v>
      </c>
      <c r="X6" s="64" t="s">
        <v>188</v>
      </c>
      <c r="Y6" s="64" t="s">
        <v>188</v>
      </c>
    </row>
    <row r="7" spans="1:25">
      <c r="A7" s="64">
        <v>1986</v>
      </c>
      <c r="B7" s="56">
        <v>18905.7</v>
      </c>
      <c r="C7" s="56">
        <v>21.7</v>
      </c>
      <c r="D7" s="56" t="s">
        <v>188</v>
      </c>
      <c r="E7" s="56" t="s">
        <v>188</v>
      </c>
      <c r="F7" s="56" t="s">
        <v>188</v>
      </c>
      <c r="G7" s="56" t="s">
        <v>188</v>
      </c>
      <c r="H7" s="56">
        <f t="shared" si="0"/>
        <v>26151.17802435351</v>
      </c>
      <c r="I7" s="56" t="s">
        <v>22</v>
      </c>
      <c r="J7" s="56">
        <f t="shared" si="1"/>
        <v>24.474659848894579</v>
      </c>
      <c r="K7" s="56" t="s">
        <v>188</v>
      </c>
      <c r="L7" s="56" t="s">
        <v>22</v>
      </c>
      <c r="M7" s="56" t="s">
        <v>22</v>
      </c>
      <c r="N7" s="56" t="s">
        <v>22</v>
      </c>
      <c r="U7" s="64">
        <v>24216900000</v>
      </c>
      <c r="V7" s="64">
        <v>64500000</v>
      </c>
      <c r="W7" s="64" t="s">
        <v>188</v>
      </c>
      <c r="X7" s="64" t="s">
        <v>188</v>
      </c>
      <c r="Y7" s="64" t="s">
        <v>188</v>
      </c>
    </row>
    <row r="8" spans="1:25">
      <c r="A8" s="64">
        <v>1987</v>
      </c>
      <c r="B8" s="56">
        <v>20006.400000000001</v>
      </c>
      <c r="C8" s="56">
        <v>32.5</v>
      </c>
      <c r="D8" s="56">
        <v>63.8</v>
      </c>
      <c r="E8" s="56" t="s">
        <v>188</v>
      </c>
      <c r="F8" s="56" t="s">
        <v>188</v>
      </c>
      <c r="G8" s="56">
        <v>32.5</v>
      </c>
      <c r="H8" s="56">
        <f t="shared" si="0"/>
        <v>26550.40709643142</v>
      </c>
      <c r="I8" s="56" t="s">
        <v>22</v>
      </c>
      <c r="J8" s="56">
        <f t="shared" si="1"/>
        <v>17.481899892067556</v>
      </c>
      <c r="K8" s="56">
        <f>K12*(W8/W12)</f>
        <v>254.80795438569092</v>
      </c>
      <c r="L8" s="56" t="s">
        <v>22</v>
      </c>
      <c r="M8" s="56" t="s">
        <v>22</v>
      </c>
      <c r="N8" s="56" t="s">
        <v>22</v>
      </c>
      <c r="U8" s="64">
        <v>24586600000</v>
      </c>
      <c r="V8" s="64">
        <v>90300000</v>
      </c>
      <c r="W8" s="64">
        <v>82400000</v>
      </c>
      <c r="X8" s="64" t="s">
        <v>188</v>
      </c>
      <c r="Y8" s="64">
        <v>37000000</v>
      </c>
    </row>
    <row r="9" spans="1:25">
      <c r="A9" s="64">
        <v>1988</v>
      </c>
      <c r="B9" s="56">
        <v>21307.4</v>
      </c>
      <c r="C9" s="56">
        <v>34.299999999999997</v>
      </c>
      <c r="D9" s="56" t="s">
        <v>188</v>
      </c>
      <c r="E9" s="56" t="s">
        <v>188</v>
      </c>
      <c r="F9" s="56" t="s">
        <v>188</v>
      </c>
      <c r="G9" s="56">
        <v>34.799999999999997</v>
      </c>
      <c r="H9" s="56">
        <f t="shared" si="0"/>
        <v>26532.265228941811</v>
      </c>
      <c r="I9" s="56" t="s">
        <v>22</v>
      </c>
      <c r="J9" s="56">
        <f t="shared" si="1"/>
        <v>18.63772798410508</v>
      </c>
      <c r="K9" s="56" t="s">
        <v>188</v>
      </c>
      <c r="L9" s="56" t="s">
        <v>22</v>
      </c>
      <c r="M9" s="56" t="s">
        <v>22</v>
      </c>
      <c r="N9" s="56" t="s">
        <v>22</v>
      </c>
      <c r="U9" s="64">
        <v>24569800000</v>
      </c>
      <c r="V9" s="64">
        <v>84700000</v>
      </c>
      <c r="W9" s="64" t="s">
        <v>188</v>
      </c>
      <c r="X9" s="64" t="s">
        <v>188</v>
      </c>
      <c r="Y9" s="64">
        <v>38000000</v>
      </c>
    </row>
    <row r="10" spans="1:25">
      <c r="A10" s="64">
        <v>1989</v>
      </c>
      <c r="B10" s="56">
        <v>22416.2</v>
      </c>
      <c r="C10" s="56">
        <v>27</v>
      </c>
      <c r="D10" s="56" t="s">
        <v>188</v>
      </c>
      <c r="E10" s="56" t="s">
        <v>188</v>
      </c>
      <c r="F10" s="56" t="s">
        <v>188</v>
      </c>
      <c r="G10" s="56">
        <v>38.9</v>
      </c>
      <c r="H10" s="56">
        <f t="shared" si="0"/>
        <v>26782.579805375834</v>
      </c>
      <c r="I10" s="56" t="s">
        <v>22</v>
      </c>
      <c r="J10" s="56">
        <f t="shared" si="1"/>
        <v>25.626875978144483</v>
      </c>
      <c r="K10" s="56" t="s">
        <v>188</v>
      </c>
      <c r="L10" s="56" t="s">
        <v>22</v>
      </c>
      <c r="M10" s="56" t="s">
        <v>22</v>
      </c>
      <c r="N10" s="56" t="s">
        <v>22</v>
      </c>
      <c r="U10" s="64">
        <v>24801600000</v>
      </c>
      <c r="V10" s="64">
        <v>61600000</v>
      </c>
      <c r="W10" s="64" t="s">
        <v>188</v>
      </c>
      <c r="X10" s="64" t="s">
        <v>188</v>
      </c>
      <c r="Y10" s="64">
        <v>39100000</v>
      </c>
    </row>
    <row r="11" spans="1:25">
      <c r="A11" s="64">
        <v>1990</v>
      </c>
      <c r="B11" s="56">
        <v>23324.9</v>
      </c>
      <c r="C11" s="56">
        <v>30.5</v>
      </c>
      <c r="D11" s="56" t="s">
        <v>188</v>
      </c>
      <c r="E11" s="56" t="s">
        <v>188</v>
      </c>
      <c r="F11" s="56" t="s">
        <v>188</v>
      </c>
      <c r="G11" s="56">
        <v>37.9</v>
      </c>
      <c r="H11" s="56">
        <f t="shared" si="0"/>
        <v>27406.098513024695</v>
      </c>
      <c r="I11" s="56" t="s">
        <v>22</v>
      </c>
      <c r="J11" s="56">
        <f t="shared" si="1"/>
        <v>22.455413374874826</v>
      </c>
      <c r="K11" s="56" t="s">
        <v>188</v>
      </c>
      <c r="L11" s="56" t="s">
        <v>22</v>
      </c>
      <c r="M11" s="56" t="s">
        <v>22</v>
      </c>
      <c r="N11" s="56" t="s">
        <v>22</v>
      </c>
      <c r="U11" s="64">
        <v>25379000000</v>
      </c>
      <c r="V11" s="64">
        <v>70300000</v>
      </c>
      <c r="W11" s="64" t="s">
        <v>188</v>
      </c>
      <c r="X11" s="64" t="s">
        <v>188</v>
      </c>
      <c r="Y11" s="64">
        <v>37700000</v>
      </c>
    </row>
    <row r="12" spans="1:25">
      <c r="A12" s="64">
        <v>1991</v>
      </c>
      <c r="B12" s="56">
        <v>22753.200000000001</v>
      </c>
      <c r="C12" s="56">
        <v>22</v>
      </c>
      <c r="D12" s="56">
        <v>49.5</v>
      </c>
      <c r="E12" s="56" t="s">
        <v>188</v>
      </c>
      <c r="F12" s="56" t="s">
        <v>188</v>
      </c>
      <c r="G12" s="56" t="s">
        <v>188</v>
      </c>
      <c r="H12" s="56">
        <f t="shared" si="0"/>
        <v>26106.579266774886</v>
      </c>
      <c r="I12" s="56" t="s">
        <v>22</v>
      </c>
      <c r="J12" s="56">
        <f t="shared" si="1"/>
        <v>32.085682118977644</v>
      </c>
      <c r="K12" s="56">
        <f>K14*(W12/W14)</f>
        <v>196.6721589675964</v>
      </c>
      <c r="L12" s="56" t="s">
        <v>22</v>
      </c>
      <c r="M12" s="56" t="s">
        <v>22</v>
      </c>
      <c r="N12" s="56" t="s">
        <v>22</v>
      </c>
      <c r="U12" s="64">
        <v>24175600000</v>
      </c>
      <c r="V12" s="64">
        <v>49200000</v>
      </c>
      <c r="W12" s="64">
        <v>63600000</v>
      </c>
      <c r="X12" s="64" t="s">
        <v>188</v>
      </c>
      <c r="Y12" s="64" t="s">
        <v>188</v>
      </c>
    </row>
    <row r="13" spans="1:25">
      <c r="A13" s="64">
        <v>1992</v>
      </c>
      <c r="B13" s="56">
        <v>23123.200000000001</v>
      </c>
      <c r="C13" s="56">
        <v>28.1</v>
      </c>
      <c r="D13" s="56" t="s">
        <v>188</v>
      </c>
      <c r="E13" s="56" t="s">
        <v>188</v>
      </c>
      <c r="F13" s="56" t="s">
        <v>188</v>
      </c>
      <c r="G13" s="56">
        <v>32.9</v>
      </c>
      <c r="H13" s="56">
        <f t="shared" si="0"/>
        <v>26541.768111912555</v>
      </c>
      <c r="I13" s="56" t="s">
        <v>22</v>
      </c>
      <c r="J13" s="56">
        <f t="shared" si="1"/>
        <v>28.189563575958932</v>
      </c>
      <c r="K13" s="56" t="s">
        <v>188</v>
      </c>
      <c r="L13" s="56" t="s">
        <v>22</v>
      </c>
      <c r="M13" s="56" t="s">
        <v>22</v>
      </c>
      <c r="N13" s="56" t="s">
        <v>22</v>
      </c>
      <c r="U13" s="64">
        <v>24578600000</v>
      </c>
      <c r="V13" s="64">
        <v>56000000</v>
      </c>
      <c r="W13" s="64" t="s">
        <v>188</v>
      </c>
      <c r="X13" s="64" t="s">
        <v>188</v>
      </c>
      <c r="Y13" s="64">
        <v>32500000</v>
      </c>
    </row>
    <row r="14" spans="1:25">
      <c r="A14" s="64">
        <v>1993</v>
      </c>
      <c r="B14" s="56">
        <v>23273</v>
      </c>
      <c r="C14" s="56">
        <v>32</v>
      </c>
      <c r="D14" s="56">
        <v>67.8</v>
      </c>
      <c r="E14" s="56" t="s">
        <v>188</v>
      </c>
      <c r="F14" s="56" t="s">
        <v>188</v>
      </c>
      <c r="G14" s="56">
        <v>30.5</v>
      </c>
      <c r="H14" s="56">
        <f t="shared" si="0"/>
        <v>26622.866579083369</v>
      </c>
      <c r="I14" s="56" t="s">
        <v>22</v>
      </c>
      <c r="J14" s="56">
        <f t="shared" si="1"/>
        <v>29.785199250069816</v>
      </c>
      <c r="K14" s="56">
        <f>K18*(W14/W18)</f>
        <v>253.2617896139331</v>
      </c>
      <c r="L14" s="56" t="s">
        <v>22</v>
      </c>
      <c r="M14" s="56" t="s">
        <v>22</v>
      </c>
      <c r="N14" s="56" t="s">
        <v>22</v>
      </c>
      <c r="U14" s="64">
        <v>24653700000</v>
      </c>
      <c r="V14" s="64">
        <v>53000000</v>
      </c>
      <c r="W14" s="64">
        <v>81900000</v>
      </c>
      <c r="X14" s="64" t="s">
        <v>188</v>
      </c>
      <c r="Y14" s="64">
        <v>30700000</v>
      </c>
    </row>
    <row r="15" spans="1:25">
      <c r="A15" s="64">
        <v>1994</v>
      </c>
      <c r="B15" s="56">
        <v>24251.1</v>
      </c>
      <c r="C15" s="56">
        <v>31</v>
      </c>
      <c r="D15" s="56" t="s">
        <v>188</v>
      </c>
      <c r="E15" s="56" t="s">
        <v>188</v>
      </c>
      <c r="F15" s="56" t="s">
        <v>188</v>
      </c>
      <c r="G15" s="56" t="s">
        <v>188</v>
      </c>
      <c r="H15" s="56">
        <f t="shared" si="0"/>
        <v>27318.520807464731</v>
      </c>
      <c r="I15" s="56" t="s">
        <v>22</v>
      </c>
      <c r="J15" s="56">
        <f t="shared" si="1"/>
        <v>31.955780571937254</v>
      </c>
      <c r="K15" s="56" t="s">
        <v>188</v>
      </c>
      <c r="L15" s="56" t="s">
        <v>22</v>
      </c>
      <c r="M15" s="56" t="s">
        <v>22</v>
      </c>
      <c r="N15" s="56" t="s">
        <v>22</v>
      </c>
      <c r="U15" s="64">
        <v>25297900000</v>
      </c>
      <c r="V15" s="64">
        <v>49400000</v>
      </c>
      <c r="W15" s="64" t="s">
        <v>188</v>
      </c>
      <c r="X15" s="64" t="s">
        <v>188</v>
      </c>
      <c r="Y15" s="64" t="s">
        <v>188</v>
      </c>
    </row>
    <row r="16" spans="1:25">
      <c r="A16" s="64">
        <v>1995</v>
      </c>
      <c r="B16" s="56">
        <v>25184.6</v>
      </c>
      <c r="C16" s="56">
        <v>44.7</v>
      </c>
      <c r="D16" s="56" t="s">
        <v>188</v>
      </c>
      <c r="E16" s="56" t="s">
        <v>188</v>
      </c>
      <c r="F16" s="56" t="s">
        <v>188</v>
      </c>
      <c r="G16" s="56">
        <v>58.3</v>
      </c>
      <c r="H16" s="56">
        <f t="shared" si="0"/>
        <v>27588.381086372683</v>
      </c>
      <c r="I16" s="56" t="s">
        <v>22</v>
      </c>
      <c r="J16" s="56">
        <f t="shared" si="1"/>
        <v>25.217500962519171</v>
      </c>
      <c r="K16" s="56" t="s">
        <v>188</v>
      </c>
      <c r="L16" s="56" t="s">
        <v>22</v>
      </c>
      <c r="M16" s="56" t="s">
        <v>22</v>
      </c>
      <c r="N16" s="56" t="s">
        <v>22</v>
      </c>
      <c r="U16" s="64">
        <v>25547800000</v>
      </c>
      <c r="V16" s="64">
        <v>62600000</v>
      </c>
      <c r="W16" s="64" t="s">
        <v>188</v>
      </c>
      <c r="X16" s="64" t="s">
        <v>188</v>
      </c>
      <c r="Y16" s="64">
        <v>51800000</v>
      </c>
    </row>
    <row r="17" spans="1:25">
      <c r="A17" s="64">
        <v>1996</v>
      </c>
      <c r="B17" s="56">
        <v>26351.4</v>
      </c>
      <c r="C17" s="56">
        <v>37.700000000000003</v>
      </c>
      <c r="D17" s="56" t="s">
        <v>188</v>
      </c>
      <c r="E17" s="56" t="s">
        <v>188</v>
      </c>
      <c r="F17" s="56" t="s">
        <v>188</v>
      </c>
      <c r="G17" s="56" t="s">
        <v>188</v>
      </c>
      <c r="H17" s="56">
        <f t="shared" si="0"/>
        <v>28528.086627411889</v>
      </c>
      <c r="I17" s="56" t="s">
        <v>22</v>
      </c>
      <c r="J17" s="56">
        <f t="shared" si="1"/>
        <v>24.249086947061446</v>
      </c>
      <c r="K17" s="56" t="s">
        <v>188</v>
      </c>
      <c r="L17" s="56" t="s">
        <v>22</v>
      </c>
      <c r="M17" s="56" t="s">
        <v>22</v>
      </c>
      <c r="N17" s="56" t="s">
        <v>22</v>
      </c>
      <c r="U17" s="64">
        <v>26418000000</v>
      </c>
      <c r="V17" s="64">
        <v>65100000</v>
      </c>
      <c r="W17" s="64" t="s">
        <v>188</v>
      </c>
      <c r="X17" s="64" t="s">
        <v>188</v>
      </c>
      <c r="Y17" s="64" t="s">
        <v>188</v>
      </c>
    </row>
    <row r="18" spans="1:25">
      <c r="A18" s="64">
        <v>1997</v>
      </c>
      <c r="B18" s="56">
        <v>27478.6</v>
      </c>
      <c r="C18" s="56">
        <v>48.1</v>
      </c>
      <c r="D18" s="56">
        <v>122.3</v>
      </c>
      <c r="E18" s="56" t="s">
        <v>188</v>
      </c>
      <c r="F18" s="56" t="s">
        <v>188</v>
      </c>
      <c r="G18" s="56" t="s">
        <v>188</v>
      </c>
      <c r="H18" s="56">
        <f t="shared" si="0"/>
        <v>29673.400000000012</v>
      </c>
      <c r="I18" s="56" t="s">
        <v>22</v>
      </c>
      <c r="J18" s="56">
        <f t="shared" si="1"/>
        <v>32.819450317124748</v>
      </c>
      <c r="K18" s="56">
        <f t="shared" si="1"/>
        <v>378.19190317196603</v>
      </c>
      <c r="L18" s="56" t="s">
        <v>22</v>
      </c>
      <c r="M18" s="56" t="s">
        <v>188</v>
      </c>
      <c r="N18" s="56" t="s">
        <v>188</v>
      </c>
      <c r="P18" s="32">
        <v>29673.4</v>
      </c>
      <c r="Q18" s="32">
        <v>47.3</v>
      </c>
      <c r="R18" s="32">
        <v>136.80000000000001</v>
      </c>
      <c r="S18" s="32" t="s">
        <v>188</v>
      </c>
      <c r="T18" s="32" t="s">
        <v>188</v>
      </c>
      <c r="U18" s="64">
        <v>27478600000</v>
      </c>
      <c r="V18" s="64">
        <v>48100000</v>
      </c>
      <c r="W18" s="64">
        <v>122300000</v>
      </c>
      <c r="X18" s="64" t="s">
        <v>188</v>
      </c>
      <c r="Y18" s="64" t="s">
        <v>188</v>
      </c>
    </row>
    <row r="19" spans="1:25">
      <c r="A19" s="64">
        <v>1998</v>
      </c>
      <c r="B19" s="56">
        <v>28616.9</v>
      </c>
      <c r="C19" s="56">
        <v>27</v>
      </c>
      <c r="D19" s="56">
        <v>169.5</v>
      </c>
      <c r="E19" s="56" t="s">
        <v>188</v>
      </c>
      <c r="F19" s="56" t="s">
        <v>188</v>
      </c>
      <c r="G19" s="56" t="s">
        <v>188</v>
      </c>
      <c r="H19" s="56">
        <f t="shared" si="0"/>
        <v>30951.600000000013</v>
      </c>
      <c r="I19" s="56" t="s">
        <v>22</v>
      </c>
      <c r="J19" s="56">
        <f t="shared" si="1"/>
        <v>63.104065040650418</v>
      </c>
      <c r="K19" s="56">
        <f t="shared" si="1"/>
        <v>281.02472761501878</v>
      </c>
      <c r="L19" s="56" t="s">
        <v>22</v>
      </c>
      <c r="M19" s="56" t="s">
        <v>188</v>
      </c>
      <c r="N19" s="56" t="s">
        <v>188</v>
      </c>
      <c r="P19" s="32">
        <v>30951.599999999999</v>
      </c>
      <c r="Q19" s="32">
        <v>24.6</v>
      </c>
      <c r="R19" s="32">
        <v>184.1</v>
      </c>
      <c r="S19" s="32" t="s">
        <v>188</v>
      </c>
      <c r="T19" s="32" t="s">
        <v>188</v>
      </c>
      <c r="U19" s="64">
        <v>28700800000</v>
      </c>
      <c r="V19" s="64">
        <v>25000000</v>
      </c>
      <c r="W19" s="64">
        <v>161900000</v>
      </c>
      <c r="X19" s="64" t="s">
        <v>188</v>
      </c>
      <c r="Y19" s="64" t="s">
        <v>188</v>
      </c>
    </row>
    <row r="20" spans="1:25">
      <c r="A20" s="64">
        <v>1999</v>
      </c>
      <c r="B20" s="56">
        <v>29691.599999999999</v>
      </c>
      <c r="C20" s="56">
        <v>50.5</v>
      </c>
      <c r="D20" s="56">
        <v>286.3</v>
      </c>
      <c r="E20" s="56" t="s">
        <v>188</v>
      </c>
      <c r="F20" s="56" t="s">
        <v>188</v>
      </c>
      <c r="G20" s="56" t="s">
        <v>188</v>
      </c>
      <c r="H20" s="56">
        <f t="shared" si="0"/>
        <v>31383.000000000015</v>
      </c>
      <c r="I20" s="56" t="s">
        <v>22</v>
      </c>
      <c r="J20" s="56">
        <f t="shared" si="1"/>
        <v>29.345179584120988</v>
      </c>
      <c r="K20" s="56">
        <f t="shared" si="1"/>
        <v>217.38089224338216</v>
      </c>
      <c r="L20" s="56" t="s">
        <v>22</v>
      </c>
      <c r="M20" s="56" t="s">
        <v>188</v>
      </c>
      <c r="N20" s="56" t="s">
        <v>188</v>
      </c>
      <c r="P20" s="32">
        <v>31383</v>
      </c>
      <c r="Q20" s="32">
        <v>52.9</v>
      </c>
      <c r="R20" s="32">
        <v>238</v>
      </c>
      <c r="S20" s="32" t="s">
        <v>188</v>
      </c>
      <c r="T20" s="32" t="s">
        <v>188</v>
      </c>
    </row>
    <row r="21" spans="1:25">
      <c r="A21" s="64">
        <v>2000</v>
      </c>
      <c r="B21" s="56">
        <v>31574.7</v>
      </c>
      <c r="C21" s="56">
        <v>56.5</v>
      </c>
      <c r="D21" s="56">
        <v>268.5</v>
      </c>
      <c r="E21" s="56" t="s">
        <v>188</v>
      </c>
      <c r="F21" s="56" t="s">
        <v>188</v>
      </c>
      <c r="G21" s="56" t="s">
        <v>188</v>
      </c>
      <c r="H21" s="56">
        <f t="shared" si="0"/>
        <v>32796.100000000013</v>
      </c>
      <c r="I21" s="56" t="s">
        <v>22</v>
      </c>
      <c r="J21" s="56">
        <f t="shared" ref="J21:K26" si="2">J22/(1/R51)</f>
        <v>26.311186440677968</v>
      </c>
      <c r="K21" s="56">
        <f t="shared" si="2"/>
        <v>214.23044452970996</v>
      </c>
      <c r="L21" s="56" t="s">
        <v>22</v>
      </c>
      <c r="M21" s="56" t="s">
        <v>188</v>
      </c>
      <c r="N21" s="56" t="s">
        <v>188</v>
      </c>
      <c r="P21" s="32">
        <v>32796.1</v>
      </c>
      <c r="Q21" s="32">
        <v>59</v>
      </c>
      <c r="R21" s="32">
        <v>241.5</v>
      </c>
      <c r="S21" s="32" t="s">
        <v>188</v>
      </c>
      <c r="T21" s="32" t="s">
        <v>188</v>
      </c>
    </row>
    <row r="22" spans="1:25">
      <c r="A22" s="64">
        <v>2001</v>
      </c>
      <c r="B22" s="56">
        <v>32528</v>
      </c>
      <c r="C22" s="56">
        <v>57.4</v>
      </c>
      <c r="D22" s="56">
        <v>233.4</v>
      </c>
      <c r="E22" s="56" t="s">
        <v>188</v>
      </c>
      <c r="F22" s="56" t="s">
        <v>188</v>
      </c>
      <c r="G22" s="56" t="s">
        <v>188</v>
      </c>
      <c r="H22" s="56">
        <f t="shared" si="0"/>
        <v>33047.400000000016</v>
      </c>
      <c r="I22" s="56" t="s">
        <v>22</v>
      </c>
      <c r="J22" s="56">
        <f t="shared" si="2"/>
        <v>25.743946932006637</v>
      </c>
      <c r="K22" s="56">
        <f t="shared" si="2"/>
        <v>232.52428024235934</v>
      </c>
      <c r="L22" s="56" t="s">
        <v>22</v>
      </c>
      <c r="M22" s="56" t="s">
        <v>188</v>
      </c>
      <c r="N22" s="56" t="s">
        <v>188</v>
      </c>
      <c r="P22" s="32">
        <v>33047.4</v>
      </c>
      <c r="Q22" s="32">
        <v>60.3</v>
      </c>
      <c r="R22" s="32">
        <v>222.5</v>
      </c>
      <c r="S22" s="32" t="s">
        <v>188</v>
      </c>
      <c r="T22" s="32" t="s">
        <v>188</v>
      </c>
    </row>
    <row r="23" spans="1:25">
      <c r="A23" s="64">
        <v>2002</v>
      </c>
      <c r="B23" s="56">
        <v>33614.400000000001</v>
      </c>
      <c r="C23" s="56">
        <v>66.3</v>
      </c>
      <c r="D23" s="56">
        <v>228.9</v>
      </c>
      <c r="E23" s="56" t="s">
        <v>188</v>
      </c>
      <c r="F23" s="56" t="s">
        <v>188</v>
      </c>
      <c r="G23" s="56" t="s">
        <v>188</v>
      </c>
      <c r="H23" s="56">
        <f t="shared" si="0"/>
        <v>33614.400000000016</v>
      </c>
      <c r="I23" s="56" t="s">
        <v>22</v>
      </c>
      <c r="J23" s="56">
        <f t="shared" si="2"/>
        <v>23.414177978883863</v>
      </c>
      <c r="K23" s="56">
        <f t="shared" si="2"/>
        <v>226.02294606345544</v>
      </c>
      <c r="L23" s="56" t="s">
        <v>22</v>
      </c>
      <c r="M23" s="56" t="s">
        <v>188</v>
      </c>
      <c r="N23" s="56" t="s">
        <v>188</v>
      </c>
      <c r="P23" s="32">
        <v>33614.400000000001</v>
      </c>
      <c r="Q23" s="32">
        <v>66.3</v>
      </c>
      <c r="R23" s="32">
        <v>228.9</v>
      </c>
      <c r="S23" s="32" t="s">
        <v>188</v>
      </c>
      <c r="T23" s="32" t="s">
        <v>188</v>
      </c>
    </row>
    <row r="24" spans="1:25">
      <c r="A24" s="64">
        <v>2003</v>
      </c>
      <c r="B24" s="56">
        <v>34562.699999999997</v>
      </c>
      <c r="C24" s="56">
        <v>63.8</v>
      </c>
      <c r="D24" s="56">
        <v>303.8</v>
      </c>
      <c r="E24" s="56" t="s">
        <v>188</v>
      </c>
      <c r="F24" s="56" t="s">
        <v>188</v>
      </c>
      <c r="G24" s="56" t="s">
        <v>188</v>
      </c>
      <c r="H24" s="56">
        <f t="shared" si="0"/>
        <v>34030.600000000006</v>
      </c>
      <c r="I24" s="56" t="s">
        <v>22</v>
      </c>
      <c r="J24" s="56">
        <f t="shared" si="2"/>
        <v>24.48517350157729</v>
      </c>
      <c r="K24" s="56">
        <f t="shared" si="2"/>
        <v>182.10718885577239</v>
      </c>
      <c r="L24" s="56" t="s">
        <v>22</v>
      </c>
      <c r="M24" s="56" t="s">
        <v>188</v>
      </c>
      <c r="N24" s="56" t="s">
        <v>188</v>
      </c>
      <c r="P24" s="32">
        <v>34030.6</v>
      </c>
      <c r="Q24" s="32">
        <v>63.4</v>
      </c>
      <c r="R24" s="32">
        <v>284.10000000000002</v>
      </c>
      <c r="S24" s="32" t="s">
        <v>188</v>
      </c>
      <c r="T24" s="32" t="s">
        <v>188</v>
      </c>
    </row>
    <row r="25" spans="1:25">
      <c r="A25" s="64">
        <v>2004</v>
      </c>
      <c r="B25" s="56">
        <v>36855.199999999997</v>
      </c>
      <c r="C25" s="56">
        <v>72.599999999999994</v>
      </c>
      <c r="D25" s="56">
        <v>342.6</v>
      </c>
      <c r="E25" s="56" t="s">
        <v>188</v>
      </c>
      <c r="F25" s="56" t="s">
        <v>188</v>
      </c>
      <c r="G25" s="56" t="s">
        <v>188</v>
      </c>
      <c r="H25" s="56">
        <f t="shared" si="0"/>
        <v>34700.800000000003</v>
      </c>
      <c r="I25" s="56" t="s">
        <v>22</v>
      </c>
      <c r="J25" s="56">
        <f t="shared" si="2"/>
        <v>25.200649350649353</v>
      </c>
      <c r="K25" s="56">
        <f>K27*(R25/R27)</f>
        <v>178.71037082530205</v>
      </c>
      <c r="L25" s="56" t="s">
        <v>22</v>
      </c>
      <c r="M25" s="56" t="s">
        <v>188</v>
      </c>
      <c r="N25" s="56" t="s">
        <v>188</v>
      </c>
      <c r="P25" s="32">
        <v>34700.800000000003</v>
      </c>
      <c r="Q25" s="32">
        <v>61.6</v>
      </c>
      <c r="R25" s="32">
        <v>289.5</v>
      </c>
      <c r="S25" s="32" t="s">
        <v>188</v>
      </c>
      <c r="T25" s="32" t="s">
        <v>188</v>
      </c>
    </row>
    <row r="26" spans="1:25">
      <c r="A26" s="64">
        <v>2005</v>
      </c>
      <c r="B26" s="56">
        <v>38798.9</v>
      </c>
      <c r="C26" s="56">
        <v>70.2</v>
      </c>
      <c r="D26" s="56" t="s">
        <v>188</v>
      </c>
      <c r="E26" s="56" t="s">
        <v>22</v>
      </c>
      <c r="F26" s="56" t="s">
        <v>188</v>
      </c>
      <c r="G26" s="56" t="s">
        <v>188</v>
      </c>
      <c r="H26" s="56">
        <f t="shared" si="0"/>
        <v>35702.6</v>
      </c>
      <c r="I26" s="56" t="s">
        <v>22</v>
      </c>
      <c r="J26" s="56">
        <f t="shared" si="2"/>
        <v>27.426855123674912</v>
      </c>
      <c r="K26" s="56" t="s">
        <v>22</v>
      </c>
      <c r="L26" s="56" t="s">
        <v>22</v>
      </c>
      <c r="M26" s="56" t="s">
        <v>188</v>
      </c>
      <c r="N26" s="56" t="s">
        <v>188</v>
      </c>
      <c r="P26" s="32">
        <v>35702.6</v>
      </c>
      <c r="Q26" s="32">
        <v>56.6</v>
      </c>
      <c r="R26" s="32" t="s">
        <v>188</v>
      </c>
      <c r="S26" s="32" t="s">
        <v>188</v>
      </c>
      <c r="T26" s="32" t="s">
        <v>188</v>
      </c>
    </row>
    <row r="27" spans="1:25">
      <c r="A27" s="64">
        <v>2006</v>
      </c>
      <c r="B27" s="56">
        <v>42002.7</v>
      </c>
      <c r="C27" s="56">
        <v>49.5</v>
      </c>
      <c r="D27" s="56">
        <v>264</v>
      </c>
      <c r="E27" s="56" t="s">
        <v>22</v>
      </c>
      <c r="F27" s="56" t="s">
        <v>188</v>
      </c>
      <c r="G27" s="56" t="s">
        <v>188</v>
      </c>
      <c r="H27" s="56">
        <f>H28*(1/Q57)</f>
        <v>37005.699999999997</v>
      </c>
      <c r="I27" s="56" t="s">
        <v>22</v>
      </c>
      <c r="J27" s="56">
        <f>J28/(1/R57)</f>
        <v>32.273596673596671</v>
      </c>
      <c r="K27" s="56">
        <f>K28/(1/S57)</f>
        <v>173.40153079387682</v>
      </c>
      <c r="L27" s="56" t="s">
        <v>22</v>
      </c>
      <c r="M27" s="56" t="s">
        <v>188</v>
      </c>
      <c r="N27" s="56" t="s">
        <v>188</v>
      </c>
      <c r="P27" s="32">
        <v>37005.699999999997</v>
      </c>
      <c r="Q27" s="32">
        <v>48.1</v>
      </c>
      <c r="R27" s="32">
        <v>280.89999999999998</v>
      </c>
      <c r="S27" s="32" t="s">
        <v>188</v>
      </c>
      <c r="T27" s="32" t="s">
        <v>188</v>
      </c>
    </row>
    <row r="28" spans="1:25">
      <c r="A28" s="64">
        <v>2007</v>
      </c>
      <c r="B28" s="56">
        <v>45424.7</v>
      </c>
      <c r="C28" s="56">
        <v>47.6</v>
      </c>
      <c r="D28" s="56">
        <v>253.5</v>
      </c>
      <c r="E28" s="56" t="s">
        <v>22</v>
      </c>
      <c r="F28" s="56" t="s">
        <v>188</v>
      </c>
      <c r="G28" s="56" t="s">
        <v>188</v>
      </c>
      <c r="H28" s="56">
        <v>45810.7</v>
      </c>
      <c r="I28" s="56">
        <f>SUM(J28:L28)</f>
        <v>434.59999999999997</v>
      </c>
      <c r="J28" s="56">
        <v>39.4</v>
      </c>
      <c r="K28" s="56">
        <v>220.7</v>
      </c>
      <c r="L28" s="56">
        <v>174.5</v>
      </c>
      <c r="M28" s="56" t="s">
        <v>188</v>
      </c>
      <c r="N28" s="56" t="s">
        <v>188</v>
      </c>
      <c r="P28" s="32">
        <v>45810.7</v>
      </c>
      <c r="Q28" s="32">
        <v>39.4</v>
      </c>
      <c r="R28" s="32">
        <v>220.7</v>
      </c>
      <c r="S28" s="32" t="s">
        <v>188</v>
      </c>
      <c r="T28" s="32" t="s">
        <v>188</v>
      </c>
    </row>
    <row r="29" spans="1:25">
      <c r="A29" s="64">
        <v>2008</v>
      </c>
      <c r="B29" s="56">
        <v>48025.9</v>
      </c>
      <c r="C29" s="56">
        <v>37.1</v>
      </c>
      <c r="D29" s="56">
        <v>249</v>
      </c>
      <c r="E29" s="56"/>
      <c r="F29" s="56" t="s">
        <v>188</v>
      </c>
      <c r="G29" s="56" t="s">
        <v>188</v>
      </c>
      <c r="H29" s="56">
        <v>47620.7</v>
      </c>
      <c r="I29" s="56">
        <f>SUM(J29:L29)</f>
        <v>418.5</v>
      </c>
      <c r="J29" s="56">
        <v>34.799999999999997</v>
      </c>
      <c r="K29" s="56">
        <v>219.4</v>
      </c>
      <c r="L29" s="56">
        <v>164.3</v>
      </c>
      <c r="M29" s="56" t="s">
        <v>188</v>
      </c>
      <c r="N29" s="56" t="s">
        <v>188</v>
      </c>
      <c r="P29" s="32">
        <v>47620.7</v>
      </c>
      <c r="Q29" s="32">
        <v>34.799999999999997</v>
      </c>
      <c r="R29" s="32">
        <v>219.4</v>
      </c>
      <c r="S29" s="32" t="s">
        <v>188</v>
      </c>
      <c r="T29" s="32" t="s">
        <v>188</v>
      </c>
    </row>
    <row r="30" spans="1:25">
      <c r="A30" s="64">
        <v>2009</v>
      </c>
      <c r="B30" s="56" t="s">
        <v>22</v>
      </c>
      <c r="C30" s="56" t="s">
        <v>22</v>
      </c>
      <c r="D30" s="56" t="s">
        <v>22</v>
      </c>
      <c r="E30" s="56" t="s">
        <v>22</v>
      </c>
      <c r="F30" s="56" t="s">
        <v>22</v>
      </c>
      <c r="G30" s="56" t="s">
        <v>22</v>
      </c>
      <c r="H30" s="56">
        <v>47453.7</v>
      </c>
      <c r="I30" s="56" t="s">
        <v>22</v>
      </c>
      <c r="J30" s="56">
        <v>29.6</v>
      </c>
      <c r="K30" s="56">
        <v>162.19999999999999</v>
      </c>
      <c r="L30" s="56" t="s">
        <v>188</v>
      </c>
      <c r="M30" s="56" t="s">
        <v>188</v>
      </c>
      <c r="N30" s="56">
        <v>70.2</v>
      </c>
      <c r="P30" s="32">
        <v>47453.7</v>
      </c>
      <c r="Q30" s="32">
        <v>29.6</v>
      </c>
      <c r="R30" s="32">
        <v>162.19999999999999</v>
      </c>
      <c r="S30" s="32" t="s">
        <v>188</v>
      </c>
      <c r="T30" s="32">
        <v>70.2</v>
      </c>
    </row>
    <row r="31" spans="1:25">
      <c r="A31" s="64">
        <v>2010</v>
      </c>
      <c r="B31" s="56" t="s">
        <v>22</v>
      </c>
      <c r="C31" s="56" t="s">
        <v>22</v>
      </c>
      <c r="D31" s="56" t="s">
        <v>22</v>
      </c>
      <c r="E31" s="56" t="s">
        <v>22</v>
      </c>
      <c r="F31" s="56" t="s">
        <v>22</v>
      </c>
      <c r="G31" s="56" t="s">
        <v>22</v>
      </c>
      <c r="H31" s="56">
        <v>48689.2</v>
      </c>
      <c r="I31" s="56" t="s">
        <v>22</v>
      </c>
      <c r="J31" s="56">
        <v>27.6</v>
      </c>
      <c r="K31" s="56">
        <v>160.19999999999999</v>
      </c>
      <c r="L31" s="56" t="s">
        <v>188</v>
      </c>
      <c r="M31" s="56" t="s">
        <v>188</v>
      </c>
      <c r="N31" s="56" t="s">
        <v>188</v>
      </c>
      <c r="P31" s="32">
        <v>48689.2</v>
      </c>
      <c r="Q31" s="32">
        <v>27.6</v>
      </c>
      <c r="R31" s="32">
        <v>160.19999999999999</v>
      </c>
      <c r="S31" s="32" t="s">
        <v>188</v>
      </c>
      <c r="T31" s="32" t="s">
        <v>188</v>
      </c>
    </row>
    <row r="32" spans="1:25">
      <c r="A32" s="64">
        <v>2011</v>
      </c>
      <c r="B32" s="56" t="s">
        <v>22</v>
      </c>
      <c r="C32" s="56" t="s">
        <v>22</v>
      </c>
      <c r="D32" s="56" t="s">
        <v>22</v>
      </c>
      <c r="E32" s="56" t="s">
        <v>22</v>
      </c>
      <c r="F32" s="56" t="s">
        <v>22</v>
      </c>
      <c r="G32" s="56" t="s">
        <v>22</v>
      </c>
      <c r="H32" s="56">
        <v>49542.1</v>
      </c>
      <c r="I32" s="56" t="s">
        <v>22</v>
      </c>
      <c r="J32" s="56">
        <v>28.1</v>
      </c>
      <c r="K32" s="56">
        <v>154.6</v>
      </c>
      <c r="L32" s="56" t="s">
        <v>188</v>
      </c>
      <c r="M32" s="56" t="s">
        <v>188</v>
      </c>
      <c r="N32" s="56" t="s">
        <v>188</v>
      </c>
      <c r="P32" s="32">
        <v>49542.1</v>
      </c>
      <c r="Q32" s="32">
        <v>28.1</v>
      </c>
      <c r="R32" s="32">
        <v>154.6</v>
      </c>
      <c r="S32" s="32" t="s">
        <v>188</v>
      </c>
      <c r="T32" s="32" t="s">
        <v>188</v>
      </c>
    </row>
    <row r="34" spans="1:21" ht="21" customHeight="1">
      <c r="A34" s="66" t="s">
        <v>23</v>
      </c>
      <c r="P34" s="146" t="s">
        <v>1826</v>
      </c>
      <c r="Q34" s="117" t="s">
        <v>7</v>
      </c>
      <c r="R34" s="117" t="s">
        <v>192</v>
      </c>
      <c r="S34" s="117" t="s">
        <v>1</v>
      </c>
      <c r="T34" s="117" t="s">
        <v>13</v>
      </c>
      <c r="U34" s="117" t="s">
        <v>19</v>
      </c>
    </row>
    <row r="35" spans="1:21">
      <c r="A35" s="57" t="s">
        <v>2142</v>
      </c>
      <c r="B35" s="147" t="str">
        <f>IFERROR(((B32/B5)^(1/27)-1)*100,"n.a.")</f>
        <v>n.a.</v>
      </c>
      <c r="C35" s="147" t="str">
        <f t="shared" ref="C35:N35" si="3">IFERROR(((C32/C5)^(1/27)-1)*100,"n.a.")</f>
        <v>n.a.</v>
      </c>
      <c r="D35" s="147" t="str">
        <f t="shared" si="3"/>
        <v>n.a.</v>
      </c>
      <c r="E35" s="147" t="str">
        <f t="shared" si="3"/>
        <v>n.a.</v>
      </c>
      <c r="F35" s="147" t="str">
        <f t="shared" si="3"/>
        <v>n.a.</v>
      </c>
      <c r="G35" s="147" t="str">
        <f t="shared" si="3"/>
        <v>n.a.</v>
      </c>
      <c r="H35" s="147">
        <f t="shared" si="3"/>
        <v>2.7013443712840868</v>
      </c>
      <c r="I35" s="147" t="str">
        <f t="shared" si="3"/>
        <v>n.a.</v>
      </c>
      <c r="J35" s="147">
        <f t="shared" si="3"/>
        <v>1.2228793160779627</v>
      </c>
      <c r="K35" s="147" t="str">
        <f t="shared" si="3"/>
        <v>n.a.</v>
      </c>
      <c r="L35" s="147" t="str">
        <f t="shared" si="3"/>
        <v>n.a.</v>
      </c>
      <c r="M35" s="147" t="str">
        <f t="shared" si="3"/>
        <v>n.a.</v>
      </c>
      <c r="N35" s="147" t="str">
        <f t="shared" si="3"/>
        <v>n.a.</v>
      </c>
      <c r="P35" s="56" t="s">
        <v>1856</v>
      </c>
      <c r="Q35" s="64">
        <f>U6/U5</f>
        <v>1.0737932053308026</v>
      </c>
      <c r="R35" s="64">
        <f t="shared" ref="R35:U35" si="4">V6/V5</f>
        <v>0.96025641025641029</v>
      </c>
      <c r="S35" s="64" t="e">
        <f t="shared" si="4"/>
        <v>#VALUE!</v>
      </c>
      <c r="T35" s="64" t="e">
        <f t="shared" si="4"/>
        <v>#VALUE!</v>
      </c>
      <c r="U35" s="64" t="e">
        <f t="shared" si="4"/>
        <v>#VALUE!</v>
      </c>
    </row>
    <row r="36" spans="1:21">
      <c r="A36" s="57" t="s">
        <v>2141</v>
      </c>
      <c r="B36" s="147">
        <f>IFERROR(((B29/B5)^(1/24)-1)*100,"n.a.")</f>
        <v>4.5356845465529538</v>
      </c>
      <c r="C36" s="147">
        <f t="shared" ref="C36:N36" si="5">IFERROR(((C29/C5)^(1/24)-1)*100,"n.a.")</f>
        <v>1.7266985550050906</v>
      </c>
      <c r="D36" s="147" t="str">
        <f t="shared" si="5"/>
        <v>n.a.</v>
      </c>
      <c r="E36" s="147" t="str">
        <f t="shared" si="5"/>
        <v>n.a.</v>
      </c>
      <c r="F36" s="147" t="str">
        <f t="shared" si="5"/>
        <v>n.a.</v>
      </c>
      <c r="G36" s="147" t="str">
        <f t="shared" si="5"/>
        <v>n.a.</v>
      </c>
      <c r="H36" s="147">
        <f t="shared" si="5"/>
        <v>2.8744125252567754</v>
      </c>
      <c r="I36" s="147" t="str">
        <f t="shared" si="5"/>
        <v>n.a.</v>
      </c>
      <c r="J36" s="147">
        <f t="shared" si="5"/>
        <v>2.2841234706803437</v>
      </c>
      <c r="K36" s="147" t="str">
        <f t="shared" si="5"/>
        <v>n.a.</v>
      </c>
      <c r="L36" s="147" t="str">
        <f t="shared" si="5"/>
        <v>n.a.</v>
      </c>
      <c r="M36" s="147" t="str">
        <f t="shared" si="5"/>
        <v>n.a.</v>
      </c>
      <c r="N36" s="147" t="str">
        <f t="shared" si="5"/>
        <v>n.a.</v>
      </c>
      <c r="P36" s="56" t="s">
        <v>1857</v>
      </c>
      <c r="Q36" s="64">
        <f t="shared" ref="Q36:Q47" si="6">U7/U6</f>
        <v>1.0096054030392096</v>
      </c>
      <c r="R36" s="64">
        <f t="shared" ref="R36:R47" si="7">V7/V6</f>
        <v>0.86114819759679573</v>
      </c>
      <c r="S36" s="64" t="e">
        <f t="shared" ref="S36:S47" si="8">W7/W6</f>
        <v>#VALUE!</v>
      </c>
      <c r="T36" s="64" t="e">
        <f t="shared" ref="T36:T47" si="9">X7/X6</f>
        <v>#VALUE!</v>
      </c>
      <c r="U36" s="64" t="e">
        <f t="shared" ref="U36:U47" si="10">Y7/Y6</f>
        <v>#VALUE!</v>
      </c>
    </row>
    <row r="37" spans="1:21">
      <c r="A37" s="57" t="s">
        <v>682</v>
      </c>
      <c r="B37" s="147">
        <f>IFERROR(((B10/B5)^(1/5)-1)*100,"n.a.")</f>
        <v>6.2397940923477835</v>
      </c>
      <c r="C37" s="147">
        <f t="shared" ref="C37:N37" si="11">IFERROR(((C10/C5)^(1/5)-1)*100,"n.a.")</f>
        <v>1.8792481782990533</v>
      </c>
      <c r="D37" s="147" t="str">
        <f t="shared" si="11"/>
        <v>n.a.</v>
      </c>
      <c r="E37" s="147" t="str">
        <f t="shared" si="11"/>
        <v>n.a.</v>
      </c>
      <c r="F37" s="147" t="str">
        <f t="shared" si="11"/>
        <v>n.a.</v>
      </c>
      <c r="G37" s="147">
        <f t="shared" si="11"/>
        <v>3.1575629462617938</v>
      </c>
      <c r="H37" s="147">
        <f t="shared" si="11"/>
        <v>2.1143303428216464</v>
      </c>
      <c r="I37" s="147" t="str">
        <f t="shared" si="11"/>
        <v>n.a.</v>
      </c>
      <c r="J37" s="147">
        <f t="shared" si="11"/>
        <v>4.8341499615246253</v>
      </c>
      <c r="K37" s="147" t="str">
        <f t="shared" si="11"/>
        <v>n.a.</v>
      </c>
      <c r="L37" s="147" t="str">
        <f t="shared" si="11"/>
        <v>n.a.</v>
      </c>
      <c r="M37" s="147" t="str">
        <f t="shared" si="11"/>
        <v>n.a.</v>
      </c>
      <c r="N37" s="147" t="str">
        <f t="shared" si="11"/>
        <v>n.a.</v>
      </c>
      <c r="P37" s="56" t="s">
        <v>1858</v>
      </c>
      <c r="Q37" s="64">
        <f t="shared" si="6"/>
        <v>1.0152661983986391</v>
      </c>
      <c r="R37" s="64">
        <f t="shared" si="7"/>
        <v>1.4</v>
      </c>
      <c r="S37" s="64" t="e">
        <f t="shared" si="8"/>
        <v>#VALUE!</v>
      </c>
      <c r="T37" s="64" t="e">
        <f t="shared" si="9"/>
        <v>#VALUE!</v>
      </c>
      <c r="U37" s="64" t="e">
        <f t="shared" si="10"/>
        <v>#VALUE!</v>
      </c>
    </row>
    <row r="38" spans="1:21">
      <c r="A38" s="57" t="s">
        <v>26</v>
      </c>
      <c r="B38" s="147">
        <f>IFERROR(((B21/B10)^(1/11)-1)*100,"n.a.")</f>
        <v>3.1632947014308632</v>
      </c>
      <c r="C38" s="147">
        <f t="shared" ref="C38:N38" si="12">IFERROR(((C21/C10)^(1/11)-1)*100,"n.a.")</f>
        <v>6.9431945719413468</v>
      </c>
      <c r="D38" s="147" t="str">
        <f t="shared" si="12"/>
        <v>n.a.</v>
      </c>
      <c r="E38" s="147" t="str">
        <f t="shared" si="12"/>
        <v>n.a.</v>
      </c>
      <c r="F38" s="147" t="str">
        <f t="shared" si="12"/>
        <v>n.a.</v>
      </c>
      <c r="G38" s="147" t="str">
        <f t="shared" si="12"/>
        <v>n.a.</v>
      </c>
      <c r="H38" s="147">
        <f t="shared" si="12"/>
        <v>1.8584947686859143</v>
      </c>
      <c r="I38" s="147" t="str">
        <f t="shared" si="12"/>
        <v>n.a.</v>
      </c>
      <c r="J38" s="147">
        <f t="shared" si="12"/>
        <v>0.2398557859365047</v>
      </c>
      <c r="K38" s="147" t="str">
        <f t="shared" si="12"/>
        <v>n.a.</v>
      </c>
      <c r="L38" s="147" t="str">
        <f t="shared" si="12"/>
        <v>n.a.</v>
      </c>
      <c r="M38" s="147" t="str">
        <f t="shared" si="12"/>
        <v>n.a.</v>
      </c>
      <c r="N38" s="147" t="str">
        <f t="shared" si="12"/>
        <v>n.a.</v>
      </c>
      <c r="P38" s="56" t="s">
        <v>1861</v>
      </c>
      <c r="Q38" s="64">
        <f t="shared" si="6"/>
        <v>0.99931670096719349</v>
      </c>
      <c r="R38" s="64">
        <f t="shared" si="7"/>
        <v>0.93798449612403101</v>
      </c>
      <c r="S38" s="64" t="e">
        <f t="shared" si="8"/>
        <v>#VALUE!</v>
      </c>
      <c r="T38" s="64" t="e">
        <f t="shared" si="9"/>
        <v>#VALUE!</v>
      </c>
      <c r="U38" s="64">
        <f t="shared" si="10"/>
        <v>1.027027027027027</v>
      </c>
    </row>
    <row r="39" spans="1:21">
      <c r="A39" s="57" t="s">
        <v>2028</v>
      </c>
      <c r="B39" s="147" t="str">
        <f>IFERROR(((B32/B21)^(1/11)-1)*100,"n.a.")</f>
        <v>n.a.</v>
      </c>
      <c r="C39" s="147" t="str">
        <f t="shared" ref="C39:N39" si="13">IFERROR(((C32/C21)^(1/11)-1)*100,"n.a.")</f>
        <v>n.a.</v>
      </c>
      <c r="D39" s="147" t="str">
        <f t="shared" si="13"/>
        <v>n.a.</v>
      </c>
      <c r="E39" s="147" t="str">
        <f t="shared" si="13"/>
        <v>n.a.</v>
      </c>
      <c r="F39" s="147" t="str">
        <f t="shared" si="13"/>
        <v>n.a.</v>
      </c>
      <c r="G39" s="147" t="str">
        <f t="shared" si="13"/>
        <v>n.a.</v>
      </c>
      <c r="H39" s="147">
        <f t="shared" si="13"/>
        <v>3.8213243623044235</v>
      </c>
      <c r="I39" s="147" t="str">
        <f t="shared" si="13"/>
        <v>n.a.</v>
      </c>
      <c r="J39" s="147">
        <f t="shared" si="13"/>
        <v>0.5997494074005516</v>
      </c>
      <c r="K39" s="147">
        <f t="shared" si="13"/>
        <v>-2.9220147126221896</v>
      </c>
      <c r="L39" s="147" t="str">
        <f t="shared" si="13"/>
        <v>n.a.</v>
      </c>
      <c r="M39" s="147" t="str">
        <f t="shared" si="13"/>
        <v>n.a.</v>
      </c>
      <c r="N39" s="147" t="str">
        <f t="shared" si="13"/>
        <v>n.a.</v>
      </c>
      <c r="P39" s="56" t="s">
        <v>1859</v>
      </c>
      <c r="Q39" s="64">
        <f t="shared" si="6"/>
        <v>1.0094343462299245</v>
      </c>
      <c r="R39" s="64">
        <f t="shared" si="7"/>
        <v>0.72727272727272729</v>
      </c>
      <c r="S39" s="64" t="e">
        <f t="shared" si="8"/>
        <v>#VALUE!</v>
      </c>
      <c r="T39" s="64" t="e">
        <f t="shared" si="9"/>
        <v>#VALUE!</v>
      </c>
      <c r="U39" s="64">
        <f t="shared" si="10"/>
        <v>1.0289473684210526</v>
      </c>
    </row>
    <row r="40" spans="1:21">
      <c r="A40" s="57"/>
      <c r="B40" s="147"/>
      <c r="C40" s="147"/>
      <c r="D40" s="147"/>
      <c r="E40" s="56"/>
      <c r="F40" s="56"/>
      <c r="G40" s="56"/>
      <c r="H40" s="147"/>
      <c r="I40" s="56"/>
      <c r="J40" s="147"/>
      <c r="K40" s="147"/>
      <c r="L40" s="56"/>
      <c r="M40" s="56"/>
      <c r="N40" s="56"/>
      <c r="P40" s="56" t="s">
        <v>1860</v>
      </c>
      <c r="Q40" s="64">
        <f t="shared" si="6"/>
        <v>1.0232807560802528</v>
      </c>
      <c r="R40" s="64">
        <f t="shared" si="7"/>
        <v>1.1412337662337662</v>
      </c>
      <c r="S40" s="64" t="e">
        <f t="shared" si="8"/>
        <v>#VALUE!</v>
      </c>
      <c r="T40" s="64" t="e">
        <f t="shared" si="9"/>
        <v>#VALUE!</v>
      </c>
      <c r="U40" s="64">
        <f t="shared" si="10"/>
        <v>0.96419437340153458</v>
      </c>
    </row>
    <row r="41" spans="1:21">
      <c r="A41" s="64" t="s">
        <v>503</v>
      </c>
      <c r="P41" s="56" t="s">
        <v>1846</v>
      </c>
      <c r="Q41" s="64">
        <f t="shared" si="6"/>
        <v>0.9525828440836912</v>
      </c>
      <c r="R41" s="64">
        <f t="shared" si="7"/>
        <v>0.69985775248933146</v>
      </c>
      <c r="S41" s="64" t="e">
        <f t="shared" si="8"/>
        <v>#VALUE!</v>
      </c>
      <c r="T41" s="64" t="e">
        <f t="shared" si="9"/>
        <v>#VALUE!</v>
      </c>
      <c r="U41" s="64" t="e">
        <f t="shared" si="10"/>
        <v>#VALUE!</v>
      </c>
    </row>
    <row r="42" spans="1:21">
      <c r="A42" s="64" t="s">
        <v>193</v>
      </c>
      <c r="P42" s="56" t="s">
        <v>1847</v>
      </c>
      <c r="Q42" s="64">
        <f t="shared" si="6"/>
        <v>1.0166697000281275</v>
      </c>
      <c r="R42" s="64">
        <f t="shared" si="7"/>
        <v>1.1382113821138211</v>
      </c>
      <c r="S42" s="64" t="e">
        <f t="shared" si="8"/>
        <v>#VALUE!</v>
      </c>
      <c r="T42" s="64" t="e">
        <f t="shared" si="9"/>
        <v>#VALUE!</v>
      </c>
      <c r="U42" s="64" t="e">
        <f t="shared" si="10"/>
        <v>#VALUE!</v>
      </c>
    </row>
    <row r="43" spans="1:21">
      <c r="A43" s="104" t="s">
        <v>679</v>
      </c>
      <c r="B43" s="104"/>
      <c r="C43" s="104"/>
      <c r="D43" s="104"/>
      <c r="E43" s="104"/>
      <c r="F43" s="104"/>
      <c r="G43" s="104"/>
      <c r="H43" s="104"/>
      <c r="I43" s="104"/>
      <c r="J43" s="104"/>
      <c r="K43" s="104"/>
      <c r="L43" s="104"/>
      <c r="M43" s="104"/>
      <c r="N43" s="104"/>
      <c r="P43" s="56" t="s">
        <v>1848</v>
      </c>
      <c r="Q43" s="64">
        <f t="shared" si="6"/>
        <v>1.0030555035681445</v>
      </c>
      <c r="R43" s="64">
        <f t="shared" si="7"/>
        <v>0.9464285714285714</v>
      </c>
      <c r="S43" s="64" t="e">
        <f t="shared" si="8"/>
        <v>#VALUE!</v>
      </c>
      <c r="T43" s="64" t="e">
        <f t="shared" si="9"/>
        <v>#VALUE!</v>
      </c>
      <c r="U43" s="64">
        <f t="shared" si="10"/>
        <v>0.94461538461538463</v>
      </c>
    </row>
    <row r="44" spans="1:21" ht="30" customHeight="1">
      <c r="A44" s="104" t="s">
        <v>680</v>
      </c>
      <c r="B44" s="104"/>
      <c r="C44" s="104"/>
      <c r="D44" s="104"/>
      <c r="E44" s="104"/>
      <c r="F44" s="104"/>
      <c r="G44" s="104"/>
      <c r="H44" s="104"/>
      <c r="I44" s="104"/>
      <c r="J44" s="104"/>
      <c r="K44" s="104"/>
      <c r="L44" s="104"/>
      <c r="M44" s="104"/>
      <c r="N44" s="104"/>
      <c r="P44" s="56" t="s">
        <v>1849</v>
      </c>
      <c r="Q44" s="64">
        <f t="shared" si="6"/>
        <v>1.02612995209644</v>
      </c>
      <c r="R44" s="64">
        <f t="shared" si="7"/>
        <v>0.93207547169811322</v>
      </c>
      <c r="S44" s="64" t="e">
        <f t="shared" si="8"/>
        <v>#VALUE!</v>
      </c>
      <c r="T44" s="64" t="e">
        <f t="shared" si="9"/>
        <v>#VALUE!</v>
      </c>
      <c r="U44" s="64" t="e">
        <f t="shared" si="10"/>
        <v>#VALUE!</v>
      </c>
    </row>
    <row r="45" spans="1:21" ht="30" customHeight="1">
      <c r="A45" s="104" t="s">
        <v>681</v>
      </c>
      <c r="B45" s="104"/>
      <c r="C45" s="104"/>
      <c r="D45" s="104"/>
      <c r="E45" s="104"/>
      <c r="F45" s="104"/>
      <c r="G45" s="104"/>
      <c r="H45" s="104"/>
      <c r="I45" s="104"/>
      <c r="J45" s="104"/>
      <c r="K45" s="104"/>
      <c r="L45" s="104"/>
      <c r="M45" s="104"/>
      <c r="N45" s="104"/>
      <c r="P45" s="56" t="s">
        <v>1850</v>
      </c>
      <c r="Q45" s="64">
        <f t="shared" si="6"/>
        <v>1.0098782902928702</v>
      </c>
      <c r="R45" s="64">
        <f t="shared" si="7"/>
        <v>1.2672064777327936</v>
      </c>
      <c r="S45" s="64" t="e">
        <f t="shared" si="8"/>
        <v>#VALUE!</v>
      </c>
      <c r="T45" s="64" t="e">
        <f t="shared" si="9"/>
        <v>#VALUE!</v>
      </c>
      <c r="U45" s="64" t="e">
        <f t="shared" si="10"/>
        <v>#VALUE!</v>
      </c>
    </row>
    <row r="46" spans="1:21" ht="30" customHeight="1">
      <c r="A46" s="104" t="s">
        <v>851</v>
      </c>
      <c r="B46" s="104"/>
      <c r="C46" s="104"/>
      <c r="D46" s="104"/>
      <c r="E46" s="104"/>
      <c r="F46" s="104"/>
      <c r="G46" s="104"/>
      <c r="H46" s="104"/>
      <c r="I46" s="104"/>
      <c r="J46" s="104"/>
      <c r="K46" s="104"/>
      <c r="L46" s="104"/>
      <c r="M46" s="104"/>
      <c r="N46" s="104"/>
      <c r="P46" s="56" t="s">
        <v>1851</v>
      </c>
      <c r="Q46" s="64">
        <f t="shared" si="6"/>
        <v>1.0340616413154948</v>
      </c>
      <c r="R46" s="64">
        <f t="shared" si="7"/>
        <v>1.0399361022364217</v>
      </c>
      <c r="S46" s="64" t="e">
        <f t="shared" si="8"/>
        <v>#VALUE!</v>
      </c>
      <c r="T46" s="64" t="e">
        <f t="shared" si="9"/>
        <v>#VALUE!</v>
      </c>
      <c r="U46" s="64" t="e">
        <f t="shared" si="10"/>
        <v>#VALUE!</v>
      </c>
    </row>
    <row r="47" spans="1:21">
      <c r="P47" s="56" t="s">
        <v>1852</v>
      </c>
      <c r="Q47" s="64">
        <f t="shared" si="6"/>
        <v>1.0401468695586342</v>
      </c>
      <c r="R47" s="64">
        <f t="shared" si="7"/>
        <v>0.73886328725038397</v>
      </c>
      <c r="S47" s="64" t="e">
        <f t="shared" si="8"/>
        <v>#VALUE!</v>
      </c>
      <c r="T47" s="64" t="e">
        <f t="shared" si="9"/>
        <v>#VALUE!</v>
      </c>
      <c r="U47" s="64" t="e">
        <f t="shared" si="10"/>
        <v>#VALUE!</v>
      </c>
    </row>
    <row r="48" spans="1:21">
      <c r="P48" s="56" t="s">
        <v>1837</v>
      </c>
      <c r="Q48" s="64">
        <f>P19/P18</f>
        <v>1.0430756165454582</v>
      </c>
      <c r="R48" s="64">
        <f>Q19/Q18</f>
        <v>0.52008456659619462</v>
      </c>
      <c r="S48" s="64">
        <f>R19/R18</f>
        <v>1.3457602339181285</v>
      </c>
      <c r="T48" s="64" t="e">
        <f>S19/S18</f>
        <v>#VALUE!</v>
      </c>
      <c r="U48" s="64" t="e">
        <f>T19/T18</f>
        <v>#VALUE!</v>
      </c>
    </row>
    <row r="49" spans="1:21">
      <c r="A49" s="104"/>
      <c r="B49" s="104"/>
      <c r="C49" s="104"/>
      <c r="D49" s="104"/>
      <c r="E49" s="104"/>
      <c r="F49" s="104"/>
      <c r="G49" s="104"/>
      <c r="H49" s="104"/>
      <c r="I49" s="104"/>
      <c r="J49" s="104"/>
      <c r="K49" s="104"/>
      <c r="L49" s="104"/>
      <c r="M49" s="104"/>
      <c r="N49" s="104"/>
      <c r="P49" s="56" t="s">
        <v>1827</v>
      </c>
      <c r="Q49" s="64">
        <f t="shared" ref="Q49:U59" si="14">P20/P19</f>
        <v>1.0139378901252278</v>
      </c>
      <c r="R49" s="64">
        <f t="shared" si="14"/>
        <v>2.1504065040650406</v>
      </c>
      <c r="S49" s="64">
        <f t="shared" si="14"/>
        <v>1.2927756653992395</v>
      </c>
      <c r="T49" s="64" t="e">
        <f t="shared" si="14"/>
        <v>#VALUE!</v>
      </c>
      <c r="U49" s="64" t="e">
        <f t="shared" si="14"/>
        <v>#VALUE!</v>
      </c>
    </row>
    <row r="50" spans="1:21" ht="30" customHeight="1">
      <c r="A50" s="104"/>
      <c r="B50" s="104"/>
      <c r="C50" s="104"/>
      <c r="D50" s="104"/>
      <c r="E50" s="104"/>
      <c r="F50" s="104"/>
      <c r="G50" s="104"/>
      <c r="H50" s="104"/>
      <c r="I50" s="104"/>
      <c r="J50" s="104"/>
      <c r="K50" s="104"/>
      <c r="L50" s="104"/>
      <c r="M50" s="104"/>
      <c r="N50" s="104"/>
      <c r="P50" s="56" t="s">
        <v>1828</v>
      </c>
      <c r="Q50" s="64">
        <f t="shared" si="14"/>
        <v>1.0450275626931778</v>
      </c>
      <c r="R50" s="64">
        <f t="shared" si="14"/>
        <v>1.1153119092627599</v>
      </c>
      <c r="S50" s="64">
        <f t="shared" si="14"/>
        <v>1.0147058823529411</v>
      </c>
      <c r="T50" s="64" t="e">
        <f t="shared" si="14"/>
        <v>#VALUE!</v>
      </c>
      <c r="U50" s="64" t="e">
        <f t="shared" si="14"/>
        <v>#VALUE!</v>
      </c>
    </row>
    <row r="51" spans="1:21" ht="30" customHeight="1">
      <c r="A51" s="104"/>
      <c r="B51" s="104"/>
      <c r="C51" s="104"/>
      <c r="D51" s="104"/>
      <c r="E51" s="104"/>
      <c r="F51" s="104"/>
      <c r="G51" s="104"/>
      <c r="H51" s="104"/>
      <c r="I51" s="104"/>
      <c r="J51" s="104"/>
      <c r="K51" s="104"/>
      <c r="L51" s="104"/>
      <c r="M51" s="104"/>
      <c r="N51" s="104"/>
      <c r="P51" s="148" t="s">
        <v>1829</v>
      </c>
      <c r="Q51" s="64">
        <f t="shared" si="14"/>
        <v>1.0076624964553713</v>
      </c>
      <c r="R51" s="64">
        <f t="shared" si="14"/>
        <v>1.0220338983050847</v>
      </c>
      <c r="S51" s="64">
        <f t="shared" si="14"/>
        <v>0.92132505175983437</v>
      </c>
      <c r="T51" s="64" t="e">
        <f t="shared" si="14"/>
        <v>#VALUE!</v>
      </c>
      <c r="U51" s="64" t="e">
        <f t="shared" si="14"/>
        <v>#VALUE!</v>
      </c>
    </row>
    <row r="52" spans="1:21" ht="30" customHeight="1">
      <c r="A52" s="104"/>
      <c r="B52" s="104"/>
      <c r="C52" s="104"/>
      <c r="D52" s="104"/>
      <c r="E52" s="104"/>
      <c r="F52" s="104"/>
      <c r="G52" s="104"/>
      <c r="H52" s="104"/>
      <c r="I52" s="104"/>
      <c r="J52" s="104"/>
      <c r="K52" s="104"/>
      <c r="L52" s="104"/>
      <c r="M52" s="104"/>
      <c r="N52" s="104"/>
      <c r="P52" s="148" t="s">
        <v>1830</v>
      </c>
      <c r="Q52" s="64">
        <f t="shared" si="14"/>
        <v>1.0171571742406362</v>
      </c>
      <c r="R52" s="64">
        <f t="shared" si="14"/>
        <v>1.099502487562189</v>
      </c>
      <c r="S52" s="64">
        <f t="shared" si="14"/>
        <v>1.0287640449438202</v>
      </c>
      <c r="T52" s="64" t="e">
        <f t="shared" si="14"/>
        <v>#VALUE!</v>
      </c>
      <c r="U52" s="64" t="e">
        <f t="shared" si="14"/>
        <v>#VALUE!</v>
      </c>
    </row>
    <row r="53" spans="1:21">
      <c r="P53" s="148" t="s">
        <v>1831</v>
      </c>
      <c r="Q53" s="64">
        <f t="shared" si="14"/>
        <v>1.0123815983626063</v>
      </c>
      <c r="R53" s="64">
        <f t="shared" si="14"/>
        <v>0.95625942684766219</v>
      </c>
      <c r="S53" s="64">
        <f t="shared" si="14"/>
        <v>1.2411533420707734</v>
      </c>
      <c r="T53" s="64" t="e">
        <f t="shared" si="14"/>
        <v>#VALUE!</v>
      </c>
      <c r="U53" s="64" t="e">
        <f t="shared" si="14"/>
        <v>#VALUE!</v>
      </c>
    </row>
    <row r="54" spans="1:21">
      <c r="P54" s="148" t="s">
        <v>1832</v>
      </c>
      <c r="Q54" s="64">
        <f t="shared" si="14"/>
        <v>1.0196940400698196</v>
      </c>
      <c r="R54" s="64">
        <f t="shared" si="14"/>
        <v>0.97160883280757104</v>
      </c>
      <c r="S54" s="64">
        <f t="shared" si="14"/>
        <v>1.0190073917634634</v>
      </c>
      <c r="T54" s="64" t="e">
        <f t="shared" si="14"/>
        <v>#VALUE!</v>
      </c>
      <c r="U54" s="64" t="e">
        <f t="shared" si="14"/>
        <v>#VALUE!</v>
      </c>
    </row>
    <row r="55" spans="1:21">
      <c r="P55" s="148" t="s">
        <v>1833</v>
      </c>
      <c r="Q55" s="64">
        <f t="shared" si="14"/>
        <v>1.0288696514201401</v>
      </c>
      <c r="R55" s="64">
        <f t="shared" si="14"/>
        <v>0.91883116883116889</v>
      </c>
      <c r="S55" s="64" t="e">
        <f t="shared" si="14"/>
        <v>#VALUE!</v>
      </c>
      <c r="T55" s="64" t="e">
        <f t="shared" si="14"/>
        <v>#VALUE!</v>
      </c>
      <c r="U55" s="64" t="e">
        <f t="shared" si="14"/>
        <v>#VALUE!</v>
      </c>
    </row>
    <row r="56" spans="1:21">
      <c r="P56" s="148" t="s">
        <v>1834</v>
      </c>
      <c r="Q56" s="64">
        <f t="shared" si="14"/>
        <v>1.0364987423885095</v>
      </c>
      <c r="R56" s="64">
        <f t="shared" si="14"/>
        <v>0.84982332155477036</v>
      </c>
      <c r="S56" s="64" t="e">
        <f t="shared" si="14"/>
        <v>#VALUE!</v>
      </c>
      <c r="T56" s="64" t="e">
        <f t="shared" si="14"/>
        <v>#VALUE!</v>
      </c>
      <c r="U56" s="64" t="e">
        <f t="shared" si="14"/>
        <v>#VALUE!</v>
      </c>
    </row>
    <row r="57" spans="1:21">
      <c r="P57" s="148" t="s">
        <v>1839</v>
      </c>
      <c r="Q57" s="64">
        <f t="shared" si="14"/>
        <v>1.2379363179185909</v>
      </c>
      <c r="R57" s="64">
        <f t="shared" si="14"/>
        <v>0.81912681912681906</v>
      </c>
      <c r="S57" s="64">
        <f t="shared" si="14"/>
        <v>0.78568885724457105</v>
      </c>
      <c r="T57" s="64" t="e">
        <f t="shared" si="14"/>
        <v>#VALUE!</v>
      </c>
      <c r="U57" s="64" t="e">
        <f t="shared" si="14"/>
        <v>#VALUE!</v>
      </c>
    </row>
    <row r="58" spans="1:21">
      <c r="P58" s="148" t="s">
        <v>1835</v>
      </c>
      <c r="Q58" s="64">
        <f t="shared" si="14"/>
        <v>1.0395104200547034</v>
      </c>
      <c r="R58" s="64">
        <f t="shared" si="14"/>
        <v>0.88324873096446699</v>
      </c>
      <c r="S58" s="64">
        <f t="shared" si="14"/>
        <v>0.9941096511101043</v>
      </c>
      <c r="T58" s="64" t="e">
        <f t="shared" si="14"/>
        <v>#VALUE!</v>
      </c>
      <c r="U58" s="64" t="e">
        <f t="shared" si="14"/>
        <v>#VALUE!</v>
      </c>
    </row>
    <row r="59" spans="1:21">
      <c r="P59" s="148" t="s">
        <v>1836</v>
      </c>
      <c r="Q59" s="64">
        <f>P30/P29</f>
        <v>0.99649312168867743</v>
      </c>
      <c r="R59" s="64">
        <f t="shared" si="14"/>
        <v>0.85057471264367823</v>
      </c>
      <c r="S59" s="64">
        <f t="shared" si="14"/>
        <v>0.73928896991795801</v>
      </c>
      <c r="T59" s="64" t="e">
        <f t="shared" si="14"/>
        <v>#VALUE!</v>
      </c>
      <c r="U59" s="64" t="e">
        <f t="shared" si="14"/>
        <v>#VALUE!</v>
      </c>
    </row>
  </sheetData>
  <mergeCells count="10">
    <mergeCell ref="A52:N52"/>
    <mergeCell ref="B2:G2"/>
    <mergeCell ref="H2:N2"/>
    <mergeCell ref="A49:N49"/>
    <mergeCell ref="A50:N50"/>
    <mergeCell ref="A51:N51"/>
    <mergeCell ref="A43:N43"/>
    <mergeCell ref="A44:N44"/>
    <mergeCell ref="A45:N45"/>
    <mergeCell ref="A46:N46"/>
  </mergeCells>
  <pageMargins left="0.7" right="0.7" top="0.75" bottom="0.75" header="0.3" footer="0.3"/>
  <pageSetup scale="63" orientation="landscape" horizontalDpi="0" verticalDpi="0" r:id="rId1"/>
</worksheet>
</file>

<file path=xl/worksheets/sheet167.xml><?xml version="1.0" encoding="utf-8"?>
<worksheet xmlns="http://schemas.openxmlformats.org/spreadsheetml/2006/main" xmlns:r="http://schemas.openxmlformats.org/officeDocument/2006/relationships">
  <sheetPr codeName="Sheet161"/>
  <dimension ref="A1:Z59"/>
  <sheetViews>
    <sheetView view="pageBreakPre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2.140625" style="64" customWidth="1"/>
    <col min="2" max="8" width="14.28515625" style="64" customWidth="1"/>
    <col min="9" max="9" width="12" style="64" customWidth="1"/>
    <col min="10" max="14" width="14.28515625" style="64" customWidth="1"/>
    <col min="15" max="15" width="9.140625" style="64"/>
    <col min="16" max="16" width="12" style="64" hidden="1" customWidth="1" outlineLevel="1"/>
    <col min="17" max="17" width="9.140625" style="64" hidden="1" customWidth="1" outlineLevel="1"/>
    <col min="18" max="18" width="10" style="64" hidden="1" customWidth="1" outlineLevel="1"/>
    <col min="19" max="25" width="9.140625" style="64" hidden="1" customWidth="1" outlineLevel="1"/>
    <col min="26" max="26" width="9.140625" style="64" collapsed="1"/>
    <col min="27" max="16384" width="9.140625" style="64"/>
  </cols>
  <sheetData>
    <row r="1" spans="1:25">
      <c r="A1" s="66" t="s">
        <v>2091</v>
      </c>
    </row>
    <row r="2" spans="1:25">
      <c r="B2" s="107" t="s">
        <v>206</v>
      </c>
      <c r="C2" s="107"/>
      <c r="D2" s="107"/>
      <c r="E2" s="107"/>
      <c r="F2" s="107"/>
      <c r="G2" s="107"/>
      <c r="H2" s="107" t="s">
        <v>2106</v>
      </c>
      <c r="I2" s="107"/>
      <c r="J2" s="107"/>
      <c r="K2" s="107"/>
      <c r="L2" s="107"/>
      <c r="M2" s="107"/>
      <c r="N2" s="107"/>
    </row>
    <row r="3" spans="1:25" ht="60">
      <c r="B3" s="73" t="s">
        <v>7</v>
      </c>
      <c r="C3" s="73" t="s">
        <v>0</v>
      </c>
      <c r="D3" s="73" t="s">
        <v>1</v>
      </c>
      <c r="E3" s="73" t="s">
        <v>678</v>
      </c>
      <c r="F3" s="73" t="s">
        <v>13</v>
      </c>
      <c r="G3" s="73" t="s">
        <v>19</v>
      </c>
      <c r="H3" s="73" t="s">
        <v>7</v>
      </c>
      <c r="I3" s="73" t="s">
        <v>37</v>
      </c>
      <c r="J3" s="73" t="s">
        <v>0</v>
      </c>
      <c r="K3" s="73" t="s">
        <v>1</v>
      </c>
      <c r="L3" s="73" t="s">
        <v>678</v>
      </c>
      <c r="M3" s="73" t="s">
        <v>13</v>
      </c>
      <c r="N3" s="73" t="s">
        <v>19</v>
      </c>
      <c r="P3" s="64" t="s">
        <v>316</v>
      </c>
      <c r="Q3" s="64" t="s">
        <v>317</v>
      </c>
      <c r="R3" s="64" t="s">
        <v>318</v>
      </c>
      <c r="S3" s="64" t="s">
        <v>319</v>
      </c>
      <c r="T3" s="64" t="s">
        <v>320</v>
      </c>
      <c r="U3" s="64" t="s">
        <v>311</v>
      </c>
      <c r="V3" s="64" t="s">
        <v>312</v>
      </c>
      <c r="W3" s="64" t="s">
        <v>313</v>
      </c>
      <c r="X3" s="64" t="s">
        <v>314</v>
      </c>
      <c r="Y3" s="64" t="s">
        <v>315</v>
      </c>
    </row>
    <row r="4" spans="1:25" hidden="1" outlineLevel="1">
      <c r="P4" s="64" t="s">
        <v>326</v>
      </c>
      <c r="Q4" s="64" t="s">
        <v>327</v>
      </c>
      <c r="R4" s="64" t="s">
        <v>328</v>
      </c>
      <c r="S4" s="64" t="s">
        <v>329</v>
      </c>
      <c r="T4" s="64" t="s">
        <v>330</v>
      </c>
      <c r="U4" s="64" t="s">
        <v>321</v>
      </c>
      <c r="V4" s="64" t="s">
        <v>322</v>
      </c>
      <c r="W4" s="64" t="s">
        <v>323</v>
      </c>
      <c r="X4" s="64" t="s">
        <v>324</v>
      </c>
      <c r="Y4" s="64" t="s">
        <v>325</v>
      </c>
    </row>
    <row r="5" spans="1:25" collapsed="1">
      <c r="A5" s="64">
        <v>1984</v>
      </c>
      <c r="B5" s="56">
        <v>17615</v>
      </c>
      <c r="C5" s="56">
        <v>29.6</v>
      </c>
      <c r="D5" s="56">
        <v>33.5</v>
      </c>
      <c r="E5" s="57" t="s">
        <v>188</v>
      </c>
      <c r="F5" s="57" t="s">
        <v>188</v>
      </c>
      <c r="G5" s="56">
        <v>8</v>
      </c>
      <c r="H5" s="56">
        <f t="shared" ref="H5:H26" si="0">H6*(1/Q35)</f>
        <v>23499.250517701439</v>
      </c>
      <c r="I5" s="56" t="s">
        <v>22</v>
      </c>
      <c r="J5" s="56">
        <f t="shared" ref="J5:K20" si="1">J6/(1/R35)</f>
        <v>28.067708279071393</v>
      </c>
      <c r="K5" s="56">
        <f t="shared" si="1"/>
        <v>86.437976848947926</v>
      </c>
      <c r="L5" s="56" t="s">
        <v>22</v>
      </c>
      <c r="M5" s="56" t="s">
        <v>188</v>
      </c>
      <c r="N5" s="56" t="s">
        <v>22</v>
      </c>
      <c r="U5" s="64">
        <v>20266600000</v>
      </c>
      <c r="V5" s="64">
        <v>71100000</v>
      </c>
      <c r="W5" s="64">
        <v>92300000</v>
      </c>
      <c r="X5" s="64" t="s">
        <v>188</v>
      </c>
      <c r="Y5" s="64">
        <v>15000000</v>
      </c>
    </row>
    <row r="6" spans="1:25">
      <c r="A6" s="64">
        <v>1985</v>
      </c>
      <c r="B6" s="56">
        <v>19046.900000000001</v>
      </c>
      <c r="C6" s="56">
        <v>32.700000000000003</v>
      </c>
      <c r="D6" s="56">
        <v>42</v>
      </c>
      <c r="E6" s="57" t="s">
        <v>188</v>
      </c>
      <c r="F6" s="57" t="s">
        <v>188</v>
      </c>
      <c r="G6" s="56">
        <v>8</v>
      </c>
      <c r="H6" s="56">
        <f t="shared" si="0"/>
        <v>24389.171608182125</v>
      </c>
      <c r="I6" s="56" t="s">
        <v>22</v>
      </c>
      <c r="J6" s="56">
        <f t="shared" si="1"/>
        <v>26.25807971897337</v>
      </c>
      <c r="K6" s="56">
        <f t="shared" si="1"/>
        <v>73.127637609146589</v>
      </c>
      <c r="L6" s="56" t="s">
        <v>22</v>
      </c>
      <c r="M6" s="56" t="s">
        <v>188</v>
      </c>
      <c r="N6" s="56" t="s">
        <v>22</v>
      </c>
      <c r="U6" s="64">
        <v>21034100000</v>
      </c>
      <c r="V6" s="64">
        <v>76000000</v>
      </c>
      <c r="W6" s="64">
        <v>109100000</v>
      </c>
      <c r="X6" s="64" t="s">
        <v>188</v>
      </c>
      <c r="Y6" s="64">
        <v>14500000</v>
      </c>
    </row>
    <row r="7" spans="1:25">
      <c r="A7" s="64">
        <v>1986</v>
      </c>
      <c r="B7" s="56">
        <v>19160.2</v>
      </c>
      <c r="C7" s="56">
        <v>41.8</v>
      </c>
      <c r="D7" s="56">
        <v>46.1</v>
      </c>
      <c r="E7" s="57" t="s">
        <v>188</v>
      </c>
      <c r="F7" s="57" t="s">
        <v>188</v>
      </c>
      <c r="G7" s="56">
        <v>8.6</v>
      </c>
      <c r="H7" s="56">
        <f t="shared" si="0"/>
        <v>26106.400448575478</v>
      </c>
      <c r="I7" s="56" t="s">
        <v>22</v>
      </c>
      <c r="J7" s="56">
        <f t="shared" si="1"/>
        <v>22.148879674161776</v>
      </c>
      <c r="K7" s="56">
        <f t="shared" si="1"/>
        <v>80.751267845727654</v>
      </c>
      <c r="L7" s="56" t="s">
        <v>22</v>
      </c>
      <c r="M7" s="56" t="s">
        <v>188</v>
      </c>
      <c r="N7" s="56" t="s">
        <v>22</v>
      </c>
      <c r="U7" s="64">
        <v>22515100000</v>
      </c>
      <c r="V7" s="64">
        <v>90100000</v>
      </c>
      <c r="W7" s="64">
        <v>98800000</v>
      </c>
      <c r="X7" s="64" t="s">
        <v>188</v>
      </c>
      <c r="Y7" s="64">
        <v>15900000</v>
      </c>
    </row>
    <row r="8" spans="1:25">
      <c r="A8" s="64">
        <v>1987</v>
      </c>
      <c r="B8" s="56">
        <v>19040.7</v>
      </c>
      <c r="C8" s="56">
        <v>48</v>
      </c>
      <c r="D8" s="56">
        <v>50.2</v>
      </c>
      <c r="E8" s="57" t="s">
        <v>188</v>
      </c>
      <c r="F8" s="57" t="s">
        <v>188</v>
      </c>
      <c r="G8" s="56">
        <v>8.3000000000000007</v>
      </c>
      <c r="H8" s="56">
        <f t="shared" si="0"/>
        <v>25623.466071786934</v>
      </c>
      <c r="I8" s="56" t="s">
        <v>22</v>
      </c>
      <c r="J8" s="56">
        <f t="shared" si="1"/>
        <v>20.573340810742021</v>
      </c>
      <c r="K8" s="56">
        <f t="shared" si="1"/>
        <v>74.772495437281094</v>
      </c>
      <c r="L8" s="56" t="s">
        <v>22</v>
      </c>
      <c r="M8" s="56" t="s">
        <v>188</v>
      </c>
      <c r="N8" s="56" t="s">
        <v>22</v>
      </c>
      <c r="U8" s="64">
        <v>22098600000</v>
      </c>
      <c r="V8" s="64">
        <v>97000000</v>
      </c>
      <c r="W8" s="64">
        <v>106700000</v>
      </c>
      <c r="X8" s="64" t="s">
        <v>188</v>
      </c>
      <c r="Y8" s="64">
        <v>14300000</v>
      </c>
    </row>
    <row r="9" spans="1:25">
      <c r="A9" s="64">
        <v>1988</v>
      </c>
      <c r="B9" s="56">
        <v>19416.099999999999</v>
      </c>
      <c r="C9" s="56">
        <v>44.6</v>
      </c>
      <c r="D9" s="56">
        <v>50.9</v>
      </c>
      <c r="E9" s="57" t="s">
        <v>188</v>
      </c>
      <c r="F9" s="57" t="s">
        <v>188</v>
      </c>
      <c r="G9" s="56">
        <v>6.8</v>
      </c>
      <c r="H9" s="56">
        <f t="shared" si="0"/>
        <v>24186.489905750826</v>
      </c>
      <c r="I9" s="56" t="s">
        <v>22</v>
      </c>
      <c r="J9" s="56">
        <f t="shared" si="1"/>
        <v>25.716676013427527</v>
      </c>
      <c r="K9" s="56">
        <f t="shared" si="1"/>
        <v>62.281227659312208</v>
      </c>
      <c r="L9" s="56" t="s">
        <v>22</v>
      </c>
      <c r="M9" s="56" t="s">
        <v>188</v>
      </c>
      <c r="N9" s="56" t="s">
        <v>22</v>
      </c>
      <c r="U9" s="64">
        <v>20859300000</v>
      </c>
      <c r="V9" s="64">
        <v>77600000</v>
      </c>
      <c r="W9" s="64">
        <v>128100000</v>
      </c>
      <c r="X9" s="64" t="s">
        <v>188</v>
      </c>
      <c r="Y9" s="64">
        <v>11400000</v>
      </c>
    </row>
    <row r="10" spans="1:25">
      <c r="A10" s="64">
        <v>1989</v>
      </c>
      <c r="B10" s="56">
        <v>20077.3</v>
      </c>
      <c r="C10" s="56">
        <v>44.8</v>
      </c>
      <c r="D10" s="56">
        <v>57.2</v>
      </c>
      <c r="E10" s="57" t="s">
        <v>188</v>
      </c>
      <c r="F10" s="57" t="s">
        <v>188</v>
      </c>
      <c r="G10" s="56">
        <v>6.2</v>
      </c>
      <c r="H10" s="56">
        <f t="shared" si="0"/>
        <v>25121.979594089349</v>
      </c>
      <c r="I10" s="56" t="s">
        <v>22</v>
      </c>
      <c r="J10" s="56">
        <f t="shared" si="1"/>
        <v>27.004249778646496</v>
      </c>
      <c r="K10" s="56">
        <f t="shared" si="1"/>
        <v>59.627991503422223</v>
      </c>
      <c r="L10" s="56" t="s">
        <v>22</v>
      </c>
      <c r="M10" s="56" t="s">
        <v>188</v>
      </c>
      <c r="N10" s="56" t="s">
        <v>22</v>
      </c>
      <c r="U10" s="64">
        <v>21666100000</v>
      </c>
      <c r="V10" s="64">
        <v>73900000</v>
      </c>
      <c r="W10" s="64">
        <v>133800000</v>
      </c>
      <c r="X10" s="64" t="s">
        <v>188</v>
      </c>
      <c r="Y10" s="64">
        <v>9700000</v>
      </c>
    </row>
    <row r="11" spans="1:25">
      <c r="A11" s="64">
        <v>1990</v>
      </c>
      <c r="B11" s="56">
        <v>21488.799999999999</v>
      </c>
      <c r="C11" s="56">
        <v>37.700000000000003</v>
      </c>
      <c r="D11" s="56">
        <v>37</v>
      </c>
      <c r="E11" s="57" t="s">
        <v>188</v>
      </c>
      <c r="F11" s="57" t="s">
        <v>188</v>
      </c>
      <c r="G11" s="56">
        <v>6.2</v>
      </c>
      <c r="H11" s="56">
        <f t="shared" si="0"/>
        <v>26836.193718084975</v>
      </c>
      <c r="I11" s="56" t="s">
        <v>22</v>
      </c>
      <c r="J11" s="56">
        <f t="shared" si="1"/>
        <v>31.777293927419997</v>
      </c>
      <c r="K11" s="56">
        <f t="shared" si="1"/>
        <v>85.328612440191378</v>
      </c>
      <c r="L11" s="56" t="s">
        <v>22</v>
      </c>
      <c r="M11" s="56" t="s">
        <v>188</v>
      </c>
      <c r="N11" s="56" t="s">
        <v>22</v>
      </c>
      <c r="U11" s="64">
        <v>23144500000</v>
      </c>
      <c r="V11" s="64">
        <v>62800000</v>
      </c>
      <c r="W11" s="64">
        <v>93500000</v>
      </c>
      <c r="X11" s="64" t="s">
        <v>188</v>
      </c>
      <c r="Y11" s="64">
        <v>9000000</v>
      </c>
    </row>
    <row r="12" spans="1:25">
      <c r="A12" s="64">
        <v>1991</v>
      </c>
      <c r="B12" s="56">
        <v>20871.8</v>
      </c>
      <c r="C12" s="56">
        <v>26.2</v>
      </c>
      <c r="D12" s="56">
        <v>33.700000000000003</v>
      </c>
      <c r="E12" s="57" t="s">
        <v>188</v>
      </c>
      <c r="F12" s="57" t="s">
        <v>188</v>
      </c>
      <c r="G12" s="56">
        <v>6</v>
      </c>
      <c r="H12" s="56">
        <f t="shared" si="0"/>
        <v>26899.618713067768</v>
      </c>
      <c r="I12" s="56" t="s">
        <v>22</v>
      </c>
      <c r="J12" s="56">
        <f t="shared" si="1"/>
        <v>47.401759112636</v>
      </c>
      <c r="K12" s="56">
        <f t="shared" si="1"/>
        <v>102.28493927125504</v>
      </c>
      <c r="L12" s="56" t="s">
        <v>22</v>
      </c>
      <c r="M12" s="56" t="s">
        <v>188</v>
      </c>
      <c r="N12" s="56" t="s">
        <v>22</v>
      </c>
      <c r="U12" s="64">
        <v>23199200000</v>
      </c>
      <c r="V12" s="64">
        <v>42100000</v>
      </c>
      <c r="W12" s="64">
        <v>78000000</v>
      </c>
      <c r="X12" s="64" t="s">
        <v>188</v>
      </c>
      <c r="Y12" s="64">
        <v>7400000</v>
      </c>
    </row>
    <row r="13" spans="1:25">
      <c r="A13" s="64">
        <v>1992</v>
      </c>
      <c r="B13" s="56">
        <v>20662.099999999999</v>
      </c>
      <c r="C13" s="56">
        <v>36.5</v>
      </c>
      <c r="D13" s="56">
        <v>50.3</v>
      </c>
      <c r="E13" s="57" t="s">
        <v>188</v>
      </c>
      <c r="F13" s="57" t="s">
        <v>188</v>
      </c>
      <c r="G13" s="56">
        <v>4.4000000000000004</v>
      </c>
      <c r="H13" s="56">
        <f t="shared" si="0"/>
        <v>25777.216608070634</v>
      </c>
      <c r="I13" s="56" t="s">
        <v>22</v>
      </c>
      <c r="J13" s="56">
        <f t="shared" si="1"/>
        <v>38.230154380114477</v>
      </c>
      <c r="K13" s="56">
        <f t="shared" si="1"/>
        <v>78.525839204309975</v>
      </c>
      <c r="L13" s="56" t="s">
        <v>22</v>
      </c>
      <c r="M13" s="56" t="s">
        <v>188</v>
      </c>
      <c r="N13" s="56" t="s">
        <v>22</v>
      </c>
      <c r="U13" s="64">
        <v>22231200000</v>
      </c>
      <c r="V13" s="64">
        <v>52200000</v>
      </c>
      <c r="W13" s="64">
        <v>101600000</v>
      </c>
      <c r="X13" s="64" t="s">
        <v>188</v>
      </c>
      <c r="Y13" s="64">
        <v>4800000</v>
      </c>
    </row>
    <row r="14" spans="1:25">
      <c r="A14" s="64">
        <v>1993</v>
      </c>
      <c r="B14" s="56">
        <v>21430.2</v>
      </c>
      <c r="C14" s="56">
        <v>43.6</v>
      </c>
      <c r="D14" s="56">
        <v>81.099999999999994</v>
      </c>
      <c r="E14" s="57" t="s">
        <v>188</v>
      </c>
      <c r="F14" s="57" t="s">
        <v>188</v>
      </c>
      <c r="G14" s="56">
        <v>5.4</v>
      </c>
      <c r="H14" s="56">
        <f t="shared" si="0"/>
        <v>27096.155032072951</v>
      </c>
      <c r="I14" s="56" t="s">
        <v>22</v>
      </c>
      <c r="J14" s="56">
        <f t="shared" si="1"/>
        <v>39.129687424352461</v>
      </c>
      <c r="K14" s="56">
        <f t="shared" si="1"/>
        <v>71.940714726401197</v>
      </c>
      <c r="L14" s="56" t="s">
        <v>22</v>
      </c>
      <c r="M14" s="56" t="s">
        <v>188</v>
      </c>
      <c r="N14" s="56" t="s">
        <v>22</v>
      </c>
      <c r="U14" s="64">
        <v>23368700000</v>
      </c>
      <c r="V14" s="64">
        <v>51000000</v>
      </c>
      <c r="W14" s="64">
        <v>110900000</v>
      </c>
      <c r="X14" s="64" t="s">
        <v>188</v>
      </c>
      <c r="Y14" s="64">
        <v>5900000</v>
      </c>
    </row>
    <row r="15" spans="1:25">
      <c r="A15" s="64">
        <v>1994</v>
      </c>
      <c r="B15" s="56">
        <v>23324.9</v>
      </c>
      <c r="C15" s="56">
        <v>73.3</v>
      </c>
      <c r="D15" s="56">
        <v>117.3</v>
      </c>
      <c r="E15" s="57" t="s">
        <v>188</v>
      </c>
      <c r="F15" s="57" t="s">
        <v>188</v>
      </c>
      <c r="G15" s="56">
        <v>7.7</v>
      </c>
      <c r="H15" s="56">
        <f t="shared" si="0"/>
        <v>28510.868677018203</v>
      </c>
      <c r="I15" s="56" t="s">
        <v>22</v>
      </c>
      <c r="J15" s="56">
        <f t="shared" si="1"/>
        <v>23.286045024993882</v>
      </c>
      <c r="K15" s="56">
        <f t="shared" si="1"/>
        <v>64.392455715560075</v>
      </c>
      <c r="L15" s="56" t="s">
        <v>22</v>
      </c>
      <c r="M15" s="56" t="s">
        <v>188</v>
      </c>
      <c r="N15" s="56" t="s">
        <v>22</v>
      </c>
      <c r="U15" s="64">
        <v>24588800000</v>
      </c>
      <c r="V15" s="64">
        <v>85700000</v>
      </c>
      <c r="W15" s="64">
        <v>123900000</v>
      </c>
      <c r="X15" s="64" t="s">
        <v>188</v>
      </c>
      <c r="Y15" s="64">
        <v>8100000</v>
      </c>
    </row>
    <row r="16" spans="1:25">
      <c r="A16" s="64">
        <v>1995</v>
      </c>
      <c r="B16" s="56">
        <v>24878.9</v>
      </c>
      <c r="C16" s="56">
        <v>73.2</v>
      </c>
      <c r="D16" s="56">
        <v>104.6</v>
      </c>
      <c r="E16" s="57" t="s">
        <v>188</v>
      </c>
      <c r="F16" s="57" t="s">
        <v>188</v>
      </c>
      <c r="G16" s="56">
        <v>9</v>
      </c>
      <c r="H16" s="56">
        <f t="shared" si="0"/>
        <v>28542.52319919426</v>
      </c>
      <c r="I16" s="56" t="s">
        <v>22</v>
      </c>
      <c r="J16" s="56">
        <f t="shared" si="1"/>
        <v>26.750858694932649</v>
      </c>
      <c r="K16" s="56">
        <f t="shared" si="1"/>
        <v>63.571516041098754</v>
      </c>
      <c r="L16" s="56" t="s">
        <v>22</v>
      </c>
      <c r="M16" s="56" t="s">
        <v>188</v>
      </c>
      <c r="N16" s="56" t="s">
        <v>22</v>
      </c>
      <c r="U16" s="64">
        <v>24616100000</v>
      </c>
      <c r="V16" s="64">
        <v>74600000</v>
      </c>
      <c r="W16" s="64">
        <v>125500000</v>
      </c>
      <c r="X16" s="64" t="s">
        <v>188</v>
      </c>
      <c r="Y16" s="64">
        <v>9100000</v>
      </c>
    </row>
    <row r="17" spans="1:25">
      <c r="A17" s="64">
        <v>1996</v>
      </c>
      <c r="B17" s="56">
        <v>27181.9</v>
      </c>
      <c r="C17" s="56">
        <v>86.7</v>
      </c>
      <c r="D17" s="56">
        <v>116.4</v>
      </c>
      <c r="E17" s="57" t="s">
        <v>188</v>
      </c>
      <c r="F17" s="57" t="s">
        <v>188</v>
      </c>
      <c r="G17" s="56">
        <v>12.6</v>
      </c>
      <c r="H17" s="56">
        <f t="shared" si="0"/>
        <v>29575.875219827991</v>
      </c>
      <c r="I17" s="56" t="s">
        <v>22</v>
      </c>
      <c r="J17" s="56">
        <f t="shared" si="1"/>
        <v>21.857766250185932</v>
      </c>
      <c r="K17" s="56">
        <f t="shared" si="1"/>
        <v>69.375871853546911</v>
      </c>
      <c r="L17" s="56" t="s">
        <v>22</v>
      </c>
      <c r="M17" s="56" t="s">
        <v>188</v>
      </c>
      <c r="N17" s="56" t="s">
        <v>22</v>
      </c>
      <c r="U17" s="64">
        <v>25507300000</v>
      </c>
      <c r="V17" s="64">
        <v>91300000</v>
      </c>
      <c r="W17" s="64">
        <v>115000000</v>
      </c>
      <c r="X17" s="64" t="s">
        <v>188</v>
      </c>
      <c r="Y17" s="64">
        <v>11700000</v>
      </c>
    </row>
    <row r="18" spans="1:25">
      <c r="A18" s="64">
        <v>1997</v>
      </c>
      <c r="B18" s="56">
        <v>26907.4</v>
      </c>
      <c r="C18" s="56">
        <v>67.099999999999994</v>
      </c>
      <c r="D18" s="56">
        <v>145.69999999999999</v>
      </c>
      <c r="E18" s="57" t="s">
        <v>188</v>
      </c>
      <c r="F18" s="57" t="s">
        <v>188</v>
      </c>
      <c r="G18" s="57" t="s">
        <v>188</v>
      </c>
      <c r="H18" s="56">
        <f t="shared" si="0"/>
        <v>31199.299999999988</v>
      </c>
      <c r="I18" s="56" t="s">
        <v>22</v>
      </c>
      <c r="J18" s="56">
        <f t="shared" si="1"/>
        <v>29.740895061728398</v>
      </c>
      <c r="K18" s="56">
        <f t="shared" si="1"/>
        <v>54.757894736842097</v>
      </c>
      <c r="L18" s="56" t="s">
        <v>22</v>
      </c>
      <c r="M18" s="56" t="s">
        <v>188</v>
      </c>
      <c r="N18" s="56" t="s">
        <v>22</v>
      </c>
      <c r="P18" s="32">
        <v>31199.3</v>
      </c>
      <c r="Q18" s="32">
        <v>64.8</v>
      </c>
      <c r="R18" s="32">
        <v>153.9</v>
      </c>
      <c r="S18" s="32" t="s">
        <v>188</v>
      </c>
      <c r="T18" s="32" t="s">
        <v>188</v>
      </c>
      <c r="U18" s="64">
        <v>26907400000</v>
      </c>
      <c r="V18" s="64">
        <v>67100000</v>
      </c>
      <c r="W18" s="64">
        <v>145700000</v>
      </c>
      <c r="X18" s="64" t="s">
        <v>188</v>
      </c>
      <c r="Y18" s="64" t="s">
        <v>188</v>
      </c>
    </row>
    <row r="19" spans="1:25">
      <c r="A19" s="64">
        <v>1998</v>
      </c>
      <c r="B19" s="56">
        <v>27408.9</v>
      </c>
      <c r="C19" s="56">
        <v>105.6</v>
      </c>
      <c r="D19" s="56">
        <v>131.19999999999999</v>
      </c>
      <c r="E19" s="57" t="s">
        <v>188</v>
      </c>
      <c r="F19" s="57" t="s">
        <v>188</v>
      </c>
      <c r="G19" s="57" t="s">
        <v>188</v>
      </c>
      <c r="H19" s="56">
        <f t="shared" si="0"/>
        <v>32398.499999999989</v>
      </c>
      <c r="I19" s="56" t="s">
        <v>22</v>
      </c>
      <c r="J19" s="56">
        <f t="shared" si="1"/>
        <v>20.502234042553194</v>
      </c>
      <c r="K19" s="56">
        <f t="shared" si="1"/>
        <v>61.557633308984641</v>
      </c>
      <c r="L19" s="56" t="s">
        <v>22</v>
      </c>
      <c r="M19" s="56" t="s">
        <v>188</v>
      </c>
      <c r="N19" s="56" t="s">
        <v>22</v>
      </c>
      <c r="P19" s="32">
        <v>32398.5</v>
      </c>
      <c r="Q19" s="32">
        <v>94</v>
      </c>
      <c r="R19" s="32">
        <v>136.9</v>
      </c>
      <c r="S19" s="32" t="s">
        <v>188</v>
      </c>
      <c r="T19" s="32" t="s">
        <v>188</v>
      </c>
      <c r="U19" s="64">
        <v>28082000000</v>
      </c>
      <c r="V19" s="64">
        <v>97200000</v>
      </c>
      <c r="W19" s="64">
        <v>133100000</v>
      </c>
      <c r="X19" s="64" t="s">
        <v>188</v>
      </c>
      <c r="Y19" s="64" t="s">
        <v>188</v>
      </c>
    </row>
    <row r="20" spans="1:25">
      <c r="A20" s="64">
        <v>1999</v>
      </c>
      <c r="B20" s="56">
        <v>28746.7</v>
      </c>
      <c r="C20" s="56">
        <v>107.9</v>
      </c>
      <c r="D20" s="56">
        <v>156.4</v>
      </c>
      <c r="E20" s="57" t="s">
        <v>188</v>
      </c>
      <c r="F20" s="57" t="s">
        <v>188</v>
      </c>
      <c r="G20" s="57" t="s">
        <v>188</v>
      </c>
      <c r="H20" s="56">
        <f t="shared" si="0"/>
        <v>32722.099999999991</v>
      </c>
      <c r="I20" s="56" t="s">
        <v>22</v>
      </c>
      <c r="J20" s="56">
        <f t="shared" si="1"/>
        <v>14.951202482544609</v>
      </c>
      <c r="K20" s="56">
        <f t="shared" si="1"/>
        <v>67.042482100238644</v>
      </c>
      <c r="L20" s="56" t="s">
        <v>22</v>
      </c>
      <c r="M20" s="56" t="s">
        <v>188</v>
      </c>
      <c r="N20" s="56" t="s">
        <v>22</v>
      </c>
      <c r="P20" s="32">
        <v>32722.1</v>
      </c>
      <c r="Q20" s="32">
        <v>128.9</v>
      </c>
      <c r="R20" s="32">
        <v>125.7</v>
      </c>
      <c r="S20" s="32" t="s">
        <v>188</v>
      </c>
      <c r="T20" s="32" t="s">
        <v>188</v>
      </c>
    </row>
    <row r="21" spans="1:25">
      <c r="A21" s="64">
        <v>2000</v>
      </c>
      <c r="B21" s="56">
        <v>31940.6</v>
      </c>
      <c r="C21" s="56">
        <v>88.4</v>
      </c>
      <c r="D21" s="56">
        <v>139.5</v>
      </c>
      <c r="E21" s="57" t="s">
        <v>188</v>
      </c>
      <c r="F21" s="57" t="s">
        <v>188</v>
      </c>
      <c r="G21" s="57" t="s">
        <v>188</v>
      </c>
      <c r="H21" s="56">
        <f t="shared" si="0"/>
        <v>33499.399999999994</v>
      </c>
      <c r="I21" s="56" t="s">
        <v>22</v>
      </c>
      <c r="J21" s="56">
        <f t="shared" ref="J21:K26" si="2">J22/(1/R51)</f>
        <v>19.888648090815277</v>
      </c>
      <c r="K21" s="56">
        <f t="shared" si="2"/>
        <v>60.410322580645136</v>
      </c>
      <c r="L21" s="56" t="s">
        <v>22</v>
      </c>
      <c r="M21" s="56" t="s">
        <v>188</v>
      </c>
      <c r="N21" s="56" t="s">
        <v>22</v>
      </c>
      <c r="P21" s="32">
        <v>33499.4</v>
      </c>
      <c r="Q21" s="32">
        <v>96.9</v>
      </c>
      <c r="R21" s="32">
        <v>139.5</v>
      </c>
      <c r="S21" s="32" t="s">
        <v>188</v>
      </c>
      <c r="T21" s="32" t="s">
        <v>188</v>
      </c>
    </row>
    <row r="22" spans="1:25">
      <c r="A22" s="64">
        <v>2001</v>
      </c>
      <c r="B22" s="56">
        <v>31278.3</v>
      </c>
      <c r="C22" s="56">
        <v>94.8</v>
      </c>
      <c r="D22" s="56">
        <v>110.2</v>
      </c>
      <c r="E22" s="57" t="s">
        <v>188</v>
      </c>
      <c r="F22" s="57" t="s">
        <v>188</v>
      </c>
      <c r="G22" s="57" t="s">
        <v>188</v>
      </c>
      <c r="H22" s="56">
        <f t="shared" si="0"/>
        <v>33005.899999999994</v>
      </c>
      <c r="I22" s="56" t="s">
        <v>22</v>
      </c>
      <c r="J22" s="56">
        <f t="shared" si="2"/>
        <v>19.157157057654079</v>
      </c>
      <c r="K22" s="56">
        <f t="shared" si="2"/>
        <v>77.101921317474819</v>
      </c>
      <c r="L22" s="56" t="s">
        <v>22</v>
      </c>
      <c r="M22" s="56" t="s">
        <v>188</v>
      </c>
      <c r="N22" s="56" t="s">
        <v>22</v>
      </c>
      <c r="P22" s="32">
        <v>33005.9</v>
      </c>
      <c r="Q22" s="32">
        <v>100.6</v>
      </c>
      <c r="R22" s="32">
        <v>109.3</v>
      </c>
      <c r="S22" s="32" t="s">
        <v>188</v>
      </c>
      <c r="T22" s="32" t="s">
        <v>188</v>
      </c>
    </row>
    <row r="23" spans="1:25">
      <c r="A23" s="64">
        <v>2002</v>
      </c>
      <c r="B23" s="56">
        <v>32731.8</v>
      </c>
      <c r="C23" s="56">
        <v>115.6</v>
      </c>
      <c r="D23" s="56">
        <v>121.4</v>
      </c>
      <c r="E23" s="57" t="s">
        <v>188</v>
      </c>
      <c r="F23" s="57" t="s">
        <v>188</v>
      </c>
      <c r="G23" s="57" t="s">
        <v>188</v>
      </c>
      <c r="H23" s="56">
        <f t="shared" si="0"/>
        <v>32731.799999999992</v>
      </c>
      <c r="I23" s="56" t="s">
        <v>22</v>
      </c>
      <c r="J23" s="56">
        <f t="shared" si="2"/>
        <v>16.671366782006924</v>
      </c>
      <c r="K23" s="56">
        <f t="shared" si="2"/>
        <v>69.417133443163081</v>
      </c>
      <c r="L23" s="56" t="s">
        <v>22</v>
      </c>
      <c r="M23" s="56" t="s">
        <v>188</v>
      </c>
      <c r="N23" s="56" t="s">
        <v>22</v>
      </c>
      <c r="P23" s="32">
        <v>32731.8</v>
      </c>
      <c r="Q23" s="32">
        <v>115.6</v>
      </c>
      <c r="R23" s="32">
        <v>121.4</v>
      </c>
      <c r="S23" s="32" t="s">
        <v>188</v>
      </c>
      <c r="T23" s="32" t="s">
        <v>188</v>
      </c>
    </row>
    <row r="24" spans="1:25">
      <c r="A24" s="64">
        <v>2003</v>
      </c>
      <c r="B24" s="56">
        <v>34960.6</v>
      </c>
      <c r="C24" s="56">
        <v>108.7</v>
      </c>
      <c r="D24" s="56">
        <v>174.2</v>
      </c>
      <c r="E24" s="57" t="s">
        <v>188</v>
      </c>
      <c r="F24" s="57" t="s">
        <v>188</v>
      </c>
      <c r="G24" s="57" t="s">
        <v>188</v>
      </c>
      <c r="H24" s="56">
        <f t="shared" si="0"/>
        <v>34214.69999999999</v>
      </c>
      <c r="I24" s="56" t="s">
        <v>22</v>
      </c>
      <c r="J24" s="56">
        <f t="shared" si="2"/>
        <v>18.602413127413133</v>
      </c>
      <c r="K24" s="56">
        <f t="shared" si="2"/>
        <v>50.644471153846148</v>
      </c>
      <c r="L24" s="56" t="s">
        <v>22</v>
      </c>
      <c r="M24" s="56" t="s">
        <v>188</v>
      </c>
      <c r="N24" s="56" t="s">
        <v>22</v>
      </c>
      <c r="P24" s="32">
        <v>34214.699999999997</v>
      </c>
      <c r="Q24" s="32">
        <v>103.6</v>
      </c>
      <c r="R24" s="32">
        <v>166.4</v>
      </c>
      <c r="S24" s="32" t="s">
        <v>188</v>
      </c>
      <c r="T24" s="32" t="s">
        <v>188</v>
      </c>
    </row>
    <row r="25" spans="1:25">
      <c r="A25" s="64">
        <v>2004</v>
      </c>
      <c r="B25" s="56">
        <v>38921.300000000003</v>
      </c>
      <c r="C25" s="56">
        <v>82.7</v>
      </c>
      <c r="D25" s="56">
        <v>361.4</v>
      </c>
      <c r="E25" s="57" t="s">
        <v>188</v>
      </c>
      <c r="F25" s="57" t="s">
        <v>188</v>
      </c>
      <c r="G25" s="57" t="s">
        <v>188</v>
      </c>
      <c r="H25" s="56">
        <f t="shared" si="0"/>
        <v>35833.1</v>
      </c>
      <c r="I25" s="56" t="s">
        <v>22</v>
      </c>
      <c r="J25" s="56">
        <f t="shared" si="2"/>
        <v>48.913959390862949</v>
      </c>
      <c r="K25" s="56">
        <f t="shared" si="2"/>
        <v>29.621230228471003</v>
      </c>
      <c r="L25" s="56" t="s">
        <v>22</v>
      </c>
      <c r="M25" s="56" t="s">
        <v>188</v>
      </c>
      <c r="N25" s="56" t="s">
        <v>22</v>
      </c>
      <c r="P25" s="32">
        <v>35833.1</v>
      </c>
      <c r="Q25" s="32">
        <v>39.4</v>
      </c>
      <c r="R25" s="32">
        <v>284.5</v>
      </c>
      <c r="S25" s="32" t="s">
        <v>188</v>
      </c>
      <c r="T25" s="32" t="s">
        <v>188</v>
      </c>
    </row>
    <row r="26" spans="1:25">
      <c r="A26" s="64">
        <v>2005</v>
      </c>
      <c r="B26" s="56">
        <v>41839.300000000003</v>
      </c>
      <c r="C26" s="56">
        <v>67.2</v>
      </c>
      <c r="D26" s="56">
        <v>301.7</v>
      </c>
      <c r="E26" s="56" t="s">
        <v>22</v>
      </c>
      <c r="F26" s="56" t="s">
        <v>188</v>
      </c>
      <c r="G26" s="56" t="s">
        <v>188</v>
      </c>
      <c r="H26" s="56">
        <f t="shared" si="0"/>
        <v>36820.400000000001</v>
      </c>
      <c r="I26" s="56" t="s">
        <v>22</v>
      </c>
      <c r="J26" s="56">
        <f t="shared" si="2"/>
        <v>76.174308300395253</v>
      </c>
      <c r="K26" s="56">
        <f t="shared" si="2"/>
        <v>27.167117988394587</v>
      </c>
      <c r="L26" s="56" t="s">
        <v>22</v>
      </c>
      <c r="M26" s="56" t="s">
        <v>188</v>
      </c>
      <c r="N26" s="56" t="s">
        <v>22</v>
      </c>
      <c r="P26" s="32">
        <v>36820.400000000001</v>
      </c>
      <c r="Q26" s="32">
        <v>25.3</v>
      </c>
      <c r="R26" s="32">
        <v>310.2</v>
      </c>
      <c r="S26" s="32" t="s">
        <v>188</v>
      </c>
      <c r="T26" s="32" t="s">
        <v>188</v>
      </c>
    </row>
    <row r="27" spans="1:25">
      <c r="A27" s="64">
        <v>2006</v>
      </c>
      <c r="B27" s="56">
        <v>43230.8</v>
      </c>
      <c r="C27" s="56">
        <v>57.1</v>
      </c>
      <c r="D27" s="56">
        <v>158.69999999999999</v>
      </c>
      <c r="E27" s="56" t="s">
        <v>22</v>
      </c>
      <c r="F27" s="56" t="s">
        <v>188</v>
      </c>
      <c r="G27" s="56" t="s">
        <v>188</v>
      </c>
      <c r="H27" s="56">
        <f>H28*(1/Q57)</f>
        <v>36321.4</v>
      </c>
      <c r="I27" s="56" t="s">
        <v>22</v>
      </c>
      <c r="J27" s="56">
        <f>J28/(1/R57)</f>
        <v>60.037694704049841</v>
      </c>
      <c r="K27" s="56">
        <f>K28/(1/S57)</f>
        <v>38.115061058344644</v>
      </c>
      <c r="L27" s="56" t="s">
        <v>22</v>
      </c>
      <c r="M27" s="56" t="s">
        <v>188</v>
      </c>
      <c r="N27" s="56" t="s">
        <v>22</v>
      </c>
      <c r="P27" s="32">
        <v>36321.4</v>
      </c>
      <c r="Q27" s="32">
        <v>32.1</v>
      </c>
      <c r="R27" s="32">
        <v>221.1</v>
      </c>
      <c r="S27" s="32" t="s">
        <v>188</v>
      </c>
      <c r="T27" s="32" t="s">
        <v>188</v>
      </c>
    </row>
    <row r="28" spans="1:25">
      <c r="A28" s="64">
        <v>2007</v>
      </c>
      <c r="B28" s="56">
        <v>48099.4</v>
      </c>
      <c r="C28" s="56">
        <v>46.4</v>
      </c>
      <c r="D28" s="56">
        <v>98.8</v>
      </c>
      <c r="E28" s="56" t="s">
        <v>22</v>
      </c>
      <c r="F28" s="56" t="s">
        <v>188</v>
      </c>
      <c r="G28" s="56" t="s">
        <v>188</v>
      </c>
      <c r="H28" s="56">
        <v>49172.800000000003</v>
      </c>
      <c r="I28" s="56" t="s">
        <v>22</v>
      </c>
      <c r="J28" s="56">
        <v>43.9</v>
      </c>
      <c r="K28" s="56">
        <v>91.8</v>
      </c>
      <c r="L28" s="57">
        <v>41.9</v>
      </c>
      <c r="M28" s="57" t="s">
        <v>188</v>
      </c>
      <c r="N28" s="57" t="s">
        <v>188</v>
      </c>
      <c r="P28" s="32">
        <v>49172.800000000003</v>
      </c>
      <c r="Q28" s="32">
        <v>43.9</v>
      </c>
      <c r="R28" s="32">
        <v>91.8</v>
      </c>
      <c r="S28" s="32" t="s">
        <v>188</v>
      </c>
      <c r="T28" s="32" t="s">
        <v>188</v>
      </c>
    </row>
    <row r="29" spans="1:25">
      <c r="A29" s="64">
        <v>2008</v>
      </c>
      <c r="B29" s="56">
        <v>62436.5</v>
      </c>
      <c r="C29" s="56">
        <v>38.4</v>
      </c>
      <c r="D29" s="56">
        <v>97.1</v>
      </c>
      <c r="E29" s="56"/>
      <c r="F29" s="56">
        <v>0</v>
      </c>
      <c r="G29" s="56">
        <v>25.5</v>
      </c>
      <c r="H29" s="56">
        <v>51725.7</v>
      </c>
      <c r="I29" s="56">
        <f>SUM(J29:L29)</f>
        <v>156.5</v>
      </c>
      <c r="J29" s="56">
        <v>38.299999999999997</v>
      </c>
      <c r="K29" s="56">
        <v>92.9</v>
      </c>
      <c r="L29" s="57">
        <v>25.3</v>
      </c>
      <c r="M29" s="57">
        <v>0</v>
      </c>
      <c r="N29" s="57">
        <v>25.2</v>
      </c>
      <c r="P29" s="32">
        <v>51725.7</v>
      </c>
      <c r="Q29" s="32">
        <v>38.299999999999997</v>
      </c>
      <c r="R29" s="32">
        <v>92.9</v>
      </c>
      <c r="S29" s="32">
        <v>0</v>
      </c>
      <c r="T29" s="32">
        <v>25.2</v>
      </c>
    </row>
    <row r="30" spans="1:25">
      <c r="A30" s="64">
        <v>2009</v>
      </c>
      <c r="B30" s="56" t="s">
        <v>22</v>
      </c>
      <c r="C30" s="56" t="s">
        <v>22</v>
      </c>
      <c r="D30" s="56" t="s">
        <v>22</v>
      </c>
      <c r="E30" s="56" t="s">
        <v>22</v>
      </c>
      <c r="F30" s="56" t="s">
        <v>22</v>
      </c>
      <c r="G30" s="56" t="s">
        <v>22</v>
      </c>
      <c r="H30" s="56">
        <v>49530.2</v>
      </c>
      <c r="I30" s="56" t="s">
        <v>22</v>
      </c>
      <c r="J30" s="56">
        <v>36.200000000000003</v>
      </c>
      <c r="K30" s="56">
        <v>57.8</v>
      </c>
      <c r="L30" s="57" t="s">
        <v>188</v>
      </c>
      <c r="M30" s="57" t="s">
        <v>188</v>
      </c>
      <c r="N30" s="57">
        <v>19.600000000000001</v>
      </c>
      <c r="P30" s="32">
        <v>49530.2</v>
      </c>
      <c r="Q30" s="32">
        <v>36.200000000000003</v>
      </c>
      <c r="R30" s="32">
        <v>57.8</v>
      </c>
      <c r="S30" s="32" t="s">
        <v>188</v>
      </c>
      <c r="T30" s="32">
        <v>19.600000000000001</v>
      </c>
    </row>
    <row r="31" spans="1:25">
      <c r="A31" s="64">
        <v>2010</v>
      </c>
      <c r="B31" s="56" t="s">
        <v>22</v>
      </c>
      <c r="C31" s="56" t="s">
        <v>22</v>
      </c>
      <c r="D31" s="56" t="s">
        <v>22</v>
      </c>
      <c r="E31" s="56" t="s">
        <v>22</v>
      </c>
      <c r="F31" s="56" t="s">
        <v>22</v>
      </c>
      <c r="G31" s="56" t="s">
        <v>22</v>
      </c>
      <c r="H31" s="56">
        <v>51742.7</v>
      </c>
      <c r="I31" s="56" t="s">
        <v>22</v>
      </c>
      <c r="J31" s="56">
        <v>44.6</v>
      </c>
      <c r="K31" s="56">
        <v>68.2</v>
      </c>
      <c r="L31" s="57" t="s">
        <v>188</v>
      </c>
      <c r="M31" s="57" t="s">
        <v>188</v>
      </c>
      <c r="N31" s="57" t="s">
        <v>188</v>
      </c>
      <c r="P31" s="32">
        <v>51742.7</v>
      </c>
      <c r="Q31" s="32">
        <v>44.6</v>
      </c>
      <c r="R31" s="32">
        <v>68.2</v>
      </c>
      <c r="S31" s="32" t="s">
        <v>188</v>
      </c>
      <c r="T31" s="32" t="s">
        <v>188</v>
      </c>
    </row>
    <row r="32" spans="1:25">
      <c r="A32" s="64">
        <v>2011</v>
      </c>
      <c r="B32" s="56" t="s">
        <v>22</v>
      </c>
      <c r="C32" s="56" t="s">
        <v>22</v>
      </c>
      <c r="D32" s="56" t="s">
        <v>22</v>
      </c>
      <c r="E32" s="56" t="s">
        <v>22</v>
      </c>
      <c r="F32" s="56" t="s">
        <v>22</v>
      </c>
      <c r="G32" s="56" t="s">
        <v>22</v>
      </c>
      <c r="H32" s="56">
        <v>54320.2</v>
      </c>
      <c r="I32" s="56" t="s">
        <v>22</v>
      </c>
      <c r="J32" s="56">
        <v>50.9</v>
      </c>
      <c r="K32" s="56">
        <v>71</v>
      </c>
      <c r="L32" s="57" t="s">
        <v>188</v>
      </c>
      <c r="M32" s="57" t="s">
        <v>188</v>
      </c>
      <c r="N32" s="57" t="s">
        <v>188</v>
      </c>
      <c r="P32" s="32">
        <v>54320.2</v>
      </c>
      <c r="Q32" s="32">
        <v>50.9</v>
      </c>
      <c r="R32" s="32">
        <v>71</v>
      </c>
      <c r="S32" s="32" t="s">
        <v>188</v>
      </c>
      <c r="T32" s="32" t="s">
        <v>188</v>
      </c>
    </row>
    <row r="34" spans="1:21" ht="21" customHeight="1">
      <c r="A34" s="66" t="s">
        <v>23</v>
      </c>
      <c r="P34" s="146" t="s">
        <v>1826</v>
      </c>
      <c r="Q34" s="117" t="s">
        <v>7</v>
      </c>
      <c r="R34" s="117" t="s">
        <v>192</v>
      </c>
      <c r="S34" s="117" t="s">
        <v>1</v>
      </c>
      <c r="T34" s="117" t="s">
        <v>13</v>
      </c>
      <c r="U34" s="117" t="s">
        <v>19</v>
      </c>
    </row>
    <row r="35" spans="1:21">
      <c r="A35" s="57" t="s">
        <v>2142</v>
      </c>
      <c r="B35" s="147" t="str">
        <f>IFERROR(((B32/B5)^(1/27)-1)*100,"n.a.")</f>
        <v>n.a.</v>
      </c>
      <c r="C35" s="147" t="str">
        <f t="shared" ref="C35:N35" si="3">IFERROR(((C32/C5)^(1/27)-1)*100,"n.a.")</f>
        <v>n.a.</v>
      </c>
      <c r="D35" s="147" t="str">
        <f t="shared" si="3"/>
        <v>n.a.</v>
      </c>
      <c r="E35" s="147" t="str">
        <f t="shared" si="3"/>
        <v>n.a.</v>
      </c>
      <c r="F35" s="147" t="str">
        <f t="shared" si="3"/>
        <v>n.a.</v>
      </c>
      <c r="G35" s="147" t="str">
        <f t="shared" si="3"/>
        <v>n.a.</v>
      </c>
      <c r="H35" s="147">
        <f t="shared" si="3"/>
        <v>3.1520943179773164</v>
      </c>
      <c r="I35" s="147" t="str">
        <f t="shared" si="3"/>
        <v>n.a.</v>
      </c>
      <c r="J35" s="147">
        <f t="shared" si="3"/>
        <v>2.229085342821957</v>
      </c>
      <c r="K35" s="147">
        <f t="shared" si="3"/>
        <v>-0.7260449809760372</v>
      </c>
      <c r="L35" s="147" t="str">
        <f t="shared" si="3"/>
        <v>n.a.</v>
      </c>
      <c r="M35" s="147" t="str">
        <f t="shared" si="3"/>
        <v>n.a.</v>
      </c>
      <c r="N35" s="147" t="str">
        <f t="shared" si="3"/>
        <v>n.a.</v>
      </c>
      <c r="P35" s="56" t="s">
        <v>1856</v>
      </c>
      <c r="Q35" s="64">
        <f>U6/U5</f>
        <v>1.0378701903624683</v>
      </c>
      <c r="R35" s="64">
        <f>V6/V5</f>
        <v>1.0689170182841068</v>
      </c>
      <c r="S35" s="64">
        <f>W6/W5</f>
        <v>1.182015167930661</v>
      </c>
      <c r="T35" s="64" t="e">
        <f>X6/X5</f>
        <v>#VALUE!</v>
      </c>
      <c r="U35" s="64">
        <f t="shared" ref="R35:U47" si="4">Y6/Y5</f>
        <v>0.96666666666666667</v>
      </c>
    </row>
    <row r="36" spans="1:21">
      <c r="A36" s="57" t="s">
        <v>2141</v>
      </c>
      <c r="B36" s="147">
        <f>IFERROR(((B29/B5)^(1/24)-1)*100,"n.a.")</f>
        <v>5.4139682946454659</v>
      </c>
      <c r="C36" s="147">
        <f t="shared" ref="C36:N36" si="5">IFERROR(((C29/C5)^(1/24)-1)*100,"n.a.")</f>
        <v>1.0904150679454938</v>
      </c>
      <c r="D36" s="147">
        <f t="shared" si="5"/>
        <v>4.5339274536408736</v>
      </c>
      <c r="E36" s="147" t="str">
        <f t="shared" si="5"/>
        <v>n.a.</v>
      </c>
      <c r="F36" s="147" t="str">
        <f t="shared" si="5"/>
        <v>n.a.</v>
      </c>
      <c r="G36" s="147">
        <f t="shared" si="5"/>
        <v>4.9487067782069349</v>
      </c>
      <c r="H36" s="147">
        <f t="shared" si="5"/>
        <v>3.3420760524191628</v>
      </c>
      <c r="I36" s="147" t="str">
        <f t="shared" si="5"/>
        <v>n.a.</v>
      </c>
      <c r="J36" s="147">
        <f t="shared" si="5"/>
        <v>1.3035487101265675</v>
      </c>
      <c r="K36" s="147">
        <f t="shared" si="5"/>
        <v>0.30085382495430579</v>
      </c>
      <c r="L36" s="147" t="str">
        <f t="shared" si="5"/>
        <v>n.a.</v>
      </c>
      <c r="M36" s="147" t="str">
        <f t="shared" si="5"/>
        <v>n.a.</v>
      </c>
      <c r="N36" s="147" t="str">
        <f t="shared" si="5"/>
        <v>n.a.</v>
      </c>
      <c r="P36" s="56" t="s">
        <v>1857</v>
      </c>
      <c r="Q36" s="64">
        <f t="shared" ref="Q36:Q47" si="6">U7/U6</f>
        <v>1.0704094779429594</v>
      </c>
      <c r="R36" s="64">
        <f t="shared" si="4"/>
        <v>1.1855263157894738</v>
      </c>
      <c r="S36" s="64">
        <f t="shared" si="4"/>
        <v>0.90559120073327226</v>
      </c>
      <c r="T36" s="64" t="e">
        <f t="shared" si="4"/>
        <v>#VALUE!</v>
      </c>
      <c r="U36" s="64">
        <f t="shared" si="4"/>
        <v>1.096551724137931</v>
      </c>
    </row>
    <row r="37" spans="1:21">
      <c r="A37" s="57" t="s">
        <v>682</v>
      </c>
      <c r="B37" s="147">
        <f>IFERROR(((B10/B5)^(1/5)-1)*100,"n.a.")</f>
        <v>2.651318536505376</v>
      </c>
      <c r="C37" s="147">
        <f t="shared" ref="C37:N37" si="7">IFERROR(((C10/C5)^(1/5)-1)*100,"n.a.")</f>
        <v>8.6418770759613359</v>
      </c>
      <c r="D37" s="147">
        <f t="shared" si="7"/>
        <v>11.293613746656629</v>
      </c>
      <c r="E37" s="147" t="str">
        <f t="shared" si="7"/>
        <v>n.a.</v>
      </c>
      <c r="F37" s="147" t="str">
        <f t="shared" si="7"/>
        <v>n.a.</v>
      </c>
      <c r="G37" s="147">
        <f t="shared" si="7"/>
        <v>-4.9700850671013486</v>
      </c>
      <c r="H37" s="147">
        <f t="shared" si="7"/>
        <v>1.3444498543210726</v>
      </c>
      <c r="I37" s="147" t="str">
        <f t="shared" si="7"/>
        <v>n.a.</v>
      </c>
      <c r="J37" s="147">
        <f t="shared" si="7"/>
        <v>-0.7695336344805459</v>
      </c>
      <c r="K37" s="147">
        <f t="shared" si="7"/>
        <v>-7.1570101933289942</v>
      </c>
      <c r="L37" s="147" t="str">
        <f t="shared" si="7"/>
        <v>n.a.</v>
      </c>
      <c r="M37" s="147" t="str">
        <f t="shared" si="7"/>
        <v>n.a.</v>
      </c>
      <c r="N37" s="147" t="str">
        <f t="shared" si="7"/>
        <v>n.a.</v>
      </c>
      <c r="P37" s="56" t="s">
        <v>1858</v>
      </c>
      <c r="Q37" s="64">
        <f t="shared" si="6"/>
        <v>0.98150130356960441</v>
      </c>
      <c r="R37" s="64">
        <f t="shared" si="4"/>
        <v>1.0765815760266371</v>
      </c>
      <c r="S37" s="64">
        <f t="shared" si="4"/>
        <v>1.0799595141700404</v>
      </c>
      <c r="T37" s="64" t="e">
        <f t="shared" si="4"/>
        <v>#VALUE!</v>
      </c>
      <c r="U37" s="64">
        <f t="shared" si="4"/>
        <v>0.89937106918238996</v>
      </c>
    </row>
    <row r="38" spans="1:21">
      <c r="A38" s="57" t="s">
        <v>26</v>
      </c>
      <c r="B38" s="147">
        <f>IFERROR(((B21/B10)^(1/11)-1)*100,"n.a.")</f>
        <v>4.3111433245046626</v>
      </c>
      <c r="C38" s="147">
        <f t="shared" ref="C38:N38" si="8">IFERROR(((C21/C10)^(1/11)-1)*100,"n.a.")</f>
        <v>6.3736405387277983</v>
      </c>
      <c r="D38" s="147">
        <f t="shared" si="8"/>
        <v>8.44212424023012</v>
      </c>
      <c r="E38" s="147" t="str">
        <f t="shared" si="8"/>
        <v>n.a.</v>
      </c>
      <c r="F38" s="147" t="str">
        <f t="shared" si="8"/>
        <v>n.a.</v>
      </c>
      <c r="G38" s="147" t="str">
        <f t="shared" si="8"/>
        <v>n.a.</v>
      </c>
      <c r="H38" s="147">
        <f t="shared" si="8"/>
        <v>2.6507451669130155</v>
      </c>
      <c r="I38" s="147" t="str">
        <f t="shared" si="8"/>
        <v>n.a.</v>
      </c>
      <c r="J38" s="147">
        <f t="shared" si="8"/>
        <v>-2.7421126448488042</v>
      </c>
      <c r="K38" s="147">
        <f t="shared" si="8"/>
        <v>0.11856909287415451</v>
      </c>
      <c r="L38" s="147" t="str">
        <f t="shared" si="8"/>
        <v>n.a.</v>
      </c>
      <c r="M38" s="147" t="str">
        <f t="shared" si="8"/>
        <v>n.a.</v>
      </c>
      <c r="N38" s="147" t="str">
        <f t="shared" si="8"/>
        <v>n.a.</v>
      </c>
      <c r="P38" s="56" t="s">
        <v>1861</v>
      </c>
      <c r="Q38" s="64">
        <f t="shared" si="6"/>
        <v>0.94391952431375747</v>
      </c>
      <c r="R38" s="64">
        <f t="shared" si="4"/>
        <v>0.8</v>
      </c>
      <c r="S38" s="64">
        <f t="shared" si="4"/>
        <v>1.2005623242736645</v>
      </c>
      <c r="T38" s="64" t="e">
        <f t="shared" si="4"/>
        <v>#VALUE!</v>
      </c>
      <c r="U38" s="64">
        <f t="shared" si="4"/>
        <v>0.79720279720279719</v>
      </c>
    </row>
    <row r="39" spans="1:21">
      <c r="A39" s="57" t="s">
        <v>2028</v>
      </c>
      <c r="B39" s="147" t="str">
        <f>IFERROR(((B32/B21)^(1/11)-1)*100,"n.a.")</f>
        <v>n.a.</v>
      </c>
      <c r="C39" s="147" t="str">
        <f t="shared" ref="C39:N39" si="9">IFERROR(((C32/C21)^(1/11)-1)*100,"n.a.")</f>
        <v>n.a.</v>
      </c>
      <c r="D39" s="147" t="str">
        <f t="shared" si="9"/>
        <v>n.a.</v>
      </c>
      <c r="E39" s="147" t="str">
        <f t="shared" si="9"/>
        <v>n.a.</v>
      </c>
      <c r="F39" s="147" t="str">
        <f t="shared" si="9"/>
        <v>n.a.</v>
      </c>
      <c r="G39" s="147" t="str">
        <f t="shared" si="9"/>
        <v>n.a.</v>
      </c>
      <c r="H39" s="147">
        <f t="shared" si="9"/>
        <v>4.4922378128525509</v>
      </c>
      <c r="I39" s="147" t="str">
        <f t="shared" si="9"/>
        <v>n.a.</v>
      </c>
      <c r="J39" s="147">
        <f t="shared" si="9"/>
        <v>8.918371185850372</v>
      </c>
      <c r="K39" s="147">
        <f t="shared" si="9"/>
        <v>1.4791959760100504</v>
      </c>
      <c r="L39" s="147" t="str">
        <f t="shared" si="9"/>
        <v>n.a.</v>
      </c>
      <c r="M39" s="147" t="str">
        <f t="shared" si="9"/>
        <v>n.a.</v>
      </c>
      <c r="N39" s="147" t="str">
        <f t="shared" si="9"/>
        <v>n.a.</v>
      </c>
      <c r="P39" s="56" t="s">
        <v>1859</v>
      </c>
      <c r="Q39" s="64">
        <f t="shared" si="6"/>
        <v>1.0386781915021117</v>
      </c>
      <c r="R39" s="64">
        <f t="shared" si="4"/>
        <v>0.95231958762886593</v>
      </c>
      <c r="S39" s="64">
        <f t="shared" si="4"/>
        <v>1.044496487119438</v>
      </c>
      <c r="T39" s="64" t="e">
        <f t="shared" si="4"/>
        <v>#VALUE!</v>
      </c>
      <c r="U39" s="64">
        <f t="shared" si="4"/>
        <v>0.85087719298245612</v>
      </c>
    </row>
    <row r="40" spans="1:21">
      <c r="A40" s="57"/>
      <c r="B40" s="147"/>
      <c r="C40" s="147"/>
      <c r="D40" s="147"/>
      <c r="E40" s="56"/>
      <c r="F40" s="56"/>
      <c r="G40" s="56"/>
      <c r="H40" s="147"/>
      <c r="I40" s="56"/>
      <c r="J40" s="147"/>
      <c r="K40" s="147"/>
      <c r="L40" s="56"/>
      <c r="M40" s="56"/>
      <c r="N40" s="56"/>
      <c r="P40" s="56" t="s">
        <v>1860</v>
      </c>
      <c r="Q40" s="64">
        <f t="shared" si="6"/>
        <v>1.0682356307780356</v>
      </c>
      <c r="R40" s="64">
        <f t="shared" si="4"/>
        <v>0.84979702300405957</v>
      </c>
      <c r="S40" s="64">
        <f t="shared" si="4"/>
        <v>0.69880418535127053</v>
      </c>
      <c r="T40" s="64" t="e">
        <f t="shared" si="4"/>
        <v>#VALUE!</v>
      </c>
      <c r="U40" s="64">
        <f t="shared" si="4"/>
        <v>0.92783505154639179</v>
      </c>
    </row>
    <row r="41" spans="1:21">
      <c r="A41" s="64" t="s">
        <v>503</v>
      </c>
      <c r="P41" s="56" t="s">
        <v>1846</v>
      </c>
      <c r="Q41" s="64">
        <f t="shared" si="6"/>
        <v>1.0023634124738059</v>
      </c>
      <c r="R41" s="64">
        <f t="shared" si="4"/>
        <v>0.67038216560509556</v>
      </c>
      <c r="S41" s="64">
        <f t="shared" si="4"/>
        <v>0.83422459893048129</v>
      </c>
      <c r="T41" s="64" t="e">
        <f t="shared" si="4"/>
        <v>#VALUE!</v>
      </c>
      <c r="U41" s="64">
        <f t="shared" si="4"/>
        <v>0.82222222222222219</v>
      </c>
    </row>
    <row r="42" spans="1:21">
      <c r="A42" s="64" t="s">
        <v>193</v>
      </c>
      <c r="P42" s="56" t="s">
        <v>1847</v>
      </c>
      <c r="Q42" s="64">
        <f t="shared" si="6"/>
        <v>0.95827442325597434</v>
      </c>
      <c r="R42" s="64">
        <f t="shared" si="4"/>
        <v>1.2399049881235154</v>
      </c>
      <c r="S42" s="64">
        <f t="shared" si="4"/>
        <v>1.3025641025641026</v>
      </c>
      <c r="T42" s="64" t="e">
        <f t="shared" si="4"/>
        <v>#VALUE!</v>
      </c>
      <c r="U42" s="64">
        <f t="shared" si="4"/>
        <v>0.64864864864864868</v>
      </c>
    </row>
    <row r="43" spans="1:21">
      <c r="A43" s="104" t="s">
        <v>679</v>
      </c>
      <c r="B43" s="104"/>
      <c r="C43" s="104"/>
      <c r="D43" s="104"/>
      <c r="E43" s="104"/>
      <c r="F43" s="104"/>
      <c r="G43" s="104"/>
      <c r="H43" s="104"/>
      <c r="I43" s="104"/>
      <c r="J43" s="104"/>
      <c r="K43" s="104"/>
      <c r="L43" s="104"/>
      <c r="M43" s="104"/>
      <c r="N43" s="104"/>
      <c r="P43" s="56" t="s">
        <v>1848</v>
      </c>
      <c r="Q43" s="64">
        <f t="shared" si="6"/>
        <v>1.051166828601245</v>
      </c>
      <c r="R43" s="64">
        <f t="shared" si="4"/>
        <v>0.97701149425287359</v>
      </c>
      <c r="S43" s="64">
        <f t="shared" si="4"/>
        <v>1.0915354330708662</v>
      </c>
      <c r="T43" s="64" t="e">
        <f t="shared" si="4"/>
        <v>#VALUE!</v>
      </c>
      <c r="U43" s="64">
        <f t="shared" si="4"/>
        <v>1.2291666666666667</v>
      </c>
    </row>
    <row r="44" spans="1:21" ht="32.25" customHeight="1">
      <c r="A44" s="104" t="s">
        <v>680</v>
      </c>
      <c r="B44" s="104"/>
      <c r="C44" s="104"/>
      <c r="D44" s="104"/>
      <c r="E44" s="104"/>
      <c r="F44" s="104"/>
      <c r="G44" s="104"/>
      <c r="H44" s="104"/>
      <c r="I44" s="104"/>
      <c r="J44" s="104"/>
      <c r="K44" s="104"/>
      <c r="L44" s="104"/>
      <c r="M44" s="104"/>
      <c r="N44" s="104"/>
      <c r="P44" s="56" t="s">
        <v>1849</v>
      </c>
      <c r="Q44" s="64">
        <f t="shared" si="6"/>
        <v>1.0522108632487044</v>
      </c>
      <c r="R44" s="64">
        <f t="shared" si="4"/>
        <v>1.6803921568627451</v>
      </c>
      <c r="S44" s="64">
        <f t="shared" si="4"/>
        <v>1.1172227231740306</v>
      </c>
      <c r="T44" s="64" t="e">
        <f t="shared" si="4"/>
        <v>#VALUE!</v>
      </c>
      <c r="U44" s="64">
        <f t="shared" si="4"/>
        <v>1.3728813559322033</v>
      </c>
    </row>
    <row r="45" spans="1:21" ht="32.25" customHeight="1">
      <c r="A45" s="104" t="s">
        <v>681</v>
      </c>
      <c r="B45" s="104"/>
      <c r="C45" s="104"/>
      <c r="D45" s="104"/>
      <c r="E45" s="104"/>
      <c r="F45" s="104"/>
      <c r="G45" s="104"/>
      <c r="H45" s="104"/>
      <c r="I45" s="104"/>
      <c r="J45" s="104"/>
      <c r="K45" s="104"/>
      <c r="L45" s="104"/>
      <c r="M45" s="104"/>
      <c r="N45" s="104"/>
      <c r="P45" s="56" t="s">
        <v>1850</v>
      </c>
      <c r="Q45" s="64">
        <f t="shared" si="6"/>
        <v>1.0011102615825092</v>
      </c>
      <c r="R45" s="64">
        <f t="shared" si="4"/>
        <v>0.87047841306884477</v>
      </c>
      <c r="S45" s="64">
        <f t="shared" si="4"/>
        <v>1.012913640032284</v>
      </c>
      <c r="T45" s="64" t="e">
        <f t="shared" si="4"/>
        <v>#VALUE!</v>
      </c>
      <c r="U45" s="64">
        <f t="shared" si="4"/>
        <v>1.1234567901234569</v>
      </c>
    </row>
    <row r="46" spans="1:21" ht="32.25" customHeight="1">
      <c r="A46" s="104" t="s">
        <v>851</v>
      </c>
      <c r="B46" s="104"/>
      <c r="C46" s="104"/>
      <c r="D46" s="104"/>
      <c r="E46" s="104"/>
      <c r="F46" s="104"/>
      <c r="G46" s="104"/>
      <c r="H46" s="104"/>
      <c r="I46" s="104"/>
      <c r="J46" s="104"/>
      <c r="K46" s="104"/>
      <c r="L46" s="104"/>
      <c r="M46" s="104"/>
      <c r="N46" s="104"/>
      <c r="P46" s="56" t="s">
        <v>1851</v>
      </c>
      <c r="Q46" s="64">
        <f t="shared" si="6"/>
        <v>1.0362039478227665</v>
      </c>
      <c r="R46" s="64">
        <f t="shared" si="4"/>
        <v>1.2238605898123325</v>
      </c>
      <c r="S46" s="64">
        <f t="shared" si="4"/>
        <v>0.91633466135458164</v>
      </c>
      <c r="T46" s="64" t="e">
        <f t="shared" si="4"/>
        <v>#VALUE!</v>
      </c>
      <c r="U46" s="64">
        <f t="shared" si="4"/>
        <v>1.2857142857142858</v>
      </c>
    </row>
    <row r="47" spans="1:21">
      <c r="P47" s="56" t="s">
        <v>1852</v>
      </c>
      <c r="Q47" s="64">
        <f t="shared" si="6"/>
        <v>1.0548901686968044</v>
      </c>
      <c r="R47" s="64">
        <f t="shared" si="4"/>
        <v>0.73493975903614461</v>
      </c>
      <c r="S47" s="64">
        <f t="shared" si="4"/>
        <v>1.2669565217391305</v>
      </c>
      <c r="T47" s="64" t="e">
        <f t="shared" si="4"/>
        <v>#VALUE!</v>
      </c>
      <c r="U47" s="64" t="e">
        <f t="shared" si="4"/>
        <v>#VALUE!</v>
      </c>
    </row>
    <row r="48" spans="1:21">
      <c r="P48" s="56" t="s">
        <v>1837</v>
      </c>
      <c r="Q48" s="64">
        <f>P19/P18</f>
        <v>1.038436759799098</v>
      </c>
      <c r="R48" s="64">
        <f>Q19/Q18</f>
        <v>1.4506172839506173</v>
      </c>
      <c r="S48" s="64">
        <f>R19/R18</f>
        <v>0.88953866146848604</v>
      </c>
      <c r="T48" s="64" t="e">
        <f>S19/S18</f>
        <v>#VALUE!</v>
      </c>
      <c r="U48" s="64" t="e">
        <f>T19/T18</f>
        <v>#VALUE!</v>
      </c>
    </row>
    <row r="49" spans="1:21">
      <c r="A49" s="104"/>
      <c r="B49" s="104"/>
      <c r="C49" s="104"/>
      <c r="D49" s="104"/>
      <c r="E49" s="104"/>
      <c r="F49" s="104"/>
      <c r="G49" s="104"/>
      <c r="H49" s="104"/>
      <c r="I49" s="104"/>
      <c r="J49" s="104"/>
      <c r="K49" s="104"/>
      <c r="L49" s="104"/>
      <c r="M49" s="104"/>
      <c r="N49" s="104"/>
      <c r="P49" s="56" t="s">
        <v>1827</v>
      </c>
      <c r="Q49" s="64">
        <f t="shared" ref="Q49:U59" si="10">P20/P19</f>
        <v>1.0099881167337994</v>
      </c>
      <c r="R49" s="64">
        <f t="shared" si="10"/>
        <v>1.3712765957446809</v>
      </c>
      <c r="S49" s="64">
        <f t="shared" si="10"/>
        <v>0.91818845872899923</v>
      </c>
      <c r="T49" s="64" t="e">
        <f t="shared" si="10"/>
        <v>#VALUE!</v>
      </c>
      <c r="U49" s="64" t="e">
        <f t="shared" si="10"/>
        <v>#VALUE!</v>
      </c>
    </row>
    <row r="50" spans="1:21" ht="30" customHeight="1">
      <c r="A50" s="104"/>
      <c r="B50" s="104"/>
      <c r="C50" s="104"/>
      <c r="D50" s="104"/>
      <c r="E50" s="104"/>
      <c r="F50" s="104"/>
      <c r="G50" s="104"/>
      <c r="H50" s="104"/>
      <c r="I50" s="104"/>
      <c r="J50" s="104"/>
      <c r="K50" s="104"/>
      <c r="L50" s="104"/>
      <c r="M50" s="104"/>
      <c r="N50" s="104"/>
      <c r="P50" s="56" t="s">
        <v>1828</v>
      </c>
      <c r="Q50" s="64">
        <f t="shared" si="10"/>
        <v>1.0237545878779175</v>
      </c>
      <c r="R50" s="64">
        <f t="shared" si="10"/>
        <v>0.75174553917765707</v>
      </c>
      <c r="S50" s="64">
        <f t="shared" si="10"/>
        <v>1.1097852028639619</v>
      </c>
      <c r="T50" s="64" t="e">
        <f t="shared" si="10"/>
        <v>#VALUE!</v>
      </c>
      <c r="U50" s="64" t="e">
        <f t="shared" si="10"/>
        <v>#VALUE!</v>
      </c>
    </row>
    <row r="51" spans="1:21" ht="30" customHeight="1">
      <c r="A51" s="104"/>
      <c r="B51" s="104"/>
      <c r="C51" s="104"/>
      <c r="D51" s="104"/>
      <c r="E51" s="104"/>
      <c r="F51" s="104"/>
      <c r="G51" s="104"/>
      <c r="H51" s="104"/>
      <c r="I51" s="104"/>
      <c r="J51" s="104"/>
      <c r="K51" s="104"/>
      <c r="L51" s="104"/>
      <c r="M51" s="104"/>
      <c r="N51" s="104"/>
      <c r="P51" s="148" t="s">
        <v>1829</v>
      </c>
      <c r="Q51" s="64">
        <f t="shared" si="10"/>
        <v>0.98526839286673795</v>
      </c>
      <c r="R51" s="64">
        <f t="shared" si="10"/>
        <v>1.0381836945304437</v>
      </c>
      <c r="S51" s="64">
        <f t="shared" si="10"/>
        <v>0.78351254480286736</v>
      </c>
      <c r="T51" s="64" t="e">
        <f t="shared" si="10"/>
        <v>#VALUE!</v>
      </c>
      <c r="U51" s="64" t="e">
        <f t="shared" si="10"/>
        <v>#VALUE!</v>
      </c>
    </row>
    <row r="52" spans="1:21" ht="30" customHeight="1">
      <c r="A52" s="104"/>
      <c r="B52" s="104"/>
      <c r="C52" s="104"/>
      <c r="D52" s="104"/>
      <c r="E52" s="104"/>
      <c r="F52" s="104"/>
      <c r="G52" s="104"/>
      <c r="H52" s="104"/>
      <c r="I52" s="104"/>
      <c r="J52" s="104"/>
      <c r="K52" s="104"/>
      <c r="L52" s="104"/>
      <c r="M52" s="104"/>
      <c r="N52" s="104"/>
      <c r="P52" s="148" t="s">
        <v>1830</v>
      </c>
      <c r="Q52" s="64">
        <f t="shared" si="10"/>
        <v>0.99169542415143952</v>
      </c>
      <c r="R52" s="64">
        <f t="shared" si="10"/>
        <v>1.1491053677932406</v>
      </c>
      <c r="S52" s="64">
        <f t="shared" si="10"/>
        <v>1.110704483074108</v>
      </c>
      <c r="T52" s="64" t="e">
        <f t="shared" si="10"/>
        <v>#VALUE!</v>
      </c>
      <c r="U52" s="64" t="e">
        <f t="shared" si="10"/>
        <v>#VALUE!</v>
      </c>
    </row>
    <row r="53" spans="1:21">
      <c r="P53" s="148" t="s">
        <v>1831</v>
      </c>
      <c r="Q53" s="64">
        <f t="shared" si="10"/>
        <v>1.0453045662016753</v>
      </c>
      <c r="R53" s="64">
        <f t="shared" si="10"/>
        <v>0.89619377162629754</v>
      </c>
      <c r="S53" s="64">
        <f t="shared" si="10"/>
        <v>1.3706754530477758</v>
      </c>
      <c r="T53" s="64" t="e">
        <f t="shared" si="10"/>
        <v>#VALUE!</v>
      </c>
      <c r="U53" s="64" t="e">
        <f t="shared" si="10"/>
        <v>#VALUE!</v>
      </c>
    </row>
    <row r="54" spans="1:21">
      <c r="P54" s="148" t="s">
        <v>1832</v>
      </c>
      <c r="Q54" s="64">
        <f t="shared" si="10"/>
        <v>1.0473013061637251</v>
      </c>
      <c r="R54" s="64">
        <f t="shared" si="10"/>
        <v>0.38030888030888033</v>
      </c>
      <c r="S54" s="64">
        <f t="shared" si="10"/>
        <v>1.7097355769230769</v>
      </c>
      <c r="T54" s="64" t="e">
        <f t="shared" si="10"/>
        <v>#VALUE!</v>
      </c>
      <c r="U54" s="64" t="e">
        <f t="shared" si="10"/>
        <v>#VALUE!</v>
      </c>
    </row>
    <row r="55" spans="1:21">
      <c r="P55" s="148" t="s">
        <v>1833</v>
      </c>
      <c r="Q55" s="64">
        <f t="shared" si="10"/>
        <v>1.0275527375527098</v>
      </c>
      <c r="R55" s="64">
        <f t="shared" si="10"/>
        <v>0.64213197969543157</v>
      </c>
      <c r="S55" s="64">
        <f t="shared" si="10"/>
        <v>1.0903339191564148</v>
      </c>
      <c r="T55" s="64" t="e">
        <f t="shared" si="10"/>
        <v>#VALUE!</v>
      </c>
      <c r="U55" s="64" t="e">
        <f t="shared" si="10"/>
        <v>#VALUE!</v>
      </c>
    </row>
    <row r="56" spans="1:21">
      <c r="P56" s="148" t="s">
        <v>1834</v>
      </c>
      <c r="Q56" s="64">
        <f t="shared" si="10"/>
        <v>0.9864477300626826</v>
      </c>
      <c r="R56" s="64">
        <f t="shared" si="10"/>
        <v>1.2687747035573123</v>
      </c>
      <c r="S56" s="64">
        <f t="shared" si="10"/>
        <v>0.71276595744680848</v>
      </c>
      <c r="T56" s="64" t="e">
        <f t="shared" si="10"/>
        <v>#VALUE!</v>
      </c>
      <c r="U56" s="64" t="e">
        <f t="shared" si="10"/>
        <v>#VALUE!</v>
      </c>
    </row>
    <row r="57" spans="1:21">
      <c r="P57" s="148" t="s">
        <v>1839</v>
      </c>
      <c r="Q57" s="64">
        <f t="shared" si="10"/>
        <v>1.3538244671185582</v>
      </c>
      <c r="R57" s="64">
        <f t="shared" si="10"/>
        <v>1.3676012461059188</v>
      </c>
      <c r="S57" s="64">
        <f t="shared" si="10"/>
        <v>0.41519674355495251</v>
      </c>
      <c r="T57" s="64" t="e">
        <f t="shared" si="10"/>
        <v>#VALUE!</v>
      </c>
      <c r="U57" s="64" t="e">
        <f t="shared" si="10"/>
        <v>#VALUE!</v>
      </c>
    </row>
    <row r="58" spans="1:21">
      <c r="P58" s="148" t="s">
        <v>1835</v>
      </c>
      <c r="Q58" s="64">
        <f t="shared" si="10"/>
        <v>1.0519169134155466</v>
      </c>
      <c r="R58" s="64">
        <f t="shared" si="10"/>
        <v>0.87243735763097952</v>
      </c>
      <c r="S58" s="64">
        <f t="shared" si="10"/>
        <v>1.0119825708061003</v>
      </c>
      <c r="T58" s="64" t="e">
        <f t="shared" si="10"/>
        <v>#VALUE!</v>
      </c>
      <c r="U58" s="64" t="e">
        <f t="shared" si="10"/>
        <v>#VALUE!</v>
      </c>
    </row>
    <row r="59" spans="1:21">
      <c r="P59" s="148" t="s">
        <v>1836</v>
      </c>
      <c r="Q59" s="64">
        <f>P30/P29</f>
        <v>0.95755494850722178</v>
      </c>
      <c r="R59" s="64">
        <f t="shared" si="10"/>
        <v>0.94516971279373385</v>
      </c>
      <c r="S59" s="64">
        <f t="shared" si="10"/>
        <v>0.62217438105489764</v>
      </c>
      <c r="T59" s="64" t="e">
        <f t="shared" si="10"/>
        <v>#VALUE!</v>
      </c>
      <c r="U59" s="64">
        <f t="shared" si="10"/>
        <v>0.7777777777777779</v>
      </c>
    </row>
  </sheetData>
  <mergeCells count="10">
    <mergeCell ref="A52:N52"/>
    <mergeCell ref="B2:G2"/>
    <mergeCell ref="H2:N2"/>
    <mergeCell ref="A49:N49"/>
    <mergeCell ref="A50:N50"/>
    <mergeCell ref="A51:N51"/>
    <mergeCell ref="A43:N43"/>
    <mergeCell ref="A44:N44"/>
    <mergeCell ref="A45:N45"/>
    <mergeCell ref="A46:N46"/>
  </mergeCells>
  <pageMargins left="0.7" right="0.7" top="0.75" bottom="0.75" header="0.3" footer="0.3"/>
  <pageSetup scale="63" orientation="landscape" horizontalDpi="0" verticalDpi="0" r:id="rId1"/>
</worksheet>
</file>

<file path=xl/worksheets/sheet168.xml><?xml version="1.0" encoding="utf-8"?>
<worksheet xmlns="http://schemas.openxmlformats.org/spreadsheetml/2006/main" xmlns:r="http://schemas.openxmlformats.org/officeDocument/2006/relationships">
  <sheetPr codeName="Sheet162"/>
  <dimension ref="A1:AA59"/>
  <sheetViews>
    <sheetView view="pageBreakPre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 style="64" customWidth="1"/>
    <col min="2" max="8" width="14.28515625" style="64" customWidth="1"/>
    <col min="9" max="9" width="12" style="64" customWidth="1"/>
    <col min="10" max="14" width="14.28515625" style="64" customWidth="1"/>
    <col min="15" max="15" width="9.140625" style="64"/>
    <col min="16" max="16" width="12" style="64" hidden="1" customWidth="1" outlineLevel="1"/>
    <col min="17" max="18" width="10" style="64" hidden="1" customWidth="1" outlineLevel="1"/>
    <col min="19" max="26" width="9.140625" style="64" hidden="1" customWidth="1" outlineLevel="1"/>
    <col min="27" max="27" width="9.140625" style="64" collapsed="1"/>
    <col min="28" max="16384" width="9.140625" style="64"/>
  </cols>
  <sheetData>
    <row r="1" spans="1:26">
      <c r="A1" s="66" t="s">
        <v>2092</v>
      </c>
    </row>
    <row r="2" spans="1:26">
      <c r="B2" s="107" t="s">
        <v>206</v>
      </c>
      <c r="C2" s="107"/>
      <c r="D2" s="107"/>
      <c r="E2" s="107"/>
      <c r="F2" s="107"/>
      <c r="G2" s="107"/>
      <c r="H2" s="107" t="s">
        <v>2106</v>
      </c>
      <c r="I2" s="107"/>
      <c r="J2" s="107"/>
      <c r="K2" s="107"/>
      <c r="L2" s="107"/>
      <c r="M2" s="107"/>
      <c r="N2" s="107"/>
    </row>
    <row r="3" spans="1:26" ht="60">
      <c r="B3" s="73" t="s">
        <v>7</v>
      </c>
      <c r="C3" s="73" t="s">
        <v>0</v>
      </c>
      <c r="D3" s="73" t="s">
        <v>1</v>
      </c>
      <c r="E3" s="73" t="s">
        <v>678</v>
      </c>
      <c r="F3" s="73" t="s">
        <v>13</v>
      </c>
      <c r="G3" s="73" t="s">
        <v>19</v>
      </c>
      <c r="H3" s="73" t="s">
        <v>7</v>
      </c>
      <c r="I3" s="73" t="s">
        <v>37</v>
      </c>
      <c r="J3" s="73" t="s">
        <v>0</v>
      </c>
      <c r="K3" s="73" t="s">
        <v>1</v>
      </c>
      <c r="L3" s="73" t="s">
        <v>678</v>
      </c>
      <c r="M3" s="73" t="s">
        <v>13</v>
      </c>
      <c r="N3" s="73" t="s">
        <v>19</v>
      </c>
      <c r="P3" s="64" t="s">
        <v>336</v>
      </c>
      <c r="Q3" s="64" t="s">
        <v>337</v>
      </c>
      <c r="R3" s="64" t="s">
        <v>338</v>
      </c>
      <c r="S3" s="64" t="s">
        <v>339</v>
      </c>
      <c r="T3" s="64" t="s">
        <v>340</v>
      </c>
      <c r="V3" s="64" t="s">
        <v>331</v>
      </c>
      <c r="W3" s="64" t="s">
        <v>332</v>
      </c>
      <c r="X3" s="64" t="s">
        <v>333</v>
      </c>
      <c r="Y3" s="64" t="s">
        <v>334</v>
      </c>
      <c r="Z3" s="64" t="s">
        <v>335</v>
      </c>
    </row>
    <row r="4" spans="1:26" hidden="1" outlineLevel="1">
      <c r="P4" s="64" t="s">
        <v>346</v>
      </c>
      <c r="Q4" s="64" t="s">
        <v>347</v>
      </c>
      <c r="R4" s="64" t="s">
        <v>348</v>
      </c>
      <c r="S4" s="64" t="s">
        <v>349</v>
      </c>
      <c r="T4" s="64" t="s">
        <v>350</v>
      </c>
      <c r="V4" s="64" t="s">
        <v>341</v>
      </c>
      <c r="W4" s="64" t="s">
        <v>342</v>
      </c>
      <c r="X4" s="64" t="s">
        <v>343</v>
      </c>
      <c r="Y4" s="64" t="s">
        <v>344</v>
      </c>
      <c r="Z4" s="64" t="s">
        <v>345</v>
      </c>
    </row>
    <row r="5" spans="1:26" collapsed="1">
      <c r="A5" s="64">
        <v>1984</v>
      </c>
      <c r="B5" s="56">
        <v>63974.400000000001</v>
      </c>
      <c r="C5" s="56">
        <v>40.9</v>
      </c>
      <c r="D5" s="56" t="s">
        <v>188</v>
      </c>
      <c r="E5" s="56" t="s">
        <v>188</v>
      </c>
      <c r="F5" s="56" t="s">
        <v>188</v>
      </c>
      <c r="G5" s="56" t="s">
        <v>188</v>
      </c>
      <c r="H5" s="56">
        <f t="shared" ref="H5:H26" si="0">H6*(1/Q35)</f>
        <v>79860.136370860142</v>
      </c>
      <c r="I5" s="56" t="s">
        <v>22</v>
      </c>
      <c r="J5" s="56">
        <f t="shared" ref="J5:K20" si="1">J6/(1/R35)</f>
        <v>1445.6135239372195</v>
      </c>
      <c r="K5" s="56" t="s">
        <v>22</v>
      </c>
      <c r="L5" s="56" t="s">
        <v>22</v>
      </c>
      <c r="M5" s="56" t="s">
        <v>22</v>
      </c>
      <c r="N5" s="56" t="s">
        <v>22</v>
      </c>
      <c r="V5" s="64">
        <v>66563500000</v>
      </c>
      <c r="W5" s="64">
        <v>80600000</v>
      </c>
      <c r="X5" s="64" t="s">
        <v>188</v>
      </c>
      <c r="Y5" s="64" t="s">
        <v>188</v>
      </c>
      <c r="Z5" s="64" t="s">
        <v>188</v>
      </c>
    </row>
    <row r="6" spans="1:26">
      <c r="A6" s="64">
        <v>1985</v>
      </c>
      <c r="B6" s="56">
        <v>68030.899999999994</v>
      </c>
      <c r="C6" s="56">
        <v>41.4</v>
      </c>
      <c r="D6" s="56">
        <v>181.3</v>
      </c>
      <c r="E6" s="56" t="s">
        <v>188</v>
      </c>
      <c r="F6" s="56" t="s">
        <v>188</v>
      </c>
      <c r="G6" s="56" t="s">
        <v>188</v>
      </c>
      <c r="H6" s="56">
        <f t="shared" si="0"/>
        <v>85187.784730222877</v>
      </c>
      <c r="I6" s="56" t="s">
        <v>22</v>
      </c>
      <c r="J6" s="56">
        <f t="shared" si="1"/>
        <v>1422.6672775255176</v>
      </c>
      <c r="K6" s="56">
        <f t="shared" si="1"/>
        <v>4963.4729361870022</v>
      </c>
      <c r="L6" s="56" t="s">
        <v>22</v>
      </c>
      <c r="M6" s="56" t="s">
        <v>22</v>
      </c>
      <c r="N6" s="56" t="s">
        <v>22</v>
      </c>
      <c r="V6" s="64">
        <v>71004100000</v>
      </c>
      <c r="W6" s="64">
        <v>81900000</v>
      </c>
      <c r="X6" s="64">
        <v>322900000</v>
      </c>
      <c r="Y6" s="64" t="s">
        <v>188</v>
      </c>
      <c r="Z6" s="64" t="s">
        <v>188</v>
      </c>
    </row>
    <row r="7" spans="1:26">
      <c r="A7" s="64">
        <v>1986</v>
      </c>
      <c r="B7" s="56">
        <v>59151.6</v>
      </c>
      <c r="C7" s="56">
        <v>55.9</v>
      </c>
      <c r="D7" s="56">
        <v>233.3</v>
      </c>
      <c r="E7" s="56" t="s">
        <v>188</v>
      </c>
      <c r="F7" s="56" t="s">
        <v>188</v>
      </c>
      <c r="G7" s="56" t="s">
        <v>188</v>
      </c>
      <c r="H7" s="56">
        <f t="shared" si="0"/>
        <v>83163.071995173435</v>
      </c>
      <c r="I7" s="56" t="s">
        <v>22</v>
      </c>
      <c r="J7" s="56">
        <f t="shared" si="1"/>
        <v>1211.1897092446975</v>
      </c>
      <c r="K7" s="56">
        <f t="shared" si="1"/>
        <v>4537.6710393397025</v>
      </c>
      <c r="L7" s="56" t="s">
        <v>22</v>
      </c>
      <c r="M7" s="56" t="s">
        <v>22</v>
      </c>
      <c r="N7" s="56" t="s">
        <v>22</v>
      </c>
      <c r="V7" s="64">
        <v>69316500000</v>
      </c>
      <c r="W7" s="64">
        <v>96200000</v>
      </c>
      <c r="X7" s="64">
        <v>353200000</v>
      </c>
      <c r="Y7" s="64" t="s">
        <v>188</v>
      </c>
      <c r="Z7" s="64" t="s">
        <v>188</v>
      </c>
    </row>
    <row r="8" spans="1:26">
      <c r="A8" s="64">
        <v>1987</v>
      </c>
      <c r="B8" s="56">
        <v>60725.8</v>
      </c>
      <c r="C8" s="56">
        <v>69.2</v>
      </c>
      <c r="D8" s="56">
        <v>263.39999999999998</v>
      </c>
      <c r="E8" s="56" t="s">
        <v>188</v>
      </c>
      <c r="F8" s="56" t="s">
        <v>188</v>
      </c>
      <c r="G8" s="56" t="s">
        <v>188</v>
      </c>
      <c r="H8" s="56">
        <f t="shared" si="0"/>
        <v>83613.461400682776</v>
      </c>
      <c r="I8" s="56" t="s">
        <v>22</v>
      </c>
      <c r="J8" s="56">
        <f t="shared" si="1"/>
        <v>1021.1783525796661</v>
      </c>
      <c r="K8" s="56">
        <f t="shared" si="1"/>
        <v>4041.1129881361139</v>
      </c>
      <c r="L8" s="56" t="s">
        <v>22</v>
      </c>
      <c r="M8" s="56" t="s">
        <v>22</v>
      </c>
      <c r="N8" s="56" t="s">
        <v>22</v>
      </c>
      <c r="V8" s="64">
        <v>69691900000</v>
      </c>
      <c r="W8" s="64">
        <v>114100000</v>
      </c>
      <c r="X8" s="64">
        <v>396600000</v>
      </c>
      <c r="Y8" s="64" t="s">
        <v>188</v>
      </c>
      <c r="Z8" s="64" t="s">
        <v>188</v>
      </c>
    </row>
    <row r="9" spans="1:26">
      <c r="A9" s="64">
        <v>1988</v>
      </c>
      <c r="B9" s="56">
        <v>63292</v>
      </c>
      <c r="C9" s="56">
        <v>80.2</v>
      </c>
      <c r="D9" s="56">
        <v>258.8</v>
      </c>
      <c r="E9" s="56" t="s">
        <v>188</v>
      </c>
      <c r="F9" s="56" t="s">
        <v>188</v>
      </c>
      <c r="G9" s="56" t="s">
        <v>188</v>
      </c>
      <c r="H9" s="56">
        <f t="shared" si="0"/>
        <v>88971.583630317065</v>
      </c>
      <c r="I9" s="56" t="s">
        <v>22</v>
      </c>
      <c r="J9" s="56">
        <f t="shared" si="1"/>
        <v>981.6044652850876</v>
      </c>
      <c r="K9" s="56">
        <f t="shared" si="1"/>
        <v>3530.9658759523741</v>
      </c>
      <c r="L9" s="56" t="s">
        <v>22</v>
      </c>
      <c r="M9" s="56" t="s">
        <v>22</v>
      </c>
      <c r="N9" s="56" t="s">
        <v>22</v>
      </c>
      <c r="V9" s="64">
        <v>74157900000</v>
      </c>
      <c r="W9" s="64">
        <v>118700000</v>
      </c>
      <c r="X9" s="64">
        <v>453900000</v>
      </c>
      <c r="Y9" s="64" t="s">
        <v>188</v>
      </c>
      <c r="Z9" s="64" t="s">
        <v>188</v>
      </c>
    </row>
    <row r="10" spans="1:26">
      <c r="A10" s="64">
        <v>1989</v>
      </c>
      <c r="B10" s="56">
        <v>65960.600000000006</v>
      </c>
      <c r="C10" s="56">
        <v>89.9</v>
      </c>
      <c r="D10" s="56">
        <v>290.89999999999998</v>
      </c>
      <c r="E10" s="56" t="s">
        <v>188</v>
      </c>
      <c r="F10" s="56">
        <v>205.5</v>
      </c>
      <c r="G10" s="56" t="s">
        <v>188</v>
      </c>
      <c r="H10" s="56">
        <f t="shared" si="0"/>
        <v>89495.638218293825</v>
      </c>
      <c r="I10" s="56" t="s">
        <v>22</v>
      </c>
      <c r="J10" s="56">
        <f t="shared" si="1"/>
        <v>914.5718212664043</v>
      </c>
      <c r="K10" s="56">
        <f t="shared" si="1"/>
        <v>3425.316116894171</v>
      </c>
      <c r="L10" s="56" t="s">
        <v>22</v>
      </c>
      <c r="M10" s="56" t="s">
        <v>22</v>
      </c>
      <c r="N10" s="56" t="s">
        <v>22</v>
      </c>
      <c r="V10" s="64">
        <v>74594700000</v>
      </c>
      <c r="W10" s="64">
        <v>127400000</v>
      </c>
      <c r="X10" s="64">
        <v>467900000</v>
      </c>
      <c r="Y10" s="64">
        <v>96000000</v>
      </c>
      <c r="Z10" s="64" t="s">
        <v>188</v>
      </c>
    </row>
    <row r="11" spans="1:26">
      <c r="A11" s="64">
        <v>1990</v>
      </c>
      <c r="B11" s="56">
        <v>72350</v>
      </c>
      <c r="C11" s="56">
        <v>90.8</v>
      </c>
      <c r="D11" s="56">
        <v>298.2</v>
      </c>
      <c r="E11" s="56" t="s">
        <v>188</v>
      </c>
      <c r="F11" s="56">
        <v>288.5</v>
      </c>
      <c r="G11" s="56" t="s">
        <v>188</v>
      </c>
      <c r="H11" s="56">
        <f t="shared" si="0"/>
        <v>92084.837408570078</v>
      </c>
      <c r="I11" s="56" t="s">
        <v>22</v>
      </c>
      <c r="J11" s="56">
        <f t="shared" si="1"/>
        <v>914.5718212664043</v>
      </c>
      <c r="K11" s="56">
        <f t="shared" si="1"/>
        <v>3178.7096610368558</v>
      </c>
      <c r="L11" s="56" t="s">
        <v>22</v>
      </c>
      <c r="M11" s="56" t="s">
        <v>22</v>
      </c>
      <c r="N11" s="56" t="s">
        <v>22</v>
      </c>
      <c r="V11" s="64">
        <v>76752800000</v>
      </c>
      <c r="W11" s="64">
        <v>127400000</v>
      </c>
      <c r="X11" s="64">
        <v>504200000</v>
      </c>
      <c r="Y11" s="64">
        <v>167900000</v>
      </c>
      <c r="Z11" s="64" t="s">
        <v>188</v>
      </c>
    </row>
    <row r="12" spans="1:26">
      <c r="A12" s="64">
        <v>1991</v>
      </c>
      <c r="B12" s="56">
        <v>71664.600000000006</v>
      </c>
      <c r="C12" s="56">
        <v>116.9</v>
      </c>
      <c r="D12" s="56">
        <v>267</v>
      </c>
      <c r="E12" s="56">
        <f t="shared" ref="E12:E25" si="2">SUM(F12:G12)</f>
        <v>268.3</v>
      </c>
      <c r="F12" s="56">
        <v>219.6</v>
      </c>
      <c r="G12" s="56">
        <v>48.7</v>
      </c>
      <c r="H12" s="56">
        <f t="shared" si="0"/>
        <v>93369.778946397724</v>
      </c>
      <c r="I12" s="56" t="s">
        <v>22</v>
      </c>
      <c r="J12" s="56">
        <f t="shared" si="1"/>
        <v>721.91109064027205</v>
      </c>
      <c r="K12" s="56">
        <f t="shared" si="1"/>
        <v>3628.4931199791322</v>
      </c>
      <c r="L12" s="56" t="s">
        <v>22</v>
      </c>
      <c r="M12" s="56" t="s">
        <v>22</v>
      </c>
      <c r="N12" s="56" t="s">
        <v>22</v>
      </c>
      <c r="V12" s="64">
        <v>77823800000</v>
      </c>
      <c r="W12" s="64">
        <v>161400000</v>
      </c>
      <c r="X12" s="64">
        <v>441700000</v>
      </c>
      <c r="Y12" s="64">
        <v>254900000</v>
      </c>
      <c r="Z12" s="64">
        <v>57400000</v>
      </c>
    </row>
    <row r="13" spans="1:26">
      <c r="A13" s="64">
        <v>1992</v>
      </c>
      <c r="B13" s="56">
        <v>72469.5</v>
      </c>
      <c r="C13" s="56">
        <v>120.5</v>
      </c>
      <c r="D13" s="56">
        <v>334.3</v>
      </c>
      <c r="E13" s="56">
        <f t="shared" si="2"/>
        <v>278.7</v>
      </c>
      <c r="F13" s="56">
        <v>233.8</v>
      </c>
      <c r="G13" s="56">
        <v>44.9</v>
      </c>
      <c r="H13" s="56">
        <f t="shared" si="0"/>
        <v>94551.18131082246</v>
      </c>
      <c r="I13" s="56" t="s">
        <v>22</v>
      </c>
      <c r="J13" s="56">
        <f t="shared" si="1"/>
        <v>781.46512427458015</v>
      </c>
      <c r="K13" s="56">
        <f t="shared" si="1"/>
        <v>3458.5787895873605</v>
      </c>
      <c r="L13" s="56" t="s">
        <v>22</v>
      </c>
      <c r="M13" s="56" t="s">
        <v>22</v>
      </c>
      <c r="N13" s="56" t="s">
        <v>22</v>
      </c>
      <c r="V13" s="64">
        <v>78808500000</v>
      </c>
      <c r="W13" s="64">
        <v>149100000</v>
      </c>
      <c r="X13" s="64">
        <v>463400000</v>
      </c>
      <c r="Y13" s="64">
        <v>308000000</v>
      </c>
      <c r="Z13" s="64">
        <v>51200000</v>
      </c>
    </row>
    <row r="14" spans="1:26">
      <c r="A14" s="64">
        <v>1993</v>
      </c>
      <c r="B14" s="56">
        <v>78185.899999999994</v>
      </c>
      <c r="C14" s="56">
        <v>138.80000000000001</v>
      </c>
      <c r="D14" s="56">
        <v>590.79999999999995</v>
      </c>
      <c r="E14" s="56">
        <f t="shared" si="2"/>
        <v>286.60000000000002</v>
      </c>
      <c r="F14" s="56">
        <v>235.9</v>
      </c>
      <c r="G14" s="56">
        <v>50.7</v>
      </c>
      <c r="H14" s="56">
        <f t="shared" si="0"/>
        <v>100510.9825145189</v>
      </c>
      <c r="I14" s="56" t="s">
        <v>22</v>
      </c>
      <c r="J14" s="56">
        <f t="shared" si="1"/>
        <v>808.01976441983288</v>
      </c>
      <c r="K14" s="56">
        <f t="shared" si="1"/>
        <v>2701.7960402811577</v>
      </c>
      <c r="L14" s="56" t="s">
        <v>22</v>
      </c>
      <c r="M14" s="56" t="s">
        <v>22</v>
      </c>
      <c r="N14" s="56" t="s">
        <v>22</v>
      </c>
      <c r="V14" s="64">
        <v>83776000000</v>
      </c>
      <c r="W14" s="64">
        <v>144200000</v>
      </c>
      <c r="X14" s="64">
        <v>593200000</v>
      </c>
      <c r="Y14" s="64">
        <v>357200000</v>
      </c>
      <c r="Z14" s="64">
        <v>58000000</v>
      </c>
    </row>
    <row r="15" spans="1:26">
      <c r="A15" s="64">
        <v>1994</v>
      </c>
      <c r="B15" s="56">
        <v>85152.8</v>
      </c>
      <c r="C15" s="56">
        <v>188.9</v>
      </c>
      <c r="D15" s="56">
        <v>749.3</v>
      </c>
      <c r="E15" s="56">
        <f t="shared" si="2"/>
        <v>533.6</v>
      </c>
      <c r="F15" s="56">
        <v>459.4</v>
      </c>
      <c r="G15" s="56">
        <v>74.2</v>
      </c>
      <c r="H15" s="56">
        <f t="shared" si="0"/>
        <v>107810.3142756239</v>
      </c>
      <c r="I15" s="56" t="s">
        <v>22</v>
      </c>
      <c r="J15" s="56">
        <f t="shared" si="1"/>
        <v>613.89067454868223</v>
      </c>
      <c r="K15" s="56">
        <f t="shared" si="1"/>
        <v>2747.1810269022671</v>
      </c>
      <c r="L15" s="56" t="s">
        <v>22</v>
      </c>
      <c r="M15" s="56" t="s">
        <v>22</v>
      </c>
      <c r="N15" s="56" t="s">
        <v>22</v>
      </c>
      <c r="V15" s="64">
        <v>89860000000</v>
      </c>
      <c r="W15" s="64">
        <v>189800000</v>
      </c>
      <c r="X15" s="64">
        <v>583400000</v>
      </c>
      <c r="Y15" s="64">
        <v>381700000</v>
      </c>
      <c r="Z15" s="64">
        <v>78200000</v>
      </c>
    </row>
    <row r="16" spans="1:26">
      <c r="A16" s="64">
        <v>1995</v>
      </c>
      <c r="B16" s="56">
        <v>88765</v>
      </c>
      <c r="C16" s="56">
        <v>270.2</v>
      </c>
      <c r="D16" s="56">
        <v>734.2</v>
      </c>
      <c r="E16" s="56">
        <f t="shared" si="2"/>
        <v>972.5</v>
      </c>
      <c r="F16" s="56">
        <v>972.5</v>
      </c>
      <c r="G16" s="56" t="s">
        <v>188</v>
      </c>
      <c r="H16" s="56">
        <f t="shared" si="0"/>
        <v>110453.02270267617</v>
      </c>
      <c r="I16" s="56" t="s">
        <v>22</v>
      </c>
      <c r="J16" s="56">
        <f t="shared" si="1"/>
        <v>478.50698163999954</v>
      </c>
      <c r="K16" s="56">
        <f t="shared" si="1"/>
        <v>2458.8913947449873</v>
      </c>
      <c r="L16" s="56" t="s">
        <v>22</v>
      </c>
      <c r="M16" s="56" t="s">
        <v>22</v>
      </c>
      <c r="N16" s="56" t="s">
        <v>22</v>
      </c>
      <c r="V16" s="64">
        <v>92062700000</v>
      </c>
      <c r="W16" s="64">
        <v>243500000</v>
      </c>
      <c r="X16" s="64">
        <v>651800000</v>
      </c>
      <c r="Y16" s="64">
        <v>353300000</v>
      </c>
      <c r="Z16" s="64" t="s">
        <v>188</v>
      </c>
    </row>
    <row r="17" spans="1:26">
      <c r="A17" s="64">
        <v>1996</v>
      </c>
      <c r="B17" s="56">
        <v>95512.9</v>
      </c>
      <c r="C17" s="56">
        <v>223.5</v>
      </c>
      <c r="D17" s="56">
        <v>830.3</v>
      </c>
      <c r="E17" s="56">
        <f t="shared" si="2"/>
        <v>554.70000000000005</v>
      </c>
      <c r="F17" s="56">
        <v>554.70000000000005</v>
      </c>
      <c r="G17" s="56" t="s">
        <v>188</v>
      </c>
      <c r="H17" s="56">
        <f t="shared" si="0"/>
        <v>113188.95237855123</v>
      </c>
      <c r="I17" s="56" t="s">
        <v>22</v>
      </c>
      <c r="J17" s="56">
        <f>J18/(1/R47)</f>
        <v>499.85607048193862</v>
      </c>
      <c r="K17" s="56">
        <f t="shared" si="1"/>
        <v>2185.0107854052935</v>
      </c>
      <c r="L17" s="56" t="s">
        <v>22</v>
      </c>
      <c r="M17" s="56" t="s">
        <v>22</v>
      </c>
      <c r="N17" s="56" t="s">
        <v>22</v>
      </c>
      <c r="V17" s="64">
        <v>94343100000</v>
      </c>
      <c r="W17" s="64">
        <v>233100000</v>
      </c>
      <c r="X17" s="64">
        <v>733500000</v>
      </c>
      <c r="Y17" s="64">
        <v>467900000</v>
      </c>
      <c r="Z17" s="64" t="s">
        <v>188</v>
      </c>
    </row>
    <row r="18" spans="1:26">
      <c r="A18" s="64">
        <v>1997</v>
      </c>
      <c r="B18" s="56">
        <v>101936</v>
      </c>
      <c r="C18" s="56">
        <v>231.1</v>
      </c>
      <c r="D18" s="56">
        <v>810.8</v>
      </c>
      <c r="E18" s="56" t="s">
        <v>188</v>
      </c>
      <c r="F18" s="56" t="s">
        <v>188</v>
      </c>
      <c r="G18" s="56" t="s">
        <v>188</v>
      </c>
      <c r="H18" s="56">
        <f t="shared" si="0"/>
        <v>122298.59999999998</v>
      </c>
      <c r="I18" s="56" t="s">
        <v>22</v>
      </c>
      <c r="J18" s="56">
        <f t="shared" si="1"/>
        <v>504.18195599022022</v>
      </c>
      <c r="K18" s="56">
        <f t="shared" si="1"/>
        <v>1976.6963629684051</v>
      </c>
      <c r="L18" s="56" t="s">
        <v>188</v>
      </c>
      <c r="M18" s="56" t="s">
        <v>188</v>
      </c>
      <c r="N18" s="56" t="s">
        <v>188</v>
      </c>
      <c r="P18" s="32">
        <v>122298.6</v>
      </c>
      <c r="Q18" s="32">
        <v>204.5</v>
      </c>
      <c r="R18" s="32">
        <v>816.6</v>
      </c>
      <c r="S18" s="32" t="s">
        <v>188</v>
      </c>
      <c r="T18" s="32" t="s">
        <v>188</v>
      </c>
      <c r="V18" s="64">
        <v>101936000000</v>
      </c>
      <c r="W18" s="64">
        <v>231100000</v>
      </c>
      <c r="X18" s="64">
        <v>810800000</v>
      </c>
      <c r="Y18" s="64" t="s">
        <v>188</v>
      </c>
      <c r="Z18" s="64" t="s">
        <v>188</v>
      </c>
    </row>
    <row r="19" spans="1:26">
      <c r="A19" s="64">
        <v>1998</v>
      </c>
      <c r="B19" s="56">
        <v>102138.6</v>
      </c>
      <c r="C19" s="56">
        <v>218.4</v>
      </c>
      <c r="D19" s="56">
        <v>873.3</v>
      </c>
      <c r="E19" s="56" t="s">
        <v>188</v>
      </c>
      <c r="F19" s="56" t="s">
        <v>188</v>
      </c>
      <c r="G19" s="56" t="s">
        <v>188</v>
      </c>
      <c r="H19" s="56">
        <f t="shared" si="0"/>
        <v>128000.89999999995</v>
      </c>
      <c r="I19" s="56" t="s">
        <v>22</v>
      </c>
      <c r="J19" s="56">
        <f t="shared" si="1"/>
        <v>549.60133262260149</v>
      </c>
      <c r="K19" s="56">
        <f t="shared" si="1"/>
        <v>1781.0551142005957</v>
      </c>
      <c r="L19" s="56" t="s">
        <v>188</v>
      </c>
      <c r="M19" s="56" t="s">
        <v>188</v>
      </c>
      <c r="N19" s="56" t="s">
        <v>188</v>
      </c>
      <c r="P19" s="32">
        <v>128000.9</v>
      </c>
      <c r="Q19" s="32">
        <v>187.6</v>
      </c>
      <c r="R19" s="32">
        <v>906.3</v>
      </c>
      <c r="S19" s="32" t="s">
        <v>188</v>
      </c>
      <c r="T19" s="32" t="s">
        <v>188</v>
      </c>
      <c r="V19" s="64">
        <v>106845000000</v>
      </c>
      <c r="W19" s="64">
        <v>212000000</v>
      </c>
      <c r="X19" s="64">
        <v>902000000</v>
      </c>
      <c r="Y19" s="64" t="s">
        <v>188</v>
      </c>
      <c r="Z19" s="64" t="s">
        <v>188</v>
      </c>
    </row>
    <row r="20" spans="1:26">
      <c r="A20" s="64">
        <v>1999</v>
      </c>
      <c r="B20" s="56">
        <v>111505.9</v>
      </c>
      <c r="C20" s="56">
        <v>224.2</v>
      </c>
      <c r="D20" s="56">
        <v>1211.3</v>
      </c>
      <c r="E20" s="56">
        <f t="shared" si="2"/>
        <v>721</v>
      </c>
      <c r="F20" s="56">
        <v>627.6</v>
      </c>
      <c r="G20" s="56">
        <v>93.4</v>
      </c>
      <c r="H20" s="56">
        <f t="shared" si="0"/>
        <v>130697.49999999996</v>
      </c>
      <c r="I20" s="56">
        <f t="shared" ref="I20:I26" si="3">SUM(J20:L20)</f>
        <v>2643.9084636365474</v>
      </c>
      <c r="J20" s="56">
        <f t="shared" si="1"/>
        <v>466.96200181159429</v>
      </c>
      <c r="K20" s="56">
        <f t="shared" si="1"/>
        <v>1669.9464618249531</v>
      </c>
      <c r="L20" s="56">
        <f t="shared" ref="L20:L26" si="4">SUM(M20:N20)</f>
        <v>507</v>
      </c>
      <c r="M20" s="56">
        <f t="shared" ref="M20:N20" si="5">M21*(1/T50)</f>
        <v>403.7</v>
      </c>
      <c r="N20" s="56">
        <f t="shared" si="5"/>
        <v>103.30000000000001</v>
      </c>
      <c r="P20" s="32">
        <v>130697.5</v>
      </c>
      <c r="Q20" s="32">
        <v>220.8</v>
      </c>
      <c r="R20" s="32">
        <v>966.6</v>
      </c>
      <c r="S20" s="32">
        <v>403.7</v>
      </c>
      <c r="T20" s="32">
        <v>103.3</v>
      </c>
    </row>
    <row r="21" spans="1:26">
      <c r="A21" s="64">
        <v>2000</v>
      </c>
      <c r="B21" s="56">
        <v>139045</v>
      </c>
      <c r="C21" s="56">
        <v>320.89999999999998</v>
      </c>
      <c r="D21" s="56">
        <v>1221.5999999999999</v>
      </c>
      <c r="E21" s="56">
        <f t="shared" si="2"/>
        <v>905.3</v>
      </c>
      <c r="F21" s="56">
        <v>819</v>
      </c>
      <c r="G21" s="56">
        <v>86.3</v>
      </c>
      <c r="H21" s="56">
        <f t="shared" si="0"/>
        <v>139171.49999999997</v>
      </c>
      <c r="I21" s="56">
        <f t="shared" si="3"/>
        <v>2340.1065053866041</v>
      </c>
      <c r="J21" s="56">
        <f t="shared" ref="J21:K26" si="6">J22/(1/R51)</f>
        <v>344.25779632721208</v>
      </c>
      <c r="K21" s="56">
        <f t="shared" si="6"/>
        <v>1472.6487090593921</v>
      </c>
      <c r="L21" s="56">
        <f t="shared" si="4"/>
        <v>523.20000000000005</v>
      </c>
      <c r="M21" s="56">
        <f t="shared" ref="M21:N25" si="7">M22*(1/T51)</f>
        <v>434.6</v>
      </c>
      <c r="N21" s="56">
        <f t="shared" si="7"/>
        <v>88.600000000000009</v>
      </c>
      <c r="P21" s="32">
        <v>139171.5</v>
      </c>
      <c r="Q21" s="32">
        <v>299.5</v>
      </c>
      <c r="R21" s="32">
        <v>1096.0999999999999</v>
      </c>
      <c r="S21" s="32">
        <v>434.6</v>
      </c>
      <c r="T21" s="32">
        <v>88.6</v>
      </c>
    </row>
    <row r="22" spans="1:26">
      <c r="A22" s="64">
        <v>2001</v>
      </c>
      <c r="B22" s="56">
        <v>148393.29999999999</v>
      </c>
      <c r="C22" s="56">
        <v>302.39999999999998</v>
      </c>
      <c r="D22" s="56">
        <v>1119.5</v>
      </c>
      <c r="E22" s="56">
        <f t="shared" si="2"/>
        <v>590.1</v>
      </c>
      <c r="F22" s="56">
        <v>498.8</v>
      </c>
      <c r="G22" s="56">
        <v>91.3</v>
      </c>
      <c r="H22" s="56">
        <f t="shared" si="0"/>
        <v>141904.99999999997</v>
      </c>
      <c r="I22" s="56">
        <f t="shared" si="3"/>
        <v>2268.0443033710744</v>
      </c>
      <c r="J22" s="56">
        <f t="shared" si="6"/>
        <v>336.61511589944502</v>
      </c>
      <c r="K22" s="56">
        <f t="shared" si="6"/>
        <v>1465.4291874716291</v>
      </c>
      <c r="L22" s="56">
        <f t="shared" si="4"/>
        <v>466.00000000000006</v>
      </c>
      <c r="M22" s="56">
        <f t="shared" si="7"/>
        <v>381.6</v>
      </c>
      <c r="N22" s="56">
        <f t="shared" si="7"/>
        <v>84.40000000000002</v>
      </c>
      <c r="P22" s="32">
        <v>141905</v>
      </c>
      <c r="Q22" s="32">
        <v>306.3</v>
      </c>
      <c r="R22" s="32">
        <v>1101.5</v>
      </c>
      <c r="S22" s="32">
        <v>381.6</v>
      </c>
      <c r="T22" s="32">
        <v>84.4</v>
      </c>
    </row>
    <row r="23" spans="1:26">
      <c r="A23" s="64">
        <v>2002</v>
      </c>
      <c r="B23" s="56">
        <v>144266.20000000001</v>
      </c>
      <c r="C23" s="56">
        <v>341.2</v>
      </c>
      <c r="D23" s="56">
        <v>1205.5999999999999</v>
      </c>
      <c r="E23" s="56">
        <f t="shared" si="2"/>
        <v>493.6</v>
      </c>
      <c r="F23" s="56">
        <v>393.3</v>
      </c>
      <c r="G23" s="56">
        <v>100.3</v>
      </c>
      <c r="H23" s="56">
        <f t="shared" si="0"/>
        <v>144266.19999999998</v>
      </c>
      <c r="I23" s="56">
        <f t="shared" si="3"/>
        <v>2134.6777899598665</v>
      </c>
      <c r="J23" s="56">
        <f t="shared" si="6"/>
        <v>302.18408558030484</v>
      </c>
      <c r="K23" s="56">
        <f t="shared" si="6"/>
        <v>1338.8937043795618</v>
      </c>
      <c r="L23" s="56">
        <f t="shared" si="4"/>
        <v>493.6</v>
      </c>
      <c r="M23" s="56">
        <f t="shared" si="7"/>
        <v>393.3</v>
      </c>
      <c r="N23" s="56">
        <f t="shared" si="7"/>
        <v>100.30000000000003</v>
      </c>
      <c r="P23" s="32">
        <v>144266.20000000001</v>
      </c>
      <c r="Q23" s="32">
        <v>341.2</v>
      </c>
      <c r="R23" s="32">
        <v>1205.5999999999999</v>
      </c>
      <c r="S23" s="32">
        <v>393.3</v>
      </c>
      <c r="T23" s="32">
        <v>100.3</v>
      </c>
    </row>
    <row r="24" spans="1:26">
      <c r="A24" s="64">
        <v>2003</v>
      </c>
      <c r="B24" s="56">
        <v>163676.20000000001</v>
      </c>
      <c r="C24" s="56">
        <v>335.6</v>
      </c>
      <c r="D24" s="56">
        <v>1235.0999999999999</v>
      </c>
      <c r="E24" s="56">
        <f t="shared" si="2"/>
        <v>474.9</v>
      </c>
      <c r="F24" s="56">
        <v>380.2</v>
      </c>
      <c r="G24" s="56">
        <v>94.7</v>
      </c>
      <c r="H24" s="56">
        <f t="shared" si="0"/>
        <v>148952.99999999997</v>
      </c>
      <c r="I24" s="56">
        <f t="shared" si="3"/>
        <v>2140.3583874239621</v>
      </c>
      <c r="J24" s="56">
        <f t="shared" si="6"/>
        <v>298.5960324355633</v>
      </c>
      <c r="K24" s="56">
        <f t="shared" si="6"/>
        <v>1337.562354988399</v>
      </c>
      <c r="L24" s="56">
        <f t="shared" si="4"/>
        <v>504.2</v>
      </c>
      <c r="M24" s="56">
        <f t="shared" si="7"/>
        <v>412.7</v>
      </c>
      <c r="N24" s="56">
        <f t="shared" si="7"/>
        <v>91.500000000000014</v>
      </c>
      <c r="P24" s="32">
        <v>148953</v>
      </c>
      <c r="Q24" s="32">
        <v>345.3</v>
      </c>
      <c r="R24" s="32">
        <v>1206.8</v>
      </c>
      <c r="S24" s="32">
        <v>412.7</v>
      </c>
      <c r="T24" s="32">
        <v>91.5</v>
      </c>
    </row>
    <row r="25" spans="1:26">
      <c r="A25" s="64">
        <v>2004</v>
      </c>
      <c r="B25" s="56">
        <v>183009.4</v>
      </c>
      <c r="C25" s="56">
        <v>371.3</v>
      </c>
      <c r="D25" s="56">
        <v>1678.7</v>
      </c>
      <c r="E25" s="56">
        <f t="shared" si="2"/>
        <v>517.70000000000005</v>
      </c>
      <c r="F25" s="56">
        <v>418.3</v>
      </c>
      <c r="G25" s="56">
        <v>99.4</v>
      </c>
      <c r="H25" s="56">
        <f t="shared" si="0"/>
        <v>157088.09999999998</v>
      </c>
      <c r="I25" s="56">
        <f t="shared" si="3"/>
        <v>2005.4387428037921</v>
      </c>
      <c r="J25" s="56">
        <f t="shared" si="6"/>
        <v>291.09319593450033</v>
      </c>
      <c r="K25" s="56">
        <f t="shared" si="6"/>
        <v>1179.3455468692919</v>
      </c>
      <c r="L25" s="56">
        <f t="shared" si="4"/>
        <v>535</v>
      </c>
      <c r="M25" s="56">
        <f t="shared" si="7"/>
        <v>444.3</v>
      </c>
      <c r="N25" s="56">
        <f t="shared" si="7"/>
        <v>90.700000000000017</v>
      </c>
      <c r="P25" s="32">
        <v>157088.1</v>
      </c>
      <c r="Q25" s="32">
        <v>354.2</v>
      </c>
      <c r="R25" s="32">
        <v>1368.7</v>
      </c>
      <c r="S25" s="32">
        <v>444.3</v>
      </c>
      <c r="T25" s="32">
        <v>90.7</v>
      </c>
    </row>
    <row r="26" spans="1:26">
      <c r="A26" s="64">
        <v>2005</v>
      </c>
      <c r="B26" s="56">
        <v>212187.2</v>
      </c>
      <c r="C26" s="56">
        <v>401.2</v>
      </c>
      <c r="D26" s="56">
        <v>1470.1</v>
      </c>
      <c r="E26" s="56" t="s">
        <v>22</v>
      </c>
      <c r="F26" s="56">
        <v>441</v>
      </c>
      <c r="G26" s="56">
        <v>95.6</v>
      </c>
      <c r="H26" s="56">
        <f t="shared" si="0"/>
        <v>164652.39999999997</v>
      </c>
      <c r="I26" s="56">
        <f t="shared" si="3"/>
        <v>2029.3718547134049</v>
      </c>
      <c r="J26" s="56">
        <f t="shared" si="6"/>
        <v>270.61734908136486</v>
      </c>
      <c r="K26" s="56">
        <f t="shared" si="6"/>
        <v>1122.3545056320399</v>
      </c>
      <c r="L26" s="56">
        <f t="shared" si="4"/>
        <v>636.4</v>
      </c>
      <c r="M26" s="56">
        <f>M28*(S26/S28)</f>
        <v>552.4</v>
      </c>
      <c r="N26" s="56">
        <f>N28*(T26/T28)</f>
        <v>84</v>
      </c>
      <c r="P26" s="32">
        <v>164652.4</v>
      </c>
      <c r="Q26" s="32">
        <v>381</v>
      </c>
      <c r="R26" s="32">
        <v>1438.2</v>
      </c>
      <c r="S26" s="32">
        <v>552.4</v>
      </c>
      <c r="T26" s="32">
        <v>84</v>
      </c>
    </row>
    <row r="27" spans="1:26">
      <c r="A27" s="64">
        <v>2006</v>
      </c>
      <c r="B27" s="56">
        <v>230468.7</v>
      </c>
      <c r="C27" s="56">
        <v>432.3</v>
      </c>
      <c r="D27" s="56">
        <v>1330</v>
      </c>
      <c r="E27" s="56" t="s">
        <v>22</v>
      </c>
      <c r="F27" s="56" t="s">
        <v>188</v>
      </c>
      <c r="G27" s="56" t="s">
        <v>188</v>
      </c>
      <c r="H27" s="56">
        <f>H28*(1/Q57)</f>
        <v>174853.4</v>
      </c>
      <c r="I27" s="56" t="s">
        <v>22</v>
      </c>
      <c r="J27" s="56">
        <f>J28/(1/R57)</f>
        <v>257.50551948051952</v>
      </c>
      <c r="K27" s="56">
        <f>K28/(1/S57)</f>
        <v>1087.5692292143915</v>
      </c>
      <c r="L27" s="56" t="s">
        <v>22</v>
      </c>
      <c r="M27" s="56" t="s">
        <v>188</v>
      </c>
      <c r="N27" s="56" t="s">
        <v>188</v>
      </c>
      <c r="P27" s="32">
        <v>174853.4</v>
      </c>
      <c r="Q27" s="32">
        <v>400.4</v>
      </c>
      <c r="R27" s="32">
        <v>1484.2</v>
      </c>
      <c r="S27" s="32" t="s">
        <v>188</v>
      </c>
      <c r="T27" s="32" t="s">
        <v>188</v>
      </c>
    </row>
    <row r="28" spans="1:26">
      <c r="A28" s="64">
        <v>2007</v>
      </c>
      <c r="B28" s="56">
        <v>246567.7</v>
      </c>
      <c r="C28" s="56">
        <v>380.4</v>
      </c>
      <c r="D28" s="56">
        <v>1263.8</v>
      </c>
      <c r="E28" s="56" t="s">
        <v>22</v>
      </c>
      <c r="F28" s="56">
        <v>470.7</v>
      </c>
      <c r="G28" s="56">
        <v>114.8</v>
      </c>
      <c r="H28" s="56">
        <v>249871</v>
      </c>
      <c r="I28" s="56">
        <f t="shared" ref="I28:I32" si="8">SUM(J28:L28)</f>
        <v>2178</v>
      </c>
      <c r="J28" s="56">
        <v>321.10000000000002</v>
      </c>
      <c r="K28" s="56">
        <v>1270.5</v>
      </c>
      <c r="L28" s="56">
        <v>586.4</v>
      </c>
      <c r="M28" s="56">
        <v>463.1</v>
      </c>
      <c r="N28" s="56">
        <v>123.3</v>
      </c>
      <c r="P28" s="32">
        <v>249871</v>
      </c>
      <c r="Q28" s="32">
        <v>321.10000000000002</v>
      </c>
      <c r="R28" s="32">
        <v>1270.5</v>
      </c>
      <c r="S28" s="32">
        <v>463.1</v>
      </c>
      <c r="T28" s="32">
        <v>123.3</v>
      </c>
    </row>
    <row r="29" spans="1:26">
      <c r="A29" s="64">
        <v>2008</v>
      </c>
      <c r="B29" s="56">
        <v>280344.3</v>
      </c>
      <c r="C29" s="56">
        <v>340.1</v>
      </c>
      <c r="D29" s="56">
        <v>1036.0999999999999</v>
      </c>
      <c r="E29" s="56"/>
      <c r="F29" s="56" t="s">
        <v>188</v>
      </c>
      <c r="G29" s="56" t="s">
        <v>188</v>
      </c>
      <c r="H29" s="56">
        <v>254149.7</v>
      </c>
      <c r="I29" s="56">
        <f t="shared" si="8"/>
        <v>1966.3000000000002</v>
      </c>
      <c r="J29" s="56">
        <v>300</v>
      </c>
      <c r="K29" s="56">
        <v>1106.9000000000001</v>
      </c>
      <c r="L29" s="56">
        <v>559.4</v>
      </c>
      <c r="M29" s="56" t="s">
        <v>188</v>
      </c>
      <c r="N29" s="56" t="s">
        <v>188</v>
      </c>
      <c r="P29" s="32">
        <v>254149.7</v>
      </c>
      <c r="Q29" s="32">
        <v>300</v>
      </c>
      <c r="R29" s="32">
        <v>1106.9000000000001</v>
      </c>
      <c r="S29" s="32" t="s">
        <v>188</v>
      </c>
      <c r="T29" s="32" t="s">
        <v>188</v>
      </c>
    </row>
    <row r="30" spans="1:26">
      <c r="A30" s="64">
        <v>2009</v>
      </c>
      <c r="B30" s="56" t="s">
        <v>22</v>
      </c>
      <c r="C30" s="56" t="s">
        <v>22</v>
      </c>
      <c r="D30" s="56" t="s">
        <v>22</v>
      </c>
      <c r="E30" s="56" t="s">
        <v>22</v>
      </c>
      <c r="F30" s="56" t="s">
        <v>22</v>
      </c>
      <c r="G30" s="56" t="s">
        <v>22</v>
      </c>
      <c r="H30" s="56">
        <v>242456.2</v>
      </c>
      <c r="I30" s="56">
        <f t="shared" si="8"/>
        <v>1693.5</v>
      </c>
      <c r="J30" s="56">
        <v>277.7</v>
      </c>
      <c r="K30" s="56">
        <v>933.5</v>
      </c>
      <c r="L30" s="56">
        <v>482.3</v>
      </c>
      <c r="M30" s="56">
        <v>394.1</v>
      </c>
      <c r="N30" s="56">
        <v>87.2</v>
      </c>
      <c r="P30" s="32">
        <v>242456.2</v>
      </c>
      <c r="Q30" s="32">
        <v>277.7</v>
      </c>
      <c r="R30" s="32">
        <v>933.5</v>
      </c>
      <c r="S30" s="32">
        <v>394.1</v>
      </c>
      <c r="T30" s="32">
        <v>87.2</v>
      </c>
    </row>
    <row r="31" spans="1:26">
      <c r="A31" s="64">
        <v>2010</v>
      </c>
      <c r="B31" s="56" t="s">
        <v>22</v>
      </c>
      <c r="C31" s="56" t="s">
        <v>22</v>
      </c>
      <c r="D31" s="56" t="s">
        <v>22</v>
      </c>
      <c r="E31" s="56" t="s">
        <v>22</v>
      </c>
      <c r="F31" s="56" t="s">
        <v>22</v>
      </c>
      <c r="G31" s="56" t="s">
        <v>22</v>
      </c>
      <c r="H31" s="56">
        <v>252884.1</v>
      </c>
      <c r="I31" s="56">
        <f t="shared" si="8"/>
        <v>1864.3000000000002</v>
      </c>
      <c r="J31" s="56">
        <v>315.3</v>
      </c>
      <c r="K31" s="56">
        <v>1034.9000000000001</v>
      </c>
      <c r="L31" s="56">
        <v>514.1</v>
      </c>
      <c r="M31" s="56" t="s">
        <v>188</v>
      </c>
      <c r="N31" s="56" t="s">
        <v>188</v>
      </c>
      <c r="P31" s="32">
        <v>252884.1</v>
      </c>
      <c r="Q31" s="32">
        <v>315.3</v>
      </c>
      <c r="R31" s="32">
        <v>1034.9000000000001</v>
      </c>
      <c r="S31" s="32" t="s">
        <v>188</v>
      </c>
      <c r="T31" s="32" t="s">
        <v>188</v>
      </c>
    </row>
    <row r="32" spans="1:26">
      <c r="A32" s="64">
        <v>2011</v>
      </c>
      <c r="B32" s="56" t="s">
        <v>22</v>
      </c>
      <c r="C32" s="56" t="s">
        <v>22</v>
      </c>
      <c r="D32" s="56" t="s">
        <v>22</v>
      </c>
      <c r="E32" s="56" t="s">
        <v>22</v>
      </c>
      <c r="F32" s="56" t="s">
        <v>22</v>
      </c>
      <c r="G32" s="56" t="s">
        <v>22</v>
      </c>
      <c r="H32" s="56">
        <v>266388.7</v>
      </c>
      <c r="I32" s="56">
        <f t="shared" si="8"/>
        <v>1931.6999999999998</v>
      </c>
      <c r="J32" s="56">
        <v>333.1</v>
      </c>
      <c r="K32" s="56">
        <v>1134.5999999999999</v>
      </c>
      <c r="L32" s="56">
        <v>464</v>
      </c>
      <c r="M32" s="56" t="s">
        <v>188</v>
      </c>
      <c r="N32" s="56" t="s">
        <v>188</v>
      </c>
      <c r="P32" s="32">
        <v>266388.7</v>
      </c>
      <c r="Q32" s="32">
        <v>333.1</v>
      </c>
      <c r="R32" s="32">
        <v>1134.5999999999999</v>
      </c>
      <c r="S32" s="32" t="s">
        <v>188</v>
      </c>
      <c r="T32" s="32" t="s">
        <v>188</v>
      </c>
    </row>
    <row r="34" spans="1:21" ht="90">
      <c r="A34" s="66" t="s">
        <v>23</v>
      </c>
      <c r="P34" s="146" t="s">
        <v>1826</v>
      </c>
      <c r="Q34" s="117" t="s">
        <v>7</v>
      </c>
      <c r="R34" s="117" t="s">
        <v>192</v>
      </c>
      <c r="S34" s="117" t="s">
        <v>1</v>
      </c>
      <c r="T34" s="117" t="s">
        <v>13</v>
      </c>
      <c r="U34" s="117" t="s">
        <v>19</v>
      </c>
    </row>
    <row r="35" spans="1:21">
      <c r="A35" s="57" t="s">
        <v>2142</v>
      </c>
      <c r="B35" s="147" t="str">
        <f>IFERROR(((B32/B5)^(1/27)-1)*100,"n.a.")</f>
        <v>n.a.</v>
      </c>
      <c r="C35" s="147" t="str">
        <f t="shared" ref="C35:N35" si="9">IFERROR(((C32/C5)^(1/27)-1)*100,"n.a.")</f>
        <v>n.a.</v>
      </c>
      <c r="D35" s="147" t="str">
        <f t="shared" si="9"/>
        <v>n.a.</v>
      </c>
      <c r="E35" s="147" t="str">
        <f t="shared" si="9"/>
        <v>n.a.</v>
      </c>
      <c r="F35" s="147" t="str">
        <f t="shared" si="9"/>
        <v>n.a.</v>
      </c>
      <c r="G35" s="147" t="str">
        <f t="shared" si="9"/>
        <v>n.a.</v>
      </c>
      <c r="H35" s="147">
        <f t="shared" si="9"/>
        <v>4.5628110026417312</v>
      </c>
      <c r="I35" s="147" t="str">
        <f t="shared" si="9"/>
        <v>n.a.</v>
      </c>
      <c r="J35" s="147">
        <f t="shared" si="9"/>
        <v>-5.2913339670086934</v>
      </c>
      <c r="K35" s="147" t="str">
        <f t="shared" si="9"/>
        <v>n.a.</v>
      </c>
      <c r="L35" s="147" t="str">
        <f t="shared" si="9"/>
        <v>n.a.</v>
      </c>
      <c r="M35" s="147" t="str">
        <f t="shared" si="9"/>
        <v>n.a.</v>
      </c>
      <c r="N35" s="147" t="str">
        <f t="shared" si="9"/>
        <v>n.a.</v>
      </c>
      <c r="P35" s="56" t="s">
        <v>1856</v>
      </c>
      <c r="Q35" s="64">
        <f>V6/V5</f>
        <v>1.066712237187047</v>
      </c>
      <c r="R35" s="64">
        <f>W6/W5</f>
        <v>1.0161290322580645</v>
      </c>
      <c r="S35" s="64" t="e">
        <f>X6/X5</f>
        <v>#VALUE!</v>
      </c>
      <c r="T35" s="64" t="e">
        <f>Y6/Y5</f>
        <v>#VALUE!</v>
      </c>
      <c r="U35" s="64" t="e">
        <f>Z6/Z5</f>
        <v>#VALUE!</v>
      </c>
    </row>
    <row r="36" spans="1:21">
      <c r="A36" s="57" t="s">
        <v>2141</v>
      </c>
      <c r="B36" s="147">
        <f>IFERROR(((B29/B5)^(1/24)-1)*100,"n.a.")</f>
        <v>6.3498535539385115</v>
      </c>
      <c r="C36" s="147">
        <f t="shared" ref="C36:N36" si="10">IFERROR(((C29/C5)^(1/24)-1)*100,"n.a.")</f>
        <v>9.2266142508367075</v>
      </c>
      <c r="D36" s="147" t="str">
        <f t="shared" si="10"/>
        <v>n.a.</v>
      </c>
      <c r="E36" s="147" t="str">
        <f t="shared" si="10"/>
        <v>n.a.</v>
      </c>
      <c r="F36" s="147" t="str">
        <f t="shared" si="10"/>
        <v>n.a.</v>
      </c>
      <c r="G36" s="147" t="str">
        <f t="shared" si="10"/>
        <v>n.a.</v>
      </c>
      <c r="H36" s="147">
        <f t="shared" si="10"/>
        <v>4.9417530361959283</v>
      </c>
      <c r="I36" s="147" t="str">
        <f t="shared" si="10"/>
        <v>n.a.</v>
      </c>
      <c r="J36" s="147">
        <f t="shared" si="10"/>
        <v>-6.342072385003994</v>
      </c>
      <c r="K36" s="147" t="str">
        <f t="shared" si="10"/>
        <v>n.a.</v>
      </c>
      <c r="L36" s="147" t="str">
        <f t="shared" si="10"/>
        <v>n.a.</v>
      </c>
      <c r="M36" s="147" t="str">
        <f t="shared" si="10"/>
        <v>n.a.</v>
      </c>
      <c r="N36" s="147" t="str">
        <f t="shared" si="10"/>
        <v>n.a.</v>
      </c>
      <c r="P36" s="56" t="s">
        <v>1857</v>
      </c>
      <c r="Q36" s="64">
        <f t="shared" ref="Q36:Q47" si="11">V7/V6</f>
        <v>0.97623235841310574</v>
      </c>
      <c r="R36" s="64">
        <f t="shared" ref="R36:U47" si="12">W7/W6</f>
        <v>1.1746031746031746</v>
      </c>
      <c r="S36" s="64">
        <f t="shared" si="12"/>
        <v>1.093837101269743</v>
      </c>
      <c r="T36" s="64" t="e">
        <f t="shared" si="12"/>
        <v>#VALUE!</v>
      </c>
      <c r="U36" s="64" t="e">
        <f t="shared" si="12"/>
        <v>#VALUE!</v>
      </c>
    </row>
    <row r="37" spans="1:21">
      <c r="A37" s="57" t="s">
        <v>682</v>
      </c>
      <c r="B37" s="147">
        <f>IFERROR(((B10/B5)^(1/5)-1)*100,"n.a.")</f>
        <v>0.61336524254511637</v>
      </c>
      <c r="C37" s="147">
        <f t="shared" ref="C37:N37" si="13">IFERROR(((C10/C5)^(1/5)-1)*100,"n.a.")</f>
        <v>17.05966495260942</v>
      </c>
      <c r="D37" s="147" t="str">
        <f t="shared" si="13"/>
        <v>n.a.</v>
      </c>
      <c r="E37" s="147" t="str">
        <f t="shared" si="13"/>
        <v>n.a.</v>
      </c>
      <c r="F37" s="147" t="str">
        <f t="shared" si="13"/>
        <v>n.a.</v>
      </c>
      <c r="G37" s="147" t="str">
        <f t="shared" si="13"/>
        <v>n.a.</v>
      </c>
      <c r="H37" s="147">
        <f t="shared" si="13"/>
        <v>2.3044121917832561</v>
      </c>
      <c r="I37" s="147" t="str">
        <f t="shared" si="13"/>
        <v>n.a.</v>
      </c>
      <c r="J37" s="147">
        <f t="shared" si="13"/>
        <v>-8.7499475494489332</v>
      </c>
      <c r="K37" s="147" t="str">
        <f t="shared" si="13"/>
        <v>n.a.</v>
      </c>
      <c r="L37" s="147" t="str">
        <f t="shared" si="13"/>
        <v>n.a.</v>
      </c>
      <c r="M37" s="147" t="str">
        <f t="shared" si="13"/>
        <v>n.a.</v>
      </c>
      <c r="N37" s="147" t="str">
        <f t="shared" si="13"/>
        <v>n.a.</v>
      </c>
      <c r="P37" s="56" t="s">
        <v>1858</v>
      </c>
      <c r="Q37" s="64">
        <f t="shared" si="11"/>
        <v>1.0054157379556095</v>
      </c>
      <c r="R37" s="64">
        <f t="shared" si="12"/>
        <v>1.186070686070686</v>
      </c>
      <c r="S37" s="64">
        <f t="shared" si="12"/>
        <v>1.122876557191393</v>
      </c>
      <c r="T37" s="64" t="e">
        <f t="shared" si="12"/>
        <v>#VALUE!</v>
      </c>
      <c r="U37" s="64" t="e">
        <f t="shared" si="12"/>
        <v>#VALUE!</v>
      </c>
    </row>
    <row r="38" spans="1:21">
      <c r="A38" s="57" t="s">
        <v>26</v>
      </c>
      <c r="B38" s="147">
        <f>IFERROR(((B21/B10)^(1/11)-1)*100,"n.a.")</f>
        <v>7.0145422342395181</v>
      </c>
      <c r="C38" s="147">
        <f t="shared" ref="C38:N38" si="14">IFERROR(((C21/C10)^(1/11)-1)*100,"n.a.")</f>
        <v>12.263163203286442</v>
      </c>
      <c r="D38" s="147">
        <f t="shared" si="14"/>
        <v>13.933964444182889</v>
      </c>
      <c r="E38" s="147" t="str">
        <f t="shared" si="14"/>
        <v>n.a.</v>
      </c>
      <c r="F38" s="147">
        <f t="shared" si="14"/>
        <v>13.393554852473311</v>
      </c>
      <c r="G38" s="147" t="str">
        <f t="shared" si="14"/>
        <v>n.a.</v>
      </c>
      <c r="H38" s="147">
        <f t="shared" si="14"/>
        <v>4.0954330485963197</v>
      </c>
      <c r="I38" s="147" t="str">
        <f t="shared" si="14"/>
        <v>n.a.</v>
      </c>
      <c r="J38" s="147">
        <f t="shared" si="14"/>
        <v>-8.4993500602331906</v>
      </c>
      <c r="K38" s="147">
        <f t="shared" si="14"/>
        <v>-7.3868637949275779</v>
      </c>
      <c r="L38" s="147" t="str">
        <f t="shared" si="14"/>
        <v>n.a.</v>
      </c>
      <c r="M38" s="147" t="str">
        <f t="shared" si="14"/>
        <v>n.a.</v>
      </c>
      <c r="N38" s="147" t="str">
        <f t="shared" si="14"/>
        <v>n.a.</v>
      </c>
      <c r="P38" s="56" t="s">
        <v>1861</v>
      </c>
      <c r="Q38" s="64">
        <f t="shared" si="11"/>
        <v>1.0640820525771288</v>
      </c>
      <c r="R38" s="64">
        <f t="shared" si="12"/>
        <v>1.0403155127081507</v>
      </c>
      <c r="S38" s="64">
        <f t="shared" si="12"/>
        <v>1.1444780635400909</v>
      </c>
      <c r="T38" s="64" t="e">
        <f t="shared" si="12"/>
        <v>#VALUE!</v>
      </c>
      <c r="U38" s="64" t="e">
        <f t="shared" si="12"/>
        <v>#VALUE!</v>
      </c>
    </row>
    <row r="39" spans="1:21">
      <c r="A39" s="57" t="s">
        <v>2028</v>
      </c>
      <c r="B39" s="147" t="str">
        <f>IFERROR(((B32/B21)^(1/11)-1)*100,"n.a.")</f>
        <v>n.a.</v>
      </c>
      <c r="C39" s="147" t="str">
        <f t="shared" ref="C39:N39" si="15">IFERROR(((C32/C21)^(1/11)-1)*100,"n.a.")</f>
        <v>n.a.</v>
      </c>
      <c r="D39" s="147" t="str">
        <f t="shared" si="15"/>
        <v>n.a.</v>
      </c>
      <c r="E39" s="147" t="str">
        <f t="shared" si="15"/>
        <v>n.a.</v>
      </c>
      <c r="F39" s="147" t="str">
        <f t="shared" si="15"/>
        <v>n.a.</v>
      </c>
      <c r="G39" s="147" t="str">
        <f t="shared" si="15"/>
        <v>n.a.</v>
      </c>
      <c r="H39" s="147">
        <f t="shared" si="15"/>
        <v>6.0799304679240329</v>
      </c>
      <c r="I39" s="147">
        <f t="shared" si="15"/>
        <v>-1.7284872510199834</v>
      </c>
      <c r="J39" s="147">
        <f t="shared" si="15"/>
        <v>-0.29907949476767337</v>
      </c>
      <c r="K39" s="147">
        <f t="shared" si="15"/>
        <v>-2.3428681034027177</v>
      </c>
      <c r="L39" s="147">
        <f t="shared" si="15"/>
        <v>-1.0856928731239779</v>
      </c>
      <c r="M39" s="147" t="str">
        <f t="shared" si="15"/>
        <v>n.a.</v>
      </c>
      <c r="N39" s="147" t="str">
        <f t="shared" si="15"/>
        <v>n.a.</v>
      </c>
      <c r="P39" s="56" t="s">
        <v>1859</v>
      </c>
      <c r="Q39" s="64">
        <f t="shared" si="11"/>
        <v>1.0058901344293729</v>
      </c>
      <c r="R39" s="64">
        <f t="shared" si="12"/>
        <v>1.0732940185341195</v>
      </c>
      <c r="S39" s="64">
        <f t="shared" si="12"/>
        <v>1.0308437981934346</v>
      </c>
      <c r="T39" s="64" t="e">
        <f t="shared" si="12"/>
        <v>#VALUE!</v>
      </c>
      <c r="U39" s="64" t="e">
        <f t="shared" si="12"/>
        <v>#VALUE!</v>
      </c>
    </row>
    <row r="40" spans="1:21">
      <c r="A40" s="57"/>
      <c r="B40" s="147"/>
      <c r="C40" s="147"/>
      <c r="D40" s="147"/>
      <c r="E40" s="56"/>
      <c r="F40" s="56"/>
      <c r="G40" s="56"/>
      <c r="H40" s="147"/>
      <c r="I40" s="56"/>
      <c r="J40" s="147"/>
      <c r="K40" s="147"/>
      <c r="L40" s="56"/>
      <c r="M40" s="56"/>
      <c r="N40" s="56"/>
      <c r="P40" s="56" t="s">
        <v>1860</v>
      </c>
      <c r="Q40" s="64">
        <f t="shared" si="11"/>
        <v>1.0289310098438629</v>
      </c>
      <c r="R40" s="64">
        <f t="shared" si="12"/>
        <v>1</v>
      </c>
      <c r="S40" s="64">
        <f t="shared" si="12"/>
        <v>1.0775806796324001</v>
      </c>
      <c r="T40" s="64">
        <f t="shared" si="12"/>
        <v>1.7489583333333334</v>
      </c>
      <c r="U40" s="64" t="e">
        <f t="shared" si="12"/>
        <v>#VALUE!</v>
      </c>
    </row>
    <row r="41" spans="1:21">
      <c r="A41" s="64" t="s">
        <v>503</v>
      </c>
      <c r="P41" s="56" t="s">
        <v>1846</v>
      </c>
      <c r="Q41" s="64">
        <f t="shared" si="11"/>
        <v>1.013953888327201</v>
      </c>
      <c r="R41" s="64">
        <f t="shared" si="12"/>
        <v>1.2668759811616954</v>
      </c>
      <c r="S41" s="64">
        <f t="shared" si="12"/>
        <v>0.87604125347084494</v>
      </c>
      <c r="T41" s="64">
        <f t="shared" si="12"/>
        <v>1.5181655747468732</v>
      </c>
      <c r="U41" s="64" t="e">
        <f>Z12/Z11</f>
        <v>#VALUE!</v>
      </c>
    </row>
    <row r="42" spans="1:21">
      <c r="A42" s="64" t="s">
        <v>193</v>
      </c>
      <c r="P42" s="56" t="s">
        <v>1847</v>
      </c>
      <c r="Q42" s="64">
        <f t="shared" si="11"/>
        <v>1.0126529416451009</v>
      </c>
      <c r="R42" s="64">
        <f t="shared" si="12"/>
        <v>0.92379182156133832</v>
      </c>
      <c r="S42" s="64">
        <f t="shared" si="12"/>
        <v>1.0491283676703644</v>
      </c>
      <c r="T42" s="64">
        <f t="shared" si="12"/>
        <v>1.2083169870537465</v>
      </c>
      <c r="U42" s="64">
        <f t="shared" si="12"/>
        <v>0.89198606271777003</v>
      </c>
    </row>
    <row r="43" spans="1:21" ht="32.25" customHeight="1">
      <c r="A43" s="104" t="s">
        <v>679</v>
      </c>
      <c r="B43" s="104"/>
      <c r="C43" s="104"/>
      <c r="D43" s="104"/>
      <c r="E43" s="104"/>
      <c r="F43" s="104"/>
      <c r="G43" s="104"/>
      <c r="H43" s="104"/>
      <c r="I43" s="104"/>
      <c r="J43" s="104"/>
      <c r="K43" s="104"/>
      <c r="L43" s="104"/>
      <c r="M43" s="104"/>
      <c r="N43" s="104"/>
      <c r="P43" s="56" t="s">
        <v>1848</v>
      </c>
      <c r="Q43" s="64">
        <f t="shared" si="11"/>
        <v>1.0630325409061205</v>
      </c>
      <c r="R43" s="64">
        <f t="shared" si="12"/>
        <v>0.96713615023474175</v>
      </c>
      <c r="S43" s="64">
        <f t="shared" si="12"/>
        <v>1.2801035822183859</v>
      </c>
      <c r="T43" s="64">
        <f t="shared" si="12"/>
        <v>1.1597402597402597</v>
      </c>
      <c r="U43" s="64">
        <f t="shared" si="12"/>
        <v>1.1328125</v>
      </c>
    </row>
    <row r="44" spans="1:21" ht="32.25" customHeight="1">
      <c r="A44" s="104" t="s">
        <v>680</v>
      </c>
      <c r="B44" s="104"/>
      <c r="C44" s="104"/>
      <c r="D44" s="104"/>
      <c r="E44" s="104"/>
      <c r="F44" s="104"/>
      <c r="G44" s="104"/>
      <c r="H44" s="104"/>
      <c r="I44" s="104"/>
      <c r="J44" s="104"/>
      <c r="K44" s="104"/>
      <c r="L44" s="104"/>
      <c r="M44" s="104"/>
      <c r="N44" s="104"/>
      <c r="P44" s="56" t="s">
        <v>1849</v>
      </c>
      <c r="Q44" s="64">
        <f t="shared" si="11"/>
        <v>1.072622230710466</v>
      </c>
      <c r="R44" s="64">
        <f t="shared" si="12"/>
        <v>1.3162274618585299</v>
      </c>
      <c r="S44" s="64">
        <f t="shared" si="12"/>
        <v>0.98347943358057988</v>
      </c>
      <c r="T44" s="64">
        <f t="shared" si="12"/>
        <v>1.068589025755879</v>
      </c>
      <c r="U44" s="64">
        <f t="shared" si="12"/>
        <v>1.3482758620689654</v>
      </c>
    </row>
    <row r="45" spans="1:21" ht="32.25" customHeight="1">
      <c r="A45" s="104" t="s">
        <v>681</v>
      </c>
      <c r="B45" s="104"/>
      <c r="C45" s="104"/>
      <c r="D45" s="104"/>
      <c r="E45" s="104"/>
      <c r="F45" s="104"/>
      <c r="G45" s="104"/>
      <c r="H45" s="104"/>
      <c r="I45" s="104"/>
      <c r="J45" s="104"/>
      <c r="K45" s="104"/>
      <c r="L45" s="104"/>
      <c r="M45" s="104"/>
      <c r="N45" s="104"/>
      <c r="P45" s="56" t="s">
        <v>1850</v>
      </c>
      <c r="Q45" s="64">
        <f t="shared" si="11"/>
        <v>1.0245125751168485</v>
      </c>
      <c r="R45" s="64">
        <f t="shared" si="12"/>
        <v>1.2829293993677555</v>
      </c>
      <c r="S45" s="64">
        <f>X16/X15</f>
        <v>1.1172437435721632</v>
      </c>
      <c r="T45" s="64">
        <f t="shared" si="12"/>
        <v>0.92559601781503797</v>
      </c>
      <c r="U45" s="64" t="e">
        <f t="shared" si="12"/>
        <v>#VALUE!</v>
      </c>
    </row>
    <row r="46" spans="1:21" ht="32.25" customHeight="1">
      <c r="A46" s="104" t="s">
        <v>851</v>
      </c>
      <c r="B46" s="104"/>
      <c r="C46" s="104"/>
      <c r="D46" s="104"/>
      <c r="E46" s="104"/>
      <c r="F46" s="104"/>
      <c r="G46" s="104"/>
      <c r="H46" s="104"/>
      <c r="I46" s="104"/>
      <c r="J46" s="104"/>
      <c r="K46" s="104"/>
      <c r="L46" s="104"/>
      <c r="M46" s="104"/>
      <c r="N46" s="104"/>
      <c r="P46" s="56" t="s">
        <v>1851</v>
      </c>
      <c r="Q46" s="64">
        <f t="shared" si="11"/>
        <v>1.0247700751770261</v>
      </c>
      <c r="R46" s="64">
        <f t="shared" si="12"/>
        <v>0.95728952772073928</v>
      </c>
      <c r="S46" s="64">
        <f t="shared" si="12"/>
        <v>1.1253451979134703</v>
      </c>
      <c r="T46" s="64">
        <f t="shared" si="12"/>
        <v>1.3243702236060007</v>
      </c>
      <c r="U46" s="64" t="e">
        <f t="shared" si="12"/>
        <v>#VALUE!</v>
      </c>
    </row>
    <row r="47" spans="1:21">
      <c r="P47" s="56" t="s">
        <v>1852</v>
      </c>
      <c r="Q47" s="64">
        <f t="shared" si="11"/>
        <v>1.0804817734418308</v>
      </c>
      <c r="R47" s="64">
        <f t="shared" si="12"/>
        <v>0.99141999141999138</v>
      </c>
      <c r="S47" s="64">
        <f t="shared" si="12"/>
        <v>1.105385139740968</v>
      </c>
      <c r="T47" s="64" t="e">
        <f t="shared" si="12"/>
        <v>#VALUE!</v>
      </c>
      <c r="U47" s="64" t="e">
        <f t="shared" si="12"/>
        <v>#VALUE!</v>
      </c>
    </row>
    <row r="48" spans="1:21">
      <c r="P48" s="56" t="s">
        <v>1837</v>
      </c>
      <c r="Q48" s="64">
        <f>P19/P18</f>
        <v>1.0466260447789262</v>
      </c>
      <c r="R48" s="64">
        <f>Q19/Q18</f>
        <v>0.9173594132029339</v>
      </c>
      <c r="S48" s="64">
        <f>R19/R18</f>
        <v>1.1098457016899337</v>
      </c>
      <c r="T48" s="64" t="e">
        <f>S19/S18</f>
        <v>#VALUE!</v>
      </c>
      <c r="U48" s="64" t="e">
        <f>T19/T18</f>
        <v>#VALUE!</v>
      </c>
    </row>
    <row r="49" spans="1:21">
      <c r="A49" s="104"/>
      <c r="B49" s="104"/>
      <c r="C49" s="104"/>
      <c r="D49" s="104"/>
      <c r="E49" s="104"/>
      <c r="F49" s="104"/>
      <c r="G49" s="104"/>
      <c r="H49" s="104"/>
      <c r="I49" s="104"/>
      <c r="J49" s="104"/>
      <c r="K49" s="104"/>
      <c r="L49" s="104"/>
      <c r="M49" s="104"/>
      <c r="N49" s="104"/>
      <c r="P49" s="56" t="s">
        <v>1827</v>
      </c>
      <c r="Q49" s="64">
        <f t="shared" ref="Q49:U59" si="16">P20/P19</f>
        <v>1.0210670393723795</v>
      </c>
      <c r="R49" s="64">
        <f t="shared" si="16"/>
        <v>1.1769722814498935</v>
      </c>
      <c r="S49" s="64">
        <f t="shared" si="16"/>
        <v>1.0665342601787489</v>
      </c>
      <c r="T49" s="64" t="e">
        <f t="shared" si="16"/>
        <v>#VALUE!</v>
      </c>
      <c r="U49" s="64" t="e">
        <f t="shared" si="16"/>
        <v>#VALUE!</v>
      </c>
    </row>
    <row r="50" spans="1:21" ht="30" customHeight="1">
      <c r="A50" s="104"/>
      <c r="B50" s="104"/>
      <c r="C50" s="104"/>
      <c r="D50" s="104"/>
      <c r="E50" s="104"/>
      <c r="F50" s="104"/>
      <c r="G50" s="104"/>
      <c r="H50" s="104"/>
      <c r="I50" s="104"/>
      <c r="J50" s="104"/>
      <c r="K50" s="104"/>
      <c r="L50" s="104"/>
      <c r="M50" s="104"/>
      <c r="N50" s="104"/>
      <c r="P50" s="56" t="s">
        <v>1828</v>
      </c>
      <c r="Q50" s="64">
        <f t="shared" si="16"/>
        <v>1.0648367413301709</v>
      </c>
      <c r="R50" s="64">
        <f t="shared" si="16"/>
        <v>1.3564311594202898</v>
      </c>
      <c r="S50" s="64">
        <f t="shared" si="16"/>
        <v>1.1339747568797847</v>
      </c>
      <c r="T50" s="64">
        <f t="shared" si="16"/>
        <v>1.0765419866237307</v>
      </c>
      <c r="U50" s="64">
        <f t="shared" si="16"/>
        <v>0.85769603097773472</v>
      </c>
    </row>
    <row r="51" spans="1:21" ht="30" customHeight="1">
      <c r="A51" s="104"/>
      <c r="B51" s="104"/>
      <c r="C51" s="104"/>
      <c r="D51" s="104"/>
      <c r="E51" s="104"/>
      <c r="F51" s="104"/>
      <c r="G51" s="104"/>
      <c r="H51" s="104"/>
      <c r="I51" s="104"/>
      <c r="J51" s="104"/>
      <c r="K51" s="104"/>
      <c r="L51" s="104"/>
      <c r="M51" s="104"/>
      <c r="N51" s="104"/>
      <c r="P51" s="148" t="s">
        <v>1829</v>
      </c>
      <c r="Q51" s="64">
        <f t="shared" si="16"/>
        <v>1.0196412340170222</v>
      </c>
      <c r="R51" s="64">
        <f t="shared" si="16"/>
        <v>1.022704507512521</v>
      </c>
      <c r="S51" s="64">
        <f t="shared" si="16"/>
        <v>1.0049265577958217</v>
      </c>
      <c r="T51" s="64">
        <f t="shared" si="16"/>
        <v>0.87804878048780488</v>
      </c>
      <c r="U51" s="64">
        <f t="shared" si="16"/>
        <v>0.95259593679458254</v>
      </c>
    </row>
    <row r="52" spans="1:21" ht="30" customHeight="1">
      <c r="A52" s="104"/>
      <c r="B52" s="104"/>
      <c r="C52" s="104"/>
      <c r="D52" s="104"/>
      <c r="E52" s="104"/>
      <c r="F52" s="104"/>
      <c r="G52" s="104"/>
      <c r="H52" s="104"/>
      <c r="I52" s="104"/>
      <c r="J52" s="104"/>
      <c r="K52" s="104"/>
      <c r="L52" s="104"/>
      <c r="M52" s="104"/>
      <c r="N52" s="104"/>
      <c r="P52" s="148" t="s">
        <v>1830</v>
      </c>
      <c r="Q52" s="64">
        <f t="shared" si="16"/>
        <v>1.0166393009407704</v>
      </c>
      <c r="R52" s="64">
        <f t="shared" si="16"/>
        <v>1.1139405811296115</v>
      </c>
      <c r="S52" s="64">
        <f t="shared" si="16"/>
        <v>1.0945074897866545</v>
      </c>
      <c r="T52" s="64">
        <f t="shared" si="16"/>
        <v>1.0306603773584906</v>
      </c>
      <c r="U52" s="64">
        <f t="shared" si="16"/>
        <v>1.188388625592417</v>
      </c>
    </row>
    <row r="53" spans="1:21">
      <c r="P53" s="148" t="s">
        <v>1831</v>
      </c>
      <c r="Q53" s="64">
        <f t="shared" si="16"/>
        <v>1.0324871660860271</v>
      </c>
      <c r="R53" s="64">
        <f t="shared" si="16"/>
        <v>1.0120164126611959</v>
      </c>
      <c r="S53" s="64">
        <f t="shared" si="16"/>
        <v>1.0009953550099535</v>
      </c>
      <c r="T53" s="64">
        <f t="shared" si="16"/>
        <v>1.0493262140859394</v>
      </c>
      <c r="U53" s="64">
        <f t="shared" si="16"/>
        <v>0.91226321036889335</v>
      </c>
    </row>
    <row r="54" spans="1:21">
      <c r="P54" s="148" t="s">
        <v>1832</v>
      </c>
      <c r="Q54" s="64">
        <f t="shared" si="16"/>
        <v>1.0546152141950818</v>
      </c>
      <c r="R54" s="64">
        <f t="shared" si="16"/>
        <v>1.0257746886765131</v>
      </c>
      <c r="S54" s="64">
        <f t="shared" si="16"/>
        <v>1.1341564468014584</v>
      </c>
      <c r="T54" s="64">
        <f t="shared" si="16"/>
        <v>1.0765689362733222</v>
      </c>
      <c r="U54" s="64">
        <f t="shared" si="16"/>
        <v>0.99125683060109293</v>
      </c>
    </row>
    <row r="55" spans="1:21">
      <c r="P55" s="148" t="s">
        <v>1833</v>
      </c>
      <c r="Q55" s="64">
        <f t="shared" si="16"/>
        <v>1.0481532337586359</v>
      </c>
      <c r="R55" s="64">
        <f t="shared" si="16"/>
        <v>1.0756634669678149</v>
      </c>
      <c r="S55" s="64">
        <f t="shared" si="16"/>
        <v>1.0507781106159129</v>
      </c>
      <c r="T55" s="64">
        <f t="shared" si="16"/>
        <v>1.2433040738239927</v>
      </c>
      <c r="U55" s="64">
        <f t="shared" si="16"/>
        <v>0.92613009922822487</v>
      </c>
    </row>
    <row r="56" spans="1:21">
      <c r="P56" s="148" t="s">
        <v>1834</v>
      </c>
      <c r="Q56" s="64">
        <f t="shared" si="16"/>
        <v>1.06195476045293</v>
      </c>
      <c r="R56" s="64">
        <f t="shared" si="16"/>
        <v>1.0509186351706037</v>
      </c>
      <c r="S56" s="64">
        <f t="shared" si="16"/>
        <v>1.031984424975664</v>
      </c>
      <c r="T56" s="64" t="e">
        <f t="shared" si="16"/>
        <v>#VALUE!</v>
      </c>
      <c r="U56" s="64" t="e">
        <f t="shared" si="16"/>
        <v>#VALUE!</v>
      </c>
    </row>
    <row r="57" spans="1:21">
      <c r="P57" s="148" t="s">
        <v>1839</v>
      </c>
      <c r="Q57" s="64">
        <f t="shared" si="16"/>
        <v>1.4290314057376066</v>
      </c>
      <c r="R57" s="64">
        <f t="shared" si="16"/>
        <v>0.80194805194805208</v>
      </c>
      <c r="S57" s="64">
        <f t="shared" si="16"/>
        <v>0.85601670933836405</v>
      </c>
      <c r="T57" s="64" t="e">
        <f t="shared" si="16"/>
        <v>#VALUE!</v>
      </c>
      <c r="U57" s="64" t="e">
        <f t="shared" si="16"/>
        <v>#VALUE!</v>
      </c>
    </row>
    <row r="58" spans="1:21">
      <c r="P58" s="148" t="s">
        <v>1835</v>
      </c>
      <c r="Q58" s="64">
        <f t="shared" si="16"/>
        <v>1.0171236357960709</v>
      </c>
      <c r="R58" s="64">
        <f t="shared" si="16"/>
        <v>0.93428838368109612</v>
      </c>
      <c r="S58" s="64">
        <f t="shared" si="16"/>
        <v>0.87123179850452581</v>
      </c>
      <c r="T58" s="64" t="e">
        <f t="shared" si="16"/>
        <v>#VALUE!</v>
      </c>
      <c r="U58" s="64" t="e">
        <f t="shared" si="16"/>
        <v>#VALUE!</v>
      </c>
    </row>
    <row r="59" spans="1:21">
      <c r="P59" s="148" t="s">
        <v>1836</v>
      </c>
      <c r="Q59" s="64">
        <f>P30/P29</f>
        <v>0.95398971551018952</v>
      </c>
      <c r="R59" s="64">
        <f t="shared" si="16"/>
        <v>0.92566666666666664</v>
      </c>
      <c r="S59" s="64">
        <f t="shared" si="16"/>
        <v>0.84334628241033505</v>
      </c>
      <c r="T59" s="64" t="e">
        <f t="shared" si="16"/>
        <v>#VALUE!</v>
      </c>
      <c r="U59" s="64" t="e">
        <f t="shared" si="16"/>
        <v>#VALUE!</v>
      </c>
    </row>
  </sheetData>
  <mergeCells count="10">
    <mergeCell ref="A52:N52"/>
    <mergeCell ref="B2:G2"/>
    <mergeCell ref="H2:N2"/>
    <mergeCell ref="A49:N49"/>
    <mergeCell ref="A50:N50"/>
    <mergeCell ref="A51:N51"/>
    <mergeCell ref="A43:N43"/>
    <mergeCell ref="A44:N44"/>
    <mergeCell ref="A45:N45"/>
    <mergeCell ref="A46:N46"/>
  </mergeCells>
  <pageMargins left="0.7" right="0.7" top="0.75" bottom="0.75" header="0.3" footer="0.3"/>
  <pageSetup scale="60" orientation="landscape" horizontalDpi="0" verticalDpi="0" r:id="rId1"/>
  <rowBreaks count="1" manualBreakCount="1">
    <brk id="46" max="13" man="1"/>
  </rowBreaks>
</worksheet>
</file>

<file path=xl/worksheets/sheet169.xml><?xml version="1.0" encoding="utf-8"?>
<worksheet xmlns="http://schemas.openxmlformats.org/spreadsheetml/2006/main" xmlns:r="http://schemas.openxmlformats.org/officeDocument/2006/relationships">
  <sheetPr codeName="Sheet163"/>
  <dimension ref="A1:AA59"/>
  <sheetViews>
    <sheetView view="pageBreakPre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3.42578125" style="64" customWidth="1"/>
    <col min="2" max="8" width="14.28515625" style="64" customWidth="1"/>
    <col min="9" max="9" width="12" style="64" customWidth="1"/>
    <col min="10" max="14" width="14.28515625" style="64" customWidth="1"/>
    <col min="15" max="15" width="9.140625" style="64"/>
    <col min="16" max="16" width="12.28515625" style="64" hidden="1" customWidth="1" outlineLevel="1"/>
    <col min="17" max="19" width="11.28515625" style="64" hidden="1" customWidth="1" outlineLevel="1"/>
    <col min="20" max="20" width="10.28515625" style="64" hidden="1" customWidth="1" outlineLevel="1"/>
    <col min="21" max="26" width="9.140625" style="64" hidden="1" customWidth="1" outlineLevel="1"/>
    <col min="27" max="27" width="9.140625" style="64" collapsed="1"/>
    <col min="28" max="16384" width="9.140625" style="64"/>
  </cols>
  <sheetData>
    <row r="1" spans="1:26">
      <c r="A1" s="108" t="s">
        <v>2093</v>
      </c>
      <c r="B1" s="108"/>
      <c r="C1" s="108"/>
      <c r="D1" s="108"/>
      <c r="E1" s="108"/>
      <c r="F1" s="108"/>
      <c r="G1" s="108"/>
      <c r="H1" s="108"/>
      <c r="I1" s="108"/>
      <c r="J1" s="108"/>
      <c r="K1" s="108"/>
      <c r="L1" s="108"/>
      <c r="M1" s="108"/>
      <c r="N1" s="108"/>
    </row>
    <row r="2" spans="1:26">
      <c r="B2" s="107" t="s">
        <v>206</v>
      </c>
      <c r="C2" s="107"/>
      <c r="D2" s="107"/>
      <c r="E2" s="107"/>
      <c r="F2" s="107"/>
      <c r="G2" s="107"/>
      <c r="H2" s="107" t="s">
        <v>191</v>
      </c>
      <c r="I2" s="107"/>
      <c r="J2" s="107"/>
      <c r="K2" s="107"/>
      <c r="L2" s="107"/>
      <c r="M2" s="107"/>
      <c r="N2" s="107"/>
    </row>
    <row r="3" spans="1:26" ht="60">
      <c r="B3" s="73" t="s">
        <v>7</v>
      </c>
      <c r="C3" s="73" t="s">
        <v>0</v>
      </c>
      <c r="D3" s="73" t="s">
        <v>1</v>
      </c>
      <c r="E3" s="73" t="s">
        <v>678</v>
      </c>
      <c r="F3" s="73" t="s">
        <v>13</v>
      </c>
      <c r="G3" s="73" t="s">
        <v>19</v>
      </c>
      <c r="H3" s="73" t="s">
        <v>7</v>
      </c>
      <c r="I3" s="73" t="s">
        <v>37</v>
      </c>
      <c r="J3" s="73" t="s">
        <v>0</v>
      </c>
      <c r="K3" s="73" t="s">
        <v>1</v>
      </c>
      <c r="L3" s="73" t="s">
        <v>678</v>
      </c>
      <c r="M3" s="73" t="s">
        <v>13</v>
      </c>
      <c r="N3" s="73" t="s">
        <v>19</v>
      </c>
      <c r="P3" s="64" t="s">
        <v>356</v>
      </c>
      <c r="Q3" s="64" t="s">
        <v>357</v>
      </c>
      <c r="R3" s="64" t="s">
        <v>358</v>
      </c>
      <c r="S3" s="64" t="s">
        <v>359</v>
      </c>
      <c r="T3" s="64" t="s">
        <v>360</v>
      </c>
      <c r="V3" s="64" t="s">
        <v>351</v>
      </c>
      <c r="W3" s="64" t="s">
        <v>352</v>
      </c>
      <c r="X3" s="64" t="s">
        <v>353</v>
      </c>
      <c r="Y3" s="64" t="s">
        <v>354</v>
      </c>
      <c r="Z3" s="64" t="s">
        <v>355</v>
      </c>
    </row>
    <row r="4" spans="1:26" hidden="1" outlineLevel="1">
      <c r="P4" s="64" t="s">
        <v>366</v>
      </c>
      <c r="Q4" s="64" t="s">
        <v>367</v>
      </c>
      <c r="R4" s="64" t="s">
        <v>368</v>
      </c>
      <c r="S4" s="64" t="s">
        <v>369</v>
      </c>
      <c r="T4" s="64" t="s">
        <v>370</v>
      </c>
      <c r="V4" s="64" t="s">
        <v>361</v>
      </c>
      <c r="W4" s="64" t="s">
        <v>362</v>
      </c>
      <c r="X4" s="64" t="s">
        <v>363</v>
      </c>
      <c r="Y4" s="64" t="s">
        <v>364</v>
      </c>
      <c r="Z4" s="64" t="s">
        <v>365</v>
      </c>
    </row>
    <row r="5" spans="1:26" collapsed="1">
      <c r="A5" s="66">
        <v>1984</v>
      </c>
      <c r="B5" s="56">
        <v>47708</v>
      </c>
      <c r="C5" s="56">
        <v>1332.7</v>
      </c>
      <c r="D5" s="56">
        <v>1443.6</v>
      </c>
      <c r="E5" s="56" t="s">
        <v>188</v>
      </c>
      <c r="F5" s="56">
        <v>1105.7</v>
      </c>
      <c r="G5" s="56" t="s">
        <v>188</v>
      </c>
      <c r="H5" s="56">
        <f t="shared" ref="H5:H26" si="0">H6*(1/Q35)</f>
        <v>71776.546482251812</v>
      </c>
      <c r="I5" s="56" t="s">
        <v>22</v>
      </c>
      <c r="J5" s="56">
        <f t="shared" ref="J5:K20" si="1">J6/(1/R35)</f>
        <v>1298.6628249329815</v>
      </c>
      <c r="K5" s="56">
        <f t="shared" si="1"/>
        <v>3741.364875751377</v>
      </c>
      <c r="L5" s="56" t="s">
        <v>22</v>
      </c>
      <c r="M5" s="56">
        <f t="shared" ref="M5:N20" si="2">M6*(1/T35)</f>
        <v>1246.259729821006</v>
      </c>
      <c r="N5" s="56" t="s">
        <v>188</v>
      </c>
      <c r="V5" s="64">
        <v>67272400000</v>
      </c>
      <c r="W5" s="64">
        <v>3336200000</v>
      </c>
      <c r="X5" s="64">
        <v>3227400000</v>
      </c>
      <c r="Y5" s="64">
        <v>1457300000</v>
      </c>
      <c r="Z5" s="64" t="s">
        <v>188</v>
      </c>
    </row>
    <row r="6" spans="1:26">
      <c r="A6" s="66">
        <v>1985</v>
      </c>
      <c r="B6" s="56">
        <v>50979.3</v>
      </c>
      <c r="C6" s="56">
        <v>1279.3</v>
      </c>
      <c r="D6" s="56">
        <v>1742.4</v>
      </c>
      <c r="E6" s="56" t="s">
        <v>188</v>
      </c>
      <c r="F6" s="56">
        <v>1045.3</v>
      </c>
      <c r="G6" s="56" t="s">
        <v>188</v>
      </c>
      <c r="H6" s="56">
        <f t="shared" si="0"/>
        <v>75255.883001814422</v>
      </c>
      <c r="I6" s="56" t="s">
        <v>22</v>
      </c>
      <c r="J6" s="56">
        <f t="shared" si="1"/>
        <v>1337.7586428324366</v>
      </c>
      <c r="K6" s="56">
        <f t="shared" si="1"/>
        <v>3143.5997500715926</v>
      </c>
      <c r="L6" s="56" t="s">
        <v>22</v>
      </c>
      <c r="M6" s="56">
        <f t="shared" si="2"/>
        <v>1346.9148936170207</v>
      </c>
      <c r="N6" s="56" t="s">
        <v>188</v>
      </c>
      <c r="V6" s="64">
        <v>70533400000</v>
      </c>
      <c r="W6" s="64">
        <v>3238700000</v>
      </c>
      <c r="X6" s="64">
        <v>3841100000</v>
      </c>
      <c r="Y6" s="64">
        <v>1575000000</v>
      </c>
      <c r="Z6" s="64" t="s">
        <v>188</v>
      </c>
    </row>
    <row r="7" spans="1:26">
      <c r="A7" s="66">
        <v>1986</v>
      </c>
      <c r="B7" s="56">
        <v>54014.400000000001</v>
      </c>
      <c r="C7" s="56">
        <v>1271.2</v>
      </c>
      <c r="D7" s="56">
        <v>2032.8</v>
      </c>
      <c r="E7" s="56">
        <f>SUM(F7:G7)</f>
        <v>1534.1000000000001</v>
      </c>
      <c r="F7" s="56">
        <v>1454.9</v>
      </c>
      <c r="G7" s="56">
        <v>79.2</v>
      </c>
      <c r="H7" s="56">
        <f t="shared" si="0"/>
        <v>76390.588426087605</v>
      </c>
      <c r="I7" s="56">
        <f t="shared" ref="I7:I27" si="3">SUM(J7:L7)</f>
        <v>6329.7161284748036</v>
      </c>
      <c r="J7" s="56">
        <f t="shared" si="1"/>
        <v>1438.7324555161761</v>
      </c>
      <c r="K7" s="56">
        <f t="shared" si="1"/>
        <v>3231.6020339890256</v>
      </c>
      <c r="L7" s="56">
        <f t="shared" ref="L7:L27" si="4">SUM(M7:N7)</f>
        <v>1659.3816389696017</v>
      </c>
      <c r="M7" s="56">
        <f t="shared" si="2"/>
        <v>1494.6906990881453</v>
      </c>
      <c r="N7" s="56">
        <f t="shared" si="2"/>
        <v>164.6909398814565</v>
      </c>
      <c r="V7" s="64">
        <v>71596900000</v>
      </c>
      <c r="W7" s="64">
        <v>3011400000</v>
      </c>
      <c r="X7" s="64">
        <v>3736500000</v>
      </c>
      <c r="Y7" s="64">
        <v>1747800000</v>
      </c>
      <c r="Z7" s="64">
        <v>125000000</v>
      </c>
    </row>
    <row r="8" spans="1:26">
      <c r="A8" s="66">
        <v>1987</v>
      </c>
      <c r="B8" s="56">
        <v>59353.9</v>
      </c>
      <c r="C8" s="56">
        <v>1766.4</v>
      </c>
      <c r="D8" s="56">
        <v>2602.5</v>
      </c>
      <c r="E8" s="56">
        <f t="shared" ref="E8:E25" si="5">SUM(F8:G8)</f>
        <v>2159.3000000000002</v>
      </c>
      <c r="F8" s="56">
        <v>2068</v>
      </c>
      <c r="G8" s="56">
        <v>91.3</v>
      </c>
      <c r="H8" s="56">
        <f t="shared" si="0"/>
        <v>80536.984495490906</v>
      </c>
      <c r="I8" s="56">
        <f t="shared" si="3"/>
        <v>5413.6705170393543</v>
      </c>
      <c r="J8" s="56">
        <f t="shared" si="1"/>
        <v>1108.2232808649219</v>
      </c>
      <c r="K8" s="56">
        <f t="shared" si="1"/>
        <v>2558.1291046989522</v>
      </c>
      <c r="L8" s="56">
        <f t="shared" si="4"/>
        <v>1747.3181314754804</v>
      </c>
      <c r="M8" s="56">
        <f t="shared" si="2"/>
        <v>1575.2490374873346</v>
      </c>
      <c r="N8" s="56">
        <f t="shared" si="2"/>
        <v>172.06909398814574</v>
      </c>
      <c r="V8" s="64">
        <v>75483100000</v>
      </c>
      <c r="W8" s="64">
        <v>3909500000</v>
      </c>
      <c r="X8" s="64">
        <v>4720200000</v>
      </c>
      <c r="Y8" s="64">
        <v>1842000000</v>
      </c>
      <c r="Z8" s="64">
        <v>130600000</v>
      </c>
    </row>
    <row r="9" spans="1:26">
      <c r="A9" s="66">
        <v>1988</v>
      </c>
      <c r="B9" s="56">
        <v>65195.7</v>
      </c>
      <c r="C9" s="56">
        <v>1921.1</v>
      </c>
      <c r="D9" s="56">
        <v>2206.6</v>
      </c>
      <c r="E9" s="56">
        <f t="shared" si="5"/>
        <v>2707.2</v>
      </c>
      <c r="F9" s="56">
        <v>2609.6</v>
      </c>
      <c r="G9" s="56">
        <v>97.6</v>
      </c>
      <c r="H9" s="56">
        <f t="shared" si="0"/>
        <v>84317.628783567605</v>
      </c>
      <c r="I9" s="56">
        <f t="shared" si="3"/>
        <v>5659.4484522327857</v>
      </c>
      <c r="J9" s="56">
        <f t="shared" si="1"/>
        <v>1182.3487928559689</v>
      </c>
      <c r="K9" s="56">
        <f t="shared" si="1"/>
        <v>2632.4709498790021</v>
      </c>
      <c r="L9" s="56">
        <f t="shared" si="4"/>
        <v>1844.6287094978147</v>
      </c>
      <c r="M9" s="56">
        <f t="shared" si="2"/>
        <v>1674.5359067882464</v>
      </c>
      <c r="N9" s="56">
        <f t="shared" si="2"/>
        <v>170.09280270956825</v>
      </c>
      <c r="V9" s="64">
        <v>79026500000</v>
      </c>
      <c r="W9" s="64">
        <v>3664400000</v>
      </c>
      <c r="X9" s="64">
        <v>4586900000</v>
      </c>
      <c r="Y9" s="64">
        <v>1958100000</v>
      </c>
      <c r="Z9" s="64">
        <v>129100000</v>
      </c>
    </row>
    <row r="10" spans="1:26">
      <c r="A10" s="66">
        <v>1989</v>
      </c>
      <c r="B10" s="56">
        <v>70583.100000000006</v>
      </c>
      <c r="C10" s="56">
        <v>1905.4</v>
      </c>
      <c r="D10" s="56">
        <v>2303.9</v>
      </c>
      <c r="E10" s="56">
        <f t="shared" si="5"/>
        <v>2613.1</v>
      </c>
      <c r="F10" s="56">
        <v>2501.9</v>
      </c>
      <c r="G10" s="56">
        <v>111.2</v>
      </c>
      <c r="H10" s="56">
        <f t="shared" si="0"/>
        <v>87734.015025714019</v>
      </c>
      <c r="I10" s="56">
        <f t="shared" si="3"/>
        <v>5654.3206292395407</v>
      </c>
      <c r="J10" s="56">
        <f t="shared" si="1"/>
        <v>1237.1431188548049</v>
      </c>
      <c r="K10" s="56">
        <f t="shared" si="1"/>
        <v>2655.9213883512216</v>
      </c>
      <c r="L10" s="56">
        <f t="shared" si="4"/>
        <v>1761.2561220335137</v>
      </c>
      <c r="M10" s="56">
        <f t="shared" si="2"/>
        <v>1576.2752583586619</v>
      </c>
      <c r="N10" s="56">
        <f>N18*(Z10/Z18)</f>
        <v>184.98086367485192</v>
      </c>
      <c r="V10" s="64">
        <v>82228500000</v>
      </c>
      <c r="W10" s="64">
        <v>3502100000</v>
      </c>
      <c r="X10" s="64">
        <v>4546400000</v>
      </c>
      <c r="Y10" s="64">
        <v>1843200000</v>
      </c>
      <c r="Z10" s="64">
        <v>140400000</v>
      </c>
    </row>
    <row r="11" spans="1:26">
      <c r="A11" s="66">
        <v>1990</v>
      </c>
      <c r="B11" s="56">
        <v>74133</v>
      </c>
      <c r="C11" s="56">
        <v>1643.8</v>
      </c>
      <c r="D11" s="56">
        <v>2025.5</v>
      </c>
      <c r="E11" s="56" t="s">
        <v>188</v>
      </c>
      <c r="F11" s="56">
        <v>1814.7</v>
      </c>
      <c r="G11" s="56" t="s">
        <v>188</v>
      </c>
      <c r="H11" s="56">
        <f t="shared" si="0"/>
        <v>89538.874166005975</v>
      </c>
      <c r="I11" s="56" t="s">
        <v>22</v>
      </c>
      <c r="J11" s="56">
        <f t="shared" si="1"/>
        <v>1430.0894232048495</v>
      </c>
      <c r="K11" s="56">
        <f t="shared" si="1"/>
        <v>2778.4534848938065</v>
      </c>
      <c r="L11" s="56" t="s">
        <v>22</v>
      </c>
      <c r="M11" s="56">
        <f t="shared" si="2"/>
        <v>1291.4134481594051</v>
      </c>
      <c r="N11" s="56" t="s">
        <v>188</v>
      </c>
      <c r="V11" s="64">
        <v>83920100000</v>
      </c>
      <c r="W11" s="64">
        <v>3029600000</v>
      </c>
      <c r="X11" s="64">
        <v>4345900000</v>
      </c>
      <c r="Y11" s="64">
        <v>1510100000</v>
      </c>
      <c r="Z11" s="64" t="s">
        <v>188</v>
      </c>
    </row>
    <row r="12" spans="1:26">
      <c r="A12" s="66">
        <v>1991</v>
      </c>
      <c r="B12" s="56">
        <v>77388.7</v>
      </c>
      <c r="C12" s="56">
        <v>1475.8</v>
      </c>
      <c r="D12" s="56">
        <v>1658.2</v>
      </c>
      <c r="E12" s="56" t="s">
        <v>188</v>
      </c>
      <c r="F12" s="56">
        <v>1266.4000000000001</v>
      </c>
      <c r="G12" s="56" t="s">
        <v>188</v>
      </c>
      <c r="H12" s="56">
        <f t="shared" si="0"/>
        <v>90791.691381973593</v>
      </c>
      <c r="I12" s="56" t="s">
        <v>22</v>
      </c>
      <c r="J12" s="56">
        <f t="shared" si="1"/>
        <v>1632.7864769328853</v>
      </c>
      <c r="K12" s="56">
        <f t="shared" si="1"/>
        <v>3248.9926005650459</v>
      </c>
      <c r="L12" s="56" t="s">
        <v>22</v>
      </c>
      <c r="M12" s="56">
        <f t="shared" si="2"/>
        <v>1285.0850861195536</v>
      </c>
      <c r="N12" s="56" t="s">
        <v>188</v>
      </c>
      <c r="V12" s="64">
        <v>85094300000</v>
      </c>
      <c r="W12" s="64">
        <v>2653500000</v>
      </c>
      <c r="X12" s="64">
        <v>3716500000</v>
      </c>
      <c r="Y12" s="64">
        <v>1502700000</v>
      </c>
      <c r="Z12" s="64" t="s">
        <v>188</v>
      </c>
    </row>
    <row r="13" spans="1:26">
      <c r="A13" s="66">
        <v>1992</v>
      </c>
      <c r="B13" s="56">
        <v>81452.100000000006</v>
      </c>
      <c r="C13" s="56">
        <v>1750.8</v>
      </c>
      <c r="D13" s="56">
        <v>2211.6999999999998</v>
      </c>
      <c r="E13" s="56" t="s">
        <v>188</v>
      </c>
      <c r="F13" s="56">
        <v>980.7</v>
      </c>
      <c r="G13" s="56" t="s">
        <v>188</v>
      </c>
      <c r="H13" s="56">
        <f t="shared" si="0"/>
        <v>93713.544512553839</v>
      </c>
      <c r="I13" s="56" t="s">
        <v>22</v>
      </c>
      <c r="J13" s="56">
        <f t="shared" si="1"/>
        <v>1539.3849410344328</v>
      </c>
      <c r="K13" s="56">
        <f t="shared" si="1"/>
        <v>3000.4922595233938</v>
      </c>
      <c r="L13" s="56" t="s">
        <v>22</v>
      </c>
      <c r="M13" s="56">
        <f t="shared" si="2"/>
        <v>1226.5049780479562</v>
      </c>
      <c r="N13" s="56" t="s">
        <v>188</v>
      </c>
      <c r="V13" s="64">
        <v>87832800000</v>
      </c>
      <c r="W13" s="64">
        <v>2814500000</v>
      </c>
      <c r="X13" s="64">
        <v>4024300000</v>
      </c>
      <c r="Y13" s="64">
        <v>1434200000</v>
      </c>
      <c r="Z13" s="64" t="s">
        <v>188</v>
      </c>
    </row>
    <row r="14" spans="1:26">
      <c r="A14" s="66">
        <v>1993</v>
      </c>
      <c r="B14" s="56">
        <v>87648.2</v>
      </c>
      <c r="C14" s="56">
        <v>2505.9</v>
      </c>
      <c r="D14" s="56">
        <v>3280.2</v>
      </c>
      <c r="E14" s="56" t="s">
        <v>188</v>
      </c>
      <c r="F14" s="56">
        <v>945.8</v>
      </c>
      <c r="G14" s="56" t="s">
        <v>188</v>
      </c>
      <c r="H14" s="56">
        <f t="shared" si="0"/>
        <v>98276.58606214395</v>
      </c>
      <c r="I14" s="56" t="s">
        <v>22</v>
      </c>
      <c r="J14" s="56">
        <f t="shared" si="1"/>
        <v>1264.7708187007856</v>
      </c>
      <c r="K14" s="56">
        <f t="shared" si="1"/>
        <v>3007.4423412204219</v>
      </c>
      <c r="L14" s="56" t="s">
        <v>22</v>
      </c>
      <c r="M14" s="56">
        <f t="shared" si="2"/>
        <v>1353.0722188449843</v>
      </c>
      <c r="N14" s="56" t="s">
        <v>188</v>
      </c>
      <c r="V14" s="64">
        <v>92109500000</v>
      </c>
      <c r="W14" s="64">
        <v>3425600000</v>
      </c>
      <c r="X14" s="64">
        <v>4015000000</v>
      </c>
      <c r="Y14" s="64">
        <v>1582200000</v>
      </c>
      <c r="Z14" s="64" t="s">
        <v>188</v>
      </c>
    </row>
    <row r="15" spans="1:26">
      <c r="A15" s="66">
        <v>1994</v>
      </c>
      <c r="B15" s="56">
        <v>94700.6</v>
      </c>
      <c r="C15" s="56">
        <v>2625.9</v>
      </c>
      <c r="D15" s="56">
        <v>3948.1</v>
      </c>
      <c r="E15" s="56" t="s">
        <v>188</v>
      </c>
      <c r="F15" s="56">
        <v>1511.1</v>
      </c>
      <c r="G15" s="56" t="s">
        <v>188</v>
      </c>
      <c r="H15" s="56">
        <f t="shared" si="0"/>
        <v>103012.3674407795</v>
      </c>
      <c r="I15" s="56" t="s">
        <v>22</v>
      </c>
      <c r="J15" s="56">
        <f t="shared" si="1"/>
        <v>1261.9342663156181</v>
      </c>
      <c r="K15" s="56">
        <f t="shared" si="1"/>
        <v>3314.7252113758632</v>
      </c>
      <c r="L15" s="56" t="s">
        <v>22</v>
      </c>
      <c r="M15" s="56">
        <f t="shared" si="2"/>
        <v>1445.2610604525494</v>
      </c>
      <c r="N15" s="56" t="s">
        <v>188</v>
      </c>
      <c r="V15" s="64">
        <v>96548100000</v>
      </c>
      <c r="W15" s="64">
        <v>3433300000</v>
      </c>
      <c r="X15" s="64">
        <v>3642800000</v>
      </c>
      <c r="Y15" s="64">
        <v>1690000000</v>
      </c>
      <c r="Z15" s="64" t="s">
        <v>188</v>
      </c>
    </row>
    <row r="16" spans="1:26">
      <c r="A16" s="66">
        <v>1995</v>
      </c>
      <c r="B16" s="56">
        <v>98986.6</v>
      </c>
      <c r="C16" s="56">
        <v>2946.5</v>
      </c>
      <c r="D16" s="56">
        <v>3351.5</v>
      </c>
      <c r="E16" s="56" t="s">
        <v>188</v>
      </c>
      <c r="F16" s="56">
        <v>2428.8000000000002</v>
      </c>
      <c r="G16" s="56" t="s">
        <v>188</v>
      </c>
      <c r="H16" s="56">
        <f t="shared" si="0"/>
        <v>105765.64186234691</v>
      </c>
      <c r="I16" s="56" t="s">
        <v>22</v>
      </c>
      <c r="J16" s="56">
        <f t="shared" si="1"/>
        <v>1283.6949769018433</v>
      </c>
      <c r="K16" s="56">
        <f t="shared" si="1"/>
        <v>3278.722982513304</v>
      </c>
      <c r="L16" s="56" t="s">
        <v>22</v>
      </c>
      <c r="M16" s="56">
        <f t="shared" si="2"/>
        <v>1272.428362039851</v>
      </c>
      <c r="N16" s="56" t="s">
        <v>188</v>
      </c>
      <c r="V16" s="64">
        <v>99128600000</v>
      </c>
      <c r="W16" s="64">
        <v>3375100000</v>
      </c>
      <c r="X16" s="64">
        <v>3682800000</v>
      </c>
      <c r="Y16" s="64">
        <v>1487900000</v>
      </c>
      <c r="Z16" s="64" t="s">
        <v>188</v>
      </c>
    </row>
    <row r="17" spans="1:26">
      <c r="A17" s="66">
        <v>1996</v>
      </c>
      <c r="B17" s="56">
        <v>101769.2</v>
      </c>
      <c r="C17" s="56">
        <v>3160.6</v>
      </c>
      <c r="D17" s="56">
        <v>3250.2</v>
      </c>
      <c r="E17" s="56" t="s">
        <v>188</v>
      </c>
      <c r="F17" s="56">
        <v>1835.7</v>
      </c>
      <c r="G17" s="56" t="s">
        <v>188</v>
      </c>
      <c r="H17" s="56">
        <f t="shared" si="0"/>
        <v>108088.82718516064</v>
      </c>
      <c r="I17" s="56" t="s">
        <v>22</v>
      </c>
      <c r="J17" s="56">
        <f t="shared" si="1"/>
        <v>1414.8185731448295</v>
      </c>
      <c r="K17" s="56">
        <f t="shared" si="1"/>
        <v>3620.2197637464765</v>
      </c>
      <c r="L17" s="56" t="s">
        <v>22</v>
      </c>
      <c r="M17" s="56">
        <f t="shared" si="2"/>
        <v>1288.2492671394793</v>
      </c>
      <c r="N17" s="56" t="s">
        <v>188</v>
      </c>
      <c r="V17" s="64">
        <v>101306000000</v>
      </c>
      <c r="W17" s="64">
        <v>3062300000</v>
      </c>
      <c r="X17" s="64">
        <v>3335400000</v>
      </c>
      <c r="Y17" s="64">
        <v>1506400000</v>
      </c>
      <c r="Z17" s="64" t="s">
        <v>188</v>
      </c>
    </row>
    <row r="18" spans="1:26">
      <c r="A18" s="66">
        <v>1997</v>
      </c>
      <c r="B18" s="56">
        <v>104554.1</v>
      </c>
      <c r="C18" s="56">
        <v>3185.1</v>
      </c>
      <c r="D18" s="56">
        <v>3634.4</v>
      </c>
      <c r="E18" s="56">
        <f t="shared" si="5"/>
        <v>1598.6</v>
      </c>
      <c r="F18" s="56">
        <v>1480.5</v>
      </c>
      <c r="G18" s="56">
        <v>118.1</v>
      </c>
      <c r="H18" s="56">
        <f t="shared" si="0"/>
        <v>111554.40000000002</v>
      </c>
      <c r="I18" s="56">
        <f t="shared" si="3"/>
        <v>6104.3572865403257</v>
      </c>
      <c r="J18" s="56">
        <f t="shared" si="1"/>
        <v>1360.2709229039626</v>
      </c>
      <c r="K18" s="56">
        <f t="shared" si="1"/>
        <v>3322.3863636363631</v>
      </c>
      <c r="L18" s="56">
        <f t="shared" si="4"/>
        <v>1421.6999999999996</v>
      </c>
      <c r="M18" s="56">
        <f t="shared" si="2"/>
        <v>1266.0999999999995</v>
      </c>
      <c r="N18" s="56">
        <f t="shared" si="2"/>
        <v>155.60000000000008</v>
      </c>
      <c r="P18" s="32">
        <v>111554.4</v>
      </c>
      <c r="Q18" s="32">
        <v>2935.3</v>
      </c>
      <c r="R18" s="32">
        <v>3425.4</v>
      </c>
      <c r="S18" s="32">
        <v>1266.0999999999999</v>
      </c>
      <c r="T18" s="32">
        <v>155.6</v>
      </c>
      <c r="V18" s="64">
        <v>104554100000</v>
      </c>
      <c r="W18" s="64">
        <v>3185100000</v>
      </c>
      <c r="X18" s="64">
        <v>3634400000</v>
      </c>
      <c r="Y18" s="64">
        <v>1480500000</v>
      </c>
      <c r="Z18" s="64">
        <v>118100000</v>
      </c>
    </row>
    <row r="19" spans="1:26">
      <c r="A19" s="66">
        <v>1998</v>
      </c>
      <c r="B19" s="56">
        <v>105907</v>
      </c>
      <c r="C19" s="56">
        <v>3271.7</v>
      </c>
      <c r="D19" s="56">
        <v>3188.8</v>
      </c>
      <c r="E19" s="56">
        <f t="shared" si="5"/>
        <v>1374.2</v>
      </c>
      <c r="F19" s="56">
        <v>1262.5</v>
      </c>
      <c r="G19" s="56">
        <v>111.7</v>
      </c>
      <c r="H19" s="56">
        <f t="shared" si="0"/>
        <v>112912.80000000003</v>
      </c>
      <c r="I19" s="56">
        <f t="shared" si="3"/>
        <v>5917.7757685861197</v>
      </c>
      <c r="J19" s="56">
        <f t="shared" si="1"/>
        <v>1352.5756233062336</v>
      </c>
      <c r="K19" s="56">
        <f t="shared" si="1"/>
        <v>3374.2001452798859</v>
      </c>
      <c r="L19" s="56">
        <f t="shared" si="4"/>
        <v>1190.9999999999998</v>
      </c>
      <c r="M19" s="56">
        <f t="shared" si="2"/>
        <v>1048.7999999999997</v>
      </c>
      <c r="N19" s="56">
        <f t="shared" si="2"/>
        <v>142.20000000000007</v>
      </c>
      <c r="P19" s="32">
        <v>112912.8</v>
      </c>
      <c r="Q19" s="32">
        <v>2952</v>
      </c>
      <c r="R19" s="32">
        <v>3372.8</v>
      </c>
      <c r="S19" s="32">
        <v>1048.8</v>
      </c>
      <c r="T19" s="32">
        <v>142.19999999999999</v>
      </c>
      <c r="V19" s="64">
        <v>105960300000</v>
      </c>
      <c r="W19" s="64">
        <v>3202300000</v>
      </c>
      <c r="X19" s="64">
        <v>3549900000</v>
      </c>
      <c r="Y19" s="64">
        <v>1240200000</v>
      </c>
      <c r="Z19" s="64">
        <v>107600000</v>
      </c>
    </row>
    <row r="20" spans="1:26">
      <c r="A20" s="66">
        <v>1999</v>
      </c>
      <c r="B20" s="56">
        <v>110806.3</v>
      </c>
      <c r="C20" s="56">
        <v>2918.7</v>
      </c>
      <c r="D20" s="56">
        <v>4458.8999999999996</v>
      </c>
      <c r="E20" s="56">
        <f t="shared" si="5"/>
        <v>1722.7</v>
      </c>
      <c r="F20" s="56">
        <v>1596.9</v>
      </c>
      <c r="G20" s="56">
        <v>125.8</v>
      </c>
      <c r="H20" s="56">
        <f t="shared" si="0"/>
        <v>116306.70000000001</v>
      </c>
      <c r="I20" s="56">
        <f t="shared" si="3"/>
        <v>6102.9084803598407</v>
      </c>
      <c r="J20" s="56">
        <f t="shared" si="1"/>
        <v>1431.6253997848698</v>
      </c>
      <c r="K20" s="56">
        <f t="shared" si="1"/>
        <v>3001.5830805749706</v>
      </c>
      <c r="L20" s="56">
        <f t="shared" si="4"/>
        <v>1669.6999999999996</v>
      </c>
      <c r="M20" s="56">
        <f t="shared" si="2"/>
        <v>1528.0999999999995</v>
      </c>
      <c r="N20" s="56">
        <f t="shared" si="2"/>
        <v>141.60000000000008</v>
      </c>
      <c r="P20" s="32">
        <v>116306.7</v>
      </c>
      <c r="Q20" s="32">
        <v>2789</v>
      </c>
      <c r="R20" s="32">
        <v>3791.5</v>
      </c>
      <c r="S20" s="32">
        <v>1528.1</v>
      </c>
      <c r="T20" s="32">
        <v>141.6</v>
      </c>
    </row>
    <row r="21" spans="1:26">
      <c r="A21" s="66">
        <v>2000</v>
      </c>
      <c r="B21" s="56">
        <v>120756.3</v>
      </c>
      <c r="C21" s="56">
        <v>2584.1</v>
      </c>
      <c r="D21" s="56">
        <v>4224.6000000000004</v>
      </c>
      <c r="E21" s="56">
        <f t="shared" si="5"/>
        <v>2516.6</v>
      </c>
      <c r="F21" s="56">
        <v>2383.1</v>
      </c>
      <c r="G21" s="56">
        <v>133.5</v>
      </c>
      <c r="H21" s="56">
        <f t="shared" si="0"/>
        <v>121545.8</v>
      </c>
      <c r="I21" s="56">
        <f t="shared" si="3"/>
        <v>5855.0635058798953</v>
      </c>
      <c r="J21" s="56">
        <f t="shared" ref="J21:K26" si="6">J22/(1/R51)</f>
        <v>1513.4573724509144</v>
      </c>
      <c r="K21" s="56">
        <f t="shared" si="6"/>
        <v>2721.3061334289819</v>
      </c>
      <c r="L21" s="56">
        <f t="shared" si="4"/>
        <v>1620.2999999999995</v>
      </c>
      <c r="M21" s="56">
        <f t="shared" ref="M21:N26" si="7">M22*(1/T51)</f>
        <v>1483.7999999999995</v>
      </c>
      <c r="N21" s="56">
        <f t="shared" si="7"/>
        <v>136.50000000000006</v>
      </c>
      <c r="P21" s="32">
        <v>121545.8</v>
      </c>
      <c r="Q21" s="32">
        <v>2638.2</v>
      </c>
      <c r="R21" s="32">
        <v>4182</v>
      </c>
      <c r="S21" s="32">
        <v>1483.8</v>
      </c>
      <c r="T21" s="32">
        <v>136.5</v>
      </c>
    </row>
    <row r="22" spans="1:26">
      <c r="A22" s="66">
        <v>2001</v>
      </c>
      <c r="B22" s="56">
        <v>122772.5</v>
      </c>
      <c r="C22" s="56">
        <v>2344.4</v>
      </c>
      <c r="D22" s="56">
        <v>3622.6</v>
      </c>
      <c r="E22" s="56">
        <f t="shared" si="5"/>
        <v>1726.7</v>
      </c>
      <c r="F22" s="56">
        <v>1601.4</v>
      </c>
      <c r="G22" s="56">
        <v>125.3</v>
      </c>
      <c r="H22" s="56">
        <f t="shared" si="0"/>
        <v>122847.5</v>
      </c>
      <c r="I22" s="56">
        <f t="shared" si="3"/>
        <v>6185.8901686163254</v>
      </c>
      <c r="J22" s="56">
        <f t="shared" si="6"/>
        <v>1508.4828440817566</v>
      </c>
      <c r="K22" s="56">
        <f t="shared" si="6"/>
        <v>3315.7073245345691</v>
      </c>
      <c r="L22" s="56">
        <f t="shared" si="4"/>
        <v>1361.6999999999996</v>
      </c>
      <c r="M22" s="56">
        <f t="shared" si="7"/>
        <v>1240.9999999999995</v>
      </c>
      <c r="N22" s="56">
        <f t="shared" si="7"/>
        <v>120.70000000000003</v>
      </c>
      <c r="P22" s="32">
        <v>122847.5</v>
      </c>
      <c r="Q22" s="32">
        <v>2646.9</v>
      </c>
      <c r="R22" s="32">
        <v>3432.3</v>
      </c>
      <c r="S22" s="32">
        <v>1241</v>
      </c>
      <c r="T22" s="32">
        <v>120.7</v>
      </c>
    </row>
    <row r="23" spans="1:26">
      <c r="A23" s="66">
        <v>2002</v>
      </c>
      <c r="B23" s="56">
        <v>126760.7</v>
      </c>
      <c r="C23" s="56">
        <v>2713.2</v>
      </c>
      <c r="D23" s="56">
        <v>3979.4</v>
      </c>
      <c r="E23" s="56">
        <f t="shared" si="5"/>
        <v>1452.6</v>
      </c>
      <c r="F23" s="56">
        <v>1315.6</v>
      </c>
      <c r="G23" s="56">
        <v>137</v>
      </c>
      <c r="H23" s="56">
        <f t="shared" si="0"/>
        <v>126760.7</v>
      </c>
      <c r="I23" s="56">
        <f t="shared" si="3"/>
        <v>5784.0752308195997</v>
      </c>
      <c r="J23" s="56">
        <f t="shared" si="6"/>
        <v>1471.6214212000596</v>
      </c>
      <c r="K23" s="56">
        <f t="shared" si="6"/>
        <v>2859.8538096195412</v>
      </c>
      <c r="L23" s="56">
        <f t="shared" si="4"/>
        <v>1452.5999999999995</v>
      </c>
      <c r="M23" s="56">
        <f t="shared" si="7"/>
        <v>1315.5999999999995</v>
      </c>
      <c r="N23" s="56">
        <f t="shared" si="7"/>
        <v>137.00000000000003</v>
      </c>
      <c r="P23" s="32">
        <v>126760.7</v>
      </c>
      <c r="Q23" s="32">
        <v>2713.2</v>
      </c>
      <c r="R23" s="32">
        <v>3979.4</v>
      </c>
      <c r="S23" s="32">
        <v>1315.6</v>
      </c>
      <c r="T23" s="32">
        <v>137</v>
      </c>
    </row>
    <row r="24" spans="1:26">
      <c r="A24" s="66">
        <v>2003</v>
      </c>
      <c r="B24" s="56">
        <v>133212.70000000001</v>
      </c>
      <c r="C24" s="56">
        <v>2486.6999999999998</v>
      </c>
      <c r="D24" s="56">
        <v>3464.6</v>
      </c>
      <c r="E24" s="56">
        <f t="shared" si="5"/>
        <v>1232.8</v>
      </c>
      <c r="F24" s="56">
        <v>1099.8</v>
      </c>
      <c r="G24" s="56">
        <v>133</v>
      </c>
      <c r="H24" s="56">
        <f t="shared" si="0"/>
        <v>130025.60000000001</v>
      </c>
      <c r="I24" s="56">
        <f t="shared" si="3"/>
        <v>5701.8487960711118</v>
      </c>
      <c r="J24" s="56">
        <f t="shared" si="6"/>
        <v>1446.0391279153994</v>
      </c>
      <c r="K24" s="56">
        <f t="shared" si="6"/>
        <v>2793.3096681557122</v>
      </c>
      <c r="L24" s="56">
        <f t="shared" si="4"/>
        <v>1462.4999999999998</v>
      </c>
      <c r="M24" s="56">
        <f t="shared" si="7"/>
        <v>1333.7999999999997</v>
      </c>
      <c r="N24" s="56">
        <f t="shared" si="7"/>
        <v>128.70000000000002</v>
      </c>
      <c r="P24" s="32">
        <v>130025.60000000001</v>
      </c>
      <c r="Q24" s="32">
        <v>2761.2</v>
      </c>
      <c r="R24" s="32">
        <v>4074.2</v>
      </c>
      <c r="S24" s="32">
        <v>1333.8</v>
      </c>
      <c r="T24" s="32">
        <v>128.69999999999999</v>
      </c>
    </row>
    <row r="25" spans="1:26">
      <c r="A25" s="66">
        <v>2004</v>
      </c>
      <c r="B25" s="56">
        <v>144460.9</v>
      </c>
      <c r="C25" s="56">
        <v>2840.6</v>
      </c>
      <c r="D25" s="56">
        <v>4909.6000000000004</v>
      </c>
      <c r="E25" s="56">
        <f t="shared" si="5"/>
        <v>1575.3</v>
      </c>
      <c r="F25" s="56">
        <v>1420</v>
      </c>
      <c r="G25" s="56">
        <v>155.30000000000001</v>
      </c>
      <c r="H25" s="56">
        <f t="shared" si="0"/>
        <v>135020.9</v>
      </c>
      <c r="I25" s="56">
        <f t="shared" si="3"/>
        <v>5313.5858879945836</v>
      </c>
      <c r="J25" s="56">
        <f t="shared" si="6"/>
        <v>1275.900568799131</v>
      </c>
      <c r="K25" s="56">
        <f t="shared" si="6"/>
        <v>2488.0853191954529</v>
      </c>
      <c r="L25" s="56">
        <f t="shared" si="4"/>
        <v>1549.5999999999997</v>
      </c>
      <c r="M25" s="56">
        <f t="shared" si="7"/>
        <v>1411.2999999999997</v>
      </c>
      <c r="N25" s="56">
        <f t="shared" si="7"/>
        <v>138.30000000000004</v>
      </c>
      <c r="P25" s="32">
        <v>135020.9</v>
      </c>
      <c r="Q25" s="32">
        <v>3129.4</v>
      </c>
      <c r="R25" s="32">
        <v>4574</v>
      </c>
      <c r="S25" s="32">
        <v>1411.3</v>
      </c>
      <c r="T25" s="32">
        <v>138.30000000000001</v>
      </c>
    </row>
    <row r="26" spans="1:26">
      <c r="A26" s="66">
        <v>2005</v>
      </c>
      <c r="B26" s="56">
        <v>155533.9</v>
      </c>
      <c r="C26" s="56">
        <v>2809.3</v>
      </c>
      <c r="D26" s="56">
        <v>4194.2</v>
      </c>
      <c r="E26" s="56" t="s">
        <v>22</v>
      </c>
      <c r="F26" s="56">
        <v>1521.2</v>
      </c>
      <c r="G26" s="56">
        <v>157.1</v>
      </c>
      <c r="H26" s="56">
        <f t="shared" si="0"/>
        <v>141338.79999999999</v>
      </c>
      <c r="I26" s="56">
        <f t="shared" si="3"/>
        <v>5220.751876393173</v>
      </c>
      <c r="J26" s="56">
        <f t="shared" si="6"/>
        <v>1287.3366133608461</v>
      </c>
      <c r="K26" s="56">
        <f t="shared" si="6"/>
        <v>2262.6152630323272</v>
      </c>
      <c r="L26" s="56">
        <f t="shared" si="4"/>
        <v>1670.8</v>
      </c>
      <c r="M26" s="56">
        <f t="shared" si="7"/>
        <v>1527.3</v>
      </c>
      <c r="N26" s="56">
        <f t="shared" si="7"/>
        <v>143.50000000000003</v>
      </c>
      <c r="P26" s="32">
        <v>141338.79999999999</v>
      </c>
      <c r="Q26" s="32">
        <v>3101.6</v>
      </c>
      <c r="R26" s="32">
        <v>5029.8</v>
      </c>
      <c r="S26" s="32">
        <v>1527.3</v>
      </c>
      <c r="T26" s="32">
        <v>143.5</v>
      </c>
    </row>
    <row r="27" spans="1:26">
      <c r="A27" s="66">
        <v>2006</v>
      </c>
      <c r="B27" s="56">
        <v>167376.20000000001</v>
      </c>
      <c r="C27" s="56">
        <v>2641.4</v>
      </c>
      <c r="D27" s="56">
        <v>3806.5</v>
      </c>
      <c r="E27" s="56" t="s">
        <v>22</v>
      </c>
      <c r="F27" s="56">
        <v>1672.2</v>
      </c>
      <c r="G27" s="56">
        <v>152</v>
      </c>
      <c r="H27" s="56">
        <f>H28*(1/Q57)</f>
        <v>146762.20000000001</v>
      </c>
      <c r="I27" s="56">
        <f t="shared" si="3"/>
        <v>5189.3373185044265</v>
      </c>
      <c r="J27" s="56">
        <f>J28/(1/R57)</f>
        <v>1321.2015618278681</v>
      </c>
      <c r="K27" s="56">
        <f>K28/(1/S57)</f>
        <v>2251.335756676558</v>
      </c>
      <c r="L27" s="56">
        <f t="shared" si="4"/>
        <v>1616.8000000000004</v>
      </c>
      <c r="M27" s="56">
        <f>M28*(1/T57)</f>
        <v>1488.4000000000003</v>
      </c>
      <c r="N27" s="56">
        <f>N28*(1/U57)</f>
        <v>128.40000000000003</v>
      </c>
      <c r="P27" s="32">
        <v>146762.20000000001</v>
      </c>
      <c r="Q27" s="32">
        <v>3022.1</v>
      </c>
      <c r="R27" s="32">
        <v>5055</v>
      </c>
      <c r="S27" s="32">
        <v>1488.4</v>
      </c>
      <c r="T27" s="32">
        <v>128.4</v>
      </c>
    </row>
    <row r="28" spans="1:26">
      <c r="A28" s="66">
        <v>2007</v>
      </c>
      <c r="B28" s="56">
        <v>176296.6</v>
      </c>
      <c r="C28" s="56">
        <v>2563.1</v>
      </c>
      <c r="D28" s="56">
        <v>3324.4</v>
      </c>
      <c r="E28" s="56" t="s">
        <v>22</v>
      </c>
      <c r="F28" s="56">
        <v>1676.4</v>
      </c>
      <c r="G28" s="56">
        <v>146.4</v>
      </c>
      <c r="H28" s="56">
        <v>181496</v>
      </c>
      <c r="I28" s="56">
        <f t="shared" ref="I28:I32" si="8">SUM(J28:L28)</f>
        <v>6942.2999999999993</v>
      </c>
      <c r="J28" s="56">
        <v>1998.2</v>
      </c>
      <c r="K28" s="56">
        <v>3373.5</v>
      </c>
      <c r="L28" s="56">
        <v>1570.6</v>
      </c>
      <c r="M28" s="56">
        <v>1421.7</v>
      </c>
      <c r="N28" s="56">
        <v>149</v>
      </c>
      <c r="P28" s="32">
        <v>181496</v>
      </c>
      <c r="Q28" s="32">
        <v>1998.2</v>
      </c>
      <c r="R28" s="32">
        <v>3373.5</v>
      </c>
      <c r="S28" s="32">
        <v>1421.7</v>
      </c>
      <c r="T28" s="32">
        <v>149</v>
      </c>
    </row>
    <row r="29" spans="1:26">
      <c r="A29" s="66">
        <v>2008</v>
      </c>
      <c r="B29" s="56">
        <v>184559.7</v>
      </c>
      <c r="C29" s="56">
        <v>2027.4</v>
      </c>
      <c r="D29" s="56">
        <v>2594</v>
      </c>
      <c r="E29" s="56"/>
      <c r="F29" s="56">
        <v>1374.7</v>
      </c>
      <c r="G29" s="56">
        <v>137</v>
      </c>
      <c r="H29" s="56">
        <v>183419.4</v>
      </c>
      <c r="I29" s="56">
        <f t="shared" si="8"/>
        <v>6076.9</v>
      </c>
      <c r="J29" s="56">
        <v>1775.6</v>
      </c>
      <c r="K29" s="56">
        <v>2883.8</v>
      </c>
      <c r="L29" s="56">
        <v>1417.5</v>
      </c>
      <c r="M29" s="56">
        <v>1276</v>
      </c>
      <c r="N29" s="56">
        <v>141.30000000000001</v>
      </c>
      <c r="P29" s="32">
        <v>183419.4</v>
      </c>
      <c r="Q29" s="32">
        <v>1775.6</v>
      </c>
      <c r="R29" s="32">
        <v>2883.8</v>
      </c>
      <c r="S29" s="32">
        <v>1276</v>
      </c>
      <c r="T29" s="32">
        <v>141.30000000000001</v>
      </c>
    </row>
    <row r="30" spans="1:26">
      <c r="A30" s="66">
        <v>2009</v>
      </c>
      <c r="B30" s="56" t="s">
        <v>22</v>
      </c>
      <c r="C30" s="56" t="s">
        <v>22</v>
      </c>
      <c r="D30" s="56" t="s">
        <v>22</v>
      </c>
      <c r="E30" s="56" t="s">
        <v>22</v>
      </c>
      <c r="F30" s="56" t="s">
        <v>22</v>
      </c>
      <c r="G30" s="56" t="s">
        <v>22</v>
      </c>
      <c r="H30" s="56">
        <v>178394.2</v>
      </c>
      <c r="I30" s="56">
        <f t="shared" si="8"/>
        <v>4639.5</v>
      </c>
      <c r="J30" s="56">
        <v>1199.2</v>
      </c>
      <c r="K30" s="56">
        <v>2445.4</v>
      </c>
      <c r="L30" s="56">
        <v>994.9</v>
      </c>
      <c r="M30" s="56">
        <v>871.3</v>
      </c>
      <c r="N30" s="56">
        <v>127</v>
      </c>
      <c r="P30" s="32">
        <v>178394.2</v>
      </c>
      <c r="Q30" s="32">
        <v>1199.2</v>
      </c>
      <c r="R30" s="32">
        <v>2445.4</v>
      </c>
      <c r="S30" s="32">
        <v>871.3</v>
      </c>
      <c r="T30" s="32">
        <v>127</v>
      </c>
    </row>
    <row r="31" spans="1:26">
      <c r="A31" s="66">
        <v>2010</v>
      </c>
      <c r="B31" s="56" t="s">
        <v>22</v>
      </c>
      <c r="C31" s="56" t="s">
        <v>22</v>
      </c>
      <c r="D31" s="56" t="s">
        <v>22</v>
      </c>
      <c r="E31" s="56" t="s">
        <v>22</v>
      </c>
      <c r="F31" s="56" t="s">
        <v>22</v>
      </c>
      <c r="G31" s="56" t="s">
        <v>22</v>
      </c>
      <c r="H31" s="56">
        <v>183657.60000000001</v>
      </c>
      <c r="I31" s="56">
        <f t="shared" si="8"/>
        <v>5353.4000000000005</v>
      </c>
      <c r="J31" s="56">
        <v>1502.2</v>
      </c>
      <c r="K31" s="56">
        <v>2750.4</v>
      </c>
      <c r="L31" s="56">
        <v>1100.8</v>
      </c>
      <c r="M31" s="56">
        <v>984</v>
      </c>
      <c r="N31" s="56">
        <v>113.6</v>
      </c>
      <c r="P31" s="32">
        <v>183657.60000000001</v>
      </c>
      <c r="Q31" s="32">
        <v>1502.2</v>
      </c>
      <c r="R31" s="32">
        <v>2750.4</v>
      </c>
      <c r="S31" s="32">
        <v>984</v>
      </c>
      <c r="T31" s="32">
        <v>113.6</v>
      </c>
    </row>
    <row r="32" spans="1:26">
      <c r="A32" s="66">
        <v>2011</v>
      </c>
      <c r="B32" s="56" t="s">
        <v>22</v>
      </c>
      <c r="C32" s="56" t="s">
        <v>22</v>
      </c>
      <c r="D32" s="56" t="s">
        <v>22</v>
      </c>
      <c r="E32" s="56" t="s">
        <v>22</v>
      </c>
      <c r="F32" s="56" t="s">
        <v>22</v>
      </c>
      <c r="G32" s="56" t="s">
        <v>22</v>
      </c>
      <c r="H32" s="56">
        <v>188474.8</v>
      </c>
      <c r="I32" s="56">
        <f t="shared" si="8"/>
        <v>5607.3</v>
      </c>
      <c r="J32" s="56">
        <v>1675.5</v>
      </c>
      <c r="K32" s="56">
        <v>2875.5</v>
      </c>
      <c r="L32" s="56">
        <v>1056.3</v>
      </c>
      <c r="M32" s="56">
        <v>943.4</v>
      </c>
      <c r="N32" s="56">
        <v>110.1</v>
      </c>
      <c r="P32" s="32">
        <v>188474.8</v>
      </c>
      <c r="Q32" s="32">
        <v>1675.5</v>
      </c>
      <c r="R32" s="32">
        <v>2875.5</v>
      </c>
      <c r="S32" s="32">
        <v>943.4</v>
      </c>
      <c r="T32" s="32">
        <v>110.1</v>
      </c>
    </row>
    <row r="34" spans="1:21" ht="90">
      <c r="A34" s="66" t="s">
        <v>23</v>
      </c>
      <c r="P34" s="146" t="s">
        <v>1826</v>
      </c>
      <c r="Q34" s="117" t="s">
        <v>7</v>
      </c>
      <c r="R34" s="117" t="s">
        <v>192</v>
      </c>
      <c r="S34" s="117" t="s">
        <v>1</v>
      </c>
      <c r="T34" s="117" t="s">
        <v>13</v>
      </c>
      <c r="U34" s="117" t="s">
        <v>19</v>
      </c>
    </row>
    <row r="35" spans="1:21">
      <c r="A35" s="57" t="s">
        <v>2142</v>
      </c>
      <c r="B35" s="147" t="str">
        <f>IFERROR(((B32/B5)^(1/27)-1)*100,"n.a.")</f>
        <v>n.a.</v>
      </c>
      <c r="C35" s="147" t="str">
        <f t="shared" ref="C35:N35" si="9">IFERROR(((C32/C5)^(1/27)-1)*100,"n.a.")</f>
        <v>n.a.</v>
      </c>
      <c r="D35" s="147" t="str">
        <f t="shared" si="9"/>
        <v>n.a.</v>
      </c>
      <c r="E35" s="147" t="str">
        <f t="shared" si="9"/>
        <v>n.a.</v>
      </c>
      <c r="F35" s="147" t="str">
        <f t="shared" si="9"/>
        <v>n.a.</v>
      </c>
      <c r="G35" s="147" t="str">
        <f t="shared" si="9"/>
        <v>n.a.</v>
      </c>
      <c r="H35" s="147">
        <f t="shared" si="9"/>
        <v>3.6402723695952099</v>
      </c>
      <c r="I35" s="147" t="str">
        <f t="shared" si="9"/>
        <v>n.a.</v>
      </c>
      <c r="J35" s="147">
        <f t="shared" si="9"/>
        <v>0.94808272529780524</v>
      </c>
      <c r="K35" s="147">
        <f t="shared" si="9"/>
        <v>-0.97016660294024781</v>
      </c>
      <c r="L35" s="147" t="str">
        <f t="shared" si="9"/>
        <v>n.a.</v>
      </c>
      <c r="M35" s="147">
        <f t="shared" si="9"/>
        <v>-1.0258564848322549</v>
      </c>
      <c r="N35" s="147" t="str">
        <f t="shared" si="9"/>
        <v>n.a.</v>
      </c>
      <c r="P35" s="56" t="s">
        <v>1856</v>
      </c>
      <c r="Q35" s="64">
        <f>V6/V5</f>
        <v>1.0484745601465089</v>
      </c>
      <c r="R35" s="64">
        <f>W6/W5</f>
        <v>0.97077513338528865</v>
      </c>
      <c r="S35" s="64">
        <f>X6/X5</f>
        <v>1.1901530643861933</v>
      </c>
      <c r="T35" s="64">
        <f>Y6/Y5</f>
        <v>1.0807657997666917</v>
      </c>
      <c r="U35" s="64" t="e">
        <f>Z6/Z5</f>
        <v>#VALUE!</v>
      </c>
    </row>
    <row r="36" spans="1:21">
      <c r="A36" s="57" t="s">
        <v>2141</v>
      </c>
      <c r="B36" s="147">
        <f>IFERROR(((B29/B5)^(1/24)-1)*100,"n.a.")</f>
        <v>5.7988797919751978</v>
      </c>
      <c r="C36" s="147">
        <f t="shared" ref="C36:N36" si="10">IFERROR(((C29/C5)^(1/24)-1)*100,"n.a.")</f>
        <v>1.7634823625670704</v>
      </c>
      <c r="D36" s="147">
        <f t="shared" si="10"/>
        <v>2.4719802875055708</v>
      </c>
      <c r="E36" s="147" t="str">
        <f t="shared" si="10"/>
        <v>n.a.</v>
      </c>
      <c r="F36" s="147">
        <f t="shared" si="10"/>
        <v>0.91144907467728409</v>
      </c>
      <c r="G36" s="147" t="str">
        <f t="shared" si="10"/>
        <v>n.a.</v>
      </c>
      <c r="H36" s="147">
        <f t="shared" si="10"/>
        <v>3.986656123160226</v>
      </c>
      <c r="I36" s="147" t="str">
        <f t="shared" si="10"/>
        <v>n.a.</v>
      </c>
      <c r="J36" s="147">
        <f t="shared" si="10"/>
        <v>1.311877482597934</v>
      </c>
      <c r="K36" s="147">
        <f t="shared" si="10"/>
        <v>-1.0788944637582842</v>
      </c>
      <c r="L36" s="147" t="str">
        <f t="shared" si="10"/>
        <v>n.a.</v>
      </c>
      <c r="M36" s="147">
        <f t="shared" si="10"/>
        <v>9.8312192204019766E-2</v>
      </c>
      <c r="N36" s="147" t="str">
        <f t="shared" si="10"/>
        <v>n.a.</v>
      </c>
      <c r="P36" s="56" t="s">
        <v>1857</v>
      </c>
      <c r="Q36" s="64">
        <f t="shared" ref="Q36:U47" si="11">V7/V6</f>
        <v>1.0150779630643072</v>
      </c>
      <c r="R36" s="64">
        <f t="shared" si="11"/>
        <v>0.92981751937505785</v>
      </c>
      <c r="S36" s="64">
        <f t="shared" si="11"/>
        <v>0.97276821743771313</v>
      </c>
      <c r="T36" s="64">
        <f t="shared" si="11"/>
        <v>1.1097142857142857</v>
      </c>
      <c r="U36" s="64" t="e">
        <f t="shared" si="11"/>
        <v>#VALUE!</v>
      </c>
    </row>
    <row r="37" spans="1:21">
      <c r="A37" s="57" t="s">
        <v>682</v>
      </c>
      <c r="B37" s="147">
        <f>IFERROR(((B10/B5)^(1/5)-1)*100,"n.a.")</f>
        <v>8.1488494696956302</v>
      </c>
      <c r="C37" s="147">
        <f t="shared" ref="C37:N37" si="12">IFERROR(((C10/C5)^(1/5)-1)*100,"n.a.")</f>
        <v>7.4114928499278143</v>
      </c>
      <c r="D37" s="147">
        <f t="shared" si="12"/>
        <v>9.8002553926978653</v>
      </c>
      <c r="E37" s="147" t="str">
        <f t="shared" si="12"/>
        <v>n.a.</v>
      </c>
      <c r="F37" s="147">
        <f t="shared" si="12"/>
        <v>17.74067669126147</v>
      </c>
      <c r="G37" s="147" t="str">
        <f t="shared" si="12"/>
        <v>n.a.</v>
      </c>
      <c r="H37" s="147">
        <f t="shared" si="12"/>
        <v>4.0967304912743252</v>
      </c>
      <c r="I37" s="147" t="str">
        <f t="shared" si="12"/>
        <v>n.a.</v>
      </c>
      <c r="J37" s="147">
        <f t="shared" si="12"/>
        <v>-0.96591188899122216</v>
      </c>
      <c r="K37" s="147">
        <f t="shared" si="12"/>
        <v>-6.6236206319039042</v>
      </c>
      <c r="L37" s="147" t="str">
        <f t="shared" si="12"/>
        <v>n.a.</v>
      </c>
      <c r="M37" s="147">
        <f t="shared" si="12"/>
        <v>4.8104774523927141</v>
      </c>
      <c r="N37" s="147" t="str">
        <f t="shared" si="12"/>
        <v>n.a.</v>
      </c>
      <c r="P37" s="56" t="s">
        <v>1858</v>
      </c>
      <c r="Q37" s="64">
        <f t="shared" si="11"/>
        <v>1.0542788863763655</v>
      </c>
      <c r="R37" s="64">
        <f t="shared" si="11"/>
        <v>1.2982333798233381</v>
      </c>
      <c r="S37" s="64">
        <f t="shared" si="11"/>
        <v>1.2632677639502208</v>
      </c>
      <c r="T37" s="64">
        <f t="shared" si="11"/>
        <v>1.0538963268108479</v>
      </c>
      <c r="U37" s="64">
        <f t="shared" si="11"/>
        <v>1.0448</v>
      </c>
    </row>
    <row r="38" spans="1:21">
      <c r="A38" s="57" t="s">
        <v>26</v>
      </c>
      <c r="B38" s="147">
        <f>IFERROR(((B21/B10)^(1/11)-1)*100,"n.a.")</f>
        <v>5.0027865474736366</v>
      </c>
      <c r="C38" s="147">
        <f t="shared" ref="C38:N38" si="13">IFERROR(((C21/C10)^(1/11)-1)*100,"n.a.")</f>
        <v>2.8085840388330841</v>
      </c>
      <c r="D38" s="147">
        <f t="shared" si="13"/>
        <v>5.6667526527133472</v>
      </c>
      <c r="E38" s="147">
        <f t="shared" si="13"/>
        <v>-0.34149259967610757</v>
      </c>
      <c r="F38" s="147">
        <f t="shared" si="13"/>
        <v>-0.44128059310268863</v>
      </c>
      <c r="G38" s="147">
        <f t="shared" si="13"/>
        <v>1.6754360218480757</v>
      </c>
      <c r="H38" s="147">
        <f t="shared" si="13"/>
        <v>3.00781557154568</v>
      </c>
      <c r="I38" s="147">
        <f t="shared" si="13"/>
        <v>0.31765689426095367</v>
      </c>
      <c r="J38" s="147">
        <f t="shared" si="13"/>
        <v>1.849549783296367</v>
      </c>
      <c r="K38" s="147">
        <f t="shared" si="13"/>
        <v>0.22133848137737555</v>
      </c>
      <c r="L38" s="147">
        <f t="shared" si="13"/>
        <v>-0.75545871059530256</v>
      </c>
      <c r="M38" s="147">
        <f t="shared" si="13"/>
        <v>-0.54811296501187101</v>
      </c>
      <c r="N38" s="147">
        <f t="shared" si="13"/>
        <v>-2.7251585334965855</v>
      </c>
      <c r="P38" s="56" t="s">
        <v>1861</v>
      </c>
      <c r="Q38" s="64">
        <f t="shared" si="11"/>
        <v>1.0469429580926062</v>
      </c>
      <c r="R38" s="64">
        <f t="shared" si="11"/>
        <v>0.93730656094129683</v>
      </c>
      <c r="S38" s="64">
        <f t="shared" si="11"/>
        <v>0.97175967120037288</v>
      </c>
      <c r="T38" s="64">
        <f t="shared" si="11"/>
        <v>1.0630293159609121</v>
      </c>
      <c r="U38" s="64">
        <f t="shared" si="11"/>
        <v>0.98851454823889739</v>
      </c>
    </row>
    <row r="39" spans="1:21">
      <c r="A39" s="57" t="s">
        <v>2028</v>
      </c>
      <c r="B39" s="147" t="str">
        <f>IFERROR(((B32/B21)^(1/11)-1)*100,"n.a.")</f>
        <v>n.a.</v>
      </c>
      <c r="C39" s="147" t="str">
        <f t="shared" ref="C39:N39" si="14">IFERROR(((C32/C21)^(1/11)-1)*100,"n.a.")</f>
        <v>n.a.</v>
      </c>
      <c r="D39" s="147" t="str">
        <f t="shared" si="14"/>
        <v>n.a.</v>
      </c>
      <c r="E39" s="147" t="str">
        <f t="shared" si="14"/>
        <v>n.a.</v>
      </c>
      <c r="F39" s="147" t="str">
        <f t="shared" si="14"/>
        <v>n.a.</v>
      </c>
      <c r="G39" s="147" t="str">
        <f t="shared" si="14"/>
        <v>n.a.</v>
      </c>
      <c r="H39" s="147">
        <f t="shared" si="14"/>
        <v>4.0685237698241616</v>
      </c>
      <c r="I39" s="147">
        <f t="shared" si="14"/>
        <v>-0.39229688980841892</v>
      </c>
      <c r="J39" s="147">
        <f t="shared" si="14"/>
        <v>0.92896969443039268</v>
      </c>
      <c r="K39" s="147">
        <f t="shared" si="14"/>
        <v>0.50229923228160001</v>
      </c>
      <c r="L39" s="147">
        <f t="shared" si="14"/>
        <v>-3.8147784201827628</v>
      </c>
      <c r="M39" s="147">
        <f t="shared" si="14"/>
        <v>-4.0334138186801543</v>
      </c>
      <c r="N39" s="147">
        <f t="shared" si="14"/>
        <v>-1.9349936728067063</v>
      </c>
      <c r="P39" s="56" t="s">
        <v>1859</v>
      </c>
      <c r="Q39" s="64">
        <f t="shared" si="11"/>
        <v>1.0405180540704699</v>
      </c>
      <c r="R39" s="64">
        <f t="shared" si="11"/>
        <v>0.95570898373540003</v>
      </c>
      <c r="S39" s="64">
        <f t="shared" si="11"/>
        <v>0.99117050731430811</v>
      </c>
      <c r="T39" s="64">
        <f t="shared" si="11"/>
        <v>0.94132066799448444</v>
      </c>
      <c r="U39" s="64">
        <f t="shared" si="11"/>
        <v>1.0875290472501937</v>
      </c>
    </row>
    <row r="40" spans="1:21">
      <c r="A40" s="57"/>
      <c r="B40" s="147"/>
      <c r="C40" s="147"/>
      <c r="D40" s="147"/>
      <c r="E40" s="56"/>
      <c r="F40" s="56"/>
      <c r="G40" s="56"/>
      <c r="H40" s="147"/>
      <c r="I40" s="56"/>
      <c r="J40" s="147"/>
      <c r="K40" s="147"/>
      <c r="L40" s="56"/>
      <c r="M40" s="56"/>
      <c r="N40" s="56"/>
      <c r="P40" s="56" t="s">
        <v>1860</v>
      </c>
      <c r="Q40" s="64">
        <f t="shared" si="11"/>
        <v>1.0205719428178794</v>
      </c>
      <c r="R40" s="64">
        <f t="shared" si="11"/>
        <v>0.86508095142914254</v>
      </c>
      <c r="S40" s="64">
        <f t="shared" si="11"/>
        <v>0.95589917297202187</v>
      </c>
      <c r="T40" s="64">
        <f t="shared" si="11"/>
        <v>0.81928168402777779</v>
      </c>
      <c r="U40" s="64" t="e">
        <f t="shared" si="11"/>
        <v>#VALUE!</v>
      </c>
    </row>
    <row r="41" spans="1:21">
      <c r="A41" s="64" t="s">
        <v>503</v>
      </c>
      <c r="P41" s="56" t="s">
        <v>1846</v>
      </c>
      <c r="Q41" s="64">
        <f t="shared" si="11"/>
        <v>1.0139918803719252</v>
      </c>
      <c r="R41" s="64">
        <f t="shared" si="11"/>
        <v>0.87585819910219176</v>
      </c>
      <c r="S41" s="64">
        <f t="shared" si="11"/>
        <v>0.8551738420120113</v>
      </c>
      <c r="T41" s="64">
        <f t="shared" si="11"/>
        <v>0.99509966227402158</v>
      </c>
      <c r="U41" s="64" t="e">
        <f>Z12/Z11</f>
        <v>#VALUE!</v>
      </c>
    </row>
    <row r="42" spans="1:21">
      <c r="A42" s="64" t="s">
        <v>193</v>
      </c>
      <c r="P42" s="56" t="s">
        <v>1847</v>
      </c>
      <c r="Q42" s="64">
        <f t="shared" si="11"/>
        <v>1.0321819440315039</v>
      </c>
      <c r="R42" s="64">
        <f t="shared" si="11"/>
        <v>1.0606745807424156</v>
      </c>
      <c r="S42" s="64">
        <f t="shared" si="11"/>
        <v>1.0828198573927081</v>
      </c>
      <c r="T42" s="64">
        <f t="shared" si="11"/>
        <v>0.95441538563918282</v>
      </c>
      <c r="U42" s="64" t="e">
        <f t="shared" si="11"/>
        <v>#VALUE!</v>
      </c>
    </row>
    <row r="43" spans="1:21">
      <c r="A43" s="104" t="s">
        <v>679</v>
      </c>
      <c r="B43" s="104"/>
      <c r="C43" s="104"/>
      <c r="D43" s="104"/>
      <c r="E43" s="104"/>
      <c r="F43" s="104"/>
      <c r="G43" s="104"/>
      <c r="H43" s="104"/>
      <c r="I43" s="104"/>
      <c r="J43" s="104"/>
      <c r="K43" s="104"/>
      <c r="L43" s="104"/>
      <c r="M43" s="104"/>
      <c r="N43" s="104"/>
      <c r="P43" s="56" t="s">
        <v>1848</v>
      </c>
      <c r="Q43" s="64">
        <f t="shared" si="11"/>
        <v>1.0486913772531445</v>
      </c>
      <c r="R43" s="64">
        <f t="shared" si="11"/>
        <v>1.2171255995736365</v>
      </c>
      <c r="S43" s="64">
        <f t="shared" si="11"/>
        <v>0.99768903908754314</v>
      </c>
      <c r="T43" s="64">
        <f t="shared" si="11"/>
        <v>1.1031934179333427</v>
      </c>
      <c r="U43" s="64" t="e">
        <f t="shared" si="11"/>
        <v>#VALUE!</v>
      </c>
    </row>
    <row r="44" spans="1:21" ht="36.75" customHeight="1">
      <c r="A44" s="104" t="s">
        <v>680</v>
      </c>
      <c r="B44" s="104"/>
      <c r="C44" s="104"/>
      <c r="D44" s="104"/>
      <c r="E44" s="104"/>
      <c r="F44" s="104"/>
      <c r="G44" s="104"/>
      <c r="H44" s="104"/>
      <c r="I44" s="104"/>
      <c r="J44" s="104"/>
      <c r="K44" s="104"/>
      <c r="L44" s="104"/>
      <c r="M44" s="104"/>
      <c r="N44" s="104"/>
      <c r="P44" s="56" t="s">
        <v>1849</v>
      </c>
      <c r="Q44" s="64">
        <f t="shared" si="11"/>
        <v>1.0481882976240235</v>
      </c>
      <c r="R44" s="64">
        <f t="shared" si="11"/>
        <v>1.0022477814105557</v>
      </c>
      <c r="S44" s="64">
        <f t="shared" si="11"/>
        <v>0.90729763387297635</v>
      </c>
      <c r="T44" s="64">
        <f t="shared" si="11"/>
        <v>1.0681329793957781</v>
      </c>
      <c r="U44" s="64" t="e">
        <f t="shared" si="11"/>
        <v>#VALUE!</v>
      </c>
    </row>
    <row r="45" spans="1:21" ht="36.75" customHeight="1">
      <c r="A45" s="104" t="s">
        <v>681</v>
      </c>
      <c r="B45" s="104"/>
      <c r="C45" s="104"/>
      <c r="D45" s="104"/>
      <c r="E45" s="104"/>
      <c r="F45" s="104"/>
      <c r="G45" s="104"/>
      <c r="H45" s="104"/>
      <c r="I45" s="104"/>
      <c r="J45" s="104"/>
      <c r="K45" s="104"/>
      <c r="L45" s="104"/>
      <c r="M45" s="104"/>
      <c r="N45" s="104"/>
      <c r="P45" s="56" t="s">
        <v>1850</v>
      </c>
      <c r="Q45" s="64">
        <f t="shared" si="11"/>
        <v>1.026727610382804</v>
      </c>
      <c r="R45" s="64">
        <f t="shared" si="11"/>
        <v>0.98304837911047682</v>
      </c>
      <c r="S45" s="64">
        <f>X16/X15</f>
        <v>1.0109805644010101</v>
      </c>
      <c r="T45" s="64">
        <f t="shared" si="11"/>
        <v>0.88041420118343194</v>
      </c>
      <c r="U45" s="64" t="e">
        <f t="shared" si="11"/>
        <v>#VALUE!</v>
      </c>
    </row>
    <row r="46" spans="1:21" ht="36.75" customHeight="1">
      <c r="A46" s="104" t="s">
        <v>851</v>
      </c>
      <c r="B46" s="104"/>
      <c r="C46" s="104"/>
      <c r="D46" s="104"/>
      <c r="E46" s="104"/>
      <c r="F46" s="104"/>
      <c r="G46" s="104"/>
      <c r="H46" s="104"/>
      <c r="I46" s="104"/>
      <c r="J46" s="104"/>
      <c r="K46" s="104"/>
      <c r="L46" s="104"/>
      <c r="M46" s="104"/>
      <c r="N46" s="104"/>
      <c r="P46" s="56" t="s">
        <v>1851</v>
      </c>
      <c r="Q46" s="64">
        <f t="shared" si="11"/>
        <v>1.0219654065527002</v>
      </c>
      <c r="R46" s="64">
        <f t="shared" si="11"/>
        <v>0.9073212645551243</v>
      </c>
      <c r="S46" s="64">
        <f t="shared" si="11"/>
        <v>0.90566959921798629</v>
      </c>
      <c r="T46" s="64">
        <f t="shared" si="11"/>
        <v>1.0124336312924256</v>
      </c>
      <c r="U46" s="64" t="e">
        <f t="shared" si="11"/>
        <v>#VALUE!</v>
      </c>
    </row>
    <row r="47" spans="1:21">
      <c r="A47" s="104"/>
      <c r="B47" s="104"/>
      <c r="C47" s="104"/>
      <c r="D47" s="104"/>
      <c r="E47" s="104"/>
      <c r="F47" s="104"/>
      <c r="G47" s="104"/>
      <c r="H47" s="104"/>
      <c r="I47" s="104"/>
      <c r="J47" s="104"/>
      <c r="K47" s="104"/>
      <c r="L47" s="104"/>
      <c r="M47" s="104"/>
      <c r="N47" s="104"/>
      <c r="P47" s="56" t="s">
        <v>1852</v>
      </c>
      <c r="Q47" s="64">
        <f t="shared" si="11"/>
        <v>1.0320622667956487</v>
      </c>
      <c r="R47" s="64">
        <f t="shared" si="11"/>
        <v>1.0401005779969303</v>
      </c>
      <c r="S47" s="64">
        <f t="shared" si="11"/>
        <v>1.0896444204593152</v>
      </c>
      <c r="T47" s="64">
        <f t="shared" si="11"/>
        <v>0.98280669144981414</v>
      </c>
      <c r="U47" s="64" t="e">
        <f>Z18/Z17</f>
        <v>#VALUE!</v>
      </c>
    </row>
    <row r="48" spans="1:21">
      <c r="A48" s="104"/>
      <c r="B48" s="104"/>
      <c r="C48" s="104"/>
      <c r="D48" s="104"/>
      <c r="E48" s="104"/>
      <c r="F48" s="104"/>
      <c r="G48" s="104"/>
      <c r="H48" s="104"/>
      <c r="I48" s="104"/>
      <c r="J48" s="104"/>
      <c r="K48" s="104"/>
      <c r="L48" s="104"/>
      <c r="M48" s="104"/>
      <c r="N48" s="104"/>
      <c r="P48" s="56" t="s">
        <v>1837</v>
      </c>
      <c r="Q48" s="64">
        <f>P19/P18</f>
        <v>1.0121770185667263</v>
      </c>
      <c r="R48" s="64">
        <f>Q19/Q18</f>
        <v>1.0056893673559772</v>
      </c>
      <c r="S48" s="64">
        <f>R19/R18</f>
        <v>0.98464412915279975</v>
      </c>
      <c r="T48" s="64">
        <f>S19/S18</f>
        <v>0.82837058684148179</v>
      </c>
      <c r="U48" s="64">
        <f>T19/T18</f>
        <v>0.91388174807197942</v>
      </c>
    </row>
    <row r="49" spans="1:21">
      <c r="A49" s="104"/>
      <c r="B49" s="104"/>
      <c r="C49" s="104"/>
      <c r="D49" s="104"/>
      <c r="E49" s="104"/>
      <c r="F49" s="104"/>
      <c r="G49" s="104"/>
      <c r="H49" s="104"/>
      <c r="I49" s="104"/>
      <c r="J49" s="104"/>
      <c r="K49" s="104"/>
      <c r="L49" s="104"/>
      <c r="M49" s="104"/>
      <c r="N49" s="104"/>
      <c r="P49" s="56" t="s">
        <v>1827</v>
      </c>
      <c r="Q49" s="64">
        <f t="shared" ref="Q49:U59" si="15">P20/P19</f>
        <v>1.0300577082491975</v>
      </c>
      <c r="R49" s="64">
        <f t="shared" si="15"/>
        <v>0.94478319783197828</v>
      </c>
      <c r="S49" s="64">
        <f t="shared" si="15"/>
        <v>1.1241401802656545</v>
      </c>
      <c r="T49" s="64">
        <f t="shared" si="15"/>
        <v>1.456998474446987</v>
      </c>
      <c r="U49" s="64">
        <f t="shared" si="15"/>
        <v>0.99578059071729963</v>
      </c>
    </row>
    <row r="50" spans="1:21" ht="30" customHeight="1">
      <c r="A50" s="104"/>
      <c r="B50" s="104"/>
      <c r="C50" s="104"/>
      <c r="D50" s="104"/>
      <c r="E50" s="104"/>
      <c r="F50" s="104"/>
      <c r="G50" s="104"/>
      <c r="H50" s="104"/>
      <c r="I50" s="104"/>
      <c r="J50" s="104"/>
      <c r="K50" s="104"/>
      <c r="L50" s="104"/>
      <c r="M50" s="104"/>
      <c r="N50" s="104"/>
      <c r="P50" s="56" t="s">
        <v>1828</v>
      </c>
      <c r="Q50" s="64">
        <f t="shared" si="15"/>
        <v>1.0450455562749179</v>
      </c>
      <c r="R50" s="64">
        <f t="shared" si="15"/>
        <v>0.94593044101828605</v>
      </c>
      <c r="S50" s="64">
        <f t="shared" si="15"/>
        <v>1.1029935381775022</v>
      </c>
      <c r="T50" s="64">
        <f t="shared" si="15"/>
        <v>0.97100975067076767</v>
      </c>
      <c r="U50" s="64">
        <f t="shared" si="15"/>
        <v>0.96398305084745761</v>
      </c>
    </row>
    <row r="51" spans="1:21" ht="30" customHeight="1">
      <c r="A51" s="104"/>
      <c r="B51" s="104"/>
      <c r="C51" s="104"/>
      <c r="D51" s="104"/>
      <c r="E51" s="104"/>
      <c r="F51" s="104"/>
      <c r="G51" s="104"/>
      <c r="H51" s="104"/>
      <c r="I51" s="104"/>
      <c r="J51" s="104"/>
      <c r="K51" s="104"/>
      <c r="L51" s="104"/>
      <c r="M51" s="104"/>
      <c r="N51" s="104"/>
      <c r="P51" s="148" t="s">
        <v>1829</v>
      </c>
      <c r="Q51" s="64">
        <f t="shared" si="15"/>
        <v>1.0107095432339086</v>
      </c>
      <c r="R51" s="64">
        <f t="shared" si="15"/>
        <v>1.0032977029793042</v>
      </c>
      <c r="S51" s="64">
        <f t="shared" si="15"/>
        <v>0.82073170731707323</v>
      </c>
      <c r="T51" s="64">
        <f t="shared" si="15"/>
        <v>0.83636608707372961</v>
      </c>
      <c r="U51" s="64">
        <f t="shared" si="15"/>
        <v>0.88424908424908422</v>
      </c>
    </row>
    <row r="52" spans="1:21" ht="30" customHeight="1">
      <c r="A52" s="104"/>
      <c r="B52" s="104"/>
      <c r="C52" s="104"/>
      <c r="D52" s="104"/>
      <c r="E52" s="104"/>
      <c r="F52" s="104"/>
      <c r="G52" s="104"/>
      <c r="H52" s="104"/>
      <c r="I52" s="104"/>
      <c r="J52" s="104"/>
      <c r="K52" s="104"/>
      <c r="L52" s="104"/>
      <c r="M52" s="104"/>
      <c r="N52" s="104"/>
      <c r="P52" s="148" t="s">
        <v>1830</v>
      </c>
      <c r="Q52" s="64">
        <f t="shared" si="15"/>
        <v>1.0318541280856346</v>
      </c>
      <c r="R52" s="64">
        <f t="shared" si="15"/>
        <v>1.0250481695568401</v>
      </c>
      <c r="S52" s="64">
        <f t="shared" si="15"/>
        <v>1.1593974885645193</v>
      </c>
      <c r="T52" s="64">
        <f t="shared" si="15"/>
        <v>1.0601128122481869</v>
      </c>
      <c r="U52" s="64">
        <f t="shared" si="15"/>
        <v>1.1350455675227837</v>
      </c>
    </row>
    <row r="53" spans="1:21">
      <c r="P53" s="148" t="s">
        <v>1831</v>
      </c>
      <c r="Q53" s="64">
        <f t="shared" si="15"/>
        <v>1.0257564055736519</v>
      </c>
      <c r="R53" s="64">
        <f t="shared" si="15"/>
        <v>1.0176912870411323</v>
      </c>
      <c r="S53" s="64">
        <f t="shared" si="15"/>
        <v>1.0238226868372116</v>
      </c>
      <c r="T53" s="64">
        <f t="shared" si="15"/>
        <v>1.0138339920948618</v>
      </c>
      <c r="U53" s="64">
        <f t="shared" si="15"/>
        <v>0.93941605839416054</v>
      </c>
    </row>
    <row r="54" spans="1:21">
      <c r="P54" s="148" t="s">
        <v>1832</v>
      </c>
      <c r="Q54" s="64">
        <f t="shared" si="15"/>
        <v>1.0384178192602072</v>
      </c>
      <c r="R54" s="64">
        <f t="shared" si="15"/>
        <v>1.1333478197884979</v>
      </c>
      <c r="S54" s="64">
        <f t="shared" si="15"/>
        <v>1.1226743900643072</v>
      </c>
      <c r="T54" s="64">
        <f t="shared" si="15"/>
        <v>1.0581046633678213</v>
      </c>
      <c r="U54" s="64">
        <f t="shared" si="15"/>
        <v>1.0745920745920747</v>
      </c>
    </row>
    <row r="55" spans="1:21">
      <c r="P55" s="148" t="s">
        <v>1833</v>
      </c>
      <c r="Q55" s="64">
        <f t="shared" si="15"/>
        <v>1.0467920151620971</v>
      </c>
      <c r="R55" s="64">
        <f t="shared" si="15"/>
        <v>0.99111650795679673</v>
      </c>
      <c r="S55" s="64">
        <f t="shared" si="15"/>
        <v>1.0996501967643202</v>
      </c>
      <c r="T55" s="64">
        <f t="shared" si="15"/>
        <v>1.0821937221001914</v>
      </c>
      <c r="U55" s="64">
        <f t="shared" si="15"/>
        <v>1.0375994215473607</v>
      </c>
    </row>
    <row r="56" spans="1:21">
      <c r="P56" s="148" t="s">
        <v>1834</v>
      </c>
      <c r="Q56" s="64">
        <f t="shared" si="15"/>
        <v>1.0383716290218965</v>
      </c>
      <c r="R56" s="64">
        <f t="shared" si="15"/>
        <v>0.97436806809388699</v>
      </c>
      <c r="S56" s="64">
        <f t="shared" si="15"/>
        <v>1.0050101395681736</v>
      </c>
      <c r="T56" s="64">
        <f t="shared" si="15"/>
        <v>0.97453021672232054</v>
      </c>
      <c r="U56" s="64">
        <f t="shared" si="15"/>
        <v>0.89477351916376313</v>
      </c>
    </row>
    <row r="57" spans="1:21">
      <c r="P57" s="148" t="s">
        <v>1839</v>
      </c>
      <c r="Q57" s="64">
        <f t="shared" si="15"/>
        <v>1.2366672072236584</v>
      </c>
      <c r="R57" s="64">
        <f t="shared" si="15"/>
        <v>0.66119585718540097</v>
      </c>
      <c r="S57" s="64">
        <f t="shared" si="15"/>
        <v>0.66735905044510391</v>
      </c>
      <c r="T57" s="64">
        <f t="shared" si="15"/>
        <v>0.95518677774791716</v>
      </c>
      <c r="U57" s="64">
        <f t="shared" si="15"/>
        <v>1.1604361370716509</v>
      </c>
    </row>
    <row r="58" spans="1:21">
      <c r="P58" s="148" t="s">
        <v>1835</v>
      </c>
      <c r="Q58" s="64">
        <f t="shared" si="15"/>
        <v>1.0105974787323135</v>
      </c>
      <c r="R58" s="64">
        <f t="shared" si="15"/>
        <v>0.8885997397657891</v>
      </c>
      <c r="S58" s="64">
        <f t="shared" si="15"/>
        <v>0.85483918778716472</v>
      </c>
      <c r="T58" s="64">
        <f t="shared" si="15"/>
        <v>0.89751705704438345</v>
      </c>
      <c r="U58" s="64">
        <f t="shared" si="15"/>
        <v>0.94832214765100675</v>
      </c>
    </row>
    <row r="59" spans="1:21">
      <c r="P59" s="148" t="s">
        <v>1836</v>
      </c>
      <c r="Q59" s="64">
        <f>P30/P29</f>
        <v>0.9726026799782358</v>
      </c>
      <c r="R59" s="64">
        <f t="shared" si="15"/>
        <v>0.67537733723811677</v>
      </c>
      <c r="S59" s="64">
        <f t="shared" si="15"/>
        <v>0.84797836188362574</v>
      </c>
      <c r="T59" s="64">
        <f t="shared" si="15"/>
        <v>0.6828369905956112</v>
      </c>
      <c r="U59" s="64">
        <f t="shared" si="15"/>
        <v>0.89879688605803243</v>
      </c>
    </row>
  </sheetData>
  <mergeCells count="13">
    <mergeCell ref="A52:N52"/>
    <mergeCell ref="A50:N50"/>
    <mergeCell ref="A51:N51"/>
    <mergeCell ref="A1:N1"/>
    <mergeCell ref="B2:G2"/>
    <mergeCell ref="H2:N2"/>
    <mergeCell ref="A47:N47"/>
    <mergeCell ref="A48:N48"/>
    <mergeCell ref="A49:N49"/>
    <mergeCell ref="A43:N43"/>
    <mergeCell ref="A44:N44"/>
    <mergeCell ref="A45:N45"/>
    <mergeCell ref="A46:N46"/>
  </mergeCells>
  <pageMargins left="0.7" right="0.7" top="0.75" bottom="0.75" header="0.3" footer="0.3"/>
  <pageSetup scale="59" orientation="landscape" horizontalDpi="0" verticalDpi="0" r:id="rId1"/>
  <colBreaks count="1" manualBreakCount="1">
    <brk id="14" max="58" man="1"/>
  </colBreaks>
</worksheet>
</file>

<file path=xl/worksheets/sheet17.xml><?xml version="1.0" encoding="utf-8"?>
<worksheet xmlns="http://schemas.openxmlformats.org/spreadsheetml/2006/main" xmlns:r="http://schemas.openxmlformats.org/officeDocument/2006/relationships">
  <sheetPr codeName="Sheet17"/>
  <dimension ref="A1:AN73"/>
  <sheetViews>
    <sheetView view="pageBreakPreview" zoomScale="85" zoomScaleNormal="100" zoomScaleSheetLayoutView="85"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0.5703125" style="64" customWidth="1"/>
    <col min="2" max="2" width="14.85546875" style="64" customWidth="1"/>
    <col min="3" max="3" width="13" style="64" customWidth="1"/>
    <col min="4" max="4" width="11.42578125" style="64" customWidth="1"/>
    <col min="5" max="5" width="18.28515625" style="64" customWidth="1"/>
    <col min="6" max="6" width="17.85546875" style="64" customWidth="1"/>
    <col min="7" max="7" width="15.140625" style="64" customWidth="1"/>
    <col min="8" max="8" width="19.5703125" style="64" customWidth="1"/>
    <col min="9" max="9" width="9.140625" style="64" hidden="1" customWidth="1" outlineLevel="1"/>
    <col min="10" max="16" width="19.42578125" style="64" hidden="1" customWidth="1" outlineLevel="1"/>
    <col min="17" max="20" width="9.140625" style="64" hidden="1" customWidth="1" outlineLevel="1"/>
    <col min="21" max="25" width="36.28515625" style="135" hidden="1" customWidth="1" outlineLevel="1"/>
    <col min="26" max="26" width="9.140625" style="64" hidden="1" customWidth="1" outlineLevel="1"/>
    <col min="27" max="27" width="37" style="64" hidden="1" customWidth="1" outlineLevel="1"/>
    <col min="28" max="31" width="25.140625" style="64" hidden="1" customWidth="1" outlineLevel="1"/>
    <col min="32" max="32" width="9.140625" style="64" collapsed="1"/>
    <col min="33" max="16384" width="9.140625" style="64"/>
  </cols>
  <sheetData>
    <row r="1" spans="1:40">
      <c r="A1" s="108" t="s">
        <v>1955</v>
      </c>
      <c r="B1" s="108"/>
      <c r="C1" s="108"/>
      <c r="D1" s="108"/>
      <c r="E1" s="108"/>
      <c r="F1" s="108"/>
      <c r="G1" s="108"/>
      <c r="H1" s="108"/>
    </row>
    <row r="2" spans="1:40" ht="15" customHeight="1">
      <c r="A2" s="96"/>
      <c r="B2" s="123" t="s">
        <v>673</v>
      </c>
      <c r="C2" s="248" t="s">
        <v>37</v>
      </c>
      <c r="D2" s="249"/>
      <c r="E2" s="249"/>
      <c r="F2" s="249"/>
      <c r="G2" s="249"/>
      <c r="H2" s="250"/>
      <c r="J2" s="94" t="s">
        <v>41</v>
      </c>
      <c r="K2" s="111" t="s">
        <v>37</v>
      </c>
      <c r="L2" s="111"/>
      <c r="M2" s="111"/>
      <c r="N2" s="111"/>
      <c r="O2" s="111"/>
      <c r="P2" s="111"/>
    </row>
    <row r="3" spans="1:40" ht="15" customHeight="1">
      <c r="A3" s="96"/>
      <c r="B3" s="125"/>
      <c r="C3" s="123" t="s">
        <v>50</v>
      </c>
      <c r="D3" s="123" t="s">
        <v>750</v>
      </c>
      <c r="E3" s="123" t="s">
        <v>745</v>
      </c>
      <c r="F3" s="159" t="s">
        <v>678</v>
      </c>
      <c r="G3" s="160"/>
      <c r="H3" s="161"/>
      <c r="J3" s="94"/>
      <c r="K3" s="94" t="s">
        <v>50</v>
      </c>
      <c r="L3" s="94" t="s">
        <v>0</v>
      </c>
      <c r="M3" s="94" t="s">
        <v>1</v>
      </c>
      <c r="N3" s="94" t="s">
        <v>2</v>
      </c>
      <c r="O3" s="94"/>
      <c r="P3" s="94"/>
      <c r="AA3" s="123" t="s">
        <v>673</v>
      </c>
    </row>
    <row r="4" spans="1:40" ht="60">
      <c r="A4" s="96"/>
      <c r="B4" s="126"/>
      <c r="C4" s="126"/>
      <c r="D4" s="126"/>
      <c r="E4" s="126"/>
      <c r="F4" s="72" t="s">
        <v>48</v>
      </c>
      <c r="G4" s="72" t="s">
        <v>1054</v>
      </c>
      <c r="H4" s="72" t="s">
        <v>1055</v>
      </c>
      <c r="J4" s="94"/>
      <c r="K4" s="94"/>
      <c r="L4" s="94"/>
      <c r="M4" s="94"/>
      <c r="N4" s="72" t="s">
        <v>48</v>
      </c>
      <c r="O4" s="72" t="s">
        <v>13</v>
      </c>
      <c r="P4" s="72" t="s">
        <v>19</v>
      </c>
      <c r="U4" s="117" t="s">
        <v>1594</v>
      </c>
      <c r="V4" s="117" t="s">
        <v>1602</v>
      </c>
      <c r="W4" s="117" t="s">
        <v>1595</v>
      </c>
      <c r="X4" s="117" t="s">
        <v>1596</v>
      </c>
      <c r="Y4" s="117" t="s">
        <v>1597</v>
      </c>
      <c r="AA4" s="125"/>
      <c r="AB4" s="94" t="s">
        <v>50</v>
      </c>
      <c r="AC4" s="94" t="s">
        <v>0</v>
      </c>
      <c r="AD4" s="94" t="s">
        <v>1</v>
      </c>
      <c r="AE4" s="72" t="s">
        <v>48</v>
      </c>
    </row>
    <row r="5" spans="1:40" hidden="1" outlineLevel="1">
      <c r="J5" s="64" t="s">
        <v>42</v>
      </c>
      <c r="L5" s="64" t="s">
        <v>43</v>
      </c>
      <c r="M5" s="64" t="s">
        <v>44</v>
      </c>
      <c r="N5" s="64" t="s">
        <v>45</v>
      </c>
      <c r="O5" s="64" t="s">
        <v>46</v>
      </c>
      <c r="P5" s="64" t="s">
        <v>47</v>
      </c>
      <c r="U5" s="135" t="s">
        <v>1598</v>
      </c>
      <c r="W5" s="135" t="s">
        <v>1599</v>
      </c>
      <c r="X5" s="135" t="s">
        <v>1600</v>
      </c>
      <c r="Y5" s="135" t="s">
        <v>1601</v>
      </c>
      <c r="AA5" s="126"/>
      <c r="AB5" s="94"/>
      <c r="AC5" s="94"/>
      <c r="AD5" s="94"/>
    </row>
    <row r="6" spans="1:40" collapsed="1">
      <c r="A6" s="66">
        <v>1961</v>
      </c>
      <c r="B6" s="30">
        <f t="shared" ref="B6:F7" si="0">B7*AA6</f>
        <v>6443203.0409234213</v>
      </c>
      <c r="C6" s="30">
        <f t="shared" si="0"/>
        <v>275692.00538047642</v>
      </c>
      <c r="D6" s="30">
        <f t="shared" si="0"/>
        <v>77326.076982892686</v>
      </c>
      <c r="E6" s="30">
        <f t="shared" si="0"/>
        <v>92260.067647121774</v>
      </c>
      <c r="F6" s="30">
        <f t="shared" si="0"/>
        <v>106402.59907055345</v>
      </c>
      <c r="G6" s="135" t="s">
        <v>22</v>
      </c>
      <c r="H6" s="135" t="s">
        <v>22</v>
      </c>
      <c r="U6" s="30">
        <v>6479285</v>
      </c>
      <c r="V6" s="30">
        <f>SUM(W6:Y6)</f>
        <v>271728</v>
      </c>
      <c r="W6" s="30">
        <v>92082</v>
      </c>
      <c r="X6" s="30">
        <v>102177</v>
      </c>
      <c r="Y6" s="30">
        <v>77469</v>
      </c>
      <c r="AA6" s="64">
        <f t="shared" ref="AA6:AA44" si="1">U6/U7</f>
        <v>0.97046408130271022</v>
      </c>
      <c r="AB6" s="64">
        <f t="shared" ref="AB6:AB40" si="2">V6/V7</f>
        <v>0.97177250635681867</v>
      </c>
      <c r="AC6" s="64">
        <f t="shared" ref="AC6:AC40" si="3">Y6/Y7</f>
        <v>0.95498083110415311</v>
      </c>
      <c r="AD6" s="64">
        <f t="shared" ref="AD6:AD40" si="4">W6/W7</f>
        <v>0.97581704887457077</v>
      </c>
      <c r="AE6" s="64">
        <f t="shared" ref="AE6:AE40" si="5">X6/X7</f>
        <v>0.98118806176538376</v>
      </c>
      <c r="AI6" s="270"/>
      <c r="AJ6" s="270"/>
      <c r="AK6" s="270"/>
      <c r="AL6" s="270"/>
      <c r="AM6" s="270"/>
      <c r="AN6" s="270"/>
    </row>
    <row r="7" spans="1:40" hidden="1" outlineLevel="1">
      <c r="A7" s="66">
        <v>1962</v>
      </c>
      <c r="B7" s="30">
        <f t="shared" si="0"/>
        <v>6639300.8922847882</v>
      </c>
      <c r="C7" s="30">
        <f t="shared" si="0"/>
        <v>283700.14954842418</v>
      </c>
      <c r="D7" s="30">
        <f t="shared" si="0"/>
        <v>80971.33938645442</v>
      </c>
      <c r="E7" s="30">
        <f t="shared" si="0"/>
        <v>94546.480565724021</v>
      </c>
      <c r="F7" s="30">
        <f t="shared" si="0"/>
        <v>108442.61484297986</v>
      </c>
      <c r="G7" s="135" t="s">
        <v>22</v>
      </c>
      <c r="H7" s="135" t="s">
        <v>22</v>
      </c>
      <c r="U7" s="30">
        <v>6676481</v>
      </c>
      <c r="V7" s="30">
        <f t="shared" ref="V7:V42" si="6">SUM(W7:Y7)</f>
        <v>279621</v>
      </c>
      <c r="W7" s="30">
        <v>94364</v>
      </c>
      <c r="X7" s="30">
        <v>104136</v>
      </c>
      <c r="Y7" s="30">
        <v>81121</v>
      </c>
      <c r="AA7" s="64">
        <f t="shared" si="1"/>
        <v>0.97595702239364723</v>
      </c>
      <c r="AB7" s="64">
        <f t="shared" si="2"/>
        <v>0.99402421596718116</v>
      </c>
      <c r="AC7" s="64">
        <f t="shared" si="3"/>
        <v>1.0302910993700467</v>
      </c>
      <c r="AD7" s="64">
        <f t="shared" si="4"/>
        <v>0.9671811901687063</v>
      </c>
      <c r="AE7" s="64">
        <f t="shared" si="5"/>
        <v>0.99177142857142853</v>
      </c>
      <c r="AI7" s="270"/>
      <c r="AJ7" s="270"/>
      <c r="AK7" s="270"/>
      <c r="AL7" s="270"/>
      <c r="AM7" s="270"/>
      <c r="AN7" s="270"/>
    </row>
    <row r="8" spans="1:40" hidden="1" outlineLevel="1">
      <c r="A8" s="66">
        <v>1963</v>
      </c>
      <c r="B8" s="30">
        <f t="shared" ref="B8:B40" si="7">B9*AA8</f>
        <v>6802861.9498030115</v>
      </c>
      <c r="C8" s="30">
        <f t="shared" ref="C8:C40" si="8">C9*AB8</f>
        <v>285405.67220727634</v>
      </c>
      <c r="D8" s="30">
        <f t="shared" ref="D8:D40" si="9">D9*AC8</f>
        <v>78590.739487085651</v>
      </c>
      <c r="E8" s="30">
        <f t="shared" ref="E8:E40" si="10">E9*AD8</f>
        <v>97754.672575086151</v>
      </c>
      <c r="F8" s="30">
        <f t="shared" ref="F8:F40" si="11">F9*AE8</f>
        <v>109342.3461484298</v>
      </c>
      <c r="G8" s="135" t="s">
        <v>22</v>
      </c>
      <c r="H8" s="135" t="s">
        <v>22</v>
      </c>
      <c r="U8" s="30">
        <v>6840958</v>
      </c>
      <c r="V8" s="30">
        <f t="shared" si="6"/>
        <v>281302</v>
      </c>
      <c r="W8" s="30">
        <v>97566</v>
      </c>
      <c r="X8" s="30">
        <v>105000</v>
      </c>
      <c r="Y8" s="30">
        <v>78736</v>
      </c>
      <c r="AA8" s="64">
        <f t="shared" si="1"/>
        <v>0.96483540506481758</v>
      </c>
      <c r="AB8" s="64">
        <f t="shared" si="2"/>
        <v>0.96659049909801564</v>
      </c>
      <c r="AC8" s="64">
        <f t="shared" si="3"/>
        <v>0.97148568114797584</v>
      </c>
      <c r="AD8" s="64">
        <f t="shared" si="4"/>
        <v>0.97311045061937718</v>
      </c>
      <c r="AE8" s="64">
        <f t="shared" si="5"/>
        <v>0.95701629662036536</v>
      </c>
      <c r="AI8" s="270"/>
      <c r="AJ8" s="270"/>
      <c r="AK8" s="270"/>
      <c r="AL8" s="270"/>
      <c r="AM8" s="270"/>
      <c r="AN8" s="270"/>
    </row>
    <row r="9" spans="1:40" hidden="1" outlineLevel="1">
      <c r="A9" s="66">
        <v>1964</v>
      </c>
      <c r="B9" s="30">
        <f t="shared" si="7"/>
        <v>7050800.4931120826</v>
      </c>
      <c r="C9" s="30">
        <f t="shared" si="8"/>
        <v>295270.51266653842</v>
      </c>
      <c r="D9" s="30">
        <f t="shared" si="9"/>
        <v>80897.475909492874</v>
      </c>
      <c r="E9" s="30">
        <f t="shared" si="10"/>
        <v>100455.88608453036</v>
      </c>
      <c r="F9" s="30">
        <f t="shared" si="11"/>
        <v>114253.3795240107</v>
      </c>
      <c r="G9" s="135" t="s">
        <v>22</v>
      </c>
      <c r="H9" s="135" t="s">
        <v>22</v>
      </c>
      <c r="U9" s="30">
        <v>7090285</v>
      </c>
      <c r="V9" s="30">
        <f t="shared" si="6"/>
        <v>291025</v>
      </c>
      <c r="W9" s="30">
        <v>100262</v>
      </c>
      <c r="X9" s="30">
        <v>109716</v>
      </c>
      <c r="Y9" s="30">
        <v>81047</v>
      </c>
      <c r="AA9" s="64">
        <f t="shared" si="1"/>
        <v>0.96417663441088319</v>
      </c>
      <c r="AB9" s="64">
        <f t="shared" si="2"/>
        <v>0.97765691557263601</v>
      </c>
      <c r="AC9" s="64">
        <f t="shared" si="3"/>
        <v>0.98245933037554245</v>
      </c>
      <c r="AD9" s="64">
        <f t="shared" si="4"/>
        <v>0.98426348598635449</v>
      </c>
      <c r="AE9" s="64">
        <f t="shared" si="5"/>
        <v>0.96822189080190968</v>
      </c>
      <c r="AI9" s="270"/>
      <c r="AJ9" s="270"/>
      <c r="AK9" s="270"/>
      <c r="AL9" s="270"/>
      <c r="AM9" s="270"/>
      <c r="AN9" s="270"/>
    </row>
    <row r="10" spans="1:40" hidden="1" outlineLevel="1">
      <c r="A10" s="66">
        <v>1965</v>
      </c>
      <c r="B10" s="30">
        <f t="shared" si="7"/>
        <v>7312768.4715365013</v>
      </c>
      <c r="C10" s="30">
        <f t="shared" si="8"/>
        <v>302018.53836792195</v>
      </c>
      <c r="D10" s="30">
        <f t="shared" si="9"/>
        <v>82341.806330619336</v>
      </c>
      <c r="E10" s="30">
        <f t="shared" si="10"/>
        <v>102061.98595680002</v>
      </c>
      <c r="F10" s="30">
        <f t="shared" si="11"/>
        <v>118003.30131906304</v>
      </c>
      <c r="G10" s="135" t="s">
        <v>22</v>
      </c>
      <c r="H10" s="135" t="s">
        <v>22</v>
      </c>
      <c r="U10" s="30">
        <v>7353720</v>
      </c>
      <c r="V10" s="30">
        <f t="shared" si="6"/>
        <v>297676</v>
      </c>
      <c r="W10" s="30">
        <v>101865</v>
      </c>
      <c r="X10" s="30">
        <v>113317</v>
      </c>
      <c r="Y10" s="30">
        <v>82494</v>
      </c>
      <c r="AA10" s="64">
        <f t="shared" si="1"/>
        <v>0.94903069742087154</v>
      </c>
      <c r="AB10" s="64">
        <f t="shared" si="2"/>
        <v>0.96387055829345214</v>
      </c>
      <c r="AC10" s="64">
        <f t="shared" si="3"/>
        <v>0.97836760833985625</v>
      </c>
      <c r="AD10" s="64">
        <f t="shared" si="4"/>
        <v>0.98580304261990481</v>
      </c>
      <c r="AE10" s="64">
        <f t="shared" si="5"/>
        <v>0.93508218906786378</v>
      </c>
      <c r="AI10" s="270"/>
      <c r="AJ10" s="270"/>
      <c r="AK10" s="270"/>
      <c r="AL10" s="270"/>
      <c r="AM10" s="270"/>
      <c r="AN10" s="270"/>
    </row>
    <row r="11" spans="1:40" hidden="1" outlineLevel="1">
      <c r="A11" s="66">
        <v>1966</v>
      </c>
      <c r="B11" s="30">
        <f t="shared" si="7"/>
        <v>7705513.1002716869</v>
      </c>
      <c r="C11" s="30">
        <f t="shared" si="8"/>
        <v>313339.31280425296</v>
      </c>
      <c r="D11" s="30">
        <f t="shared" si="9"/>
        <v>84162.441222212059</v>
      </c>
      <c r="E11" s="30">
        <f t="shared" si="10"/>
        <v>103531.82283304432</v>
      </c>
      <c r="F11" s="30">
        <f t="shared" si="11"/>
        <v>126195.64643477445</v>
      </c>
      <c r="G11" s="135" t="s">
        <v>22</v>
      </c>
      <c r="H11" s="135" t="s">
        <v>22</v>
      </c>
      <c r="U11" s="30">
        <v>7748664</v>
      </c>
      <c r="V11" s="30">
        <f t="shared" si="6"/>
        <v>308834</v>
      </c>
      <c r="W11" s="30">
        <v>103332</v>
      </c>
      <c r="X11" s="30">
        <v>121184</v>
      </c>
      <c r="Y11" s="30">
        <v>84318</v>
      </c>
      <c r="AA11" s="64">
        <f t="shared" si="1"/>
        <v>0.97146241459686511</v>
      </c>
      <c r="AB11" s="64">
        <f t="shared" si="2"/>
        <v>1.0097795274045833</v>
      </c>
      <c r="AC11" s="64">
        <f t="shared" si="3"/>
        <v>1.0359494790642816</v>
      </c>
      <c r="AD11" s="64">
        <f t="shared" si="4"/>
        <v>1.03036285859583</v>
      </c>
      <c r="AE11" s="64">
        <f t="shared" si="5"/>
        <v>0.97599948455268837</v>
      </c>
      <c r="AI11" s="270"/>
      <c r="AJ11" s="270"/>
      <c r="AK11" s="270"/>
      <c r="AL11" s="270"/>
      <c r="AM11" s="270"/>
      <c r="AN11" s="270"/>
    </row>
    <row r="12" spans="1:40" hidden="1" outlineLevel="1">
      <c r="A12" s="66">
        <v>1967</v>
      </c>
      <c r="B12" s="30">
        <f t="shared" si="7"/>
        <v>7931869.5036382852</v>
      </c>
      <c r="C12" s="30">
        <f t="shared" si="8"/>
        <v>310304.67968549818</v>
      </c>
      <c r="D12" s="30">
        <f t="shared" si="9"/>
        <v>81241.839416948729</v>
      </c>
      <c r="E12" s="30">
        <f t="shared" si="10"/>
        <v>100480.93442938795</v>
      </c>
      <c r="F12" s="30">
        <f t="shared" si="11"/>
        <v>129298.88635403465</v>
      </c>
      <c r="G12" s="135" t="s">
        <v>22</v>
      </c>
      <c r="H12" s="135" t="s">
        <v>22</v>
      </c>
      <c r="U12" s="30">
        <v>7976288</v>
      </c>
      <c r="V12" s="30">
        <f t="shared" si="6"/>
        <v>305843</v>
      </c>
      <c r="W12" s="30">
        <v>100287</v>
      </c>
      <c r="X12" s="30">
        <v>124164</v>
      </c>
      <c r="Y12" s="30">
        <v>81392</v>
      </c>
      <c r="AA12" s="64">
        <f t="shared" si="1"/>
        <v>0.98313108549233907</v>
      </c>
      <c r="AB12" s="64">
        <f t="shared" si="2"/>
        <v>1.0116699469096804</v>
      </c>
      <c r="AC12" s="64">
        <f t="shared" si="3"/>
        <v>1.0719770305688359</v>
      </c>
      <c r="AD12" s="64">
        <f t="shared" si="4"/>
        <v>0.98775731310942583</v>
      </c>
      <c r="AE12" s="64">
        <f t="shared" si="5"/>
        <v>0.99444168575501768</v>
      </c>
      <c r="AI12" s="270"/>
      <c r="AJ12" s="270"/>
      <c r="AK12" s="270"/>
      <c r="AL12" s="270"/>
      <c r="AM12" s="270"/>
      <c r="AN12" s="270"/>
    </row>
    <row r="13" spans="1:40" hidden="1" outlineLevel="1">
      <c r="A13" s="66">
        <v>1968</v>
      </c>
      <c r="B13" s="30">
        <f t="shared" si="7"/>
        <v>8067967.3552038176</v>
      </c>
      <c r="C13" s="30">
        <f t="shared" si="8"/>
        <v>306725.212736997</v>
      </c>
      <c r="D13" s="30">
        <f t="shared" si="9"/>
        <v>75786.921827829094</v>
      </c>
      <c r="E13" s="30">
        <f t="shared" si="10"/>
        <v>101726.33813570811</v>
      </c>
      <c r="F13" s="30">
        <f t="shared" si="11"/>
        <v>130021.58719429189</v>
      </c>
      <c r="G13" s="135" t="s">
        <v>22</v>
      </c>
      <c r="H13" s="135" t="s">
        <v>22</v>
      </c>
      <c r="U13" s="30">
        <v>8113148</v>
      </c>
      <c r="V13" s="30">
        <f t="shared" si="6"/>
        <v>302315</v>
      </c>
      <c r="W13" s="30">
        <v>101530</v>
      </c>
      <c r="X13" s="30">
        <v>124858</v>
      </c>
      <c r="Y13" s="30">
        <v>75927</v>
      </c>
      <c r="AA13" s="64">
        <f t="shared" si="1"/>
        <v>0.9716006304450947</v>
      </c>
      <c r="AB13" s="64">
        <f t="shared" si="2"/>
        <v>0.97321928700657367</v>
      </c>
      <c r="AC13" s="64">
        <f t="shared" si="3"/>
        <v>0.96839487277597092</v>
      </c>
      <c r="AD13" s="64">
        <f t="shared" si="4"/>
        <v>0.98146877144818123</v>
      </c>
      <c r="AE13" s="64">
        <f t="shared" si="5"/>
        <v>0.96952990324734822</v>
      </c>
      <c r="AI13" s="270"/>
      <c r="AJ13" s="270"/>
      <c r="AK13" s="270"/>
      <c r="AL13" s="270"/>
      <c r="AM13" s="270"/>
      <c r="AN13" s="270"/>
    </row>
    <row r="14" spans="1:40" hidden="1" outlineLevel="1">
      <c r="A14" s="66">
        <v>1969</v>
      </c>
      <c r="B14" s="30">
        <f t="shared" si="7"/>
        <v>8303789.7489916664</v>
      </c>
      <c r="C14" s="30">
        <f t="shared" si="8"/>
        <v>315165.57145144738</v>
      </c>
      <c r="D14" s="30">
        <f t="shared" si="9"/>
        <v>78260.350150946833</v>
      </c>
      <c r="E14" s="30">
        <f t="shared" si="10"/>
        <v>103647.04521938931</v>
      </c>
      <c r="F14" s="30">
        <f t="shared" si="11"/>
        <v>134107.86687321035</v>
      </c>
      <c r="G14" s="135" t="s">
        <v>22</v>
      </c>
      <c r="H14" s="135" t="s">
        <v>22</v>
      </c>
      <c r="U14" s="30">
        <v>8350291</v>
      </c>
      <c r="V14" s="30">
        <f t="shared" si="6"/>
        <v>310634</v>
      </c>
      <c r="W14" s="30">
        <v>103447</v>
      </c>
      <c r="X14" s="30">
        <v>128782</v>
      </c>
      <c r="Y14" s="30">
        <v>78405</v>
      </c>
      <c r="AA14" s="64">
        <f t="shared" si="1"/>
        <v>0.99202345893338262</v>
      </c>
      <c r="AB14" s="64">
        <f t="shared" si="2"/>
        <v>1.0162729830530655</v>
      </c>
      <c r="AC14" s="64">
        <f t="shared" si="3"/>
        <v>1.0156614332348826</v>
      </c>
      <c r="AD14" s="64">
        <f t="shared" si="4"/>
        <v>1.0481164765243469</v>
      </c>
      <c r="AE14" s="64">
        <f t="shared" si="5"/>
        <v>0.99241712004685356</v>
      </c>
      <c r="AI14" s="270"/>
      <c r="AJ14" s="270"/>
      <c r="AK14" s="270"/>
      <c r="AL14" s="270"/>
      <c r="AM14" s="270"/>
      <c r="AN14" s="270"/>
    </row>
    <row r="15" spans="1:40" hidden="1" outlineLevel="1">
      <c r="A15" s="66">
        <v>1970</v>
      </c>
      <c r="B15" s="30">
        <f t="shared" si="7"/>
        <v>8370557.8474120451</v>
      </c>
      <c r="C15" s="30">
        <f t="shared" si="8"/>
        <v>310119.01005636668</v>
      </c>
      <c r="D15" s="30">
        <f t="shared" si="9"/>
        <v>77053.580642210218</v>
      </c>
      <c r="E15" s="30">
        <f t="shared" si="10"/>
        <v>98888.861630238549</v>
      </c>
      <c r="F15" s="30">
        <f t="shared" si="11"/>
        <v>135132.56085997279</v>
      </c>
      <c r="G15" s="135" t="s">
        <v>22</v>
      </c>
      <c r="H15" s="135" t="s">
        <v>22</v>
      </c>
      <c r="U15" s="30">
        <v>8417433</v>
      </c>
      <c r="V15" s="30">
        <f t="shared" si="6"/>
        <v>305660</v>
      </c>
      <c r="W15" s="30">
        <v>98698</v>
      </c>
      <c r="X15" s="30">
        <v>129766</v>
      </c>
      <c r="Y15" s="30">
        <v>77196</v>
      </c>
      <c r="AA15" s="64">
        <f t="shared" si="1"/>
        <v>0.9800696434241315</v>
      </c>
      <c r="AB15" s="64">
        <f t="shared" si="2"/>
        <v>1.0130215324245768</v>
      </c>
      <c r="AC15" s="64">
        <f t="shared" si="3"/>
        <v>1.1115174727505723</v>
      </c>
      <c r="AD15" s="64">
        <f t="shared" si="4"/>
        <v>0.95032592892149781</v>
      </c>
      <c r="AE15" s="64">
        <f t="shared" si="5"/>
        <v>1.0104576283064559</v>
      </c>
      <c r="AI15" s="270"/>
      <c r="AJ15" s="270"/>
      <c r="AK15" s="270"/>
      <c r="AL15" s="270"/>
      <c r="AM15" s="270"/>
      <c r="AN15" s="270"/>
    </row>
    <row r="16" spans="1:40" hidden="1" outlineLevel="1">
      <c r="A16" s="66">
        <v>1971</v>
      </c>
      <c r="B16" s="30">
        <f t="shared" si="7"/>
        <v>8540778.6105559766</v>
      </c>
      <c r="C16" s="30">
        <f t="shared" si="8"/>
        <v>306132.69326479611</v>
      </c>
      <c r="D16" s="30">
        <f t="shared" si="9"/>
        <v>69322.869438599693</v>
      </c>
      <c r="E16" s="30">
        <f t="shared" si="10"/>
        <v>104057.83807505405</v>
      </c>
      <c r="F16" s="30">
        <f t="shared" si="11"/>
        <v>133734.0201849505</v>
      </c>
      <c r="G16" s="135" t="s">
        <v>22</v>
      </c>
      <c r="H16" s="135" t="s">
        <v>22</v>
      </c>
      <c r="U16" s="30">
        <v>8588607</v>
      </c>
      <c r="V16" s="30">
        <f t="shared" si="6"/>
        <v>301731</v>
      </c>
      <c r="W16" s="30">
        <v>103857</v>
      </c>
      <c r="X16" s="30">
        <v>128423</v>
      </c>
      <c r="Y16" s="30">
        <v>69451</v>
      </c>
      <c r="AA16" s="64">
        <f t="shared" si="1"/>
        <v>0.97406149150846943</v>
      </c>
      <c r="AB16" s="64">
        <f t="shared" si="2"/>
        <v>0.96221992614277785</v>
      </c>
      <c r="AC16" s="64">
        <f t="shared" si="3"/>
        <v>1.0213232158350614</v>
      </c>
      <c r="AD16" s="64">
        <f t="shared" si="4"/>
        <v>0.89424741043060474</v>
      </c>
      <c r="AE16" s="64">
        <f t="shared" si="5"/>
        <v>0.99215840788640119</v>
      </c>
      <c r="AI16" s="270"/>
      <c r="AJ16" s="270"/>
      <c r="AK16" s="270"/>
      <c r="AL16" s="270"/>
      <c r="AM16" s="270"/>
      <c r="AN16" s="270"/>
    </row>
    <row r="17" spans="1:40" hidden="1" outlineLevel="1">
      <c r="A17" s="66">
        <v>1972</v>
      </c>
      <c r="B17" s="30">
        <f t="shared" si="7"/>
        <v>8768212.9773238394</v>
      </c>
      <c r="C17" s="30">
        <f t="shared" si="8"/>
        <v>318152.51892774767</v>
      </c>
      <c r="D17" s="30">
        <f t="shared" si="9"/>
        <v>67875.544552191001</v>
      </c>
      <c r="E17" s="30">
        <f t="shared" si="10"/>
        <v>116363.58893669856</v>
      </c>
      <c r="F17" s="30">
        <f t="shared" si="11"/>
        <v>134790.99619771866</v>
      </c>
      <c r="G17" s="135" t="s">
        <v>22</v>
      </c>
      <c r="H17" s="135" t="s">
        <v>22</v>
      </c>
      <c r="U17" s="30">
        <v>8817315</v>
      </c>
      <c r="V17" s="30">
        <f t="shared" si="6"/>
        <v>313578</v>
      </c>
      <c r="W17" s="30">
        <v>116139</v>
      </c>
      <c r="X17" s="30">
        <v>129438</v>
      </c>
      <c r="Y17" s="30">
        <v>68001</v>
      </c>
      <c r="AA17" s="64">
        <f t="shared" si="1"/>
        <v>0.95544700741867206</v>
      </c>
      <c r="AB17" s="64">
        <f t="shared" si="2"/>
        <v>0.93206948209444995</v>
      </c>
      <c r="AC17" s="64">
        <f t="shared" si="3"/>
        <v>0.86511965192168239</v>
      </c>
      <c r="AD17" s="64">
        <f t="shared" si="4"/>
        <v>0.92146019454450245</v>
      </c>
      <c r="AE17" s="64">
        <f t="shared" si="5"/>
        <v>0.98214597354902844</v>
      </c>
      <c r="AI17" s="270"/>
      <c r="AJ17" s="270"/>
      <c r="AK17" s="270"/>
      <c r="AL17" s="270"/>
      <c r="AM17" s="270"/>
      <c r="AN17" s="270"/>
    </row>
    <row r="18" spans="1:40" collapsed="1">
      <c r="A18" s="66">
        <v>1973</v>
      </c>
      <c r="B18" s="30">
        <f t="shared" si="7"/>
        <v>9177079.3243812546</v>
      </c>
      <c r="C18" s="30">
        <f t="shared" si="8"/>
        <v>341339.91621829342</v>
      </c>
      <c r="D18" s="30">
        <f t="shared" si="9"/>
        <v>78457.984859573669</v>
      </c>
      <c r="E18" s="30">
        <f t="shared" si="10"/>
        <v>126281.7315665161</v>
      </c>
      <c r="F18" s="30">
        <f t="shared" si="11"/>
        <v>137241.30610712108</v>
      </c>
      <c r="G18" s="135" t="s">
        <v>22</v>
      </c>
      <c r="H18" s="135" t="s">
        <v>22</v>
      </c>
      <c r="U18" s="30">
        <v>9228471</v>
      </c>
      <c r="V18" s="30">
        <f t="shared" si="6"/>
        <v>336432</v>
      </c>
      <c r="W18" s="30">
        <v>126038</v>
      </c>
      <c r="X18" s="30">
        <v>131791</v>
      </c>
      <c r="Y18" s="30">
        <v>78603</v>
      </c>
      <c r="AA18" s="64">
        <f t="shared" si="1"/>
        <v>0.96227948496275217</v>
      </c>
      <c r="AB18" s="64">
        <f t="shared" si="2"/>
        <v>0.97848639876217536</v>
      </c>
      <c r="AC18" s="64">
        <f t="shared" si="3"/>
        <v>0.92804939962454391</v>
      </c>
      <c r="AD18" s="64">
        <f t="shared" si="4"/>
        <v>1.0498354920661364</v>
      </c>
      <c r="AE18" s="64">
        <f t="shared" si="5"/>
        <v>0.94761175463951619</v>
      </c>
      <c r="AI18" s="270"/>
      <c r="AJ18" s="270"/>
      <c r="AK18" s="270"/>
      <c r="AL18" s="270"/>
      <c r="AM18" s="270"/>
      <c r="AN18" s="270"/>
    </row>
    <row r="19" spans="1:40" hidden="1" outlineLevel="1">
      <c r="A19" s="66">
        <v>1974</v>
      </c>
      <c r="B19" s="30">
        <f t="shared" si="7"/>
        <v>9536812.8155994937</v>
      </c>
      <c r="C19" s="30">
        <f t="shared" si="8"/>
        <v>348844.82467012538</v>
      </c>
      <c r="D19" s="30">
        <f t="shared" si="9"/>
        <v>84540.742002866449</v>
      </c>
      <c r="E19" s="30">
        <f t="shared" si="10"/>
        <v>120287.16167519391</v>
      </c>
      <c r="F19" s="30">
        <f t="shared" si="11"/>
        <v>144828.62357414453</v>
      </c>
      <c r="G19" s="135" t="s">
        <v>22</v>
      </c>
      <c r="H19" s="135" t="s">
        <v>22</v>
      </c>
      <c r="U19" s="30">
        <v>9590219</v>
      </c>
      <c r="V19" s="30">
        <f t="shared" si="6"/>
        <v>343829</v>
      </c>
      <c r="W19" s="30">
        <v>120055</v>
      </c>
      <c r="X19" s="30">
        <v>139077</v>
      </c>
      <c r="Y19" s="30">
        <v>84697</v>
      </c>
      <c r="AA19" s="64">
        <f t="shared" si="1"/>
        <v>0.98484047797047392</v>
      </c>
      <c r="AB19" s="64">
        <f t="shared" si="2"/>
        <v>1.0820875793873093</v>
      </c>
      <c r="AC19" s="64">
        <f t="shared" si="3"/>
        <v>1.155043094043203</v>
      </c>
      <c r="AD19" s="64">
        <f t="shared" si="4"/>
        <v>1.0905564740293952</v>
      </c>
      <c r="AE19" s="64">
        <f t="shared" si="5"/>
        <v>1.0353229312449752</v>
      </c>
      <c r="AI19" s="270"/>
      <c r="AJ19" s="270"/>
      <c r="AK19" s="270"/>
      <c r="AL19" s="270"/>
      <c r="AM19" s="270"/>
      <c r="AN19" s="270"/>
    </row>
    <row r="20" spans="1:40" hidden="1" outlineLevel="1">
      <c r="A20" s="66">
        <v>1975</v>
      </c>
      <c r="B20" s="30">
        <f t="shared" si="7"/>
        <v>9683611.7411142942</v>
      </c>
      <c r="C20" s="30">
        <f t="shared" si="8"/>
        <v>322381.32228414027</v>
      </c>
      <c r="D20" s="30">
        <f t="shared" si="9"/>
        <v>73192.716738328294</v>
      </c>
      <c r="E20" s="30">
        <f>E21*AD20</f>
        <v>110298.88367977508</v>
      </c>
      <c r="F20" s="30">
        <f t="shared" si="11"/>
        <v>139887.39088391309</v>
      </c>
      <c r="G20" s="135" t="s">
        <v>22</v>
      </c>
      <c r="H20" s="135" t="s">
        <v>22</v>
      </c>
      <c r="U20" s="30">
        <v>9737840</v>
      </c>
      <c r="V20" s="30">
        <f t="shared" si="6"/>
        <v>317746</v>
      </c>
      <c r="W20" s="30">
        <v>110086</v>
      </c>
      <c r="X20" s="30">
        <v>134332</v>
      </c>
      <c r="Y20" s="30">
        <v>73328</v>
      </c>
      <c r="AA20" s="64">
        <f t="shared" si="1"/>
        <v>0.98592497593110839</v>
      </c>
      <c r="AB20" s="64">
        <f t="shared" si="2"/>
        <v>0.98067634341233367</v>
      </c>
      <c r="AC20" s="64">
        <f t="shared" si="3"/>
        <v>1.0780834203213903</v>
      </c>
      <c r="AD20" s="64">
        <f t="shared" si="4"/>
        <v>0.92220956338169757</v>
      </c>
      <c r="AE20" s="64">
        <f t="shared" si="5"/>
        <v>0.98326721222679292</v>
      </c>
      <c r="AI20" s="270"/>
      <c r="AJ20" s="270"/>
      <c r="AK20" s="270"/>
      <c r="AL20" s="270"/>
      <c r="AM20" s="270"/>
      <c r="AN20" s="270"/>
    </row>
    <row r="21" spans="1:40" hidden="1" outlineLevel="1">
      <c r="A21" s="66">
        <v>1976</v>
      </c>
      <c r="B21" s="30">
        <f t="shared" si="7"/>
        <v>9821854.5807393547</v>
      </c>
      <c r="C21" s="30">
        <f t="shared" si="8"/>
        <v>328733.65861196502</v>
      </c>
      <c r="D21" s="30">
        <f t="shared" si="9"/>
        <v>67891.515033696211</v>
      </c>
      <c r="E21" s="30">
        <f t="shared" si="10"/>
        <v>119602.84089368413</v>
      </c>
      <c r="F21" s="30">
        <f t="shared" si="11"/>
        <v>142267.92996291604</v>
      </c>
      <c r="G21" s="135" t="s">
        <v>22</v>
      </c>
      <c r="H21" s="135" t="s">
        <v>22</v>
      </c>
      <c r="U21" s="30">
        <v>9876857</v>
      </c>
      <c r="V21" s="30">
        <f t="shared" si="6"/>
        <v>324007</v>
      </c>
      <c r="W21" s="30">
        <v>119372</v>
      </c>
      <c r="X21" s="30">
        <v>136618</v>
      </c>
      <c r="Y21" s="30">
        <v>68017</v>
      </c>
      <c r="AA21" s="64">
        <f t="shared" si="1"/>
        <v>0.98274905666366141</v>
      </c>
      <c r="AB21" s="64">
        <f t="shared" si="2"/>
        <v>1.0022643260382027</v>
      </c>
      <c r="AC21" s="64">
        <f t="shared" si="3"/>
        <v>0.96486225778080403</v>
      </c>
      <c r="AD21" s="64">
        <f t="shared" si="4"/>
        <v>0.97470400914509681</v>
      </c>
      <c r="AE21" s="64">
        <f t="shared" si="5"/>
        <v>1.0483995978850595</v>
      </c>
      <c r="AI21" s="270"/>
      <c r="AJ21" s="270"/>
      <c r="AK21" s="270"/>
      <c r="AL21" s="270"/>
      <c r="AM21" s="270"/>
      <c r="AN21" s="270"/>
    </row>
    <row r="22" spans="1:40" hidden="1" outlineLevel="1">
      <c r="A22" s="66">
        <v>1977</v>
      </c>
      <c r="B22" s="30">
        <f t="shared" si="7"/>
        <v>9994265.0813460015</v>
      </c>
      <c r="C22" s="30">
        <f t="shared" si="8"/>
        <v>327990.9800954393</v>
      </c>
      <c r="D22" s="30">
        <f t="shared" si="9"/>
        <v>70363.945201719878</v>
      </c>
      <c r="E22" s="30">
        <f t="shared" si="10"/>
        <v>122706.83178843862</v>
      </c>
      <c r="F22" s="30">
        <f t="shared" si="11"/>
        <v>135700.09970426702</v>
      </c>
      <c r="G22" s="135" t="s">
        <v>22</v>
      </c>
      <c r="H22" s="135" t="s">
        <v>22</v>
      </c>
      <c r="U22" s="30">
        <v>10050233</v>
      </c>
      <c r="V22" s="30">
        <f t="shared" si="6"/>
        <v>323275</v>
      </c>
      <c r="W22" s="30">
        <v>122470</v>
      </c>
      <c r="X22" s="30">
        <v>130311</v>
      </c>
      <c r="Y22" s="30">
        <v>70494</v>
      </c>
      <c r="AA22" s="64">
        <f t="shared" si="1"/>
        <v>0.9723879194099706</v>
      </c>
      <c r="AB22" s="64">
        <f t="shared" si="2"/>
        <v>0.9492565099425645</v>
      </c>
      <c r="AC22" s="64">
        <f t="shared" si="3"/>
        <v>0.9064071078651974</v>
      </c>
      <c r="AD22" s="64">
        <f t="shared" si="4"/>
        <v>0.93643669284234188</v>
      </c>
      <c r="AE22" s="64">
        <f t="shared" si="5"/>
        <v>0.9872045454545455</v>
      </c>
      <c r="AI22" s="270"/>
      <c r="AJ22" s="270"/>
      <c r="AK22" s="270"/>
      <c r="AL22" s="270"/>
      <c r="AM22" s="270"/>
      <c r="AN22" s="270"/>
    </row>
    <row r="23" spans="1:40" hidden="1" outlineLevel="1">
      <c r="A23" s="66">
        <v>1978</v>
      </c>
      <c r="B23" s="30">
        <f t="shared" si="7"/>
        <v>10278063.807508387</v>
      </c>
      <c r="C23" s="30">
        <f t="shared" si="8"/>
        <v>345524.07769664348</v>
      </c>
      <c r="D23" s="30">
        <f t="shared" si="9"/>
        <v>77629.516131491473</v>
      </c>
      <c r="E23" s="30">
        <f t="shared" si="10"/>
        <v>131035.90742048966</v>
      </c>
      <c r="F23" s="30">
        <f t="shared" si="11"/>
        <v>137458.94944374033</v>
      </c>
      <c r="G23" s="135" t="s">
        <v>22</v>
      </c>
      <c r="H23" s="135" t="s">
        <v>22</v>
      </c>
      <c r="U23" s="30">
        <v>10335621</v>
      </c>
      <c r="V23" s="30">
        <f t="shared" si="6"/>
        <v>340556</v>
      </c>
      <c r="W23" s="30">
        <v>130783</v>
      </c>
      <c r="X23" s="30">
        <v>132000</v>
      </c>
      <c r="Y23" s="30">
        <v>77773</v>
      </c>
      <c r="AA23" s="64">
        <f t="shared" si="1"/>
        <v>0.95758482987700111</v>
      </c>
      <c r="AB23" s="64">
        <f t="shared" si="2"/>
        <v>0.96780757295017672</v>
      </c>
      <c r="AC23" s="64">
        <f t="shared" si="3"/>
        <v>0.92782410555575434</v>
      </c>
      <c r="AD23" s="64">
        <f t="shared" si="4"/>
        <v>0.97393564338002581</v>
      </c>
      <c r="AE23" s="64">
        <f t="shared" si="5"/>
        <v>0.98670932440311565</v>
      </c>
      <c r="AI23" s="270"/>
      <c r="AJ23" s="270"/>
      <c r="AK23" s="270"/>
      <c r="AL23" s="270"/>
      <c r="AM23" s="270"/>
      <c r="AN23" s="270"/>
    </row>
    <row r="24" spans="1:40" hidden="1" outlineLevel="1">
      <c r="A24" s="66">
        <v>1979</v>
      </c>
      <c r="B24" s="30">
        <f t="shared" si="7"/>
        <v>10733319.374773901</v>
      </c>
      <c r="C24" s="30">
        <f>C25*AB24</f>
        <v>357017.33211632067</v>
      </c>
      <c r="D24" s="30">
        <f t="shared" si="9"/>
        <v>83668.354450644954</v>
      </c>
      <c r="E24" s="30">
        <f t="shared" si="10"/>
        <v>134542.67570055445</v>
      </c>
      <c r="F24" s="30">
        <f t="shared" si="11"/>
        <v>139310.4798385204</v>
      </c>
      <c r="G24" s="135" t="s">
        <v>22</v>
      </c>
      <c r="H24" s="135" t="s">
        <v>22</v>
      </c>
      <c r="U24" s="30">
        <v>10793426</v>
      </c>
      <c r="V24" s="30">
        <f t="shared" si="6"/>
        <v>351884</v>
      </c>
      <c r="W24" s="30">
        <v>134283</v>
      </c>
      <c r="X24" s="30">
        <v>133778</v>
      </c>
      <c r="Y24" s="30">
        <v>83823</v>
      </c>
      <c r="AA24" s="64">
        <f t="shared" si="1"/>
        <v>0.96893132520299807</v>
      </c>
      <c r="AB24" s="64">
        <f t="shared" si="2"/>
        <v>1.0297948803493091</v>
      </c>
      <c r="AC24" s="64">
        <f t="shared" si="3"/>
        <v>1.075315578817734</v>
      </c>
      <c r="AD24" s="64">
        <f t="shared" si="4"/>
        <v>1.0409454190277594</v>
      </c>
      <c r="AE24" s="64">
        <f t="shared" si="5"/>
        <v>0.99278664192949906</v>
      </c>
      <c r="AI24" s="270"/>
      <c r="AJ24" s="270"/>
      <c r="AK24" s="270"/>
      <c r="AL24" s="270"/>
      <c r="AM24" s="270"/>
      <c r="AN24" s="270"/>
    </row>
    <row r="25" spans="1:40" hidden="1" outlineLevel="1">
      <c r="A25" s="66">
        <v>1980</v>
      </c>
      <c r="B25" s="30">
        <f t="shared" si="7"/>
        <v>11077482.062544726</v>
      </c>
      <c r="C25" s="30">
        <f t="shared" si="8"/>
        <v>346687.81029016135</v>
      </c>
      <c r="D25" s="30">
        <f t="shared" si="9"/>
        <v>77808.185893330898</v>
      </c>
      <c r="E25" s="30">
        <f t="shared" si="10"/>
        <v>129250.46139903953</v>
      </c>
      <c r="F25" s="30">
        <f t="shared" si="11"/>
        <v>140322.67755715159</v>
      </c>
      <c r="G25" s="135" t="s">
        <v>22</v>
      </c>
      <c r="H25" s="135" t="s">
        <v>22</v>
      </c>
      <c r="U25" s="30">
        <v>11139516</v>
      </c>
      <c r="V25" s="30">
        <f t="shared" si="6"/>
        <v>341703</v>
      </c>
      <c r="W25" s="30">
        <v>129001</v>
      </c>
      <c r="X25" s="30">
        <v>134750</v>
      </c>
      <c r="Y25" s="30">
        <v>77952</v>
      </c>
      <c r="AA25" s="64">
        <f t="shared" si="1"/>
        <v>0.97021772492348535</v>
      </c>
      <c r="AB25" s="64">
        <f t="shared" si="2"/>
        <v>1.0318365744655151</v>
      </c>
      <c r="AC25" s="64">
        <f t="shared" si="3"/>
        <v>1.0844741235392321</v>
      </c>
      <c r="AD25" s="64">
        <f t="shared" si="4"/>
        <v>1.0345654457819731</v>
      </c>
      <c r="AE25" s="64">
        <f t="shared" si="5"/>
        <v>1.0011962344619545</v>
      </c>
      <c r="AI25" s="270"/>
      <c r="AJ25" s="270"/>
      <c r="AK25" s="270"/>
      <c r="AL25" s="270"/>
      <c r="AM25" s="270"/>
      <c r="AN25" s="270"/>
    </row>
    <row r="26" spans="1:40" collapsed="1">
      <c r="A26" s="66">
        <v>1981</v>
      </c>
      <c r="B26" s="30">
        <f t="shared" si="7"/>
        <v>11417521.838635068</v>
      </c>
      <c r="C26" s="30">
        <f t="shared" si="8"/>
        <v>335991.00755828846</v>
      </c>
      <c r="D26" s="30">
        <f t="shared" si="9"/>
        <v>71747.38816210776</v>
      </c>
      <c r="E26" s="30">
        <f t="shared" si="10"/>
        <v>124932.12674558831</v>
      </c>
      <c r="F26" s="30">
        <f t="shared" si="11"/>
        <v>140155.01929305732</v>
      </c>
      <c r="G26" s="135" t="s">
        <v>22</v>
      </c>
      <c r="H26" s="135" t="s">
        <v>22</v>
      </c>
      <c r="U26" s="30">
        <v>11481460</v>
      </c>
      <c r="V26" s="30">
        <f t="shared" si="6"/>
        <v>331160</v>
      </c>
      <c r="W26" s="30">
        <v>124691</v>
      </c>
      <c r="X26" s="30">
        <v>134589</v>
      </c>
      <c r="Y26" s="30">
        <v>71880</v>
      </c>
      <c r="AA26" s="64">
        <f t="shared" si="1"/>
        <v>1.0325040029172623</v>
      </c>
      <c r="AB26" s="64">
        <f t="shared" si="2"/>
        <v>1.1373385398958</v>
      </c>
      <c r="AC26" s="64">
        <f t="shared" si="3"/>
        <v>1.1606652672372033</v>
      </c>
      <c r="AD26" s="64">
        <f t="shared" si="4"/>
        <v>1.1769519746281054</v>
      </c>
      <c r="AE26" s="64">
        <f t="shared" si="5"/>
        <v>1.0915837368305799</v>
      </c>
      <c r="AI26" s="270"/>
      <c r="AJ26" s="270"/>
      <c r="AK26" s="270"/>
      <c r="AL26" s="270"/>
      <c r="AM26" s="270"/>
      <c r="AN26" s="270"/>
    </row>
    <row r="27" spans="1:40">
      <c r="A27" s="66">
        <v>1982</v>
      </c>
      <c r="B27" s="30">
        <f t="shared" si="7"/>
        <v>11058089.660064969</v>
      </c>
      <c r="C27" s="30">
        <f t="shared" si="8"/>
        <v>295418.64253458875</v>
      </c>
      <c r="D27" s="30">
        <f t="shared" si="9"/>
        <v>61815.744976061957</v>
      </c>
      <c r="E27" s="30">
        <f t="shared" si="10"/>
        <v>106148.87390376697</v>
      </c>
      <c r="F27" s="30">
        <f t="shared" si="11"/>
        <v>128396.0309815519</v>
      </c>
      <c r="G27" s="135" t="s">
        <v>22</v>
      </c>
      <c r="H27" s="135" t="s">
        <v>22</v>
      </c>
      <c r="U27" s="30">
        <v>11120015</v>
      </c>
      <c r="V27" s="30">
        <f t="shared" si="6"/>
        <v>291171</v>
      </c>
      <c r="W27" s="30">
        <v>105944</v>
      </c>
      <c r="X27" s="30">
        <v>123297</v>
      </c>
      <c r="Y27" s="30">
        <v>61930</v>
      </c>
      <c r="AA27" s="64">
        <f t="shared" si="1"/>
        <v>0.99195580236270708</v>
      </c>
      <c r="AB27" s="64">
        <f t="shared" si="2"/>
        <v>0.9930493265895658</v>
      </c>
      <c r="AC27" s="64">
        <f t="shared" si="3"/>
        <v>0.95774952831647642</v>
      </c>
      <c r="AD27" s="64">
        <f t="shared" si="4"/>
        <v>0.96517168183515989</v>
      </c>
      <c r="AE27" s="64">
        <f t="shared" si="5"/>
        <v>1.0380282875905034</v>
      </c>
      <c r="AI27" s="270"/>
      <c r="AJ27" s="270"/>
      <c r="AK27" s="270"/>
      <c r="AL27" s="270"/>
      <c r="AM27" s="270"/>
      <c r="AN27" s="270"/>
    </row>
    <row r="28" spans="1:40">
      <c r="A28" s="66">
        <v>1983</v>
      </c>
      <c r="B28" s="30">
        <f t="shared" si="7"/>
        <v>11147764.480762215</v>
      </c>
      <c r="C28" s="30">
        <f t="shared" si="8"/>
        <v>297486.37315846782</v>
      </c>
      <c r="D28" s="30">
        <f t="shared" si="9"/>
        <v>64542.704693074738</v>
      </c>
      <c r="E28" s="30">
        <f t="shared" si="10"/>
        <v>109979.26679939203</v>
      </c>
      <c r="F28" s="30">
        <f t="shared" si="11"/>
        <v>123692.22738581421</v>
      </c>
      <c r="G28" s="135" t="s">
        <v>22</v>
      </c>
      <c r="H28" s="135" t="s">
        <v>22</v>
      </c>
      <c r="U28" s="30">
        <v>11210192</v>
      </c>
      <c r="V28" s="30">
        <f t="shared" si="6"/>
        <v>293209</v>
      </c>
      <c r="W28" s="30">
        <v>109767</v>
      </c>
      <c r="X28" s="30">
        <v>118780</v>
      </c>
      <c r="Y28" s="30">
        <v>64662</v>
      </c>
      <c r="AA28" s="64">
        <f t="shared" si="1"/>
        <v>0.9760262117318953</v>
      </c>
      <c r="AB28" s="64">
        <f t="shared" si="2"/>
        <v>0.99009931080127367</v>
      </c>
      <c r="AC28" s="64">
        <f t="shared" si="3"/>
        <v>0.98628757950610879</v>
      </c>
      <c r="AD28" s="64">
        <f t="shared" si="4"/>
        <v>0.9926029750870371</v>
      </c>
      <c r="AE28" s="64">
        <f t="shared" si="5"/>
        <v>0.98987457810742119</v>
      </c>
      <c r="AI28" s="270"/>
      <c r="AJ28" s="270"/>
      <c r="AK28" s="270"/>
      <c r="AL28" s="270"/>
      <c r="AM28" s="270"/>
      <c r="AN28" s="270"/>
    </row>
    <row r="29" spans="1:40">
      <c r="A29" s="66">
        <v>1984</v>
      </c>
      <c r="B29" s="30">
        <f t="shared" si="7"/>
        <v>11421583.095582269</v>
      </c>
      <c r="C29" s="30">
        <f t="shared" si="8"/>
        <v>300461.14557712013</v>
      </c>
      <c r="D29" s="30">
        <f t="shared" si="9"/>
        <v>65440.046122648127</v>
      </c>
      <c r="E29" s="30">
        <f t="shared" si="10"/>
        <v>110798.84864313289</v>
      </c>
      <c r="F29" s="30">
        <f t="shared" si="11"/>
        <v>124957.47453410318</v>
      </c>
      <c r="G29" s="135" t="s">
        <v>22</v>
      </c>
      <c r="H29" s="135" t="s">
        <v>22</v>
      </c>
      <c r="U29" s="30">
        <v>11485544</v>
      </c>
      <c r="V29" s="30">
        <f t="shared" si="6"/>
        <v>296141</v>
      </c>
      <c r="W29" s="30">
        <v>110585</v>
      </c>
      <c r="X29" s="30">
        <v>119995</v>
      </c>
      <c r="Y29" s="30">
        <v>65561</v>
      </c>
      <c r="AA29" s="64">
        <f t="shared" si="1"/>
        <v>0.96977403519863936</v>
      </c>
      <c r="AB29" s="64">
        <f t="shared" si="2"/>
        <v>0.99594413261273862</v>
      </c>
      <c r="AC29" s="64">
        <f t="shared" si="3"/>
        <v>1.0198967051429637</v>
      </c>
      <c r="AD29" s="64">
        <f t="shared" si="4"/>
        <v>0.96049785899785467</v>
      </c>
      <c r="AE29" s="64">
        <f t="shared" si="5"/>
        <v>1.0174931316351796</v>
      </c>
      <c r="AI29" s="270"/>
      <c r="AJ29" s="270"/>
      <c r="AK29" s="270"/>
      <c r="AL29" s="270"/>
      <c r="AM29" s="270"/>
      <c r="AN29" s="270"/>
    </row>
    <row r="30" spans="1:40">
      <c r="A30" s="66">
        <v>1985</v>
      </c>
      <c r="B30" s="30">
        <f t="shared" si="7"/>
        <v>11777571.558969177</v>
      </c>
      <c r="C30" s="30">
        <f t="shared" si="8"/>
        <v>301684.7388707404</v>
      </c>
      <c r="D30" s="30">
        <f t="shared" si="9"/>
        <v>64163.405757326269</v>
      </c>
      <c r="E30" s="30">
        <f t="shared" si="10"/>
        <v>115355.64353962851</v>
      </c>
      <c r="F30" s="30">
        <f t="shared" si="11"/>
        <v>122809.15777120594</v>
      </c>
      <c r="G30" s="135" t="s">
        <v>22</v>
      </c>
      <c r="H30" s="135" t="s">
        <v>22</v>
      </c>
      <c r="U30" s="30">
        <v>11843526</v>
      </c>
      <c r="V30" s="30">
        <f t="shared" si="6"/>
        <v>297347</v>
      </c>
      <c r="W30" s="30">
        <v>115133</v>
      </c>
      <c r="X30" s="30">
        <v>117932</v>
      </c>
      <c r="Y30" s="30">
        <v>64282</v>
      </c>
      <c r="AA30" s="64">
        <f t="shared" si="1"/>
        <v>0.9703408257829319</v>
      </c>
      <c r="AB30" s="64">
        <f t="shared" si="2"/>
        <v>0.9733189742649706</v>
      </c>
      <c r="AC30" s="64">
        <f t="shared" si="3"/>
        <v>1.0169110784174142</v>
      </c>
      <c r="AD30" s="64">
        <f t="shared" si="4"/>
        <v>0.95936971393812132</v>
      </c>
      <c r="AE30" s="64">
        <f t="shared" si="5"/>
        <v>0.96447381334031212</v>
      </c>
      <c r="AI30" s="270"/>
      <c r="AJ30" s="270"/>
      <c r="AK30" s="270"/>
      <c r="AL30" s="270"/>
      <c r="AM30" s="270"/>
      <c r="AN30" s="270"/>
    </row>
    <row r="31" spans="1:40">
      <c r="A31" s="66">
        <v>1986</v>
      </c>
      <c r="B31" s="30">
        <f t="shared" si="7"/>
        <v>12137561.613432366</v>
      </c>
      <c r="C31" s="30">
        <f t="shared" si="8"/>
        <v>309954.64677811938</v>
      </c>
      <c r="D31" s="30">
        <f t="shared" si="9"/>
        <v>63096.377961760132</v>
      </c>
      <c r="E31" s="30">
        <f t="shared" si="10"/>
        <v>120241.07272065591</v>
      </c>
      <c r="F31" s="30">
        <f t="shared" si="11"/>
        <v>127332.80683471811</v>
      </c>
      <c r="G31" s="135" t="s">
        <v>22</v>
      </c>
      <c r="H31" s="135" t="s">
        <v>22</v>
      </c>
      <c r="U31" s="30">
        <v>12205532</v>
      </c>
      <c r="V31" s="30">
        <f t="shared" si="6"/>
        <v>305498</v>
      </c>
      <c r="W31" s="30">
        <v>120009</v>
      </c>
      <c r="X31" s="30">
        <v>122276</v>
      </c>
      <c r="Y31" s="30">
        <v>63213</v>
      </c>
      <c r="AA31" s="64">
        <f t="shared" si="1"/>
        <v>0.96976044504860148</v>
      </c>
      <c r="AB31" s="64">
        <f t="shared" si="2"/>
        <v>0.94358819132572691</v>
      </c>
      <c r="AC31" s="64">
        <f t="shared" si="3"/>
        <v>0.92447752899366742</v>
      </c>
      <c r="AD31" s="64">
        <f t="shared" si="4"/>
        <v>0.91696019927107131</v>
      </c>
      <c r="AE31" s="64">
        <f t="shared" si="5"/>
        <v>0.98207344106402805</v>
      </c>
      <c r="AI31" s="270"/>
      <c r="AJ31" s="270"/>
      <c r="AK31" s="270"/>
      <c r="AL31" s="270"/>
      <c r="AM31" s="270"/>
      <c r="AN31" s="270"/>
    </row>
    <row r="32" spans="1:40">
      <c r="A32" s="66">
        <v>1987</v>
      </c>
      <c r="B32" s="30">
        <f t="shared" si="7"/>
        <v>12516041.126862075</v>
      </c>
      <c r="C32" s="30">
        <f t="shared" si="8"/>
        <v>328485.08451831923</v>
      </c>
      <c r="D32" s="30">
        <f t="shared" si="9"/>
        <v>68250.850867563204</v>
      </c>
      <c r="E32" s="30">
        <f t="shared" si="10"/>
        <v>131130.08919715424</v>
      </c>
      <c r="F32" s="30">
        <f t="shared" si="11"/>
        <v>129657.11270713044</v>
      </c>
      <c r="G32" s="135" t="s">
        <v>22</v>
      </c>
      <c r="H32" s="135" t="s">
        <v>22</v>
      </c>
      <c r="U32" s="30">
        <v>12586131</v>
      </c>
      <c r="V32" s="30">
        <f t="shared" si="6"/>
        <v>323762</v>
      </c>
      <c r="W32" s="30">
        <v>130877</v>
      </c>
      <c r="X32" s="30">
        <v>124508</v>
      </c>
      <c r="Y32" s="30">
        <v>68377</v>
      </c>
      <c r="AA32" s="64">
        <f t="shared" si="1"/>
        <v>0.96632367114411422</v>
      </c>
      <c r="AB32" s="64">
        <f t="shared" si="2"/>
        <v>0.9947216418827578</v>
      </c>
      <c r="AC32" s="64">
        <f t="shared" si="3"/>
        <v>0.99960528624057077</v>
      </c>
      <c r="AD32" s="64">
        <f t="shared" si="4"/>
        <v>0.98943110943110946</v>
      </c>
      <c r="AE32" s="64">
        <f t="shared" si="5"/>
        <v>0.99765226240174354</v>
      </c>
      <c r="AI32" s="270"/>
      <c r="AJ32" s="270"/>
      <c r="AK32" s="270"/>
      <c r="AL32" s="270"/>
      <c r="AM32" s="270"/>
      <c r="AN32" s="270"/>
    </row>
    <row r="33" spans="1:40">
      <c r="A33" s="66">
        <v>1988</v>
      </c>
      <c r="B33" s="30">
        <f>B34*AA33</f>
        <v>12952224.498488432</v>
      </c>
      <c r="C33" s="30">
        <f t="shared" si="8"/>
        <v>330228.14693825261</v>
      </c>
      <c r="D33" s="30">
        <f t="shared" si="9"/>
        <v>68277.80105510322</v>
      </c>
      <c r="E33" s="30">
        <f t="shared" si="10"/>
        <v>132530.79264159154</v>
      </c>
      <c r="F33" s="30">
        <f t="shared" si="11"/>
        <v>129962.22992066844</v>
      </c>
      <c r="G33" s="135" t="s">
        <v>22</v>
      </c>
      <c r="H33" s="135" t="s">
        <v>22</v>
      </c>
      <c r="U33" s="30">
        <v>13024757</v>
      </c>
      <c r="V33" s="30">
        <f t="shared" si="6"/>
        <v>325480</v>
      </c>
      <c r="W33" s="30">
        <v>132275</v>
      </c>
      <c r="X33" s="30">
        <v>124801</v>
      </c>
      <c r="Y33" s="30">
        <v>68404</v>
      </c>
      <c r="AA33" s="64">
        <f t="shared" si="1"/>
        <v>0.97683467411549818</v>
      </c>
      <c r="AB33" s="64">
        <f t="shared" si="2"/>
        <v>1.0037716996086437</v>
      </c>
      <c r="AC33" s="64">
        <f t="shared" si="3"/>
        <v>0.99782649920499467</v>
      </c>
      <c r="AD33" s="64">
        <f t="shared" si="4"/>
        <v>1.0001663478333194</v>
      </c>
      <c r="AE33" s="64">
        <f t="shared" si="5"/>
        <v>1.0109355128755539</v>
      </c>
      <c r="AI33" s="270"/>
      <c r="AJ33" s="270"/>
      <c r="AK33" s="270"/>
      <c r="AL33" s="270"/>
      <c r="AM33" s="270"/>
      <c r="AN33" s="270"/>
    </row>
    <row r="34" spans="1:40">
      <c r="A34" s="66">
        <v>1989</v>
      </c>
      <c r="B34" s="30">
        <f t="shared" si="7"/>
        <v>13259382.413115485</v>
      </c>
      <c r="C34" s="30">
        <f t="shared" si="8"/>
        <v>328987.30564629775</v>
      </c>
      <c r="D34" s="30">
        <f t="shared" si="9"/>
        <v>68426.526164120383</v>
      </c>
      <c r="E34" s="30">
        <f t="shared" si="10"/>
        <v>132508.75009811687</v>
      </c>
      <c r="F34" s="30">
        <f t="shared" si="11"/>
        <v>128556.39975590291</v>
      </c>
      <c r="G34" s="135" t="s">
        <v>22</v>
      </c>
      <c r="H34" s="135" t="s">
        <v>22</v>
      </c>
      <c r="U34" s="30">
        <v>13333635</v>
      </c>
      <c r="V34" s="30">
        <f t="shared" si="6"/>
        <v>324257</v>
      </c>
      <c r="W34" s="30">
        <v>132253</v>
      </c>
      <c r="X34" s="30">
        <v>123451</v>
      </c>
      <c r="Y34" s="30">
        <v>68553</v>
      </c>
      <c r="AA34" s="64">
        <f t="shared" si="1"/>
        <v>0.99382142774622051</v>
      </c>
      <c r="AB34" s="64">
        <f t="shared" si="2"/>
        <v>1.0580106891848682</v>
      </c>
      <c r="AC34" s="64">
        <f t="shared" si="3"/>
        <v>1.0643553595826605</v>
      </c>
      <c r="AD34" s="64">
        <f t="shared" si="4"/>
        <v>1.0721941174563026</v>
      </c>
      <c r="AE34" s="64">
        <f t="shared" si="5"/>
        <v>1.0398325499907346</v>
      </c>
      <c r="AI34" s="270"/>
      <c r="AJ34" s="270"/>
      <c r="AK34" s="270"/>
      <c r="AL34" s="270"/>
      <c r="AM34" s="270"/>
      <c r="AN34" s="270"/>
    </row>
    <row r="35" spans="1:40">
      <c r="A35" s="66">
        <v>1990</v>
      </c>
      <c r="B35" s="30">
        <f t="shared" si="7"/>
        <v>13341815.785945565</v>
      </c>
      <c r="C35" s="30">
        <f t="shared" si="8"/>
        <v>310948.94315270305</v>
      </c>
      <c r="D35" s="30">
        <f t="shared" si="9"/>
        <v>64289.173299179696</v>
      </c>
      <c r="E35" s="30">
        <f t="shared" si="10"/>
        <v>123586.52965983773</v>
      </c>
      <c r="F35" s="30">
        <f t="shared" si="11"/>
        <v>123631.82875651316</v>
      </c>
      <c r="G35" s="135" t="s">
        <v>22</v>
      </c>
      <c r="H35" s="135" t="s">
        <v>22</v>
      </c>
      <c r="U35" s="30">
        <v>13416530</v>
      </c>
      <c r="V35" s="30">
        <f t="shared" si="6"/>
        <v>306478</v>
      </c>
      <c r="W35" s="30">
        <v>123348</v>
      </c>
      <c r="X35" s="30">
        <v>118722</v>
      </c>
      <c r="Y35" s="30">
        <v>64408</v>
      </c>
      <c r="AA35" s="64">
        <f t="shared" si="1"/>
        <v>1.0181462062727045</v>
      </c>
      <c r="AB35" s="64">
        <f t="shared" si="2"/>
        <v>1.0766722992555848</v>
      </c>
      <c r="AC35" s="64">
        <f t="shared" si="3"/>
        <v>0.98529884195872663</v>
      </c>
      <c r="AD35" s="64">
        <f t="shared" si="4"/>
        <v>1.1524511590100064</v>
      </c>
      <c r="AE35" s="64">
        <f t="shared" si="5"/>
        <v>1.0576287493430019</v>
      </c>
      <c r="AI35" s="270"/>
      <c r="AJ35" s="270"/>
      <c r="AK35" s="270"/>
      <c r="AL35" s="270"/>
      <c r="AM35" s="270"/>
      <c r="AN35" s="270"/>
    </row>
    <row r="36" spans="1:40">
      <c r="A36" s="66">
        <v>1991</v>
      </c>
      <c r="B36" s="30">
        <f t="shared" si="7"/>
        <v>13104027.401710946</v>
      </c>
      <c r="C36" s="30">
        <f t="shared" si="8"/>
        <v>288805.55705547018</v>
      </c>
      <c r="D36" s="30">
        <f t="shared" si="9"/>
        <v>65248.400344585723</v>
      </c>
      <c r="E36" s="30">
        <f t="shared" si="10"/>
        <v>107237.97593817567</v>
      </c>
      <c r="F36" s="30">
        <f t="shared" si="11"/>
        <v>116895.29887809229</v>
      </c>
      <c r="G36" s="135" t="s">
        <v>22</v>
      </c>
      <c r="H36" s="135" t="s">
        <v>22</v>
      </c>
      <c r="U36" s="30">
        <v>13177410</v>
      </c>
      <c r="V36" s="30">
        <f t="shared" si="6"/>
        <v>284653</v>
      </c>
      <c r="W36" s="30">
        <v>107031</v>
      </c>
      <c r="X36" s="30">
        <v>112253</v>
      </c>
      <c r="Y36" s="30">
        <v>65369</v>
      </c>
      <c r="AA36" s="64">
        <f t="shared" si="1"/>
        <v>1.0071011529294787</v>
      </c>
      <c r="AB36" s="64">
        <f t="shared" si="2"/>
        <v>1.0211107444182976</v>
      </c>
      <c r="AC36" s="64">
        <f t="shared" si="3"/>
        <v>1.059087521467224</v>
      </c>
      <c r="AD36" s="64">
        <f t="shared" si="4"/>
        <v>0.96818576545934798</v>
      </c>
      <c r="AE36" s="64">
        <f t="shared" si="5"/>
        <v>1.0540385734943378</v>
      </c>
      <c r="AI36" s="270"/>
      <c r="AJ36" s="270"/>
      <c r="AK36" s="270"/>
      <c r="AL36" s="270"/>
      <c r="AM36" s="270"/>
      <c r="AN36" s="270"/>
    </row>
    <row r="37" spans="1:40">
      <c r="A37" s="66">
        <v>1992</v>
      </c>
      <c r="B37" s="30">
        <f t="shared" si="7"/>
        <v>13011629.828437446</v>
      </c>
      <c r="C37" s="30">
        <f t="shared" si="8"/>
        <v>282834.70586728159</v>
      </c>
      <c r="D37" s="30">
        <f t="shared" si="9"/>
        <v>61608.128716494364</v>
      </c>
      <c r="E37" s="30">
        <f t="shared" si="10"/>
        <v>110761.77709274364</v>
      </c>
      <c r="F37" s="30">
        <f t="shared" si="11"/>
        <v>110902.29695348075</v>
      </c>
      <c r="G37" s="135" t="s">
        <v>22</v>
      </c>
      <c r="H37" s="135" t="s">
        <v>22</v>
      </c>
      <c r="U37" s="30">
        <v>13084495</v>
      </c>
      <c r="V37" s="30">
        <f t="shared" si="6"/>
        <v>278768</v>
      </c>
      <c r="W37" s="30">
        <v>110548</v>
      </c>
      <c r="X37" s="30">
        <v>106498</v>
      </c>
      <c r="Y37" s="30">
        <v>61722</v>
      </c>
      <c r="AA37" s="64">
        <f t="shared" si="1"/>
        <v>0.9890678274999134</v>
      </c>
      <c r="AB37" s="64">
        <f t="shared" si="2"/>
        <v>0.97754337733017271</v>
      </c>
      <c r="AC37" s="64">
        <f t="shared" si="3"/>
        <v>0.98116266870141633</v>
      </c>
      <c r="AD37" s="64">
        <f t="shared" si="4"/>
        <v>0.93054655342216686</v>
      </c>
      <c r="AE37" s="64">
        <f t="shared" si="5"/>
        <v>1.029304312527787</v>
      </c>
      <c r="AI37" s="270"/>
      <c r="AJ37" s="270"/>
      <c r="AK37" s="270"/>
      <c r="AL37" s="270"/>
      <c r="AM37" s="270"/>
      <c r="AN37" s="270"/>
    </row>
    <row r="38" spans="1:40">
      <c r="A38" s="66">
        <v>1993</v>
      </c>
      <c r="B38" s="30">
        <f t="shared" si="7"/>
        <v>13155447.449268674</v>
      </c>
      <c r="C38" s="30">
        <f t="shared" si="8"/>
        <v>289332.12829874456</v>
      </c>
      <c r="D38" s="30">
        <f t="shared" si="9"/>
        <v>62790.942502973186</v>
      </c>
      <c r="E38" s="30">
        <f t="shared" si="10"/>
        <v>119028.73282954781</v>
      </c>
      <c r="F38" s="30">
        <f t="shared" si="11"/>
        <v>107744.90653898513</v>
      </c>
      <c r="G38" s="135" t="s">
        <v>22</v>
      </c>
      <c r="H38" s="135" t="s">
        <v>22</v>
      </c>
      <c r="U38" s="30">
        <v>13229118</v>
      </c>
      <c r="V38" s="30">
        <f t="shared" si="6"/>
        <v>285172</v>
      </c>
      <c r="W38" s="30">
        <v>118799</v>
      </c>
      <c r="X38" s="30">
        <v>103466</v>
      </c>
      <c r="Y38" s="30">
        <v>62907</v>
      </c>
      <c r="AA38" s="64">
        <f t="shared" si="1"/>
        <v>0.98212422168147762</v>
      </c>
      <c r="AB38" s="64">
        <f t="shared" si="2"/>
        <v>0.96138247698287749</v>
      </c>
      <c r="AC38" s="64">
        <f t="shared" si="3"/>
        <v>0.96710071179301116</v>
      </c>
      <c r="AD38" s="64">
        <f t="shared" si="4"/>
        <v>0.93355808068901569</v>
      </c>
      <c r="AE38" s="64">
        <f t="shared" si="5"/>
        <v>0.99175660909073482</v>
      </c>
      <c r="AI38" s="270"/>
      <c r="AJ38" s="270"/>
      <c r="AK38" s="270"/>
      <c r="AL38" s="270"/>
      <c r="AM38" s="270"/>
      <c r="AN38" s="270"/>
    </row>
    <row r="39" spans="1:40">
      <c r="A39" s="66">
        <v>1994</v>
      </c>
      <c r="B39" s="30">
        <f t="shared" si="7"/>
        <v>13394891.561421288</v>
      </c>
      <c r="C39" s="30">
        <f t="shared" si="8"/>
        <v>300954.23541186267</v>
      </c>
      <c r="D39" s="30">
        <f t="shared" si="9"/>
        <v>64926.994404293597</v>
      </c>
      <c r="E39" s="30">
        <f t="shared" si="10"/>
        <v>127500.08306039004</v>
      </c>
      <c r="F39" s="30">
        <f t="shared" si="11"/>
        <v>108640.47242172465</v>
      </c>
      <c r="G39" s="135" t="s">
        <v>22</v>
      </c>
      <c r="H39" s="135" t="s">
        <v>22</v>
      </c>
      <c r="U39" s="30">
        <v>13469903</v>
      </c>
      <c r="V39" s="30">
        <f t="shared" si="6"/>
        <v>296627</v>
      </c>
      <c r="W39" s="30">
        <v>127254</v>
      </c>
      <c r="X39" s="30">
        <v>104326</v>
      </c>
      <c r="Y39" s="30">
        <v>65047</v>
      </c>
      <c r="AA39" s="64">
        <f t="shared" si="1"/>
        <v>0.98371821433482753</v>
      </c>
      <c r="AB39" s="64">
        <f t="shared" si="2"/>
        <v>0.95631218203741075</v>
      </c>
      <c r="AC39" s="64">
        <f t="shared" si="3"/>
        <v>0.89268118627087711</v>
      </c>
      <c r="AD39" s="64">
        <f t="shared" si="4"/>
        <v>0.98671753239200721</v>
      </c>
      <c r="AE39" s="64">
        <f t="shared" si="5"/>
        <v>0.9629144207339585</v>
      </c>
      <c r="AI39" s="270"/>
      <c r="AJ39" s="270"/>
      <c r="AK39" s="270"/>
      <c r="AL39" s="270"/>
      <c r="AM39" s="270"/>
      <c r="AN39" s="270"/>
    </row>
    <row r="40" spans="1:40">
      <c r="A40" s="66">
        <v>1995</v>
      </c>
      <c r="B40" s="30">
        <f t="shared" si="7"/>
        <v>13616594.026856229</v>
      </c>
      <c r="C40" s="30">
        <f t="shared" si="8"/>
        <v>314702.91926082503</v>
      </c>
      <c r="D40" s="30">
        <f t="shared" si="9"/>
        <v>72732.567239959739</v>
      </c>
      <c r="E40" s="30">
        <f t="shared" si="10"/>
        <v>129216.39565003318</v>
      </c>
      <c r="F40" s="30">
        <f t="shared" si="11"/>
        <v>112824.6395343379</v>
      </c>
      <c r="G40" s="135" t="s">
        <v>22</v>
      </c>
      <c r="H40" s="135" t="s">
        <v>22</v>
      </c>
      <c r="U40" s="30">
        <v>13692847</v>
      </c>
      <c r="V40" s="30">
        <f t="shared" si="6"/>
        <v>310178</v>
      </c>
      <c r="W40" s="30">
        <v>128967</v>
      </c>
      <c r="X40" s="30">
        <v>108344</v>
      </c>
      <c r="Y40" s="30">
        <v>72867</v>
      </c>
      <c r="AA40" s="64">
        <f t="shared" si="1"/>
        <v>0.99108433930277784</v>
      </c>
      <c r="AB40" s="64">
        <f t="shared" si="2"/>
        <v>1.0073821470908235</v>
      </c>
      <c r="AC40" s="64">
        <f t="shared" si="3"/>
        <v>1.0765605377853291</v>
      </c>
      <c r="AD40" s="64">
        <f t="shared" si="4"/>
        <v>0.96300804205464419</v>
      </c>
      <c r="AE40" s="64">
        <f t="shared" si="5"/>
        <v>1.0192381866245215</v>
      </c>
      <c r="AI40" s="270"/>
      <c r="AJ40" s="270"/>
      <c r="AK40" s="270"/>
      <c r="AL40" s="270"/>
      <c r="AM40" s="270"/>
      <c r="AN40" s="270"/>
    </row>
    <row r="41" spans="1:40">
      <c r="A41" s="66">
        <v>1996</v>
      </c>
      <c r="B41" s="30">
        <f>B42*AA41</f>
        <v>13739087.065421117</v>
      </c>
      <c r="C41" s="30">
        <f>C42*AB41</f>
        <v>312396.76042467332</v>
      </c>
      <c r="D41" s="30">
        <f>D42*AC41</f>
        <v>67560.12754246332</v>
      </c>
      <c r="E41" s="30">
        <f>E42*AD41</f>
        <v>134179.97566701632</v>
      </c>
      <c r="F41" s="30">
        <f>F42*AE41</f>
        <v>110695.06717363752</v>
      </c>
      <c r="G41" s="135" t="s">
        <v>22</v>
      </c>
      <c r="H41" s="135" t="s">
        <v>22</v>
      </c>
      <c r="U41" s="30">
        <v>13816026</v>
      </c>
      <c r="V41" s="30">
        <f t="shared" si="6"/>
        <v>307905</v>
      </c>
      <c r="W41" s="30">
        <v>133921</v>
      </c>
      <c r="X41" s="30">
        <v>106299</v>
      </c>
      <c r="Y41" s="30">
        <v>67685</v>
      </c>
      <c r="AA41" s="64">
        <f t="shared" si="1"/>
        <v>0.97942759313707251</v>
      </c>
      <c r="AB41" s="64">
        <f>V41/V42</f>
        <v>0.98611644888547267</v>
      </c>
      <c r="AC41" s="64">
        <f>Y41/Y42</f>
        <v>1.0320037812947884</v>
      </c>
      <c r="AD41" s="64">
        <f>W41/W42</f>
        <v>0.95562976758789486</v>
      </c>
      <c r="AE41" s="64">
        <f>X41/X42</f>
        <v>0.99797211660329532</v>
      </c>
      <c r="AI41" s="270"/>
      <c r="AJ41" s="270"/>
      <c r="AK41" s="270"/>
      <c r="AL41" s="270"/>
      <c r="AM41" s="270"/>
      <c r="AN41" s="270"/>
    </row>
    <row r="42" spans="1:40">
      <c r="A42" s="66">
        <v>1997</v>
      </c>
      <c r="B42" s="56">
        <v>14027670</v>
      </c>
      <c r="C42" s="56">
        <f>D42+E42+F42</f>
        <v>316795</v>
      </c>
      <c r="D42" s="56">
        <v>65465</v>
      </c>
      <c r="E42" s="56">
        <v>140410</v>
      </c>
      <c r="F42" s="56">
        <v>110920</v>
      </c>
      <c r="G42" s="56">
        <v>75860</v>
      </c>
      <c r="H42" s="56">
        <v>35060</v>
      </c>
      <c r="J42" s="56">
        <v>14021547</v>
      </c>
      <c r="K42" s="56">
        <f>L42+M42+N42</f>
        <v>312913</v>
      </c>
      <c r="L42" s="56">
        <v>67042</v>
      </c>
      <c r="M42" s="56">
        <v>132396</v>
      </c>
      <c r="N42" s="56">
        <v>113475</v>
      </c>
      <c r="O42" s="56">
        <v>77096</v>
      </c>
      <c r="P42" s="56">
        <v>36379</v>
      </c>
      <c r="U42" s="30">
        <v>14106225</v>
      </c>
      <c r="V42" s="30">
        <f t="shared" si="6"/>
        <v>312240</v>
      </c>
      <c r="W42" s="30">
        <v>140139</v>
      </c>
      <c r="X42" s="30">
        <v>106515</v>
      </c>
      <c r="Y42" s="30">
        <v>65586</v>
      </c>
      <c r="AA42" s="64">
        <f t="shared" si="1"/>
        <v>0.97688450834497176</v>
      </c>
      <c r="AI42" s="270"/>
      <c r="AJ42" s="270"/>
      <c r="AK42" s="270"/>
      <c r="AL42" s="270"/>
      <c r="AM42" s="270"/>
      <c r="AN42" s="270"/>
    </row>
    <row r="43" spans="1:40">
      <c r="A43" s="66">
        <v>1998</v>
      </c>
      <c r="B43" s="56">
        <v>14345415</v>
      </c>
      <c r="C43" s="56">
        <f t="shared" ref="C43:C56" si="12">D43+E43+F43</f>
        <v>299865</v>
      </c>
      <c r="D43" s="56">
        <v>61035</v>
      </c>
      <c r="E43" s="56">
        <v>135390</v>
      </c>
      <c r="F43" s="56">
        <v>103440</v>
      </c>
      <c r="G43" s="56">
        <v>68020</v>
      </c>
      <c r="H43" s="56">
        <v>35420</v>
      </c>
      <c r="J43" s="56">
        <v>14336001</v>
      </c>
      <c r="K43" s="56">
        <f t="shared" ref="K43:K51" si="13">L43+M43+N43</f>
        <v>297394</v>
      </c>
      <c r="L43" s="56">
        <v>62869</v>
      </c>
      <c r="M43" s="56">
        <v>128202</v>
      </c>
      <c r="N43" s="56">
        <v>106323</v>
      </c>
      <c r="O43" s="56">
        <v>69578</v>
      </c>
      <c r="P43" s="56">
        <v>36745</v>
      </c>
      <c r="U43" s="30">
        <v>14440013</v>
      </c>
      <c r="V43" s="30"/>
      <c r="W43" s="30"/>
      <c r="X43" s="30"/>
      <c r="Y43" s="30"/>
      <c r="AA43" s="64">
        <f t="shared" si="1"/>
        <v>0.97247802127569871</v>
      </c>
      <c r="AI43" s="270"/>
      <c r="AJ43" s="270"/>
      <c r="AK43" s="270"/>
      <c r="AL43" s="270"/>
      <c r="AM43" s="270"/>
      <c r="AN43" s="270"/>
    </row>
    <row r="44" spans="1:40">
      <c r="A44" s="66">
        <v>1999</v>
      </c>
      <c r="B44" s="56">
        <v>14719775</v>
      </c>
      <c r="C44" s="56">
        <f t="shared" si="12"/>
        <v>319100</v>
      </c>
      <c r="D44" s="56">
        <v>65740</v>
      </c>
      <c r="E44" s="56">
        <v>145765</v>
      </c>
      <c r="F44" s="56">
        <v>107595</v>
      </c>
      <c r="G44" s="56">
        <v>71615</v>
      </c>
      <c r="H44" s="56">
        <v>35980</v>
      </c>
      <c r="J44" s="56">
        <v>14716590</v>
      </c>
      <c r="K44" s="56">
        <f t="shared" si="13"/>
        <v>315785</v>
      </c>
      <c r="L44" s="56">
        <v>67323</v>
      </c>
      <c r="M44" s="56">
        <v>138222</v>
      </c>
      <c r="N44" s="56">
        <v>110240</v>
      </c>
      <c r="O44" s="56">
        <v>73299</v>
      </c>
      <c r="P44" s="56">
        <v>36941</v>
      </c>
      <c r="U44" s="30">
        <v>14848678</v>
      </c>
      <c r="V44" s="30"/>
      <c r="W44" s="30"/>
      <c r="X44" s="30"/>
      <c r="Y44" s="30"/>
      <c r="AA44" s="64">
        <f t="shared" si="1"/>
        <v>0.97682450222906858</v>
      </c>
      <c r="AI44" s="270"/>
      <c r="AJ44" s="270"/>
      <c r="AK44" s="270"/>
      <c r="AL44" s="270"/>
      <c r="AM44" s="270"/>
      <c r="AN44" s="270"/>
    </row>
    <row r="45" spans="1:40">
      <c r="A45" s="66">
        <v>2000</v>
      </c>
      <c r="B45" s="56">
        <v>15048150</v>
      </c>
      <c r="C45" s="56">
        <f t="shared" si="12"/>
        <v>318405</v>
      </c>
      <c r="D45" s="56">
        <v>62690</v>
      </c>
      <c r="E45" s="56">
        <v>149290</v>
      </c>
      <c r="F45" s="56">
        <v>106425</v>
      </c>
      <c r="G45" s="56">
        <v>68950</v>
      </c>
      <c r="H45" s="56">
        <v>37475</v>
      </c>
      <c r="J45" s="56">
        <v>15050570</v>
      </c>
      <c r="K45" s="56">
        <f t="shared" si="13"/>
        <v>314156</v>
      </c>
      <c r="L45" s="56">
        <v>63801</v>
      </c>
      <c r="M45" s="56">
        <v>141901</v>
      </c>
      <c r="N45" s="56">
        <v>108454</v>
      </c>
      <c r="O45" s="56">
        <v>70131</v>
      </c>
      <c r="P45" s="56">
        <v>38323</v>
      </c>
      <c r="U45" s="30">
        <v>15200968</v>
      </c>
      <c r="V45" s="30"/>
      <c r="W45" s="30"/>
      <c r="X45" s="30"/>
      <c r="Y45" s="30"/>
      <c r="AA45" s="64">
        <f>U45/U46</f>
        <v>0.99141385918749936</v>
      </c>
      <c r="AI45" s="270"/>
      <c r="AJ45" s="270"/>
      <c r="AK45" s="270"/>
      <c r="AL45" s="270"/>
      <c r="AM45" s="270"/>
      <c r="AN45" s="270"/>
    </row>
    <row r="46" spans="1:40">
      <c r="A46" s="66">
        <v>2001</v>
      </c>
      <c r="B46" s="56">
        <v>15199155</v>
      </c>
      <c r="C46" s="56">
        <f t="shared" si="12"/>
        <v>296885</v>
      </c>
      <c r="D46" s="56">
        <v>60710</v>
      </c>
      <c r="E46" s="56">
        <v>131130</v>
      </c>
      <c r="F46" s="56">
        <v>105045</v>
      </c>
      <c r="G46" s="56">
        <v>65900</v>
      </c>
      <c r="H46" s="56">
        <v>39145</v>
      </c>
      <c r="J46" s="56">
        <v>15204925</v>
      </c>
      <c r="K46" s="56">
        <f t="shared" si="13"/>
        <v>304196</v>
      </c>
      <c r="L46" s="56">
        <v>61291</v>
      </c>
      <c r="M46" s="56">
        <v>135718</v>
      </c>
      <c r="N46" s="56">
        <v>107187</v>
      </c>
      <c r="O46" s="56">
        <v>66474</v>
      </c>
      <c r="P46" s="56">
        <v>40713</v>
      </c>
      <c r="U46" s="30">
        <v>15332616</v>
      </c>
      <c r="V46" s="30"/>
      <c r="W46" s="30"/>
      <c r="X46" s="30"/>
      <c r="Y46" s="30"/>
      <c r="AI46" s="270"/>
      <c r="AJ46" s="270"/>
      <c r="AK46" s="270"/>
      <c r="AL46" s="270"/>
      <c r="AM46" s="270"/>
      <c r="AN46" s="270"/>
    </row>
    <row r="47" spans="1:40">
      <c r="A47" s="66">
        <v>2002</v>
      </c>
      <c r="B47" s="56">
        <v>15568200</v>
      </c>
      <c r="C47" s="56">
        <f t="shared" si="12"/>
        <v>291550</v>
      </c>
      <c r="D47" s="56">
        <v>62860</v>
      </c>
      <c r="E47" s="56">
        <v>129065</v>
      </c>
      <c r="F47" s="56">
        <v>99625</v>
      </c>
      <c r="G47" s="56">
        <v>61065</v>
      </c>
      <c r="H47" s="56">
        <v>38560</v>
      </c>
      <c r="J47" s="56">
        <v>15586394</v>
      </c>
      <c r="K47" s="56">
        <f t="shared" si="13"/>
        <v>304790</v>
      </c>
      <c r="L47" s="56">
        <v>63556</v>
      </c>
      <c r="M47" s="56">
        <v>134983</v>
      </c>
      <c r="N47" s="56">
        <v>106251</v>
      </c>
      <c r="O47" s="56">
        <v>65358</v>
      </c>
      <c r="P47" s="56">
        <v>40893</v>
      </c>
      <c r="AI47" s="270"/>
      <c r="AJ47" s="270"/>
      <c r="AK47" s="270"/>
      <c r="AL47" s="270"/>
      <c r="AM47" s="270"/>
      <c r="AN47" s="270"/>
    </row>
    <row r="48" spans="1:40">
      <c r="A48" s="66">
        <v>2003</v>
      </c>
      <c r="B48" s="56">
        <v>15901975</v>
      </c>
      <c r="C48" s="56">
        <f t="shared" si="12"/>
        <v>291385</v>
      </c>
      <c r="D48" s="56">
        <v>60435</v>
      </c>
      <c r="E48" s="56">
        <v>129190</v>
      </c>
      <c r="F48" s="56">
        <v>101760</v>
      </c>
      <c r="G48" s="56">
        <v>62365</v>
      </c>
      <c r="H48" s="56">
        <v>39395</v>
      </c>
      <c r="J48" s="56">
        <v>15915993</v>
      </c>
      <c r="K48" s="56">
        <f t="shared" si="13"/>
        <v>302088</v>
      </c>
      <c r="L48" s="56">
        <v>61258</v>
      </c>
      <c r="M48" s="56">
        <v>131594</v>
      </c>
      <c r="N48" s="56">
        <v>109236</v>
      </c>
      <c r="O48" s="56">
        <v>66889</v>
      </c>
      <c r="P48" s="56">
        <v>42347</v>
      </c>
      <c r="AI48" s="270"/>
      <c r="AJ48" s="270"/>
      <c r="AK48" s="270"/>
      <c r="AL48" s="270"/>
      <c r="AM48" s="270"/>
      <c r="AN48" s="270"/>
    </row>
    <row r="49" spans="1:40">
      <c r="A49" s="66">
        <v>2004</v>
      </c>
      <c r="B49" s="56">
        <v>16165970</v>
      </c>
      <c r="C49" s="56">
        <f t="shared" si="12"/>
        <v>291425</v>
      </c>
      <c r="D49" s="56">
        <v>59490</v>
      </c>
      <c r="E49" s="56">
        <v>130325</v>
      </c>
      <c r="F49" s="56">
        <v>101610</v>
      </c>
      <c r="G49" s="56">
        <v>62775</v>
      </c>
      <c r="H49" s="56">
        <v>38835</v>
      </c>
      <c r="J49" s="56">
        <v>16193258</v>
      </c>
      <c r="K49" s="56">
        <f t="shared" si="13"/>
        <v>301887</v>
      </c>
      <c r="L49" s="56">
        <v>61827</v>
      </c>
      <c r="M49" s="56">
        <v>130785</v>
      </c>
      <c r="N49" s="56">
        <v>109275</v>
      </c>
      <c r="O49" s="56">
        <v>66983</v>
      </c>
      <c r="P49" s="56">
        <v>42292</v>
      </c>
      <c r="AI49" s="270"/>
      <c r="AJ49" s="270"/>
      <c r="AK49" s="270"/>
      <c r="AL49" s="270"/>
      <c r="AM49" s="270"/>
      <c r="AN49" s="270"/>
    </row>
    <row r="50" spans="1:40">
      <c r="A50" s="66">
        <v>2005</v>
      </c>
      <c r="B50" s="56">
        <v>16405415</v>
      </c>
      <c r="C50" s="56">
        <f t="shared" si="12"/>
        <v>287360</v>
      </c>
      <c r="D50" s="56">
        <v>57715</v>
      </c>
      <c r="E50" s="56">
        <v>127330</v>
      </c>
      <c r="F50" s="56">
        <v>102315</v>
      </c>
      <c r="G50" s="56">
        <v>61700</v>
      </c>
      <c r="H50" s="56">
        <v>40615</v>
      </c>
      <c r="J50" s="56">
        <v>16458607</v>
      </c>
      <c r="K50" s="56">
        <f t="shared" si="13"/>
        <v>298264</v>
      </c>
      <c r="L50" s="56">
        <v>58497</v>
      </c>
      <c r="M50" s="56">
        <v>131460</v>
      </c>
      <c r="N50" s="56">
        <v>108307</v>
      </c>
      <c r="O50" s="56">
        <v>66174</v>
      </c>
      <c r="P50" s="56">
        <v>42133</v>
      </c>
      <c r="AI50" s="270"/>
      <c r="AJ50" s="270"/>
      <c r="AK50" s="270"/>
      <c r="AL50" s="270"/>
      <c r="AM50" s="270"/>
      <c r="AN50" s="270"/>
    </row>
    <row r="51" spans="1:40">
      <c r="A51" s="66">
        <v>2006</v>
      </c>
      <c r="B51" s="56">
        <v>16676750</v>
      </c>
      <c r="C51" s="56">
        <f t="shared" si="12"/>
        <v>266425</v>
      </c>
      <c r="D51" s="56">
        <v>52575</v>
      </c>
      <c r="E51" s="56">
        <v>117825</v>
      </c>
      <c r="F51" s="56">
        <v>96025</v>
      </c>
      <c r="G51" s="56">
        <v>57835</v>
      </c>
      <c r="H51" s="56">
        <v>38190</v>
      </c>
      <c r="J51" s="56">
        <v>16757698</v>
      </c>
      <c r="K51" s="56">
        <f t="shared" si="13"/>
        <v>295978</v>
      </c>
      <c r="L51" s="56">
        <v>57980</v>
      </c>
      <c r="M51" s="56">
        <v>130262</v>
      </c>
      <c r="N51" s="56">
        <v>107736</v>
      </c>
      <c r="O51" s="56">
        <v>65570</v>
      </c>
      <c r="P51" s="56">
        <v>42166</v>
      </c>
      <c r="AI51" s="270"/>
      <c r="AJ51" s="270"/>
      <c r="AK51" s="270"/>
      <c r="AL51" s="270"/>
      <c r="AM51" s="270"/>
      <c r="AN51" s="270"/>
    </row>
    <row r="52" spans="1:40">
      <c r="A52" s="66">
        <v>2007</v>
      </c>
      <c r="B52" s="56">
        <v>17046850</v>
      </c>
      <c r="C52" s="56">
        <f t="shared" si="12"/>
        <v>246210</v>
      </c>
      <c r="D52" s="56">
        <v>48750</v>
      </c>
      <c r="E52" s="56">
        <v>103745</v>
      </c>
      <c r="F52" s="56">
        <v>93715</v>
      </c>
      <c r="G52" s="56">
        <v>57205</v>
      </c>
      <c r="H52" s="56">
        <v>36510</v>
      </c>
      <c r="J52" s="56"/>
      <c r="K52" s="56"/>
      <c r="L52" s="56"/>
      <c r="M52" s="56"/>
      <c r="N52" s="56"/>
      <c r="O52" s="56"/>
      <c r="P52" s="56"/>
      <c r="AI52" s="270"/>
      <c r="AJ52" s="270"/>
      <c r="AK52" s="270"/>
      <c r="AL52" s="270"/>
      <c r="AM52" s="270"/>
      <c r="AN52" s="270"/>
    </row>
    <row r="53" spans="1:40">
      <c r="A53" s="66">
        <v>2008</v>
      </c>
      <c r="B53" s="56">
        <v>17329830</v>
      </c>
      <c r="C53" s="56">
        <f t="shared" si="12"/>
        <v>219705</v>
      </c>
      <c r="D53" s="56">
        <v>39950</v>
      </c>
      <c r="E53" s="56">
        <v>92075</v>
      </c>
      <c r="F53" s="56">
        <v>87680</v>
      </c>
      <c r="G53" s="56">
        <v>53250</v>
      </c>
      <c r="H53" s="56">
        <v>34430</v>
      </c>
      <c r="J53" s="56"/>
      <c r="K53" s="56"/>
      <c r="L53" s="56"/>
      <c r="M53" s="56"/>
      <c r="N53" s="56"/>
      <c r="O53" s="56"/>
      <c r="P53" s="56"/>
      <c r="AI53" s="270"/>
      <c r="AJ53" s="270"/>
      <c r="AK53" s="270"/>
      <c r="AL53" s="270"/>
      <c r="AM53" s="270"/>
      <c r="AN53" s="270"/>
    </row>
    <row r="54" spans="1:40">
      <c r="A54" s="66">
        <v>2009</v>
      </c>
      <c r="B54" s="56">
        <v>17035705</v>
      </c>
      <c r="C54" s="56">
        <f t="shared" si="12"/>
        <v>190310</v>
      </c>
      <c r="D54" s="56">
        <v>34350</v>
      </c>
      <c r="E54" s="56">
        <v>79510</v>
      </c>
      <c r="F54" s="56">
        <v>76450</v>
      </c>
      <c r="G54" s="56">
        <v>44395</v>
      </c>
      <c r="H54" s="56">
        <v>32055</v>
      </c>
      <c r="J54" s="56"/>
      <c r="K54" s="56"/>
      <c r="L54" s="56"/>
      <c r="M54" s="56"/>
      <c r="N54" s="56"/>
      <c r="O54" s="56"/>
      <c r="P54" s="56"/>
      <c r="AI54" s="270"/>
      <c r="AJ54" s="270"/>
      <c r="AK54" s="270"/>
      <c r="AL54" s="270"/>
      <c r="AM54" s="270"/>
      <c r="AN54" s="270"/>
    </row>
    <row r="55" spans="1:40">
      <c r="A55" s="66">
        <v>2010</v>
      </c>
      <c r="B55" s="56">
        <v>17338630</v>
      </c>
      <c r="C55" s="56">
        <f t="shared" si="12"/>
        <v>189975</v>
      </c>
      <c r="D55" s="56">
        <v>36855</v>
      </c>
      <c r="E55" s="56">
        <v>79695</v>
      </c>
      <c r="F55" s="56">
        <v>73425</v>
      </c>
      <c r="G55" s="56">
        <v>41450</v>
      </c>
      <c r="H55" s="56">
        <v>31975</v>
      </c>
      <c r="J55" s="56"/>
      <c r="K55" s="56"/>
      <c r="L55" s="56"/>
      <c r="M55" s="56"/>
      <c r="N55" s="56"/>
      <c r="O55" s="56"/>
      <c r="P55" s="56"/>
      <c r="AI55" s="270"/>
      <c r="AJ55" s="270"/>
      <c r="AK55" s="270"/>
      <c r="AL55" s="270"/>
      <c r="AM55" s="270"/>
      <c r="AN55" s="270"/>
    </row>
    <row r="56" spans="1:40">
      <c r="A56" s="66">
        <v>2011</v>
      </c>
      <c r="B56" s="56">
        <v>17624610</v>
      </c>
      <c r="C56" s="56">
        <f t="shared" si="12"/>
        <v>186820</v>
      </c>
      <c r="D56" s="56">
        <v>36850</v>
      </c>
      <c r="E56" s="56">
        <v>79140</v>
      </c>
      <c r="F56" s="56">
        <v>70830</v>
      </c>
      <c r="G56" s="56">
        <v>39340</v>
      </c>
      <c r="H56" s="56">
        <v>31490</v>
      </c>
      <c r="J56" s="56"/>
      <c r="K56" s="56"/>
      <c r="L56" s="56"/>
      <c r="M56" s="56"/>
      <c r="N56" s="56"/>
      <c r="O56" s="56"/>
      <c r="P56" s="56"/>
      <c r="AI56" s="270"/>
      <c r="AJ56" s="270"/>
      <c r="AK56" s="270"/>
      <c r="AL56" s="270"/>
      <c r="AM56" s="270"/>
      <c r="AN56" s="270"/>
    </row>
    <row r="57" spans="1:40">
      <c r="A57" s="66"/>
      <c r="B57" s="56"/>
      <c r="C57" s="56"/>
      <c r="D57" s="56"/>
      <c r="E57" s="56"/>
      <c r="F57" s="56"/>
      <c r="G57" s="56"/>
      <c r="H57" s="56"/>
    </row>
    <row r="58" spans="1:40">
      <c r="A58" s="66" t="s">
        <v>23</v>
      </c>
      <c r="B58" s="56"/>
      <c r="C58" s="56"/>
      <c r="D58" s="56"/>
      <c r="E58" s="56"/>
      <c r="F58" s="56"/>
      <c r="G58" s="56"/>
      <c r="H58" s="56"/>
      <c r="J58" s="67"/>
      <c r="K58" s="67"/>
      <c r="L58" s="67"/>
      <c r="M58" s="67"/>
      <c r="N58" s="67"/>
      <c r="O58" s="67"/>
      <c r="P58" s="67"/>
      <c r="Q58" s="67"/>
      <c r="W58" s="67"/>
      <c r="X58" s="67"/>
      <c r="Y58" s="67"/>
    </row>
    <row r="59" spans="1:40">
      <c r="A59" s="64" t="s">
        <v>2122</v>
      </c>
      <c r="B59" s="147">
        <f>((B56/B6)^(1/50)-1)*100</f>
        <v>2.0329290228924712</v>
      </c>
      <c r="C59" s="147">
        <f t="shared" ref="C59:F59" si="14">((C56/C6)^(1/50)-1)*100</f>
        <v>-0.77525672983811411</v>
      </c>
      <c r="D59" s="147">
        <f t="shared" si="14"/>
        <v>-1.471418516655576</v>
      </c>
      <c r="E59" s="147">
        <f t="shared" si="14"/>
        <v>-0.30631584355540475</v>
      </c>
      <c r="F59" s="147">
        <f t="shared" si="14"/>
        <v>-0.8105915727304458</v>
      </c>
      <c r="G59" s="147" t="s">
        <v>22</v>
      </c>
      <c r="H59" s="147" t="s">
        <v>22</v>
      </c>
      <c r="I59" s="147" t="e">
        <f t="shared" ref="I59:AE59" si="15">((I52/I6)^(1/46)-1)*100</f>
        <v>#DIV/0!</v>
      </c>
      <c r="J59" s="147" t="e">
        <f t="shared" si="15"/>
        <v>#DIV/0!</v>
      </c>
      <c r="K59" s="147" t="e">
        <f t="shared" si="15"/>
        <v>#DIV/0!</v>
      </c>
      <c r="L59" s="147" t="e">
        <f t="shared" si="15"/>
        <v>#DIV/0!</v>
      </c>
      <c r="M59" s="147" t="e">
        <f t="shared" si="15"/>
        <v>#DIV/0!</v>
      </c>
      <c r="N59" s="147" t="e">
        <f t="shared" si="15"/>
        <v>#DIV/0!</v>
      </c>
      <c r="O59" s="147" t="e">
        <f t="shared" si="15"/>
        <v>#DIV/0!</v>
      </c>
      <c r="P59" s="147" t="e">
        <f t="shared" si="15"/>
        <v>#DIV/0!</v>
      </c>
      <c r="Q59" s="147" t="e">
        <f t="shared" si="15"/>
        <v>#DIV/0!</v>
      </c>
      <c r="R59" s="147" t="e">
        <f t="shared" si="15"/>
        <v>#DIV/0!</v>
      </c>
      <c r="S59" s="147" t="e">
        <f t="shared" si="15"/>
        <v>#DIV/0!</v>
      </c>
      <c r="T59" s="147" t="e">
        <f t="shared" si="15"/>
        <v>#DIV/0!</v>
      </c>
      <c r="U59" s="147">
        <f t="shared" si="15"/>
        <v>-100</v>
      </c>
      <c r="V59" s="147">
        <f t="shared" si="15"/>
        <v>-100</v>
      </c>
      <c r="W59" s="147">
        <f t="shared" si="15"/>
        <v>-100</v>
      </c>
      <c r="X59" s="147">
        <f t="shared" si="15"/>
        <v>-100</v>
      </c>
      <c r="Y59" s="147">
        <f t="shared" si="15"/>
        <v>-100</v>
      </c>
      <c r="Z59" s="147" t="e">
        <f t="shared" si="15"/>
        <v>#DIV/0!</v>
      </c>
      <c r="AA59" s="147">
        <f t="shared" si="15"/>
        <v>-100</v>
      </c>
      <c r="AB59" s="147">
        <f t="shared" si="15"/>
        <v>-100</v>
      </c>
      <c r="AC59" s="147">
        <f t="shared" si="15"/>
        <v>-100</v>
      </c>
      <c r="AD59" s="147">
        <f t="shared" si="15"/>
        <v>-100</v>
      </c>
      <c r="AE59" s="147">
        <f t="shared" si="15"/>
        <v>-100</v>
      </c>
    </row>
    <row r="60" spans="1:40">
      <c r="A60" s="109" t="s">
        <v>1031</v>
      </c>
      <c r="B60" s="147">
        <f>((B18/B6)^(1/12)-1)*100</f>
        <v>2.9912246678553744</v>
      </c>
      <c r="C60" s="147">
        <f>((C18/C6)^(1/12)-1)*100</f>
        <v>1.7958896104210531</v>
      </c>
      <c r="D60" s="147">
        <f>((D18/D6)^(1/12)-1)*100</f>
        <v>0.12117344166027166</v>
      </c>
      <c r="E60" s="147">
        <f>((E18/E6)^(1/12)-1)*100</f>
        <v>2.6503804442010948</v>
      </c>
      <c r="F60" s="147">
        <f>((F18/F6)^(1/12)-1)*100</f>
        <v>2.1435741808280895</v>
      </c>
      <c r="G60" s="135" t="s">
        <v>22</v>
      </c>
      <c r="H60" s="135" t="s">
        <v>22</v>
      </c>
      <c r="J60" s="67"/>
      <c r="K60" s="67"/>
      <c r="L60" s="67"/>
      <c r="M60" s="67"/>
      <c r="N60" s="67"/>
      <c r="O60" s="67"/>
      <c r="P60" s="67"/>
      <c r="Q60" s="67"/>
      <c r="W60" s="67"/>
      <c r="X60" s="67"/>
      <c r="Y60" s="67"/>
    </row>
    <row r="61" spans="1:40">
      <c r="A61" s="109" t="s">
        <v>1032</v>
      </c>
      <c r="B61" s="147">
        <f>((B26/B18)^(1/8)-1)*100</f>
        <v>2.7681221008595935</v>
      </c>
      <c r="C61" s="147">
        <f>((C26/C18)^(1/8)-1)*100</f>
        <v>-0.19723531196297328</v>
      </c>
      <c r="D61" s="147">
        <f>((D26/D18)^(1/8)-1)*100</f>
        <v>-1.1114250821594229</v>
      </c>
      <c r="E61" s="147">
        <f>((E26/E18)^(1/8)-1)*100</f>
        <v>-0.1342194939464636</v>
      </c>
      <c r="F61" s="147">
        <f>((F26/F18)^(1/8)-1)*100</f>
        <v>0.26294955486922955</v>
      </c>
      <c r="G61" s="135" t="s">
        <v>22</v>
      </c>
      <c r="H61" s="135" t="s">
        <v>22</v>
      </c>
      <c r="J61" s="67"/>
      <c r="K61" s="67"/>
      <c r="L61" s="67"/>
      <c r="M61" s="67"/>
      <c r="N61" s="67"/>
      <c r="O61" s="67"/>
      <c r="P61" s="67"/>
      <c r="Q61" s="67"/>
      <c r="W61" s="67"/>
      <c r="X61" s="67"/>
      <c r="Y61" s="67"/>
    </row>
    <row r="62" spans="1:40">
      <c r="A62" s="109" t="s">
        <v>25</v>
      </c>
      <c r="B62" s="147">
        <f>((B34/B26)^(1/8)-1)*100</f>
        <v>1.887036543149434</v>
      </c>
      <c r="C62" s="147">
        <f>((C34/C26)^(1/8)-1)*100</f>
        <v>-0.26296901694564667</v>
      </c>
      <c r="D62" s="147">
        <f>((D34/D26)^(1/8)-1)*100</f>
        <v>-0.59063501757226078</v>
      </c>
      <c r="E62" s="147">
        <f>((E34/E26)^(1/8)-1)*100</f>
        <v>0.73869093363696514</v>
      </c>
      <c r="F62" s="147">
        <f>((F34/F26)^(1/8)-1)*100</f>
        <v>-1.0739586148619695</v>
      </c>
      <c r="G62" s="135" t="s">
        <v>22</v>
      </c>
      <c r="H62" s="135" t="s">
        <v>22</v>
      </c>
      <c r="J62" s="67"/>
      <c r="K62" s="67"/>
      <c r="L62" s="67"/>
      <c r="M62" s="67"/>
      <c r="N62" s="67"/>
      <c r="O62" s="67"/>
      <c r="P62" s="67"/>
      <c r="Q62" s="67"/>
      <c r="W62" s="67"/>
      <c r="X62" s="67"/>
      <c r="Y62" s="67"/>
    </row>
    <row r="63" spans="1:40">
      <c r="A63" s="109" t="s">
        <v>26</v>
      </c>
      <c r="B63" s="147">
        <f>((B45/B34)^(1/11)-1)*100</f>
        <v>1.1570945205961358</v>
      </c>
      <c r="C63" s="147">
        <f>((C45/C34)^(1/11)-1)*100</f>
        <v>-0.29678606224543547</v>
      </c>
      <c r="D63" s="147">
        <f>((D45/D34)^(1/11)-1)*100</f>
        <v>-0.79282780538878495</v>
      </c>
      <c r="E63" s="147">
        <f>((E45/E34)^(1/11)-1)*100</f>
        <v>1.0899153269291251</v>
      </c>
      <c r="F63" s="147">
        <f>((F45/F34)^(1/11)-1)*100</f>
        <v>-1.7028547491707791</v>
      </c>
      <c r="G63" s="135" t="s">
        <v>22</v>
      </c>
      <c r="H63" s="135" t="s">
        <v>22</v>
      </c>
      <c r="J63" s="67"/>
      <c r="K63" s="67"/>
      <c r="L63" s="67"/>
      <c r="M63" s="67"/>
      <c r="N63" s="67"/>
      <c r="O63" s="67"/>
      <c r="P63" s="67"/>
      <c r="Q63" s="67"/>
      <c r="W63" s="67"/>
      <c r="X63" s="67"/>
      <c r="Y63" s="67"/>
    </row>
    <row r="64" spans="1:40">
      <c r="A64" s="64" t="s">
        <v>1780</v>
      </c>
      <c r="B64" s="147">
        <f>((B56/B42)^(1/14)-1)*100</f>
        <v>1.6438246303616122</v>
      </c>
      <c r="C64" s="147">
        <f t="shared" ref="C64:H64" si="16">((C56/C42)^(1/14)-1)*100</f>
        <v>-3.7019476475744328</v>
      </c>
      <c r="D64" s="147">
        <f t="shared" si="16"/>
        <v>-4.0216120132908539</v>
      </c>
      <c r="E64" s="147">
        <f t="shared" si="16"/>
        <v>-4.0126187469490375</v>
      </c>
      <c r="F64" s="147">
        <f t="shared" si="16"/>
        <v>-3.1529845603372908</v>
      </c>
      <c r="G64" s="147">
        <f t="shared" si="16"/>
        <v>-4.5820441518901189</v>
      </c>
      <c r="H64" s="147">
        <f t="shared" si="16"/>
        <v>-0.76414292888030699</v>
      </c>
      <c r="U64" s="67"/>
      <c r="V64" s="67"/>
    </row>
    <row r="65" spans="1:8">
      <c r="A65" s="109" t="s">
        <v>663</v>
      </c>
      <c r="B65" s="147">
        <f>((B45/B42)^(1/3)-1)*100</f>
        <v>2.368386238354292</v>
      </c>
      <c r="C65" s="147">
        <f t="shared" ref="C65:H65" si="17">((C45/C42)^(1/3)-1)*100</f>
        <v>0.16911885747996624</v>
      </c>
      <c r="D65" s="147">
        <f t="shared" si="17"/>
        <v>-1.4334174435371105</v>
      </c>
      <c r="E65" s="147">
        <f t="shared" si="17"/>
        <v>2.0651691295537677</v>
      </c>
      <c r="F65" s="147">
        <f t="shared" si="17"/>
        <v>-1.3694929078980511</v>
      </c>
      <c r="G65" s="147">
        <f t="shared" si="17"/>
        <v>-3.1334547866659568</v>
      </c>
      <c r="H65" s="147">
        <f t="shared" si="17"/>
        <v>2.2452740355251688</v>
      </c>
    </row>
    <row r="66" spans="1:8">
      <c r="A66" s="109" t="s">
        <v>27</v>
      </c>
      <c r="B66" s="147">
        <f>((B51/B45)^(1/6)-1)*100</f>
        <v>1.7274249218546034</v>
      </c>
      <c r="C66" s="147">
        <f t="shared" ref="C66:H66" si="18">((C51/C45)^(1/6)-1)*100</f>
        <v>-2.926836593660409</v>
      </c>
      <c r="D66" s="147">
        <f t="shared" si="18"/>
        <v>-2.8901011142157595</v>
      </c>
      <c r="E66" s="147">
        <f t="shared" si="18"/>
        <v>-3.8680419208014127</v>
      </c>
      <c r="F66" s="147">
        <f t="shared" si="18"/>
        <v>-1.699262492839948</v>
      </c>
      <c r="G66" s="147">
        <f t="shared" si="18"/>
        <v>-2.8872889617261865</v>
      </c>
      <c r="H66" s="147">
        <f t="shared" si="18"/>
        <v>0.31549091579847754</v>
      </c>
    </row>
    <row r="67" spans="1:8">
      <c r="A67" s="64" t="s">
        <v>1782</v>
      </c>
      <c r="B67" s="147">
        <f>((B56/B45)^(1/11)-1)*100</f>
        <v>1.4471085098184622</v>
      </c>
      <c r="C67" s="147">
        <f t="shared" ref="C67:H67" si="19">((C56/C45)^(1/11)-1)*100</f>
        <v>-4.7314822853598777</v>
      </c>
      <c r="D67" s="147">
        <f t="shared" si="19"/>
        <v>-4.71561230953641</v>
      </c>
      <c r="E67" s="147">
        <f t="shared" si="19"/>
        <v>-5.6064537006077835</v>
      </c>
      <c r="F67" s="147">
        <f t="shared" si="19"/>
        <v>-3.6337695227097067</v>
      </c>
      <c r="G67" s="147">
        <f t="shared" si="19"/>
        <v>-4.9733405815400538</v>
      </c>
      <c r="H67" s="147">
        <f t="shared" si="19"/>
        <v>-1.5694090160859875</v>
      </c>
    </row>
    <row r="69" spans="1:8" ht="75" customHeight="1">
      <c r="A69" s="131" t="s">
        <v>1612</v>
      </c>
      <c r="B69" s="131"/>
      <c r="C69" s="131"/>
      <c r="D69" s="131"/>
      <c r="E69" s="131"/>
      <c r="F69" s="131"/>
      <c r="G69" s="131"/>
      <c r="H69" s="131"/>
    </row>
    <row r="70" spans="1:8" ht="61.5" customHeight="1">
      <c r="A70" s="131" t="s">
        <v>1611</v>
      </c>
      <c r="B70" s="131"/>
      <c r="C70" s="131"/>
      <c r="D70" s="131"/>
      <c r="E70" s="131"/>
      <c r="F70" s="131"/>
      <c r="G70" s="131"/>
      <c r="H70" s="131"/>
    </row>
    <row r="73" spans="1:8">
      <c r="B73" s="139"/>
    </row>
  </sheetData>
  <mergeCells count="20">
    <mergeCell ref="A1:H1"/>
    <mergeCell ref="J2:J4"/>
    <mergeCell ref="N3:P3"/>
    <mergeCell ref="M3:M4"/>
    <mergeCell ref="L3:L4"/>
    <mergeCell ref="K2:P2"/>
    <mergeCell ref="K3:K4"/>
    <mergeCell ref="B2:B4"/>
    <mergeCell ref="C2:H2"/>
    <mergeCell ref="C3:C4"/>
    <mergeCell ref="D3:D4"/>
    <mergeCell ref="E3:E4"/>
    <mergeCell ref="F3:H3"/>
    <mergeCell ref="A2:A4"/>
    <mergeCell ref="A70:H70"/>
    <mergeCell ref="AC4:AC5"/>
    <mergeCell ref="AD4:AD5"/>
    <mergeCell ref="AB4:AB5"/>
    <mergeCell ref="AA3:AA5"/>
    <mergeCell ref="A69:H69"/>
  </mergeCells>
  <pageMargins left="0.7" right="0.7" top="0.75" bottom="0.75" header="0.3" footer="0.3"/>
  <pageSetup scale="69" orientation="portrait" horizontalDpi="0" verticalDpi="0" r:id="rId1"/>
</worksheet>
</file>

<file path=xl/worksheets/sheet170.xml><?xml version="1.0" encoding="utf-8"?>
<worksheet xmlns="http://schemas.openxmlformats.org/spreadsheetml/2006/main" xmlns:r="http://schemas.openxmlformats.org/officeDocument/2006/relationships">
  <sheetPr codeName="Sheet164"/>
  <dimension ref="A1:BE50"/>
  <sheetViews>
    <sheetView view="pageBreakPreview" zoomScaleNormal="85" zoomScaleSheetLayoutView="100"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0.85546875" style="64" customWidth="1"/>
    <col min="2" max="2" width="17.5703125" style="64" customWidth="1"/>
    <col min="3" max="8" width="15.28515625" style="64" customWidth="1"/>
    <col min="9" max="9" width="11.140625" style="64" customWidth="1"/>
    <col min="10" max="35" width="19.28515625" style="64" hidden="1" customWidth="1" outlineLevel="1"/>
    <col min="36" max="36" width="19.28515625" style="64" customWidth="1" collapsed="1"/>
    <col min="37" max="46" width="19.28515625" style="64" customWidth="1"/>
    <col min="47" max="16384" width="9.140625" style="64"/>
  </cols>
  <sheetData>
    <row r="1" spans="1:57">
      <c r="A1" s="93" t="s">
        <v>2094</v>
      </c>
      <c r="B1" s="93"/>
      <c r="C1" s="93"/>
      <c r="D1" s="93"/>
      <c r="E1" s="93"/>
      <c r="F1" s="93"/>
      <c r="G1" s="93"/>
      <c r="H1" s="93"/>
    </row>
    <row r="2" spans="1:57" ht="84" customHeight="1">
      <c r="A2" s="66"/>
      <c r="B2" s="73" t="s">
        <v>2144</v>
      </c>
      <c r="C2" s="73" t="s">
        <v>37</v>
      </c>
      <c r="D2" s="73" t="s">
        <v>0</v>
      </c>
      <c r="E2" s="73" t="s">
        <v>1</v>
      </c>
      <c r="F2" s="73" t="s">
        <v>2</v>
      </c>
      <c r="G2" s="73" t="s">
        <v>13</v>
      </c>
      <c r="H2" s="73" t="s">
        <v>19</v>
      </c>
      <c r="J2" s="73" t="s">
        <v>41</v>
      </c>
      <c r="K2" s="73" t="s">
        <v>0</v>
      </c>
      <c r="L2" s="73" t="s">
        <v>67</v>
      </c>
      <c r="M2" s="73" t="s">
        <v>68</v>
      </c>
      <c r="N2" s="73" t="s">
        <v>69</v>
      </c>
      <c r="O2" s="73" t="s">
        <v>70</v>
      </c>
      <c r="P2" s="73" t="s">
        <v>71</v>
      </c>
      <c r="Q2" s="73" t="s">
        <v>72</v>
      </c>
      <c r="R2" s="73" t="s">
        <v>73</v>
      </c>
      <c r="T2" s="8" t="s">
        <v>41</v>
      </c>
      <c r="U2" s="73" t="s">
        <v>0</v>
      </c>
      <c r="V2" s="117" t="s">
        <v>67</v>
      </c>
      <c r="W2" s="117" t="s">
        <v>68</v>
      </c>
      <c r="X2" s="117" t="s">
        <v>69</v>
      </c>
      <c r="Y2" s="117" t="s">
        <v>70</v>
      </c>
      <c r="Z2" s="117" t="s">
        <v>71</v>
      </c>
      <c r="AA2" s="117" t="s">
        <v>72</v>
      </c>
      <c r="AB2" s="117" t="s">
        <v>73</v>
      </c>
      <c r="AD2" s="64" t="s">
        <v>371</v>
      </c>
      <c r="AE2" s="64" t="s">
        <v>372</v>
      </c>
      <c r="AF2" s="64" t="s">
        <v>373</v>
      </c>
      <c r="AG2" s="64" t="s">
        <v>374</v>
      </c>
      <c r="AH2" s="64" t="s">
        <v>375</v>
      </c>
      <c r="AI2" s="64" t="s">
        <v>376</v>
      </c>
    </row>
    <row r="3" spans="1:57" hidden="1" outlineLevel="1">
      <c r="B3" s="135"/>
      <c r="C3" s="135"/>
      <c r="D3" s="135"/>
      <c r="E3" s="135"/>
      <c r="F3" s="135"/>
      <c r="G3" s="135"/>
      <c r="H3" s="135"/>
      <c r="I3" s="135"/>
      <c r="J3" s="135"/>
      <c r="K3" s="135"/>
      <c r="L3" s="135"/>
      <c r="M3" s="135"/>
      <c r="N3" s="135"/>
      <c r="O3" s="135"/>
      <c r="P3" s="135"/>
      <c r="Q3" s="135"/>
      <c r="R3" s="135"/>
      <c r="AD3" s="64" t="s">
        <v>377</v>
      </c>
      <c r="AE3" s="64" t="s">
        <v>378</v>
      </c>
      <c r="AF3" s="64" t="s">
        <v>379</v>
      </c>
      <c r="AG3" s="64" t="s">
        <v>380</v>
      </c>
      <c r="AH3" s="64" t="s">
        <v>381</v>
      </c>
      <c r="AI3" s="64" t="s">
        <v>382</v>
      </c>
    </row>
    <row r="4" spans="1:57" hidden="1" outlineLevel="1" collapsed="1">
      <c r="A4" s="64">
        <v>1984</v>
      </c>
      <c r="B4" s="57"/>
      <c r="C4" s="57"/>
      <c r="D4" s="57"/>
      <c r="E4" s="57"/>
      <c r="F4" s="57"/>
      <c r="G4" s="57"/>
      <c r="H4" s="57"/>
      <c r="AC4" s="144"/>
      <c r="AK4" s="143"/>
      <c r="AL4" s="143"/>
      <c r="AM4" s="143"/>
      <c r="AN4" s="143"/>
      <c r="AO4" s="143"/>
      <c r="AP4" s="143"/>
      <c r="AQ4" s="143"/>
      <c r="AR4" s="143"/>
      <c r="AS4" s="143"/>
      <c r="AT4" s="143"/>
      <c r="AU4" s="143"/>
      <c r="AV4" s="143"/>
      <c r="AW4" s="143"/>
      <c r="AX4" s="143"/>
      <c r="AY4" s="143"/>
      <c r="AZ4" s="143"/>
      <c r="BA4" s="143"/>
      <c r="BB4" s="143"/>
      <c r="BC4" s="143"/>
      <c r="BD4" s="143"/>
      <c r="BE4" s="143"/>
    </row>
    <row r="5" spans="1:57" hidden="1" outlineLevel="1">
      <c r="A5" s="64">
        <v>1985</v>
      </c>
      <c r="B5" s="57"/>
      <c r="C5" s="57"/>
      <c r="D5" s="57"/>
      <c r="E5" s="57"/>
      <c r="F5" s="57"/>
      <c r="G5" s="57"/>
      <c r="H5" s="57"/>
      <c r="AC5" s="144"/>
    </row>
    <row r="6" spans="1:57" hidden="1" outlineLevel="1">
      <c r="A6" s="64">
        <v>1986</v>
      </c>
      <c r="B6" s="57"/>
      <c r="C6" s="57"/>
      <c r="D6" s="57"/>
      <c r="E6" s="57"/>
      <c r="F6" s="57"/>
      <c r="G6" s="57"/>
      <c r="H6" s="57"/>
      <c r="AC6" s="144"/>
    </row>
    <row r="7" spans="1:57" hidden="1" outlineLevel="1">
      <c r="A7" s="64">
        <v>1987</v>
      </c>
      <c r="B7" s="57"/>
      <c r="C7" s="57"/>
      <c r="D7" s="57"/>
      <c r="E7" s="57"/>
      <c r="F7" s="57"/>
      <c r="G7" s="57"/>
      <c r="H7" s="57"/>
      <c r="J7" s="32">
        <f t="shared" ref="J7:K26" si="0">T7*52</f>
        <v>343387.2</v>
      </c>
      <c r="K7" s="32">
        <f t="shared" si="0"/>
        <v>2782</v>
      </c>
      <c r="L7" s="32">
        <f t="shared" ref="L7:L26" si="1">V7*52</f>
        <v>1008.8</v>
      </c>
      <c r="M7" s="32">
        <f t="shared" ref="M7:M26" si="2">W7*52</f>
        <v>0</v>
      </c>
      <c r="N7" s="32">
        <f t="shared" ref="N7:N26" si="3">X7*52</f>
        <v>0</v>
      </c>
      <c r="O7" s="32">
        <f t="shared" ref="O7:O26" si="4">Y7*52</f>
        <v>0</v>
      </c>
      <c r="P7" s="32">
        <f t="shared" ref="P7:P26" si="5">Z7*52</f>
        <v>4862</v>
      </c>
      <c r="Q7" s="32">
        <f t="shared" ref="Q7:R26" si="6">AA7*52</f>
        <v>4825.5999999999995</v>
      </c>
      <c r="R7" s="32">
        <f t="shared" si="6"/>
        <v>0</v>
      </c>
      <c r="S7" s="32"/>
      <c r="T7" s="32">
        <v>6603.6</v>
      </c>
      <c r="U7" s="64">
        <v>53.5</v>
      </c>
      <c r="V7" s="64">
        <v>19.399999999999999</v>
      </c>
      <c r="W7" s="64">
        <v>0</v>
      </c>
      <c r="X7" s="64">
        <v>0</v>
      </c>
      <c r="Y7" s="64">
        <v>0</v>
      </c>
      <c r="Z7" s="64">
        <v>93.5</v>
      </c>
      <c r="AA7" s="64">
        <v>92.8</v>
      </c>
      <c r="AB7" s="64">
        <v>0</v>
      </c>
      <c r="AC7" s="144"/>
    </row>
    <row r="8" spans="1:57" hidden="1" outlineLevel="1">
      <c r="A8" s="64">
        <v>1988</v>
      </c>
      <c r="B8" s="57"/>
      <c r="C8" s="57"/>
      <c r="D8" s="57"/>
      <c r="E8" s="57"/>
      <c r="F8" s="57"/>
      <c r="G8" s="57"/>
      <c r="H8" s="57"/>
      <c r="J8" s="32">
        <f t="shared" si="0"/>
        <v>367645.2</v>
      </c>
      <c r="K8" s="32">
        <f t="shared" si="0"/>
        <v>2797.6</v>
      </c>
      <c r="L8" s="32">
        <f t="shared" si="1"/>
        <v>1435.2</v>
      </c>
      <c r="M8" s="32">
        <f t="shared" si="2"/>
        <v>1383.2</v>
      </c>
      <c r="N8" s="32">
        <f t="shared" si="3"/>
        <v>0</v>
      </c>
      <c r="O8" s="32">
        <f t="shared" si="4"/>
        <v>0</v>
      </c>
      <c r="P8" s="32">
        <f t="shared" si="5"/>
        <v>5896.8</v>
      </c>
      <c r="Q8" s="32">
        <f t="shared" si="6"/>
        <v>5564</v>
      </c>
      <c r="R8" s="32">
        <f t="shared" si="6"/>
        <v>0</v>
      </c>
      <c r="S8" s="32"/>
      <c r="T8" s="32">
        <v>7070.1</v>
      </c>
      <c r="U8" s="64">
        <v>53.8</v>
      </c>
      <c r="V8" s="64">
        <v>27.6</v>
      </c>
      <c r="W8" s="64">
        <v>26.6</v>
      </c>
      <c r="X8" s="64">
        <v>0</v>
      </c>
      <c r="Y8" s="64">
        <v>0</v>
      </c>
      <c r="Z8" s="64">
        <v>113.4</v>
      </c>
      <c r="AA8" s="64">
        <v>107</v>
      </c>
      <c r="AB8" s="64">
        <v>0</v>
      </c>
      <c r="AC8" s="32"/>
    </row>
    <row r="9" spans="1:57" hidden="1" outlineLevel="1">
      <c r="A9" s="64">
        <v>1989</v>
      </c>
      <c r="B9" s="57"/>
      <c r="C9" s="57"/>
      <c r="D9" s="57"/>
      <c r="E9" s="57"/>
      <c r="F9" s="57"/>
      <c r="G9" s="57"/>
      <c r="H9" s="57"/>
      <c r="J9" s="32">
        <f t="shared" si="0"/>
        <v>375200.8</v>
      </c>
      <c r="K9" s="32">
        <f t="shared" si="0"/>
        <v>3036.7999999999997</v>
      </c>
      <c r="L9" s="32">
        <f t="shared" si="1"/>
        <v>1887.6</v>
      </c>
      <c r="M9" s="32">
        <f t="shared" si="2"/>
        <v>1305.2</v>
      </c>
      <c r="N9" s="32">
        <f t="shared" si="3"/>
        <v>0</v>
      </c>
      <c r="O9" s="32">
        <f t="shared" si="4"/>
        <v>0</v>
      </c>
      <c r="P9" s="32">
        <f t="shared" si="5"/>
        <v>6224.4000000000005</v>
      </c>
      <c r="Q9" s="32">
        <f t="shared" si="6"/>
        <v>5922.8</v>
      </c>
      <c r="R9" s="32">
        <f t="shared" si="6"/>
        <v>0</v>
      </c>
      <c r="S9" s="32"/>
      <c r="T9" s="32">
        <v>7215.4</v>
      </c>
      <c r="U9" s="64">
        <v>58.4</v>
      </c>
      <c r="V9" s="64">
        <v>36.299999999999997</v>
      </c>
      <c r="W9" s="64">
        <v>25.1</v>
      </c>
      <c r="X9" s="64">
        <v>0</v>
      </c>
      <c r="Y9" s="64">
        <v>0</v>
      </c>
      <c r="Z9" s="64">
        <v>119.7</v>
      </c>
      <c r="AA9" s="64">
        <v>113.9</v>
      </c>
      <c r="AB9" s="64">
        <v>0</v>
      </c>
      <c r="AC9" s="32"/>
    </row>
    <row r="10" spans="1:57" hidden="1" outlineLevel="1">
      <c r="A10" s="64">
        <v>1990</v>
      </c>
      <c r="B10" s="57"/>
      <c r="C10" s="57"/>
      <c r="D10" s="57"/>
      <c r="E10" s="57"/>
      <c r="F10" s="57"/>
      <c r="G10" s="57"/>
      <c r="H10" s="57"/>
      <c r="J10" s="32">
        <f t="shared" si="0"/>
        <v>376552.8</v>
      </c>
      <c r="K10" s="32">
        <f t="shared" si="0"/>
        <v>3104.4</v>
      </c>
      <c r="L10" s="32">
        <f t="shared" si="1"/>
        <v>1144</v>
      </c>
      <c r="M10" s="32">
        <f t="shared" si="2"/>
        <v>0</v>
      </c>
      <c r="N10" s="32">
        <f t="shared" si="3"/>
        <v>0</v>
      </c>
      <c r="O10" s="32">
        <f t="shared" si="4"/>
        <v>0</v>
      </c>
      <c r="P10" s="32">
        <f t="shared" si="5"/>
        <v>6359.5999999999995</v>
      </c>
      <c r="Q10" s="32">
        <f t="shared" si="6"/>
        <v>6245.2</v>
      </c>
      <c r="R10" s="32">
        <f t="shared" si="6"/>
        <v>0</v>
      </c>
      <c r="S10" s="32"/>
      <c r="T10" s="32">
        <v>7241.4</v>
      </c>
      <c r="U10" s="64">
        <v>59.7</v>
      </c>
      <c r="V10" s="64">
        <v>22</v>
      </c>
      <c r="W10" s="64">
        <v>0</v>
      </c>
      <c r="X10" s="64">
        <v>0</v>
      </c>
      <c r="Y10" s="64">
        <v>0</v>
      </c>
      <c r="Z10" s="64">
        <v>122.3</v>
      </c>
      <c r="AA10" s="64">
        <v>120.1</v>
      </c>
      <c r="AB10" s="64">
        <v>0</v>
      </c>
      <c r="AC10" s="32"/>
    </row>
    <row r="11" spans="1:57" hidden="1" outlineLevel="1">
      <c r="A11" s="64">
        <v>1991</v>
      </c>
      <c r="B11" s="57"/>
      <c r="C11" s="57"/>
      <c r="D11" s="57"/>
      <c r="E11" s="57"/>
      <c r="F11" s="57"/>
      <c r="G11" s="57"/>
      <c r="H11" s="57"/>
      <c r="J11" s="32">
        <f t="shared" si="0"/>
        <v>364743.60000000003</v>
      </c>
      <c r="K11" s="32">
        <f t="shared" si="0"/>
        <v>2199.6</v>
      </c>
      <c r="L11" s="32">
        <f t="shared" si="1"/>
        <v>1118</v>
      </c>
      <c r="M11" s="32">
        <f t="shared" si="2"/>
        <v>0</v>
      </c>
      <c r="N11" s="32">
        <f t="shared" si="3"/>
        <v>0</v>
      </c>
      <c r="O11" s="32">
        <f t="shared" si="4"/>
        <v>0</v>
      </c>
      <c r="P11" s="32">
        <f t="shared" si="5"/>
        <v>5839.5999999999995</v>
      </c>
      <c r="Q11" s="32">
        <f t="shared" si="6"/>
        <v>5631.5999999999995</v>
      </c>
      <c r="R11" s="32">
        <f t="shared" si="6"/>
        <v>0</v>
      </c>
      <c r="S11" s="32"/>
      <c r="T11" s="32">
        <v>7014.3</v>
      </c>
      <c r="U11" s="64">
        <v>42.3</v>
      </c>
      <c r="V11" s="64">
        <v>21.5</v>
      </c>
      <c r="W11" s="64">
        <v>0</v>
      </c>
      <c r="X11" s="64">
        <v>0</v>
      </c>
      <c r="Y11" s="64">
        <v>0</v>
      </c>
      <c r="Z11" s="64">
        <v>112.3</v>
      </c>
      <c r="AA11" s="64">
        <v>108.3</v>
      </c>
      <c r="AB11" s="64">
        <v>0</v>
      </c>
      <c r="AC11" s="32"/>
    </row>
    <row r="12" spans="1:57" hidden="1" outlineLevel="1">
      <c r="A12" s="64">
        <v>1992</v>
      </c>
      <c r="B12" s="57"/>
      <c r="C12" s="57"/>
      <c r="D12" s="57"/>
      <c r="E12" s="57"/>
      <c r="F12" s="57"/>
      <c r="G12" s="57"/>
      <c r="H12" s="57"/>
      <c r="J12" s="32">
        <f t="shared" si="0"/>
        <v>337942.8</v>
      </c>
      <c r="K12" s="32">
        <f t="shared" si="0"/>
        <v>2589.6</v>
      </c>
      <c r="L12" s="32">
        <f t="shared" si="1"/>
        <v>1315.6000000000001</v>
      </c>
      <c r="M12" s="32">
        <f t="shared" si="2"/>
        <v>0</v>
      </c>
      <c r="N12" s="32">
        <f t="shared" si="3"/>
        <v>0</v>
      </c>
      <c r="O12" s="32">
        <f t="shared" si="4"/>
        <v>0</v>
      </c>
      <c r="P12" s="32">
        <f t="shared" si="5"/>
        <v>5189.5999999999995</v>
      </c>
      <c r="Q12" s="32">
        <f t="shared" si="6"/>
        <v>5116.8</v>
      </c>
      <c r="R12" s="32">
        <f t="shared" si="6"/>
        <v>0</v>
      </c>
      <c r="S12" s="32"/>
      <c r="T12" s="32">
        <v>6498.9</v>
      </c>
      <c r="U12" s="64">
        <v>49.8</v>
      </c>
      <c r="V12" s="144">
        <v>25.3</v>
      </c>
      <c r="W12" s="144">
        <v>0</v>
      </c>
      <c r="X12" s="144">
        <v>0</v>
      </c>
      <c r="Y12" s="144">
        <v>0</v>
      </c>
      <c r="Z12" s="144">
        <v>99.8</v>
      </c>
      <c r="AA12" s="144">
        <v>98.4</v>
      </c>
      <c r="AB12" s="144">
        <v>0</v>
      </c>
      <c r="AC12" s="32"/>
    </row>
    <row r="13" spans="1:57" hidden="1" outlineLevel="1">
      <c r="A13" s="64">
        <v>1993</v>
      </c>
      <c r="B13" s="57"/>
      <c r="C13" s="57"/>
      <c r="D13" s="57"/>
      <c r="E13" s="57"/>
      <c r="F13" s="57"/>
      <c r="G13" s="57"/>
      <c r="H13" s="57"/>
      <c r="J13" s="32">
        <f t="shared" si="0"/>
        <v>334209.2</v>
      </c>
      <c r="K13" s="32">
        <f t="shared" si="0"/>
        <v>1684.8</v>
      </c>
      <c r="L13" s="32">
        <f t="shared" si="1"/>
        <v>873.6</v>
      </c>
      <c r="M13" s="32">
        <f t="shared" si="2"/>
        <v>0</v>
      </c>
      <c r="N13" s="32">
        <f t="shared" si="3"/>
        <v>0</v>
      </c>
      <c r="O13" s="32">
        <f t="shared" si="4"/>
        <v>0</v>
      </c>
      <c r="P13" s="32">
        <f t="shared" si="5"/>
        <v>5584.8</v>
      </c>
      <c r="Q13" s="32">
        <f t="shared" si="6"/>
        <v>5558.8</v>
      </c>
      <c r="R13" s="32">
        <f t="shared" si="6"/>
        <v>0</v>
      </c>
      <c r="S13" s="32"/>
      <c r="T13" s="32">
        <v>6427.1</v>
      </c>
      <c r="U13" s="64">
        <v>32.4</v>
      </c>
      <c r="V13" s="144">
        <v>16.8</v>
      </c>
      <c r="W13" s="144">
        <v>0</v>
      </c>
      <c r="X13" s="144">
        <v>0</v>
      </c>
      <c r="Y13" s="144">
        <v>0</v>
      </c>
      <c r="Z13" s="144">
        <v>107.4</v>
      </c>
      <c r="AA13" s="144">
        <v>106.9</v>
      </c>
      <c r="AB13" s="144">
        <v>0</v>
      </c>
      <c r="AC13" s="32"/>
    </row>
    <row r="14" spans="1:57" hidden="1" outlineLevel="1">
      <c r="A14" s="64">
        <v>1994</v>
      </c>
      <c r="B14" s="56"/>
      <c r="C14" s="56"/>
      <c r="D14" s="56"/>
      <c r="E14" s="56"/>
      <c r="F14" s="56"/>
      <c r="G14" s="56"/>
      <c r="H14" s="56"/>
      <c r="I14" s="32"/>
      <c r="J14" s="32">
        <f t="shared" si="0"/>
        <v>335925.2</v>
      </c>
      <c r="K14" s="32">
        <f t="shared" si="0"/>
        <v>2277.6</v>
      </c>
      <c r="L14" s="32">
        <f t="shared" si="1"/>
        <v>977.6</v>
      </c>
      <c r="M14" s="32">
        <f t="shared" si="2"/>
        <v>0</v>
      </c>
      <c r="N14" s="32">
        <f t="shared" si="3"/>
        <v>0</v>
      </c>
      <c r="O14" s="32">
        <f t="shared" si="4"/>
        <v>0</v>
      </c>
      <c r="P14" s="32">
        <f t="shared" si="5"/>
        <v>5829.2</v>
      </c>
      <c r="Q14" s="32">
        <f t="shared" si="6"/>
        <v>5699.2</v>
      </c>
      <c r="R14" s="32">
        <f t="shared" si="6"/>
        <v>0</v>
      </c>
      <c r="S14" s="32"/>
      <c r="T14" s="32">
        <v>6460.1</v>
      </c>
      <c r="U14" s="32">
        <v>43.8</v>
      </c>
      <c r="V14" s="144">
        <v>18.8</v>
      </c>
      <c r="W14" s="144">
        <v>0</v>
      </c>
      <c r="X14" s="144">
        <v>0</v>
      </c>
      <c r="Y14" s="144">
        <v>0</v>
      </c>
      <c r="Z14" s="144">
        <v>112.1</v>
      </c>
      <c r="AA14" s="144">
        <v>109.6</v>
      </c>
      <c r="AB14" s="144">
        <v>0</v>
      </c>
      <c r="AC14" s="144"/>
    </row>
    <row r="15" spans="1:57" hidden="1" outlineLevel="1">
      <c r="A15" s="64">
        <v>1995</v>
      </c>
      <c r="B15" s="56"/>
      <c r="C15" s="56"/>
      <c r="D15" s="56"/>
      <c r="E15" s="56"/>
      <c r="F15" s="56"/>
      <c r="G15" s="56"/>
      <c r="H15" s="56"/>
      <c r="I15" s="32"/>
      <c r="J15" s="32">
        <f t="shared" si="0"/>
        <v>339591.2</v>
      </c>
      <c r="K15" s="32">
        <f t="shared" si="0"/>
        <v>3130.4</v>
      </c>
      <c r="L15" s="32">
        <f t="shared" si="1"/>
        <v>1170</v>
      </c>
      <c r="M15" s="32">
        <f t="shared" si="2"/>
        <v>0</v>
      </c>
      <c r="N15" s="32">
        <f t="shared" si="3"/>
        <v>0</v>
      </c>
      <c r="O15" s="32">
        <f t="shared" si="4"/>
        <v>0</v>
      </c>
      <c r="P15" s="32">
        <f t="shared" si="5"/>
        <v>3941.6</v>
      </c>
      <c r="Q15" s="32">
        <f t="shared" si="6"/>
        <v>3863.6</v>
      </c>
      <c r="R15" s="32">
        <f t="shared" si="6"/>
        <v>0</v>
      </c>
      <c r="S15" s="32"/>
      <c r="T15" s="32">
        <v>6530.6</v>
      </c>
      <c r="U15" s="32">
        <v>60.2</v>
      </c>
      <c r="V15" s="144">
        <v>22.5</v>
      </c>
      <c r="W15" s="144">
        <v>0</v>
      </c>
      <c r="X15" s="144">
        <v>0</v>
      </c>
      <c r="Y15" s="144">
        <v>0</v>
      </c>
      <c r="Z15" s="144">
        <v>75.8</v>
      </c>
      <c r="AA15" s="144">
        <v>74.3</v>
      </c>
      <c r="AB15" s="144">
        <v>0</v>
      </c>
      <c r="AC15" s="144"/>
    </row>
    <row r="16" spans="1:57" hidden="1" outlineLevel="1">
      <c r="A16" s="64">
        <v>1996</v>
      </c>
      <c r="B16" s="56"/>
      <c r="C16" s="56"/>
      <c r="D16" s="56"/>
      <c r="E16" s="56"/>
      <c r="F16" s="56"/>
      <c r="G16" s="56"/>
      <c r="H16" s="56"/>
      <c r="I16" s="32"/>
      <c r="J16" s="32">
        <f t="shared" si="0"/>
        <v>332774</v>
      </c>
      <c r="K16" s="32">
        <f t="shared" si="0"/>
        <v>1570.3999999999999</v>
      </c>
      <c r="L16" s="32">
        <f t="shared" si="1"/>
        <v>1414.3999999999999</v>
      </c>
      <c r="M16" s="32">
        <f t="shared" si="2"/>
        <v>1118</v>
      </c>
      <c r="N16" s="32">
        <f t="shared" si="3"/>
        <v>0</v>
      </c>
      <c r="O16" s="32">
        <f t="shared" si="4"/>
        <v>0</v>
      </c>
      <c r="P16" s="32">
        <f t="shared" si="5"/>
        <v>5449.5999999999995</v>
      </c>
      <c r="Q16" s="32">
        <f t="shared" si="6"/>
        <v>4986.8</v>
      </c>
      <c r="R16" s="32">
        <f t="shared" si="6"/>
        <v>0</v>
      </c>
      <c r="S16" s="32"/>
      <c r="T16" s="32">
        <v>6399.5</v>
      </c>
      <c r="U16" s="32">
        <v>30.2</v>
      </c>
      <c r="V16" s="144">
        <v>27.2</v>
      </c>
      <c r="W16" s="144">
        <v>21.5</v>
      </c>
      <c r="X16" s="144">
        <v>0</v>
      </c>
      <c r="Y16" s="144">
        <v>0</v>
      </c>
      <c r="Z16" s="32">
        <v>104.8</v>
      </c>
      <c r="AA16" s="32">
        <v>95.9</v>
      </c>
      <c r="AB16" s="32">
        <v>0</v>
      </c>
      <c r="AC16" s="32"/>
    </row>
    <row r="17" spans="1:35" collapsed="1">
      <c r="A17" s="66">
        <v>1997</v>
      </c>
      <c r="B17" s="56">
        <v>338603</v>
      </c>
      <c r="C17" s="56" t="str">
        <f t="shared" ref="C17:C27" si="7">IFERROR(D17+E17+F17,"x")</f>
        <v>x</v>
      </c>
      <c r="D17" s="56">
        <v>2944</v>
      </c>
      <c r="E17" s="56" t="s">
        <v>188</v>
      </c>
      <c r="F17" s="56" t="s">
        <v>188</v>
      </c>
      <c r="G17" s="56" t="s">
        <v>188</v>
      </c>
      <c r="H17" s="57">
        <v>171</v>
      </c>
      <c r="I17" s="32"/>
      <c r="J17" s="32">
        <f t="shared" si="0"/>
        <v>337183.60000000003</v>
      </c>
      <c r="K17" s="32">
        <f t="shared" si="0"/>
        <v>2548</v>
      </c>
      <c r="L17" s="32">
        <f t="shared" si="1"/>
        <v>1320.8</v>
      </c>
      <c r="M17" s="32">
        <f t="shared" si="2"/>
        <v>967.2</v>
      </c>
      <c r="N17" s="32">
        <f t="shared" si="3"/>
        <v>0</v>
      </c>
      <c r="O17" s="32">
        <f t="shared" si="4"/>
        <v>0</v>
      </c>
      <c r="P17" s="32">
        <f t="shared" si="5"/>
        <v>4399.2</v>
      </c>
      <c r="Q17" s="32">
        <f t="shared" si="6"/>
        <v>4253.5999999999995</v>
      </c>
      <c r="R17" s="32">
        <f t="shared" si="6"/>
        <v>0</v>
      </c>
      <c r="S17" s="32"/>
      <c r="T17" s="32">
        <v>6484.3</v>
      </c>
      <c r="U17" s="32">
        <v>49</v>
      </c>
      <c r="V17" s="144">
        <v>25.4</v>
      </c>
      <c r="W17" s="144">
        <v>18.600000000000001</v>
      </c>
      <c r="X17" s="144">
        <v>0</v>
      </c>
      <c r="Y17" s="144">
        <v>0</v>
      </c>
      <c r="Z17" s="32">
        <v>84.6</v>
      </c>
      <c r="AA17" s="32">
        <v>81.8</v>
      </c>
      <c r="AB17" s="32">
        <v>0</v>
      </c>
      <c r="AC17" s="32"/>
      <c r="AD17" s="64">
        <v>331472000</v>
      </c>
      <c r="AE17" s="64">
        <v>3075000</v>
      </c>
      <c r="AF17" s="64" t="s">
        <v>188</v>
      </c>
      <c r="AG17" s="64" t="s">
        <v>188</v>
      </c>
      <c r="AH17" s="64" t="s">
        <v>188</v>
      </c>
      <c r="AI17" s="64">
        <v>166000</v>
      </c>
    </row>
    <row r="18" spans="1:35">
      <c r="A18" s="66">
        <v>1998</v>
      </c>
      <c r="B18" s="56">
        <v>347642</v>
      </c>
      <c r="C18" s="56" t="str">
        <f t="shared" si="7"/>
        <v>x</v>
      </c>
      <c r="D18" s="56">
        <v>2991</v>
      </c>
      <c r="E18" s="56">
        <v>1109</v>
      </c>
      <c r="F18" s="56" t="s">
        <v>188</v>
      </c>
      <c r="G18" s="56" t="s">
        <v>188</v>
      </c>
      <c r="H18" s="56" t="s">
        <v>188</v>
      </c>
      <c r="I18" s="32"/>
      <c r="J18" s="32">
        <f t="shared" si="0"/>
        <v>343002.39999999997</v>
      </c>
      <c r="K18" s="32">
        <f t="shared" si="0"/>
        <v>2636.4</v>
      </c>
      <c r="L18" s="32">
        <f t="shared" si="1"/>
        <v>1513.2</v>
      </c>
      <c r="M18" s="32">
        <f t="shared" si="2"/>
        <v>1185.6000000000001</v>
      </c>
      <c r="N18" s="32">
        <f t="shared" si="3"/>
        <v>0</v>
      </c>
      <c r="O18" s="32">
        <f t="shared" si="4"/>
        <v>0</v>
      </c>
      <c r="P18" s="32">
        <f t="shared" si="5"/>
        <v>2730</v>
      </c>
      <c r="Q18" s="32">
        <f t="shared" si="6"/>
        <v>2730</v>
      </c>
      <c r="R18" s="32">
        <f t="shared" si="6"/>
        <v>0</v>
      </c>
      <c r="S18" s="32"/>
      <c r="T18" s="32">
        <v>6596.2</v>
      </c>
      <c r="U18" s="32">
        <v>50.7</v>
      </c>
      <c r="V18" s="144">
        <v>29.1</v>
      </c>
      <c r="W18" s="144">
        <v>22.8</v>
      </c>
      <c r="X18" s="144">
        <v>0</v>
      </c>
      <c r="Y18" s="144">
        <v>0</v>
      </c>
      <c r="Z18" s="32">
        <v>52.5</v>
      </c>
      <c r="AA18" s="32">
        <v>52.5</v>
      </c>
      <c r="AB18" s="32">
        <v>0</v>
      </c>
      <c r="AC18" s="144"/>
      <c r="AD18" s="64">
        <v>339958000</v>
      </c>
      <c r="AE18" s="64">
        <v>3191000</v>
      </c>
      <c r="AF18" s="64">
        <v>1079000</v>
      </c>
      <c r="AG18" s="64" t="s">
        <v>188</v>
      </c>
      <c r="AH18" s="64" t="s">
        <v>188</v>
      </c>
      <c r="AI18" s="64" t="s">
        <v>188</v>
      </c>
    </row>
    <row r="19" spans="1:35">
      <c r="A19" s="66">
        <v>1999</v>
      </c>
      <c r="B19" s="56">
        <v>365763</v>
      </c>
      <c r="C19" s="56" t="str">
        <f t="shared" si="7"/>
        <v>x</v>
      </c>
      <c r="D19" s="56">
        <v>2580</v>
      </c>
      <c r="E19" s="56">
        <v>1432</v>
      </c>
      <c r="F19" s="56" t="s">
        <v>188</v>
      </c>
      <c r="G19" s="56" t="s">
        <v>188</v>
      </c>
      <c r="H19" s="56" t="s">
        <v>188</v>
      </c>
      <c r="I19" s="32"/>
      <c r="J19" s="32">
        <f t="shared" si="0"/>
        <v>369288.39999999997</v>
      </c>
      <c r="K19" s="32">
        <f t="shared" si="0"/>
        <v>2657.2000000000003</v>
      </c>
      <c r="L19" s="32">
        <f t="shared" si="1"/>
        <v>1929.2</v>
      </c>
      <c r="M19" s="32">
        <f t="shared" si="2"/>
        <v>1164.8</v>
      </c>
      <c r="N19" s="32">
        <f t="shared" si="3"/>
        <v>0</v>
      </c>
      <c r="O19" s="32">
        <f t="shared" si="4"/>
        <v>0</v>
      </c>
      <c r="P19" s="32">
        <f t="shared" si="5"/>
        <v>4612.4000000000005</v>
      </c>
      <c r="Q19" s="32">
        <f t="shared" si="6"/>
        <v>4456.4000000000005</v>
      </c>
      <c r="R19" s="32">
        <f t="shared" si="6"/>
        <v>0</v>
      </c>
      <c r="S19" s="32"/>
      <c r="T19" s="32">
        <v>7101.7</v>
      </c>
      <c r="U19" s="32">
        <v>51.1</v>
      </c>
      <c r="V19" s="144">
        <v>37.1</v>
      </c>
      <c r="W19" s="144">
        <v>22.4</v>
      </c>
      <c r="X19" s="144">
        <v>0</v>
      </c>
      <c r="Y19" s="144">
        <v>0</v>
      </c>
      <c r="Z19" s="32">
        <v>88.7</v>
      </c>
      <c r="AA19" s="32">
        <v>85.7</v>
      </c>
      <c r="AB19" s="32">
        <v>0</v>
      </c>
      <c r="AC19" s="144"/>
      <c r="AD19" s="64">
        <v>360749000</v>
      </c>
      <c r="AE19" s="64">
        <v>2747000</v>
      </c>
      <c r="AF19" s="64">
        <v>1470000</v>
      </c>
      <c r="AG19" s="64" t="s">
        <v>188</v>
      </c>
      <c r="AH19" s="64" t="s">
        <v>188</v>
      </c>
      <c r="AI19" s="64" t="s">
        <v>188</v>
      </c>
    </row>
    <row r="20" spans="1:35">
      <c r="A20" s="66">
        <v>2000</v>
      </c>
      <c r="B20" s="56">
        <v>357776</v>
      </c>
      <c r="C20" s="56" t="str">
        <f t="shared" si="7"/>
        <v>x</v>
      </c>
      <c r="D20" s="56">
        <v>2258</v>
      </c>
      <c r="E20" s="56">
        <v>1369</v>
      </c>
      <c r="F20" s="56" t="s">
        <v>188</v>
      </c>
      <c r="G20" s="56" t="s">
        <v>188</v>
      </c>
      <c r="H20" s="56" t="s">
        <v>188</v>
      </c>
      <c r="I20" s="32"/>
      <c r="J20" s="32">
        <f t="shared" si="0"/>
        <v>365102.39999999997</v>
      </c>
      <c r="K20" s="32">
        <f t="shared" si="0"/>
        <v>1752.4</v>
      </c>
      <c r="L20" s="32">
        <f t="shared" si="1"/>
        <v>920.4</v>
      </c>
      <c r="M20" s="32">
        <f t="shared" si="2"/>
        <v>0</v>
      </c>
      <c r="N20" s="32">
        <f t="shared" si="3"/>
        <v>0</v>
      </c>
      <c r="O20" s="32">
        <f t="shared" si="4"/>
        <v>0</v>
      </c>
      <c r="P20" s="32">
        <f t="shared" si="5"/>
        <v>3931.2</v>
      </c>
      <c r="Q20" s="32">
        <f t="shared" si="6"/>
        <v>3686.8</v>
      </c>
      <c r="R20" s="32">
        <f t="shared" si="6"/>
        <v>0</v>
      </c>
      <c r="S20" s="32"/>
      <c r="T20" s="32">
        <v>7021.2</v>
      </c>
      <c r="U20" s="32">
        <v>33.700000000000003</v>
      </c>
      <c r="V20" s="144">
        <v>17.7</v>
      </c>
      <c r="W20" s="144">
        <v>0</v>
      </c>
      <c r="X20" s="144">
        <v>0</v>
      </c>
      <c r="Y20" s="144">
        <v>0</v>
      </c>
      <c r="Z20" s="32">
        <v>75.599999999999994</v>
      </c>
      <c r="AA20" s="32">
        <v>70.900000000000006</v>
      </c>
      <c r="AB20" s="32">
        <v>0</v>
      </c>
      <c r="AC20" s="144"/>
      <c r="AD20" s="64">
        <v>352266000</v>
      </c>
      <c r="AE20" s="64">
        <v>2398000</v>
      </c>
      <c r="AF20" s="64">
        <v>1399000</v>
      </c>
      <c r="AG20" s="64" t="s">
        <v>188</v>
      </c>
      <c r="AH20" s="64" t="s">
        <v>188</v>
      </c>
      <c r="AI20" s="64" t="s">
        <v>188</v>
      </c>
    </row>
    <row r="21" spans="1:35">
      <c r="A21" s="66">
        <v>2001</v>
      </c>
      <c r="B21" s="56">
        <v>367560</v>
      </c>
      <c r="C21" s="56" t="str">
        <f t="shared" si="7"/>
        <v>x</v>
      </c>
      <c r="D21" s="56">
        <v>2039</v>
      </c>
      <c r="E21" s="56" t="s">
        <v>188</v>
      </c>
      <c r="F21" s="56" t="s">
        <v>188</v>
      </c>
      <c r="G21" s="56" t="s">
        <v>188</v>
      </c>
      <c r="H21" s="56" t="s">
        <v>188</v>
      </c>
      <c r="I21" s="32"/>
      <c r="J21" s="32">
        <f t="shared" si="0"/>
        <v>370219.2</v>
      </c>
      <c r="K21" s="32">
        <f t="shared" si="0"/>
        <v>1996.8</v>
      </c>
      <c r="L21" s="32">
        <f t="shared" si="1"/>
        <v>0</v>
      </c>
      <c r="M21" s="32">
        <f t="shared" si="2"/>
        <v>0</v>
      </c>
      <c r="N21" s="32">
        <f t="shared" si="3"/>
        <v>0</v>
      </c>
      <c r="O21" s="32">
        <f t="shared" si="4"/>
        <v>0</v>
      </c>
      <c r="P21" s="32">
        <f t="shared" si="5"/>
        <v>3900</v>
      </c>
      <c r="Q21" s="32">
        <f t="shared" si="6"/>
        <v>3702.4</v>
      </c>
      <c r="R21" s="32">
        <f t="shared" si="6"/>
        <v>0</v>
      </c>
      <c r="S21" s="32"/>
      <c r="T21" s="32">
        <v>7119.6</v>
      </c>
      <c r="U21" s="32">
        <v>38.4</v>
      </c>
      <c r="V21" s="144">
        <v>0</v>
      </c>
      <c r="W21" s="144">
        <v>0</v>
      </c>
      <c r="X21" s="144">
        <v>0</v>
      </c>
      <c r="Y21" s="144">
        <v>0</v>
      </c>
      <c r="Z21" s="32">
        <v>75</v>
      </c>
      <c r="AA21" s="32">
        <v>71.2</v>
      </c>
      <c r="AB21" s="32">
        <v>0</v>
      </c>
      <c r="AC21" s="144"/>
      <c r="AD21" s="64">
        <v>360704000</v>
      </c>
      <c r="AE21" s="64">
        <v>2421000</v>
      </c>
      <c r="AF21" s="64" t="s">
        <v>188</v>
      </c>
      <c r="AG21" s="64" t="s">
        <v>188</v>
      </c>
      <c r="AH21" s="64" t="s">
        <v>188</v>
      </c>
      <c r="AI21" s="64" t="s">
        <v>188</v>
      </c>
    </row>
    <row r="22" spans="1:35">
      <c r="A22" s="66">
        <v>2002</v>
      </c>
      <c r="B22" s="56">
        <v>367350</v>
      </c>
      <c r="C22" s="56" t="str">
        <f t="shared" si="7"/>
        <v>x</v>
      </c>
      <c r="D22" s="56">
        <v>1992</v>
      </c>
      <c r="E22" s="56">
        <v>1755</v>
      </c>
      <c r="F22" s="56" t="s">
        <v>188</v>
      </c>
      <c r="G22" s="56" t="s">
        <v>188</v>
      </c>
      <c r="H22" s="56" t="s">
        <v>188</v>
      </c>
      <c r="I22" s="32"/>
      <c r="J22" s="32">
        <f t="shared" si="0"/>
        <v>372788</v>
      </c>
      <c r="K22" s="32">
        <f t="shared" si="0"/>
        <v>1528.8</v>
      </c>
      <c r="L22" s="32">
        <f t="shared" si="1"/>
        <v>1539.2</v>
      </c>
      <c r="M22" s="32">
        <f t="shared" si="2"/>
        <v>1367.6000000000001</v>
      </c>
      <c r="N22" s="32">
        <f t="shared" si="3"/>
        <v>0</v>
      </c>
      <c r="O22" s="32">
        <f t="shared" si="4"/>
        <v>0</v>
      </c>
      <c r="P22" s="32">
        <f t="shared" si="5"/>
        <v>3130.4</v>
      </c>
      <c r="Q22" s="32">
        <f t="shared" si="6"/>
        <v>3078.4</v>
      </c>
      <c r="R22" s="32">
        <f t="shared" si="6"/>
        <v>0</v>
      </c>
      <c r="S22" s="32"/>
      <c r="T22" s="32">
        <v>7169</v>
      </c>
      <c r="U22" s="32">
        <v>29.4</v>
      </c>
      <c r="V22" s="144">
        <v>29.6</v>
      </c>
      <c r="W22" s="144">
        <v>26.3</v>
      </c>
      <c r="X22" s="144">
        <v>0</v>
      </c>
      <c r="Y22" s="144">
        <v>0</v>
      </c>
      <c r="Z22" s="144">
        <v>60.2</v>
      </c>
      <c r="AA22" s="144">
        <v>59.2</v>
      </c>
      <c r="AB22" s="144">
        <v>0</v>
      </c>
      <c r="AC22" s="144"/>
      <c r="AD22" s="64">
        <v>363412000</v>
      </c>
      <c r="AE22" s="64">
        <v>2219000</v>
      </c>
      <c r="AF22" s="64">
        <v>1558000</v>
      </c>
      <c r="AG22" s="64" t="s">
        <v>188</v>
      </c>
      <c r="AH22" s="64" t="s">
        <v>188</v>
      </c>
      <c r="AI22" s="64" t="s">
        <v>188</v>
      </c>
    </row>
    <row r="23" spans="1:35">
      <c r="A23" s="66">
        <v>2003</v>
      </c>
      <c r="B23" s="56">
        <v>367413</v>
      </c>
      <c r="C23" s="56">
        <f t="shared" si="7"/>
        <v>7349</v>
      </c>
      <c r="D23" s="56">
        <v>1774</v>
      </c>
      <c r="E23" s="56">
        <v>1183</v>
      </c>
      <c r="F23" s="56">
        <v>4392</v>
      </c>
      <c r="G23" s="56" t="s">
        <v>188</v>
      </c>
      <c r="H23" s="56" t="s">
        <v>188</v>
      </c>
      <c r="I23" s="32"/>
      <c r="J23" s="32">
        <f t="shared" si="0"/>
        <v>372897.2</v>
      </c>
      <c r="K23" s="32">
        <f t="shared" si="0"/>
        <v>0</v>
      </c>
      <c r="L23" s="32">
        <f t="shared" si="1"/>
        <v>1097.2</v>
      </c>
      <c r="M23" s="32">
        <f t="shared" si="2"/>
        <v>0</v>
      </c>
      <c r="N23" s="32">
        <f t="shared" si="3"/>
        <v>0</v>
      </c>
      <c r="O23" s="32">
        <f t="shared" si="4"/>
        <v>0</v>
      </c>
      <c r="P23" s="32">
        <f t="shared" si="5"/>
        <v>3348.8</v>
      </c>
      <c r="Q23" s="32">
        <f t="shared" si="6"/>
        <v>3328</v>
      </c>
      <c r="R23" s="32">
        <f t="shared" si="6"/>
        <v>0</v>
      </c>
      <c r="S23" s="32"/>
      <c r="T23" s="32">
        <v>7171.1</v>
      </c>
      <c r="U23" s="32">
        <v>0</v>
      </c>
      <c r="V23" s="144">
        <v>21.1</v>
      </c>
      <c r="W23" s="144">
        <v>0</v>
      </c>
      <c r="X23" s="144">
        <v>0</v>
      </c>
      <c r="Y23" s="144">
        <v>0</v>
      </c>
      <c r="Z23" s="144">
        <v>64.400000000000006</v>
      </c>
      <c r="AA23" s="144">
        <v>64</v>
      </c>
      <c r="AB23" s="144">
        <v>0</v>
      </c>
      <c r="AC23" s="144"/>
      <c r="AD23" s="64">
        <v>367534000</v>
      </c>
      <c r="AE23" s="64">
        <v>2078000</v>
      </c>
      <c r="AF23" s="64">
        <v>1166000</v>
      </c>
      <c r="AG23" s="64">
        <v>4980000</v>
      </c>
      <c r="AH23" s="64" t="s">
        <v>188</v>
      </c>
      <c r="AI23" s="64" t="s">
        <v>188</v>
      </c>
    </row>
    <row r="24" spans="1:35">
      <c r="A24" s="66">
        <v>2004</v>
      </c>
      <c r="B24" s="56">
        <v>376143</v>
      </c>
      <c r="C24" s="56">
        <f t="shared" si="7"/>
        <v>6996</v>
      </c>
      <c r="D24" s="56">
        <v>1739</v>
      </c>
      <c r="E24" s="56">
        <v>1276</v>
      </c>
      <c r="F24" s="56">
        <v>3981</v>
      </c>
      <c r="G24" s="56" t="s">
        <v>188</v>
      </c>
      <c r="H24" s="56" t="s">
        <v>188</v>
      </c>
      <c r="I24" s="32"/>
      <c r="J24" s="32">
        <f t="shared" si="0"/>
        <v>377223.60000000003</v>
      </c>
      <c r="K24" s="32">
        <f t="shared" si="0"/>
        <v>2147.6</v>
      </c>
      <c r="L24" s="32">
        <f t="shared" si="1"/>
        <v>2173.6</v>
      </c>
      <c r="M24" s="32">
        <f t="shared" si="2"/>
        <v>1180.3999999999999</v>
      </c>
      <c r="N24" s="32">
        <f t="shared" si="3"/>
        <v>0</v>
      </c>
      <c r="O24" s="32">
        <f t="shared" si="4"/>
        <v>826.80000000000007</v>
      </c>
      <c r="P24" s="32">
        <f t="shared" si="5"/>
        <v>3645.2</v>
      </c>
      <c r="Q24" s="32">
        <f t="shared" si="6"/>
        <v>3645.2</v>
      </c>
      <c r="R24" s="32">
        <f t="shared" si="6"/>
        <v>0</v>
      </c>
      <c r="S24" s="32"/>
      <c r="T24" s="32">
        <v>7254.3</v>
      </c>
      <c r="U24" s="32">
        <v>41.3</v>
      </c>
      <c r="V24" s="144">
        <v>41.8</v>
      </c>
      <c r="W24" s="144">
        <v>22.7</v>
      </c>
      <c r="X24" s="144">
        <v>0</v>
      </c>
      <c r="Y24" s="144">
        <v>15.9</v>
      </c>
      <c r="Z24" s="32">
        <v>70.099999999999994</v>
      </c>
      <c r="AA24" s="32">
        <v>70.099999999999994</v>
      </c>
      <c r="AB24" s="32">
        <v>0</v>
      </c>
      <c r="AC24" s="144"/>
      <c r="AD24" s="64">
        <v>373222000</v>
      </c>
      <c r="AE24" s="64">
        <v>1876000</v>
      </c>
      <c r="AF24" s="64">
        <v>1328000</v>
      </c>
      <c r="AG24" s="64">
        <v>5000000</v>
      </c>
      <c r="AH24" s="64" t="s">
        <v>188</v>
      </c>
      <c r="AI24" s="64" t="s">
        <v>188</v>
      </c>
    </row>
    <row r="25" spans="1:35">
      <c r="A25" s="66">
        <v>2005</v>
      </c>
      <c r="B25" s="56">
        <v>372414</v>
      </c>
      <c r="C25" s="56" t="str">
        <f t="shared" si="7"/>
        <v>x</v>
      </c>
      <c r="D25" s="56">
        <v>1523</v>
      </c>
      <c r="E25" s="56">
        <v>1331</v>
      </c>
      <c r="F25" s="56" t="s">
        <v>188</v>
      </c>
      <c r="G25" s="56" t="s">
        <v>188</v>
      </c>
      <c r="H25" s="56" t="s">
        <v>188</v>
      </c>
      <c r="I25" s="32"/>
      <c r="J25" s="32">
        <f t="shared" si="0"/>
        <v>384779.2</v>
      </c>
      <c r="K25" s="32">
        <f t="shared" si="0"/>
        <v>1544.3999999999999</v>
      </c>
      <c r="L25" s="32">
        <f t="shared" si="1"/>
        <v>1456</v>
      </c>
      <c r="M25" s="32">
        <f t="shared" si="2"/>
        <v>0</v>
      </c>
      <c r="N25" s="32">
        <f t="shared" si="3"/>
        <v>0</v>
      </c>
      <c r="O25" s="32">
        <f t="shared" si="4"/>
        <v>0</v>
      </c>
      <c r="P25" s="32">
        <f t="shared" si="5"/>
        <v>4284.8</v>
      </c>
      <c r="Q25" s="32">
        <f t="shared" si="6"/>
        <v>4269.2</v>
      </c>
      <c r="R25" s="32">
        <f t="shared" si="6"/>
        <v>0</v>
      </c>
      <c r="S25" s="32"/>
      <c r="T25" s="32">
        <v>7399.6</v>
      </c>
      <c r="U25" s="32">
        <v>29.7</v>
      </c>
      <c r="V25" s="144">
        <v>28</v>
      </c>
      <c r="W25" s="144">
        <v>0</v>
      </c>
      <c r="X25" s="144">
        <v>0</v>
      </c>
      <c r="Y25" s="144">
        <v>0</v>
      </c>
      <c r="Z25" s="32">
        <v>82.4</v>
      </c>
      <c r="AA25" s="32">
        <v>82.1</v>
      </c>
      <c r="AB25" s="32">
        <v>0</v>
      </c>
      <c r="AC25" s="144"/>
      <c r="AD25" s="64">
        <v>374960000</v>
      </c>
      <c r="AE25" s="64">
        <v>1987000</v>
      </c>
      <c r="AF25" s="64" t="s">
        <v>188</v>
      </c>
      <c r="AG25" s="64" t="s">
        <v>188</v>
      </c>
      <c r="AH25" s="64" t="s">
        <v>188</v>
      </c>
      <c r="AI25" s="64" t="s">
        <v>188</v>
      </c>
    </row>
    <row r="26" spans="1:35">
      <c r="A26" s="66">
        <v>2006</v>
      </c>
      <c r="B26" s="56">
        <v>383338</v>
      </c>
      <c r="C26" s="56" t="str">
        <f t="shared" si="7"/>
        <v>x</v>
      </c>
      <c r="D26" s="56">
        <v>1392</v>
      </c>
      <c r="E26" s="56">
        <v>1250</v>
      </c>
      <c r="F26" s="56" t="s">
        <v>188</v>
      </c>
      <c r="G26" s="56" t="s">
        <v>188</v>
      </c>
      <c r="H26" s="56" t="s">
        <v>188</v>
      </c>
      <c r="I26" s="32"/>
      <c r="J26" s="32">
        <f t="shared" si="0"/>
        <v>393400.8</v>
      </c>
      <c r="K26" s="32">
        <f t="shared" si="0"/>
        <v>1492.3999999999999</v>
      </c>
      <c r="L26" s="32">
        <f t="shared" si="1"/>
        <v>956.8</v>
      </c>
      <c r="M26" s="32">
        <f t="shared" si="2"/>
        <v>0</v>
      </c>
      <c r="N26" s="32">
        <f t="shared" si="3"/>
        <v>0</v>
      </c>
      <c r="O26" s="32">
        <f t="shared" si="4"/>
        <v>0</v>
      </c>
      <c r="P26" s="32">
        <f t="shared" si="5"/>
        <v>2927.6</v>
      </c>
      <c r="Q26" s="32">
        <f t="shared" si="6"/>
        <v>2927.6</v>
      </c>
      <c r="R26" s="32">
        <f t="shared" si="6"/>
        <v>0</v>
      </c>
      <c r="S26" s="32"/>
      <c r="T26" s="32">
        <v>7565.4</v>
      </c>
      <c r="U26" s="32">
        <v>28.7</v>
      </c>
      <c r="V26" s="144">
        <v>18.399999999999999</v>
      </c>
      <c r="W26" s="144">
        <v>0</v>
      </c>
      <c r="X26" s="144">
        <v>0</v>
      </c>
      <c r="Y26" s="144">
        <v>0</v>
      </c>
      <c r="Z26" s="144">
        <v>56.3</v>
      </c>
      <c r="AA26" s="144">
        <v>56.3</v>
      </c>
      <c r="AB26" s="144">
        <v>0</v>
      </c>
      <c r="AC26" s="144"/>
      <c r="AD26" s="64">
        <v>383114000</v>
      </c>
      <c r="AE26" s="64">
        <v>1762000</v>
      </c>
      <c r="AF26" s="64" t="s">
        <v>188</v>
      </c>
      <c r="AG26" s="64" t="s">
        <v>188</v>
      </c>
      <c r="AH26" s="64" t="s">
        <v>188</v>
      </c>
      <c r="AI26" s="64" t="s">
        <v>188</v>
      </c>
    </row>
    <row r="27" spans="1:35">
      <c r="A27" s="66">
        <v>2007</v>
      </c>
      <c r="B27" s="56">
        <v>384374</v>
      </c>
      <c r="C27" s="56" t="str">
        <f t="shared" si="7"/>
        <v>x</v>
      </c>
      <c r="D27" s="56">
        <v>1331</v>
      </c>
      <c r="E27" s="56">
        <v>1150</v>
      </c>
      <c r="F27" s="56" t="s">
        <v>188</v>
      </c>
      <c r="G27" s="56" t="s">
        <v>188</v>
      </c>
      <c r="H27" s="56" t="s">
        <v>188</v>
      </c>
      <c r="I27" s="32"/>
      <c r="J27" s="32"/>
      <c r="K27" s="32"/>
      <c r="L27" s="32"/>
      <c r="M27" s="32"/>
      <c r="N27" s="32"/>
      <c r="O27" s="32"/>
      <c r="P27" s="32"/>
      <c r="Q27" s="32"/>
      <c r="R27" s="32"/>
      <c r="S27" s="32"/>
      <c r="T27" s="32"/>
      <c r="U27" s="32"/>
      <c r="V27" s="144"/>
      <c r="W27" s="144"/>
      <c r="X27" s="144"/>
      <c r="Y27" s="144"/>
      <c r="Z27" s="144"/>
      <c r="AA27" s="144"/>
      <c r="AB27" s="144"/>
      <c r="AC27" s="144"/>
    </row>
    <row r="28" spans="1:35">
      <c r="A28" s="66">
        <v>2008</v>
      </c>
      <c r="B28" s="56">
        <v>386209</v>
      </c>
      <c r="C28" s="56" t="str">
        <f>IFERROR(D28+E28+F28,"x")</f>
        <v>x</v>
      </c>
      <c r="D28" s="56">
        <v>1142</v>
      </c>
      <c r="E28" s="56">
        <v>1070</v>
      </c>
      <c r="F28" s="56" t="s">
        <v>188</v>
      </c>
      <c r="G28" s="56" t="s">
        <v>188</v>
      </c>
      <c r="H28" s="56" t="s">
        <v>188</v>
      </c>
      <c r="I28" s="32"/>
      <c r="J28" s="32"/>
      <c r="K28" s="32"/>
      <c r="L28" s="32"/>
      <c r="M28" s="32"/>
      <c r="N28" s="32"/>
      <c r="O28" s="32"/>
      <c r="P28" s="32"/>
      <c r="Q28" s="32"/>
      <c r="R28" s="32"/>
      <c r="S28" s="32"/>
      <c r="T28" s="32"/>
      <c r="U28" s="32"/>
      <c r="V28" s="144"/>
      <c r="W28" s="144"/>
      <c r="X28" s="144"/>
      <c r="Y28" s="144"/>
      <c r="Z28" s="144"/>
      <c r="AA28" s="144"/>
      <c r="AB28" s="144"/>
      <c r="AC28" s="144"/>
    </row>
    <row r="29" spans="1:35">
      <c r="A29" s="66">
        <v>2009</v>
      </c>
      <c r="B29" s="56">
        <v>368112</v>
      </c>
      <c r="C29" s="56" t="str">
        <f t="shared" ref="C29:C31" si="8">IFERROR(D29+E29+F29,"x")</f>
        <v>x</v>
      </c>
      <c r="D29" s="56">
        <v>1081</v>
      </c>
      <c r="E29" s="56">
        <v>849</v>
      </c>
      <c r="F29" s="56" t="s">
        <v>188</v>
      </c>
      <c r="G29" s="56" t="s">
        <v>188</v>
      </c>
      <c r="H29" s="56" t="s">
        <v>188</v>
      </c>
      <c r="I29" s="32"/>
      <c r="J29" s="32"/>
      <c r="K29" s="32"/>
      <c r="L29" s="32"/>
      <c r="M29" s="32"/>
      <c r="N29" s="32"/>
      <c r="O29" s="32"/>
      <c r="P29" s="32"/>
      <c r="Q29" s="32"/>
      <c r="R29" s="32"/>
      <c r="S29" s="32"/>
      <c r="T29" s="32"/>
      <c r="U29" s="32"/>
      <c r="V29" s="144"/>
      <c r="W29" s="144"/>
      <c r="X29" s="144"/>
      <c r="Y29" s="144"/>
      <c r="Z29" s="144"/>
      <c r="AA29" s="144"/>
      <c r="AB29" s="144"/>
      <c r="AC29" s="144"/>
    </row>
    <row r="30" spans="1:35">
      <c r="A30" s="66">
        <v>2010</v>
      </c>
      <c r="B30" s="56">
        <v>377421</v>
      </c>
      <c r="C30" s="56" t="str">
        <f t="shared" si="8"/>
        <v>x</v>
      </c>
      <c r="D30" s="56">
        <v>995</v>
      </c>
      <c r="E30" s="56">
        <v>827</v>
      </c>
      <c r="F30" s="56" t="s">
        <v>188</v>
      </c>
      <c r="G30" s="56" t="s">
        <v>188</v>
      </c>
      <c r="H30" s="56" t="s">
        <v>188</v>
      </c>
      <c r="I30" s="32"/>
      <c r="J30" s="32"/>
      <c r="K30" s="32"/>
      <c r="L30" s="32"/>
      <c r="M30" s="32"/>
      <c r="N30" s="32"/>
      <c r="O30" s="32"/>
      <c r="P30" s="32"/>
      <c r="Q30" s="32"/>
      <c r="R30" s="32"/>
      <c r="S30" s="32"/>
      <c r="T30" s="32"/>
      <c r="U30" s="32"/>
      <c r="V30" s="144"/>
      <c r="W30" s="144"/>
      <c r="X30" s="144"/>
      <c r="Y30" s="144"/>
      <c r="Z30" s="144"/>
      <c r="AA30" s="144"/>
      <c r="AB30" s="144"/>
      <c r="AC30" s="144"/>
    </row>
    <row r="31" spans="1:35">
      <c r="A31" s="66">
        <v>2011</v>
      </c>
      <c r="B31" s="56">
        <v>395900</v>
      </c>
      <c r="C31" s="56" t="str">
        <f t="shared" si="8"/>
        <v>x</v>
      </c>
      <c r="D31" s="56">
        <v>987</v>
      </c>
      <c r="E31" s="56">
        <v>813</v>
      </c>
      <c r="F31" s="56" t="s">
        <v>188</v>
      </c>
      <c r="G31" s="56" t="s">
        <v>188</v>
      </c>
      <c r="H31" s="56" t="s">
        <v>188</v>
      </c>
      <c r="I31" s="32"/>
      <c r="J31" s="32"/>
      <c r="K31" s="32"/>
      <c r="L31" s="32"/>
      <c r="M31" s="32"/>
      <c r="N31" s="32"/>
      <c r="O31" s="32"/>
      <c r="P31" s="32"/>
      <c r="Q31" s="32"/>
      <c r="R31" s="32"/>
      <c r="S31" s="32"/>
      <c r="T31" s="32"/>
      <c r="U31" s="32"/>
      <c r="V31" s="144"/>
      <c r="W31" s="144"/>
      <c r="X31" s="144"/>
      <c r="Y31" s="144"/>
      <c r="Z31" s="144"/>
      <c r="AA31" s="144"/>
      <c r="AB31" s="144"/>
      <c r="AC31" s="144"/>
    </row>
    <row r="32" spans="1:35">
      <c r="A32" s="66"/>
      <c r="B32" s="56"/>
      <c r="C32" s="56"/>
      <c r="D32" s="56"/>
      <c r="E32" s="56"/>
      <c r="F32" s="56"/>
      <c r="G32" s="56"/>
      <c r="H32" s="56"/>
      <c r="I32" s="32"/>
      <c r="J32" s="32"/>
      <c r="K32" s="32"/>
      <c r="L32" s="32"/>
      <c r="M32" s="32"/>
      <c r="N32" s="32"/>
      <c r="O32" s="32"/>
      <c r="P32" s="32"/>
      <c r="Q32" s="32"/>
      <c r="R32" s="32"/>
      <c r="S32" s="32"/>
      <c r="T32" s="32"/>
      <c r="U32" s="32"/>
      <c r="V32" s="144"/>
      <c r="W32" s="144"/>
      <c r="X32" s="144"/>
      <c r="Y32" s="144"/>
      <c r="Z32" s="144"/>
      <c r="AA32" s="144"/>
      <c r="AB32" s="144"/>
      <c r="AC32" s="144"/>
    </row>
    <row r="33" spans="1:41">
      <c r="A33" s="64" t="s">
        <v>498</v>
      </c>
      <c r="B33" s="57"/>
      <c r="C33" s="57"/>
      <c r="D33" s="57"/>
      <c r="E33" s="57"/>
      <c r="F33" s="57"/>
      <c r="G33" s="57"/>
      <c r="H33" s="57"/>
    </row>
    <row r="34" spans="1:41">
      <c r="A34" s="64" t="s">
        <v>1780</v>
      </c>
      <c r="B34" s="65">
        <f>IFERROR(((B31/B17)^(1/14)-1)*100,"n.a.")</f>
        <v>1.1229245966080992</v>
      </c>
      <c r="C34" s="65" t="str">
        <f t="shared" ref="C34:H34" si="9">IFERROR(((C31/C17)^(1/14)-1)*100,"n.a.")</f>
        <v>n.a.</v>
      </c>
      <c r="D34" s="65">
        <f t="shared" si="9"/>
        <v>-7.5092023661591174</v>
      </c>
      <c r="E34" s="65" t="str">
        <f t="shared" si="9"/>
        <v>n.a.</v>
      </c>
      <c r="F34" s="65" t="str">
        <f t="shared" si="9"/>
        <v>n.a.</v>
      </c>
      <c r="G34" s="65" t="str">
        <f t="shared" si="9"/>
        <v>n.a.</v>
      </c>
      <c r="H34" s="65" t="str">
        <f t="shared" si="9"/>
        <v>n.a.</v>
      </c>
      <c r="J34" s="138">
        <f>((J26/J17)^(1/9)-1)*100</f>
        <v>1.7281103379030993</v>
      </c>
      <c r="K34" s="138">
        <f t="shared" ref="K34:R34" si="10">((K26/K17)^(1/9)-1)*100</f>
        <v>-5.7704075063884748</v>
      </c>
      <c r="L34" s="138">
        <f t="shared" si="10"/>
        <v>-3.5188039871281052</v>
      </c>
      <c r="M34" s="138">
        <f t="shared" si="10"/>
        <v>-100</v>
      </c>
      <c r="N34" s="138" t="e">
        <f t="shared" si="10"/>
        <v>#DIV/0!</v>
      </c>
      <c r="O34" s="138" t="e">
        <f t="shared" si="10"/>
        <v>#DIV/0!</v>
      </c>
      <c r="P34" s="138">
        <f t="shared" si="10"/>
        <v>-4.4240397193385466</v>
      </c>
      <c r="Q34" s="138">
        <f t="shared" si="10"/>
        <v>-4.0659480874580156</v>
      </c>
      <c r="R34" s="138" t="e">
        <f t="shared" si="10"/>
        <v>#DIV/0!</v>
      </c>
    </row>
    <row r="35" spans="1:41">
      <c r="A35" s="64" t="s">
        <v>663</v>
      </c>
      <c r="B35" s="65">
        <f>IFERROR(((B20/B17)^(1/3)-1)*100,"n.a.")</f>
        <v>1.8529160927996058</v>
      </c>
      <c r="C35" s="65" t="str">
        <f t="shared" ref="C35:H35" si="11">IFERROR(((C20/C17)^(1/3)-1)*100,"n.a.")</f>
        <v>n.a.</v>
      </c>
      <c r="D35" s="65">
        <f t="shared" si="11"/>
        <v>-8.463273498872848</v>
      </c>
      <c r="E35" s="65" t="str">
        <f t="shared" si="11"/>
        <v>n.a.</v>
      </c>
      <c r="F35" s="65" t="str">
        <f t="shared" si="11"/>
        <v>n.a.</v>
      </c>
      <c r="G35" s="65" t="str">
        <f t="shared" si="11"/>
        <v>n.a.</v>
      </c>
      <c r="H35" s="65" t="str">
        <f t="shared" si="11"/>
        <v>n.a.</v>
      </c>
      <c r="J35" s="138"/>
      <c r="K35" s="138"/>
      <c r="L35" s="138"/>
      <c r="M35" s="138"/>
      <c r="N35" s="138"/>
      <c r="O35" s="138"/>
      <c r="P35" s="138"/>
      <c r="Q35" s="138"/>
      <c r="R35" s="138"/>
    </row>
    <row r="36" spans="1:41">
      <c r="A36" s="64" t="s">
        <v>1782</v>
      </c>
      <c r="B36" s="65">
        <f>IFERROR(((B31/B20)^(1/11)-1)*100,"n.a.")</f>
        <v>0.92474561065796212</v>
      </c>
      <c r="C36" s="65" t="str">
        <f t="shared" ref="C36:H36" si="12">IFERROR(((C31/C20)^(1/11)-1)*100,"n.a.")</f>
        <v>n.a.</v>
      </c>
      <c r="D36" s="65">
        <f t="shared" si="12"/>
        <v>-7.2472796512595199</v>
      </c>
      <c r="E36" s="65">
        <f t="shared" si="12"/>
        <v>-4.6268559406197562</v>
      </c>
      <c r="F36" s="65" t="str">
        <f t="shared" si="12"/>
        <v>n.a.</v>
      </c>
      <c r="G36" s="65" t="str">
        <f t="shared" si="12"/>
        <v>n.a.</v>
      </c>
      <c r="H36" s="65" t="str">
        <f t="shared" si="12"/>
        <v>n.a.</v>
      </c>
      <c r="J36" s="138"/>
      <c r="K36" s="138"/>
      <c r="L36" s="138"/>
      <c r="M36" s="138"/>
      <c r="N36" s="138"/>
      <c r="O36" s="138"/>
      <c r="P36" s="138"/>
      <c r="Q36" s="138"/>
      <c r="R36" s="138"/>
    </row>
    <row r="37" spans="1:41">
      <c r="B37" s="57"/>
      <c r="C37" s="57"/>
      <c r="D37" s="57"/>
      <c r="E37" s="57"/>
      <c r="F37" s="57"/>
      <c r="G37" s="57"/>
      <c r="H37" s="57"/>
    </row>
    <row r="38" spans="1:41">
      <c r="A38" s="137" t="s">
        <v>494</v>
      </c>
      <c r="B38" s="137"/>
      <c r="C38" s="137"/>
      <c r="D38" s="137"/>
      <c r="E38" s="137"/>
      <c r="F38" s="137"/>
      <c r="G38" s="137"/>
      <c r="H38" s="137"/>
    </row>
    <row r="39" spans="1:41">
      <c r="A39" s="137" t="s">
        <v>495</v>
      </c>
      <c r="B39" s="137"/>
      <c r="C39" s="137"/>
      <c r="D39" s="137"/>
      <c r="E39" s="137"/>
      <c r="F39" s="137"/>
      <c r="G39" s="137"/>
      <c r="H39" s="137"/>
    </row>
    <row r="40" spans="1:41" ht="15" hidden="1" customHeight="1" outlineLevel="1">
      <c r="A40" s="137" t="s">
        <v>496</v>
      </c>
      <c r="B40" s="137"/>
      <c r="C40" s="137"/>
      <c r="D40" s="137"/>
      <c r="E40" s="137"/>
      <c r="F40" s="137"/>
      <c r="G40" s="137"/>
      <c r="H40" s="137"/>
    </row>
    <row r="41" spans="1:41" collapsed="1">
      <c r="A41" s="137" t="s">
        <v>193</v>
      </c>
      <c r="B41" s="137"/>
      <c r="C41" s="137"/>
      <c r="D41" s="137"/>
      <c r="E41" s="137"/>
      <c r="F41" s="137"/>
      <c r="G41" s="137"/>
      <c r="H41" s="137"/>
    </row>
    <row r="42" spans="1:41">
      <c r="A42" s="137" t="s">
        <v>194</v>
      </c>
      <c r="B42" s="137"/>
      <c r="C42" s="137"/>
      <c r="D42" s="137"/>
      <c r="E42" s="137"/>
      <c r="F42" s="137"/>
      <c r="G42" s="137"/>
      <c r="H42" s="137"/>
    </row>
    <row r="43" spans="1:41">
      <c r="A43" s="137" t="s">
        <v>383</v>
      </c>
      <c r="B43" s="137"/>
      <c r="C43" s="137"/>
      <c r="D43" s="137"/>
      <c r="E43" s="137"/>
      <c r="F43" s="137"/>
      <c r="G43" s="137"/>
      <c r="H43" s="137"/>
    </row>
    <row r="44" spans="1:41" hidden="1" outlineLevel="1">
      <c r="A44" s="64" t="s">
        <v>497</v>
      </c>
      <c r="B44" s="142"/>
      <c r="C44" s="142"/>
      <c r="D44" s="143"/>
      <c r="E44" s="143"/>
      <c r="F44" s="143"/>
      <c r="G44" s="143"/>
      <c r="H44" s="143"/>
      <c r="I44" s="143"/>
      <c r="J44" s="143"/>
      <c r="K44" s="143"/>
      <c r="L44" s="143"/>
      <c r="M44" s="143"/>
      <c r="N44" s="143"/>
      <c r="O44" s="143"/>
      <c r="P44" s="143"/>
      <c r="Q44" s="143"/>
      <c r="R44" s="143"/>
      <c r="S44" s="143"/>
      <c r="T44" s="143"/>
      <c r="U44" s="143"/>
      <c r="V44" s="143"/>
      <c r="W44" s="143"/>
      <c r="X44" s="143"/>
      <c r="Y44" s="143"/>
      <c r="Z44" s="143"/>
      <c r="AA44" s="143"/>
      <c r="AB44" s="143"/>
      <c r="AC44" s="143"/>
      <c r="AD44" s="143"/>
      <c r="AE44" s="143"/>
      <c r="AF44" s="143"/>
    </row>
    <row r="45" spans="1:41" collapsed="1">
      <c r="B45" s="142"/>
      <c r="C45" s="142"/>
      <c r="D45" s="143"/>
      <c r="E45" s="143"/>
      <c r="F45" s="143"/>
      <c r="G45" s="143"/>
      <c r="H45" s="143"/>
      <c r="I45" s="143"/>
      <c r="J45" s="143"/>
      <c r="K45" s="143"/>
      <c r="L45" s="143"/>
      <c r="M45" s="143"/>
      <c r="N45" s="143"/>
      <c r="O45" s="143"/>
      <c r="P45" s="143"/>
      <c r="Q45" s="143"/>
      <c r="R45" s="143"/>
      <c r="S45" s="143"/>
      <c r="T45" s="143"/>
      <c r="U45" s="143"/>
      <c r="V45" s="143"/>
      <c r="W45" s="143"/>
      <c r="X45" s="143"/>
      <c r="Y45" s="143"/>
      <c r="Z45" s="143"/>
      <c r="AA45" s="143"/>
      <c r="AB45" s="143"/>
      <c r="AC45" s="143"/>
      <c r="AD45" s="143"/>
      <c r="AE45" s="143"/>
      <c r="AF45" s="143"/>
    </row>
    <row r="46" spans="1:41">
      <c r="B46" s="142"/>
      <c r="C46" s="142"/>
      <c r="D46" s="143"/>
      <c r="E46" s="143"/>
      <c r="F46" s="143"/>
      <c r="G46" s="143"/>
      <c r="H46" s="143"/>
      <c r="I46" s="143"/>
      <c r="J46" s="143"/>
      <c r="K46" s="143"/>
      <c r="L46" s="143"/>
      <c r="M46" s="143"/>
      <c r="N46" s="143"/>
      <c r="O46" s="143"/>
      <c r="P46" s="143"/>
      <c r="Q46" s="143"/>
      <c r="R46" s="143"/>
      <c r="S46" s="143"/>
      <c r="T46" s="143"/>
      <c r="U46" s="143"/>
      <c r="V46" s="143"/>
      <c r="W46" s="143"/>
      <c r="X46" s="143"/>
      <c r="Y46" s="143"/>
      <c r="Z46" s="143"/>
      <c r="AA46" s="143"/>
      <c r="AB46" s="143"/>
      <c r="AC46" s="143"/>
      <c r="AD46" s="143"/>
      <c r="AE46" s="143"/>
      <c r="AF46" s="143"/>
    </row>
    <row r="47" spans="1:41">
      <c r="B47" s="142"/>
      <c r="C47" s="142"/>
      <c r="D47" s="143"/>
      <c r="E47" s="143"/>
      <c r="F47" s="143"/>
      <c r="G47" s="143"/>
      <c r="H47" s="143"/>
      <c r="I47" s="143"/>
      <c r="J47" s="143"/>
      <c r="K47" s="143"/>
      <c r="L47" s="143"/>
      <c r="M47" s="143"/>
      <c r="N47" s="143"/>
      <c r="O47" s="143"/>
      <c r="P47" s="143"/>
      <c r="Q47" s="143"/>
      <c r="R47" s="143"/>
      <c r="S47" s="143"/>
      <c r="T47" s="143"/>
      <c r="U47" s="143"/>
      <c r="V47" s="143"/>
      <c r="W47" s="143"/>
      <c r="X47" s="143"/>
      <c r="Y47" s="143"/>
      <c r="Z47" s="143"/>
      <c r="AA47" s="143"/>
      <c r="AB47" s="143"/>
      <c r="AC47" s="143"/>
      <c r="AD47" s="143"/>
      <c r="AE47" s="143"/>
      <c r="AF47" s="143"/>
      <c r="AG47" s="143"/>
      <c r="AH47" s="143"/>
      <c r="AI47" s="143"/>
      <c r="AJ47" s="143"/>
      <c r="AK47" s="143"/>
      <c r="AL47" s="143"/>
      <c r="AM47" s="143"/>
      <c r="AN47" s="143"/>
      <c r="AO47" s="143"/>
    </row>
    <row r="48" spans="1:41">
      <c r="B48" s="142"/>
      <c r="C48" s="142"/>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row>
    <row r="49" spans="2:32">
      <c r="B49" s="142"/>
      <c r="C49" s="142"/>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row>
    <row r="50" spans="2:32">
      <c r="B50" s="142"/>
      <c r="C50" s="142"/>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row>
  </sheetData>
  <mergeCells count="7">
    <mergeCell ref="A42:H42"/>
    <mergeCell ref="A43:H43"/>
    <mergeCell ref="A1:H1"/>
    <mergeCell ref="A38:H38"/>
    <mergeCell ref="A39:H39"/>
    <mergeCell ref="A40:H40"/>
    <mergeCell ref="A41:H41"/>
  </mergeCells>
  <pageMargins left="0.7" right="0.7" top="0.75" bottom="0.75" header="0.3" footer="0.3"/>
  <pageSetup scale="75" orientation="portrait" horizontalDpi="0" verticalDpi="0" r:id="rId1"/>
</worksheet>
</file>

<file path=xl/worksheets/sheet171.xml><?xml version="1.0" encoding="utf-8"?>
<worksheet xmlns="http://schemas.openxmlformats.org/spreadsheetml/2006/main" xmlns:r="http://schemas.openxmlformats.org/officeDocument/2006/relationships">
  <sheetPr codeName="Sheet165"/>
  <dimension ref="A1:AJ51"/>
  <sheetViews>
    <sheetView view="pageBreakPreview" zoomScaleNormal="85" zoomScaleSheetLayoutView="100"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85546875" style="64" customWidth="1"/>
    <col min="2" max="2" width="13.85546875" style="64" customWidth="1"/>
    <col min="3" max="8" width="15.28515625" style="64" customWidth="1"/>
    <col min="9" max="9" width="5.28515625" style="64" customWidth="1"/>
    <col min="10" max="35" width="9.140625" style="64" hidden="1" customWidth="1" outlineLevel="1"/>
    <col min="36" max="36" width="9.140625" style="64" collapsed="1"/>
    <col min="37" max="16384" width="9.140625" style="64"/>
  </cols>
  <sheetData>
    <row r="1" spans="1:35">
      <c r="A1" s="108" t="s">
        <v>2095</v>
      </c>
      <c r="B1" s="108"/>
      <c r="C1" s="108"/>
      <c r="D1" s="108"/>
      <c r="E1" s="108"/>
      <c r="F1" s="108"/>
      <c r="G1" s="108"/>
      <c r="H1" s="108"/>
    </row>
    <row r="2" spans="1:35" ht="105.75" customHeight="1">
      <c r="A2" s="66"/>
      <c r="B2" s="73" t="s">
        <v>41</v>
      </c>
      <c r="C2" s="73" t="s">
        <v>37</v>
      </c>
      <c r="D2" s="73" t="s">
        <v>0</v>
      </c>
      <c r="E2" s="73" t="s">
        <v>1</v>
      </c>
      <c r="F2" s="73" t="s">
        <v>2</v>
      </c>
      <c r="G2" s="73" t="s">
        <v>13</v>
      </c>
      <c r="H2" s="73" t="s">
        <v>19</v>
      </c>
      <c r="J2" s="73" t="s">
        <v>41</v>
      </c>
      <c r="K2" s="117" t="s">
        <v>492</v>
      </c>
      <c r="L2" s="117" t="s">
        <v>67</v>
      </c>
      <c r="M2" s="117" t="s">
        <v>68</v>
      </c>
      <c r="N2" s="117" t="s">
        <v>69</v>
      </c>
      <c r="O2" s="117" t="s">
        <v>70</v>
      </c>
      <c r="P2" s="117" t="s">
        <v>71</v>
      </c>
      <c r="Q2" s="117" t="s">
        <v>72</v>
      </c>
      <c r="R2" s="117" t="s">
        <v>73</v>
      </c>
      <c r="T2" s="73" t="s">
        <v>41</v>
      </c>
      <c r="U2" s="117" t="s">
        <v>492</v>
      </c>
      <c r="V2" s="117" t="s">
        <v>67</v>
      </c>
      <c r="W2" s="117" t="s">
        <v>68</v>
      </c>
      <c r="X2" s="117" t="s">
        <v>69</v>
      </c>
      <c r="Y2" s="117" t="s">
        <v>70</v>
      </c>
      <c r="Z2" s="117" t="s">
        <v>71</v>
      </c>
      <c r="AA2" s="117" t="s">
        <v>72</v>
      </c>
      <c r="AB2" s="117" t="s">
        <v>73</v>
      </c>
      <c r="AD2" s="64" t="s">
        <v>384</v>
      </c>
      <c r="AE2" s="64" t="s">
        <v>385</v>
      </c>
      <c r="AF2" s="64" t="s">
        <v>386</v>
      </c>
      <c r="AG2" s="64" t="s">
        <v>387</v>
      </c>
      <c r="AH2" s="64" t="s">
        <v>388</v>
      </c>
      <c r="AI2" s="64" t="s">
        <v>389</v>
      </c>
    </row>
    <row r="3" spans="1:35" hidden="1" outlineLevel="1">
      <c r="C3" s="135"/>
      <c r="AD3" s="64" t="s">
        <v>390</v>
      </c>
      <c r="AE3" s="64" t="s">
        <v>391</v>
      </c>
      <c r="AF3" s="64" t="s">
        <v>392</v>
      </c>
      <c r="AG3" s="64" t="s">
        <v>393</v>
      </c>
      <c r="AH3" s="64" t="s">
        <v>394</v>
      </c>
      <c r="AI3" s="64" t="s">
        <v>395</v>
      </c>
    </row>
    <row r="4" spans="1:35" hidden="1" outlineLevel="1" collapsed="1">
      <c r="A4" s="64">
        <v>1984</v>
      </c>
      <c r="C4" s="57"/>
    </row>
    <row r="5" spans="1:35" hidden="1" outlineLevel="1">
      <c r="A5" s="64">
        <v>1985</v>
      </c>
      <c r="C5" s="57"/>
    </row>
    <row r="6" spans="1:35" hidden="1" outlineLevel="1">
      <c r="A6" s="64">
        <v>1986</v>
      </c>
      <c r="C6" s="57"/>
    </row>
    <row r="7" spans="1:35" hidden="1" outlineLevel="1">
      <c r="A7" s="64">
        <v>1987</v>
      </c>
      <c r="C7" s="57"/>
      <c r="J7" s="32">
        <f>T7*52</f>
        <v>97526</v>
      </c>
      <c r="K7" s="32">
        <f t="shared" ref="K7:R7" si="0">U7*52</f>
        <v>0</v>
      </c>
      <c r="L7" s="32">
        <f t="shared" si="0"/>
        <v>405.59999999999997</v>
      </c>
      <c r="M7" s="32">
        <f t="shared" si="0"/>
        <v>0</v>
      </c>
      <c r="N7" s="32">
        <f t="shared" si="0"/>
        <v>0</v>
      </c>
      <c r="O7" s="32">
        <f t="shared" si="0"/>
        <v>0</v>
      </c>
      <c r="P7" s="32">
        <f t="shared" si="0"/>
        <v>0</v>
      </c>
      <c r="Q7" s="32">
        <f t="shared" si="0"/>
        <v>0</v>
      </c>
      <c r="R7" s="32">
        <f t="shared" si="0"/>
        <v>0</v>
      </c>
      <c r="T7" s="64">
        <v>1875.5</v>
      </c>
      <c r="U7" s="64">
        <v>0</v>
      </c>
      <c r="V7" s="64">
        <v>7.8</v>
      </c>
      <c r="W7" s="64">
        <v>0</v>
      </c>
      <c r="X7" s="64">
        <v>0</v>
      </c>
      <c r="Y7" s="64">
        <v>0</v>
      </c>
      <c r="Z7" s="64">
        <v>0</v>
      </c>
      <c r="AA7" s="64">
        <v>0</v>
      </c>
      <c r="AB7" s="64">
        <v>0</v>
      </c>
    </row>
    <row r="8" spans="1:35" hidden="1" outlineLevel="1">
      <c r="A8" s="64">
        <v>1988</v>
      </c>
      <c r="C8" s="57"/>
      <c r="J8" s="32">
        <f t="shared" ref="J8:J27" si="1">T8*52</f>
        <v>102876.8</v>
      </c>
      <c r="K8" s="32">
        <f t="shared" ref="K8:K27" si="2">U8*52</f>
        <v>0</v>
      </c>
      <c r="L8" s="32">
        <f t="shared" ref="L8:L27" si="3">V8*52</f>
        <v>452.4</v>
      </c>
      <c r="M8" s="32">
        <f t="shared" ref="M8:M27" si="4">W8*52</f>
        <v>0</v>
      </c>
      <c r="N8" s="32">
        <f t="shared" ref="N8:N27" si="5">X8*52</f>
        <v>0</v>
      </c>
      <c r="O8" s="32">
        <f t="shared" ref="O8:O27" si="6">Y8*52</f>
        <v>0</v>
      </c>
      <c r="P8" s="32">
        <f t="shared" ref="P8:P27" si="7">Z8*52</f>
        <v>0</v>
      </c>
      <c r="Q8" s="32">
        <f t="shared" ref="Q8:Q27" si="8">AA8*52</f>
        <v>0</v>
      </c>
      <c r="R8" s="32">
        <f t="shared" ref="R8:R27" si="9">AB8*52</f>
        <v>0</v>
      </c>
      <c r="T8" s="64">
        <v>1978.4</v>
      </c>
      <c r="U8" s="64">
        <v>0</v>
      </c>
      <c r="V8" s="64">
        <v>8.6999999999999993</v>
      </c>
      <c r="W8" s="64">
        <v>0</v>
      </c>
      <c r="X8" s="64">
        <v>0</v>
      </c>
      <c r="Y8" s="64">
        <v>0</v>
      </c>
      <c r="Z8" s="64">
        <v>0</v>
      </c>
      <c r="AA8" s="64">
        <v>0</v>
      </c>
      <c r="AB8" s="64">
        <v>0</v>
      </c>
    </row>
    <row r="9" spans="1:35" hidden="1" outlineLevel="1">
      <c r="A9" s="64">
        <v>1989</v>
      </c>
      <c r="C9" s="57"/>
      <c r="J9" s="32">
        <f t="shared" si="1"/>
        <v>102757.2</v>
      </c>
      <c r="K9" s="32">
        <f t="shared" si="2"/>
        <v>0</v>
      </c>
      <c r="L9" s="32">
        <f t="shared" si="3"/>
        <v>572</v>
      </c>
      <c r="M9" s="32">
        <f t="shared" si="4"/>
        <v>0</v>
      </c>
      <c r="N9" s="32">
        <f t="shared" si="5"/>
        <v>0</v>
      </c>
      <c r="O9" s="32">
        <f t="shared" si="6"/>
        <v>358.8</v>
      </c>
      <c r="P9" s="32">
        <f t="shared" si="7"/>
        <v>0</v>
      </c>
      <c r="Q9" s="32">
        <f t="shared" si="8"/>
        <v>0</v>
      </c>
      <c r="R9" s="32">
        <f t="shared" si="9"/>
        <v>0</v>
      </c>
      <c r="T9" s="64">
        <v>1976.1</v>
      </c>
      <c r="U9" s="64">
        <v>0</v>
      </c>
      <c r="V9" s="64">
        <v>11</v>
      </c>
      <c r="W9" s="64">
        <v>0</v>
      </c>
      <c r="X9" s="64">
        <v>0</v>
      </c>
      <c r="Y9" s="64">
        <v>6.9</v>
      </c>
      <c r="Z9" s="64">
        <v>0</v>
      </c>
      <c r="AA9" s="64">
        <v>0</v>
      </c>
      <c r="AB9" s="64">
        <v>0</v>
      </c>
    </row>
    <row r="10" spans="1:35" hidden="1" outlineLevel="1">
      <c r="A10" s="64">
        <v>1990</v>
      </c>
      <c r="B10" s="57"/>
      <c r="C10" s="57"/>
      <c r="D10" s="57"/>
      <c r="E10" s="57"/>
      <c r="F10" s="57"/>
      <c r="G10" s="57"/>
      <c r="H10" s="57"/>
      <c r="J10" s="32">
        <f t="shared" si="1"/>
        <v>104572</v>
      </c>
      <c r="K10" s="32">
        <f t="shared" si="2"/>
        <v>379.59999999999997</v>
      </c>
      <c r="L10" s="32">
        <f t="shared" si="3"/>
        <v>514.80000000000007</v>
      </c>
      <c r="M10" s="32">
        <f t="shared" si="4"/>
        <v>0</v>
      </c>
      <c r="N10" s="32">
        <f t="shared" si="5"/>
        <v>0</v>
      </c>
      <c r="O10" s="32">
        <f t="shared" si="6"/>
        <v>405.59999999999997</v>
      </c>
      <c r="P10" s="32">
        <f t="shared" si="7"/>
        <v>0</v>
      </c>
      <c r="Q10" s="32">
        <f t="shared" si="8"/>
        <v>0</v>
      </c>
      <c r="R10" s="32">
        <f t="shared" si="9"/>
        <v>0</v>
      </c>
      <c r="T10" s="64">
        <v>2011</v>
      </c>
      <c r="U10" s="64">
        <v>7.3</v>
      </c>
      <c r="V10" s="64">
        <v>9.9</v>
      </c>
      <c r="W10" s="64">
        <v>0</v>
      </c>
      <c r="X10" s="64">
        <v>0</v>
      </c>
      <c r="Y10" s="64">
        <v>7.8</v>
      </c>
      <c r="Z10" s="64">
        <v>0</v>
      </c>
      <c r="AA10" s="64">
        <v>0</v>
      </c>
      <c r="AB10" s="64">
        <v>0</v>
      </c>
    </row>
    <row r="11" spans="1:35" hidden="1" outlineLevel="1">
      <c r="A11" s="64">
        <v>1991</v>
      </c>
      <c r="B11" s="57"/>
      <c r="C11" s="57"/>
      <c r="D11" s="57"/>
      <c r="E11" s="57"/>
      <c r="F11" s="57"/>
      <c r="G11" s="57"/>
      <c r="H11" s="57"/>
      <c r="J11" s="32">
        <f t="shared" si="1"/>
        <v>97916</v>
      </c>
      <c r="K11" s="32">
        <f t="shared" si="2"/>
        <v>0</v>
      </c>
      <c r="L11" s="32">
        <f t="shared" si="3"/>
        <v>0</v>
      </c>
      <c r="M11" s="32">
        <f t="shared" si="4"/>
        <v>0</v>
      </c>
      <c r="N11" s="32">
        <f t="shared" si="5"/>
        <v>0</v>
      </c>
      <c r="O11" s="32">
        <f t="shared" si="6"/>
        <v>0</v>
      </c>
      <c r="P11" s="32">
        <f t="shared" si="7"/>
        <v>0</v>
      </c>
      <c r="Q11" s="32">
        <f t="shared" si="8"/>
        <v>0</v>
      </c>
      <c r="R11" s="32">
        <f t="shared" si="9"/>
        <v>0</v>
      </c>
      <c r="T11" s="64">
        <v>1883</v>
      </c>
      <c r="U11" s="64">
        <v>0</v>
      </c>
      <c r="V11" s="64">
        <v>0</v>
      </c>
      <c r="W11" s="64">
        <v>0</v>
      </c>
      <c r="X11" s="64">
        <v>0</v>
      </c>
      <c r="Y11" s="64">
        <v>0</v>
      </c>
      <c r="Z11" s="64">
        <v>0</v>
      </c>
      <c r="AA11" s="64">
        <v>0</v>
      </c>
      <c r="AB11" s="64">
        <v>0</v>
      </c>
    </row>
    <row r="12" spans="1:35" hidden="1" outlineLevel="1">
      <c r="A12" s="64">
        <v>1992</v>
      </c>
      <c r="B12" s="57"/>
      <c r="C12" s="57"/>
      <c r="D12" s="57"/>
      <c r="E12" s="57"/>
      <c r="F12" s="57"/>
      <c r="G12" s="57"/>
      <c r="H12" s="57"/>
      <c r="J12" s="32">
        <f t="shared" si="1"/>
        <v>95914</v>
      </c>
      <c r="K12" s="32">
        <f t="shared" si="2"/>
        <v>0</v>
      </c>
      <c r="L12" s="32">
        <f t="shared" si="3"/>
        <v>0</v>
      </c>
      <c r="M12" s="32">
        <f t="shared" si="4"/>
        <v>0</v>
      </c>
      <c r="N12" s="32">
        <f t="shared" si="5"/>
        <v>0</v>
      </c>
      <c r="O12" s="32">
        <f t="shared" si="6"/>
        <v>0</v>
      </c>
      <c r="P12" s="32">
        <f t="shared" si="7"/>
        <v>0</v>
      </c>
      <c r="Q12" s="32">
        <f t="shared" si="8"/>
        <v>0</v>
      </c>
      <c r="R12" s="32">
        <f t="shared" si="9"/>
        <v>0</v>
      </c>
      <c r="T12" s="64">
        <v>1844.5</v>
      </c>
      <c r="U12" s="64">
        <v>0</v>
      </c>
      <c r="V12" s="64">
        <v>0</v>
      </c>
      <c r="W12" s="64">
        <v>0</v>
      </c>
      <c r="X12" s="64">
        <v>0</v>
      </c>
      <c r="Y12" s="64">
        <v>0</v>
      </c>
      <c r="Z12" s="64">
        <v>0</v>
      </c>
      <c r="AA12" s="64">
        <v>0</v>
      </c>
      <c r="AB12" s="64">
        <v>0</v>
      </c>
    </row>
    <row r="13" spans="1:35" hidden="1" outlineLevel="1">
      <c r="A13" s="64">
        <v>1993</v>
      </c>
      <c r="B13" s="57"/>
      <c r="C13" s="57"/>
      <c r="D13" s="57"/>
      <c r="E13" s="57"/>
      <c r="F13" s="57"/>
      <c r="G13" s="57"/>
      <c r="H13" s="57"/>
      <c r="J13" s="32">
        <f t="shared" si="1"/>
        <v>97448</v>
      </c>
      <c r="K13" s="32">
        <f t="shared" si="2"/>
        <v>0</v>
      </c>
      <c r="L13" s="32">
        <f t="shared" si="3"/>
        <v>384.8</v>
      </c>
      <c r="M13" s="32">
        <f t="shared" si="4"/>
        <v>0</v>
      </c>
      <c r="N13" s="32">
        <f t="shared" si="5"/>
        <v>0</v>
      </c>
      <c r="O13" s="32">
        <f t="shared" si="6"/>
        <v>0</v>
      </c>
      <c r="P13" s="32">
        <f t="shared" si="7"/>
        <v>0</v>
      </c>
      <c r="Q13" s="32">
        <f t="shared" si="8"/>
        <v>0</v>
      </c>
      <c r="R13" s="32">
        <f t="shared" si="9"/>
        <v>0</v>
      </c>
      <c r="T13" s="64">
        <v>1874</v>
      </c>
      <c r="U13" s="64">
        <v>0</v>
      </c>
      <c r="V13" s="64">
        <v>7.4</v>
      </c>
      <c r="W13" s="64">
        <v>0</v>
      </c>
      <c r="X13" s="64">
        <v>0</v>
      </c>
      <c r="Y13" s="64">
        <v>0</v>
      </c>
      <c r="Z13" s="64">
        <v>0</v>
      </c>
      <c r="AA13" s="64">
        <v>0</v>
      </c>
      <c r="AB13" s="64">
        <v>0</v>
      </c>
    </row>
    <row r="14" spans="1:35" hidden="1" outlineLevel="1">
      <c r="A14" s="64">
        <v>1994</v>
      </c>
      <c r="B14" s="56"/>
      <c r="C14" s="56"/>
      <c r="D14" s="56"/>
      <c r="E14" s="56"/>
      <c r="F14" s="56"/>
      <c r="G14" s="56"/>
      <c r="H14" s="56"/>
      <c r="J14" s="32">
        <f t="shared" si="1"/>
        <v>102091.59999999999</v>
      </c>
      <c r="K14" s="32">
        <f t="shared" si="2"/>
        <v>0</v>
      </c>
      <c r="L14" s="32">
        <f t="shared" si="3"/>
        <v>618.80000000000007</v>
      </c>
      <c r="M14" s="32">
        <f t="shared" si="4"/>
        <v>0</v>
      </c>
      <c r="N14" s="32">
        <f t="shared" si="5"/>
        <v>0</v>
      </c>
      <c r="O14" s="32">
        <f t="shared" si="6"/>
        <v>395.2</v>
      </c>
      <c r="P14" s="32">
        <f t="shared" si="7"/>
        <v>0</v>
      </c>
      <c r="Q14" s="32">
        <f t="shared" si="8"/>
        <v>0</v>
      </c>
      <c r="R14" s="32">
        <f t="shared" si="9"/>
        <v>0</v>
      </c>
      <c r="T14" s="64">
        <v>1963.3</v>
      </c>
      <c r="U14" s="64">
        <v>0</v>
      </c>
      <c r="V14" s="64">
        <v>11.9</v>
      </c>
      <c r="W14" s="64">
        <v>0</v>
      </c>
      <c r="X14" s="64">
        <v>0</v>
      </c>
      <c r="Y14" s="64">
        <v>7.6</v>
      </c>
      <c r="Z14" s="64">
        <v>0</v>
      </c>
      <c r="AA14" s="64">
        <v>0</v>
      </c>
      <c r="AB14" s="64">
        <v>0</v>
      </c>
    </row>
    <row r="15" spans="1:35" hidden="1" outlineLevel="1">
      <c r="A15" s="64">
        <v>1995</v>
      </c>
      <c r="B15" s="56"/>
      <c r="C15" s="56"/>
      <c r="D15" s="56"/>
      <c r="E15" s="56"/>
      <c r="F15" s="56"/>
      <c r="G15" s="56"/>
      <c r="H15" s="56"/>
      <c r="J15" s="32">
        <f t="shared" si="1"/>
        <v>105716</v>
      </c>
      <c r="K15" s="32">
        <f t="shared" si="2"/>
        <v>0</v>
      </c>
      <c r="L15" s="32">
        <f t="shared" si="3"/>
        <v>317.2</v>
      </c>
      <c r="M15" s="32">
        <f t="shared" si="4"/>
        <v>0</v>
      </c>
      <c r="N15" s="32">
        <f t="shared" si="5"/>
        <v>0</v>
      </c>
      <c r="O15" s="32">
        <f t="shared" si="6"/>
        <v>0</v>
      </c>
      <c r="P15" s="32">
        <f t="shared" si="7"/>
        <v>0</v>
      </c>
      <c r="Q15" s="32">
        <f t="shared" si="8"/>
        <v>0</v>
      </c>
      <c r="R15" s="32">
        <f t="shared" si="9"/>
        <v>0</v>
      </c>
      <c r="T15" s="64">
        <v>2033</v>
      </c>
      <c r="U15" s="64">
        <v>0</v>
      </c>
      <c r="V15" s="64">
        <v>6.1</v>
      </c>
      <c r="W15" s="64">
        <v>0</v>
      </c>
      <c r="X15" s="64">
        <v>0</v>
      </c>
      <c r="Y15" s="64">
        <v>0</v>
      </c>
      <c r="Z15" s="64">
        <v>0</v>
      </c>
      <c r="AA15" s="64">
        <v>0</v>
      </c>
      <c r="AB15" s="64">
        <v>0</v>
      </c>
    </row>
    <row r="16" spans="1:35" hidden="1" outlineLevel="1">
      <c r="A16" s="64">
        <v>1996</v>
      </c>
      <c r="B16" s="56"/>
      <c r="C16" s="56"/>
      <c r="D16" s="56"/>
      <c r="E16" s="56"/>
      <c r="F16" s="56"/>
      <c r="G16" s="56"/>
      <c r="H16" s="56"/>
      <c r="J16" s="32">
        <f t="shared" si="1"/>
        <v>110817.2</v>
      </c>
      <c r="K16" s="32">
        <f t="shared" si="2"/>
        <v>0</v>
      </c>
      <c r="L16" s="32">
        <f t="shared" si="3"/>
        <v>681.19999999999993</v>
      </c>
      <c r="M16" s="32">
        <f t="shared" si="4"/>
        <v>0</v>
      </c>
      <c r="N16" s="32">
        <f t="shared" si="5"/>
        <v>0</v>
      </c>
      <c r="O16" s="32">
        <f t="shared" si="6"/>
        <v>462.8</v>
      </c>
      <c r="P16" s="32">
        <f t="shared" si="7"/>
        <v>0</v>
      </c>
      <c r="Q16" s="32">
        <f t="shared" si="8"/>
        <v>0</v>
      </c>
      <c r="R16" s="32">
        <f t="shared" si="9"/>
        <v>0</v>
      </c>
      <c r="T16" s="64">
        <v>2131.1</v>
      </c>
      <c r="U16" s="64">
        <v>0</v>
      </c>
      <c r="V16" s="64">
        <v>13.1</v>
      </c>
      <c r="W16" s="64">
        <v>0</v>
      </c>
      <c r="X16" s="64">
        <v>0</v>
      </c>
      <c r="Y16" s="64">
        <v>8.9</v>
      </c>
      <c r="Z16" s="64">
        <v>0</v>
      </c>
      <c r="AA16" s="64">
        <v>0</v>
      </c>
      <c r="AB16" s="64">
        <v>0</v>
      </c>
    </row>
    <row r="17" spans="1:35" collapsed="1">
      <c r="A17" s="66">
        <v>1997</v>
      </c>
      <c r="B17" s="56">
        <v>109825</v>
      </c>
      <c r="C17" s="56" t="str">
        <f t="shared" ref="C17:C27" si="10">IFERROR(D17+E17+F17,"x")</f>
        <v>x</v>
      </c>
      <c r="D17" s="56">
        <v>257</v>
      </c>
      <c r="E17" s="57" t="s">
        <v>188</v>
      </c>
      <c r="F17" s="56">
        <f>IFERROR(G17+H17,"x")</f>
        <v>88</v>
      </c>
      <c r="G17" s="56">
        <v>0</v>
      </c>
      <c r="H17" s="56">
        <v>88</v>
      </c>
      <c r="J17" s="32">
        <f t="shared" si="1"/>
        <v>109881.2</v>
      </c>
      <c r="K17" s="32">
        <f t="shared" si="2"/>
        <v>0</v>
      </c>
      <c r="L17" s="32">
        <f t="shared" si="3"/>
        <v>696.80000000000007</v>
      </c>
      <c r="M17" s="32">
        <f t="shared" si="4"/>
        <v>0</v>
      </c>
      <c r="N17" s="32">
        <f t="shared" si="5"/>
        <v>0</v>
      </c>
      <c r="O17" s="32">
        <f t="shared" si="6"/>
        <v>410.8</v>
      </c>
      <c r="P17" s="32">
        <f t="shared" si="7"/>
        <v>0</v>
      </c>
      <c r="Q17" s="32">
        <f t="shared" si="8"/>
        <v>0</v>
      </c>
      <c r="R17" s="32">
        <f t="shared" si="9"/>
        <v>0</v>
      </c>
      <c r="T17" s="64">
        <v>2113.1</v>
      </c>
      <c r="U17" s="64">
        <v>0</v>
      </c>
      <c r="V17" s="64">
        <v>13.4</v>
      </c>
      <c r="W17" s="64">
        <v>0</v>
      </c>
      <c r="X17" s="64">
        <v>0</v>
      </c>
      <c r="Y17" s="64">
        <v>7.9</v>
      </c>
      <c r="Z17" s="64">
        <v>0</v>
      </c>
      <c r="AA17" s="64">
        <v>0</v>
      </c>
      <c r="AB17" s="64">
        <v>0</v>
      </c>
      <c r="AD17" s="64">
        <v>109389000</v>
      </c>
      <c r="AE17" s="64">
        <v>279000</v>
      </c>
      <c r="AF17" s="64" t="s">
        <v>188</v>
      </c>
      <c r="AG17" s="64">
        <v>100000</v>
      </c>
      <c r="AH17" s="64">
        <v>0</v>
      </c>
      <c r="AI17" s="64">
        <v>100000</v>
      </c>
    </row>
    <row r="18" spans="1:35">
      <c r="A18" s="66">
        <v>1998</v>
      </c>
      <c r="B18" s="56">
        <v>110714</v>
      </c>
      <c r="C18" s="56" t="str">
        <f t="shared" si="10"/>
        <v>x</v>
      </c>
      <c r="D18" s="56">
        <v>296</v>
      </c>
      <c r="E18" s="56">
        <v>499</v>
      </c>
      <c r="F18" s="56" t="str">
        <f t="shared" ref="F18:F31" si="11">IFERROR(G18+H18,"x")</f>
        <v>x</v>
      </c>
      <c r="G18" s="56">
        <v>0</v>
      </c>
      <c r="H18" s="57" t="s">
        <v>188</v>
      </c>
      <c r="J18" s="32">
        <f t="shared" si="1"/>
        <v>109969.60000000001</v>
      </c>
      <c r="K18" s="32">
        <f t="shared" si="2"/>
        <v>348.40000000000003</v>
      </c>
      <c r="L18" s="32">
        <f t="shared" si="3"/>
        <v>702</v>
      </c>
      <c r="M18" s="32">
        <f t="shared" si="4"/>
        <v>0</v>
      </c>
      <c r="N18" s="32">
        <f t="shared" si="5"/>
        <v>0</v>
      </c>
      <c r="O18" s="32">
        <f t="shared" si="6"/>
        <v>369.2</v>
      </c>
      <c r="P18" s="32">
        <f t="shared" si="7"/>
        <v>0</v>
      </c>
      <c r="Q18" s="32">
        <f t="shared" si="8"/>
        <v>0</v>
      </c>
      <c r="R18" s="32">
        <f t="shared" si="9"/>
        <v>0</v>
      </c>
      <c r="T18" s="64">
        <v>2114.8000000000002</v>
      </c>
      <c r="U18" s="64">
        <v>6.7</v>
      </c>
      <c r="V18" s="64">
        <v>13.5</v>
      </c>
      <c r="W18" s="64">
        <v>0</v>
      </c>
      <c r="X18" s="64">
        <v>0</v>
      </c>
      <c r="Y18" s="64">
        <v>7.1</v>
      </c>
      <c r="Z18" s="64">
        <v>0</v>
      </c>
      <c r="AA18" s="64">
        <v>0</v>
      </c>
      <c r="AB18" s="64">
        <v>0</v>
      </c>
      <c r="AD18" s="64">
        <v>110733000</v>
      </c>
      <c r="AE18" s="64">
        <v>349000</v>
      </c>
      <c r="AF18" s="64">
        <v>542000</v>
      </c>
      <c r="AG18" s="64" t="s">
        <v>188</v>
      </c>
      <c r="AH18" s="64">
        <v>0</v>
      </c>
      <c r="AI18" s="64" t="s">
        <v>188</v>
      </c>
    </row>
    <row r="19" spans="1:35">
      <c r="A19" s="66">
        <v>1999</v>
      </c>
      <c r="B19" s="56">
        <v>111567</v>
      </c>
      <c r="C19" s="56" t="str">
        <f t="shared" si="10"/>
        <v>x</v>
      </c>
      <c r="D19" s="56">
        <v>293</v>
      </c>
      <c r="E19" s="56">
        <v>624</v>
      </c>
      <c r="F19" s="56" t="str">
        <f t="shared" si="11"/>
        <v>x</v>
      </c>
      <c r="G19" s="56">
        <v>0</v>
      </c>
      <c r="H19" s="57" t="s">
        <v>188</v>
      </c>
      <c r="J19" s="32">
        <f t="shared" si="1"/>
        <v>111586.8</v>
      </c>
      <c r="K19" s="32">
        <f t="shared" si="2"/>
        <v>0</v>
      </c>
      <c r="L19" s="32">
        <f t="shared" si="3"/>
        <v>977.6</v>
      </c>
      <c r="M19" s="32">
        <f t="shared" si="4"/>
        <v>634.4</v>
      </c>
      <c r="N19" s="32">
        <f t="shared" si="5"/>
        <v>0</v>
      </c>
      <c r="O19" s="32">
        <f t="shared" si="6"/>
        <v>0</v>
      </c>
      <c r="P19" s="32">
        <f t="shared" si="7"/>
        <v>0</v>
      </c>
      <c r="Q19" s="32">
        <f t="shared" si="8"/>
        <v>0</v>
      </c>
      <c r="R19" s="32">
        <f t="shared" si="9"/>
        <v>0</v>
      </c>
      <c r="T19" s="64">
        <v>2145.9</v>
      </c>
      <c r="U19" s="64">
        <v>0</v>
      </c>
      <c r="V19" s="64">
        <v>18.8</v>
      </c>
      <c r="W19" s="64">
        <v>12.2</v>
      </c>
      <c r="X19" s="64">
        <v>0</v>
      </c>
      <c r="Y19" s="64">
        <v>0</v>
      </c>
      <c r="Z19" s="64">
        <v>0</v>
      </c>
      <c r="AA19" s="64">
        <v>0</v>
      </c>
      <c r="AB19" s="64">
        <v>0</v>
      </c>
      <c r="AD19" s="64">
        <v>111488000</v>
      </c>
      <c r="AE19" s="64">
        <v>356000</v>
      </c>
      <c r="AF19" s="64">
        <v>683000</v>
      </c>
      <c r="AG19" s="64" t="s">
        <v>188</v>
      </c>
      <c r="AH19" s="64">
        <v>0</v>
      </c>
      <c r="AI19" s="64" t="s">
        <v>188</v>
      </c>
    </row>
    <row r="20" spans="1:35">
      <c r="A20" s="66">
        <v>2000</v>
      </c>
      <c r="B20" s="56">
        <v>115889</v>
      </c>
      <c r="C20" s="56" t="str">
        <f t="shared" si="10"/>
        <v>x</v>
      </c>
      <c r="D20" s="56">
        <v>234</v>
      </c>
      <c r="E20" s="57" t="s">
        <v>188</v>
      </c>
      <c r="F20" s="56" t="str">
        <f t="shared" si="11"/>
        <v>x</v>
      </c>
      <c r="G20" s="57">
        <v>20</v>
      </c>
      <c r="H20" s="57" t="s">
        <v>188</v>
      </c>
      <c r="J20" s="32">
        <f t="shared" si="1"/>
        <v>117868.4</v>
      </c>
      <c r="K20" s="32">
        <f t="shared" si="2"/>
        <v>0</v>
      </c>
      <c r="L20" s="32">
        <f t="shared" si="3"/>
        <v>743.6</v>
      </c>
      <c r="M20" s="32">
        <f t="shared" si="4"/>
        <v>0</v>
      </c>
      <c r="N20" s="32">
        <f t="shared" si="5"/>
        <v>0</v>
      </c>
      <c r="O20" s="32">
        <f t="shared" si="6"/>
        <v>353.59999999999997</v>
      </c>
      <c r="P20" s="32">
        <f t="shared" si="7"/>
        <v>0</v>
      </c>
      <c r="Q20" s="32">
        <f t="shared" si="8"/>
        <v>0</v>
      </c>
      <c r="R20" s="32">
        <f t="shared" si="9"/>
        <v>0</v>
      </c>
      <c r="T20" s="64">
        <v>2266.6999999999998</v>
      </c>
      <c r="U20" s="64">
        <v>0</v>
      </c>
      <c r="V20" s="64">
        <v>14.3</v>
      </c>
      <c r="W20" s="64">
        <v>0</v>
      </c>
      <c r="X20" s="64">
        <v>0</v>
      </c>
      <c r="Y20" s="64">
        <v>6.8</v>
      </c>
      <c r="Z20" s="64">
        <v>0</v>
      </c>
      <c r="AA20" s="64">
        <v>0</v>
      </c>
      <c r="AB20" s="64">
        <v>0</v>
      </c>
      <c r="AD20" s="64">
        <v>114408000</v>
      </c>
      <c r="AE20" s="64">
        <v>261000</v>
      </c>
      <c r="AF20" s="64" t="s">
        <v>188</v>
      </c>
      <c r="AG20" s="64" t="s">
        <v>188</v>
      </c>
      <c r="AH20" s="64" t="s">
        <v>188</v>
      </c>
      <c r="AI20" s="64" t="s">
        <v>188</v>
      </c>
    </row>
    <row r="21" spans="1:35">
      <c r="A21" s="66">
        <v>2001</v>
      </c>
      <c r="B21" s="56">
        <v>117282</v>
      </c>
      <c r="C21" s="56" t="str">
        <f t="shared" si="10"/>
        <v>x</v>
      </c>
      <c r="D21" s="56">
        <v>129</v>
      </c>
      <c r="E21" s="56">
        <v>604</v>
      </c>
      <c r="F21" s="56" t="str">
        <f t="shared" si="11"/>
        <v>x</v>
      </c>
      <c r="G21" s="56">
        <v>10</v>
      </c>
      <c r="H21" s="57" t="s">
        <v>188</v>
      </c>
      <c r="J21" s="32">
        <f t="shared" si="1"/>
        <v>118237.6</v>
      </c>
      <c r="K21" s="32">
        <f t="shared" si="2"/>
        <v>0</v>
      </c>
      <c r="L21" s="32">
        <f t="shared" si="3"/>
        <v>436.8</v>
      </c>
      <c r="M21" s="32">
        <f t="shared" si="4"/>
        <v>0</v>
      </c>
      <c r="N21" s="32">
        <f t="shared" si="5"/>
        <v>0</v>
      </c>
      <c r="O21" s="32">
        <f t="shared" si="6"/>
        <v>0</v>
      </c>
      <c r="P21" s="32">
        <f t="shared" si="7"/>
        <v>0</v>
      </c>
      <c r="Q21" s="32">
        <f t="shared" si="8"/>
        <v>0</v>
      </c>
      <c r="R21" s="32">
        <f t="shared" si="9"/>
        <v>0</v>
      </c>
      <c r="T21" s="64">
        <v>2273.8000000000002</v>
      </c>
      <c r="U21" s="64">
        <v>0</v>
      </c>
      <c r="V21" s="64">
        <v>8.4</v>
      </c>
      <c r="W21" s="64">
        <v>0</v>
      </c>
      <c r="X21" s="64">
        <v>0</v>
      </c>
      <c r="Y21" s="64">
        <v>0</v>
      </c>
      <c r="Z21" s="64">
        <v>0</v>
      </c>
      <c r="AA21" s="64">
        <v>0</v>
      </c>
      <c r="AB21" s="64">
        <v>0</v>
      </c>
      <c r="AD21" s="64">
        <v>115744000</v>
      </c>
      <c r="AE21" s="64">
        <v>180000</v>
      </c>
      <c r="AF21" s="64">
        <v>712000</v>
      </c>
      <c r="AG21" s="64" t="s">
        <v>188</v>
      </c>
      <c r="AH21" s="64">
        <v>40000</v>
      </c>
      <c r="AI21" s="64" t="s">
        <v>188</v>
      </c>
    </row>
    <row r="22" spans="1:35">
      <c r="A22" s="66">
        <v>2002</v>
      </c>
      <c r="B22" s="56">
        <v>117759</v>
      </c>
      <c r="C22" s="56" t="str">
        <f t="shared" si="10"/>
        <v>x</v>
      </c>
      <c r="D22" s="56">
        <v>150</v>
      </c>
      <c r="E22" s="57" t="s">
        <v>188</v>
      </c>
      <c r="F22" s="56" t="str">
        <f t="shared" si="11"/>
        <v>x</v>
      </c>
      <c r="G22" s="57" t="s">
        <v>188</v>
      </c>
      <c r="H22" s="57" t="s">
        <v>188</v>
      </c>
      <c r="J22" s="32">
        <f t="shared" si="1"/>
        <v>118679.6</v>
      </c>
      <c r="K22" s="32">
        <f t="shared" si="2"/>
        <v>364</v>
      </c>
      <c r="L22" s="32">
        <f t="shared" si="3"/>
        <v>525.19999999999993</v>
      </c>
      <c r="M22" s="32">
        <f t="shared" si="4"/>
        <v>0</v>
      </c>
      <c r="N22" s="32">
        <f t="shared" si="5"/>
        <v>0</v>
      </c>
      <c r="O22" s="32">
        <f t="shared" si="6"/>
        <v>254.8</v>
      </c>
      <c r="P22" s="32">
        <f t="shared" si="7"/>
        <v>0</v>
      </c>
      <c r="Q22" s="32">
        <f t="shared" si="8"/>
        <v>0</v>
      </c>
      <c r="R22" s="32">
        <f t="shared" si="9"/>
        <v>0</v>
      </c>
      <c r="T22" s="64">
        <v>2282.3000000000002</v>
      </c>
      <c r="U22" s="64">
        <v>7</v>
      </c>
      <c r="V22" s="64">
        <v>10.1</v>
      </c>
      <c r="W22" s="64">
        <v>0</v>
      </c>
      <c r="X22" s="64">
        <v>0</v>
      </c>
      <c r="Y22" s="64">
        <v>4.9000000000000004</v>
      </c>
      <c r="Z22" s="64">
        <v>0</v>
      </c>
      <c r="AA22" s="64">
        <v>0</v>
      </c>
      <c r="AB22" s="64">
        <v>0</v>
      </c>
      <c r="AD22" s="64">
        <v>117224000</v>
      </c>
      <c r="AE22" s="64">
        <v>163000</v>
      </c>
      <c r="AF22" s="64" t="s">
        <v>188</v>
      </c>
      <c r="AG22" s="145" t="s">
        <v>188</v>
      </c>
      <c r="AH22" s="64" t="s">
        <v>188</v>
      </c>
      <c r="AI22" s="64" t="s">
        <v>188</v>
      </c>
    </row>
    <row r="23" spans="1:35">
      <c r="A23" s="66">
        <v>2003</v>
      </c>
      <c r="B23" s="56">
        <v>118600</v>
      </c>
      <c r="C23" s="56">
        <f t="shared" si="10"/>
        <v>903</v>
      </c>
      <c r="D23" s="56">
        <v>199</v>
      </c>
      <c r="E23" s="56">
        <v>602</v>
      </c>
      <c r="F23" s="56">
        <f t="shared" si="11"/>
        <v>102</v>
      </c>
      <c r="G23" s="56">
        <v>0</v>
      </c>
      <c r="H23" s="56">
        <v>102</v>
      </c>
      <c r="J23" s="32">
        <f t="shared" si="1"/>
        <v>118809.60000000001</v>
      </c>
      <c r="K23" s="32">
        <f t="shared" si="2"/>
        <v>306.8</v>
      </c>
      <c r="L23" s="32">
        <f t="shared" si="3"/>
        <v>696.80000000000007</v>
      </c>
      <c r="M23" s="32">
        <f t="shared" si="4"/>
        <v>0</v>
      </c>
      <c r="N23" s="32">
        <f t="shared" si="5"/>
        <v>0</v>
      </c>
      <c r="O23" s="32">
        <f t="shared" si="6"/>
        <v>442</v>
      </c>
      <c r="P23" s="32">
        <f t="shared" si="7"/>
        <v>0</v>
      </c>
      <c r="Q23" s="32">
        <f t="shared" si="8"/>
        <v>0</v>
      </c>
      <c r="R23" s="32">
        <f t="shared" si="9"/>
        <v>0</v>
      </c>
      <c r="T23" s="64">
        <v>2284.8000000000002</v>
      </c>
      <c r="U23" s="64">
        <v>5.9</v>
      </c>
      <c r="V23" s="64">
        <v>13.4</v>
      </c>
      <c r="W23" s="64">
        <v>0</v>
      </c>
      <c r="X23" s="64">
        <v>0</v>
      </c>
      <c r="Y23" s="64">
        <v>8.5</v>
      </c>
      <c r="Z23" s="64">
        <v>0</v>
      </c>
      <c r="AA23" s="64">
        <v>0</v>
      </c>
      <c r="AB23" s="64">
        <v>0</v>
      </c>
      <c r="AD23" s="64">
        <v>118402000</v>
      </c>
      <c r="AE23" s="64">
        <v>190000</v>
      </c>
      <c r="AF23" s="64">
        <v>646000</v>
      </c>
      <c r="AG23" s="64">
        <v>118000</v>
      </c>
      <c r="AH23" s="64">
        <v>0</v>
      </c>
      <c r="AI23" s="64">
        <v>118000</v>
      </c>
    </row>
    <row r="24" spans="1:35">
      <c r="A24" s="66">
        <v>2004</v>
      </c>
      <c r="B24" s="56">
        <v>117306</v>
      </c>
      <c r="C24" s="56">
        <f t="shared" si="10"/>
        <v>1037</v>
      </c>
      <c r="D24" s="56">
        <v>141</v>
      </c>
      <c r="E24" s="56">
        <v>693</v>
      </c>
      <c r="F24" s="56">
        <f t="shared" si="11"/>
        <v>203</v>
      </c>
      <c r="G24" s="56">
        <v>0</v>
      </c>
      <c r="H24" s="56">
        <v>203</v>
      </c>
      <c r="J24" s="32">
        <f t="shared" si="1"/>
        <v>116911.6</v>
      </c>
      <c r="K24" s="32">
        <f t="shared" si="2"/>
        <v>0</v>
      </c>
      <c r="L24" s="32">
        <f t="shared" si="3"/>
        <v>790.4</v>
      </c>
      <c r="M24" s="32">
        <f t="shared" si="4"/>
        <v>556.4</v>
      </c>
      <c r="N24" s="32">
        <f t="shared" si="5"/>
        <v>0</v>
      </c>
      <c r="O24" s="32">
        <f t="shared" si="6"/>
        <v>0</v>
      </c>
      <c r="P24" s="32">
        <f t="shared" si="7"/>
        <v>0</v>
      </c>
      <c r="Q24" s="32">
        <f t="shared" si="8"/>
        <v>0</v>
      </c>
      <c r="R24" s="32">
        <f t="shared" si="9"/>
        <v>0</v>
      </c>
      <c r="T24" s="64">
        <v>2248.3000000000002</v>
      </c>
      <c r="U24" s="64">
        <v>0</v>
      </c>
      <c r="V24" s="64">
        <v>15.2</v>
      </c>
      <c r="W24" s="64">
        <v>10.7</v>
      </c>
      <c r="X24" s="64">
        <v>0</v>
      </c>
      <c r="Y24" s="64">
        <v>0</v>
      </c>
      <c r="Z24" s="64">
        <v>0</v>
      </c>
      <c r="AA24" s="64">
        <v>0</v>
      </c>
      <c r="AB24" s="64">
        <v>0</v>
      </c>
      <c r="AD24" s="64">
        <v>117154000</v>
      </c>
      <c r="AE24" s="64">
        <v>185000</v>
      </c>
      <c r="AF24" s="64">
        <v>654000</v>
      </c>
      <c r="AG24" s="64">
        <v>244000</v>
      </c>
      <c r="AH24" s="64">
        <v>0</v>
      </c>
      <c r="AI24" s="64">
        <v>244000</v>
      </c>
    </row>
    <row r="25" spans="1:35">
      <c r="A25" s="66">
        <v>2005</v>
      </c>
      <c r="B25" s="56">
        <v>120439</v>
      </c>
      <c r="C25" s="56" t="str">
        <f t="shared" si="10"/>
        <v>x</v>
      </c>
      <c r="D25" s="56">
        <v>113</v>
      </c>
      <c r="E25" s="57">
        <v>729</v>
      </c>
      <c r="F25" s="56" t="str">
        <f t="shared" si="11"/>
        <v>x</v>
      </c>
      <c r="G25" s="56">
        <v>0</v>
      </c>
      <c r="H25" s="57" t="s">
        <v>188</v>
      </c>
      <c r="J25" s="32">
        <f t="shared" si="1"/>
        <v>122428.8</v>
      </c>
      <c r="K25" s="32">
        <f t="shared" si="2"/>
        <v>379.59999999999997</v>
      </c>
      <c r="L25" s="32">
        <f t="shared" si="3"/>
        <v>556.4</v>
      </c>
      <c r="M25" s="32">
        <f t="shared" si="4"/>
        <v>0</v>
      </c>
      <c r="N25" s="32">
        <f t="shared" si="5"/>
        <v>0</v>
      </c>
      <c r="O25" s="32">
        <f t="shared" si="6"/>
        <v>0</v>
      </c>
      <c r="P25" s="32">
        <f t="shared" si="7"/>
        <v>317.2</v>
      </c>
      <c r="Q25" s="32">
        <f t="shared" si="8"/>
        <v>0</v>
      </c>
      <c r="R25" s="32">
        <f t="shared" si="9"/>
        <v>317.2</v>
      </c>
      <c r="T25" s="64">
        <v>2354.4</v>
      </c>
      <c r="U25" s="64">
        <v>7.3</v>
      </c>
      <c r="V25" s="64">
        <v>10.7</v>
      </c>
      <c r="W25" s="64">
        <v>0</v>
      </c>
      <c r="X25" s="64">
        <v>0</v>
      </c>
      <c r="Y25" s="64">
        <v>0</v>
      </c>
      <c r="Z25" s="64">
        <v>6.1</v>
      </c>
      <c r="AA25" s="64">
        <v>0</v>
      </c>
      <c r="AB25" s="64">
        <v>6.1</v>
      </c>
      <c r="AD25" s="64">
        <v>120631000</v>
      </c>
      <c r="AE25" s="64">
        <v>199000</v>
      </c>
      <c r="AF25" s="64" t="s">
        <v>188</v>
      </c>
      <c r="AG25" s="64" t="s">
        <v>188</v>
      </c>
      <c r="AH25" s="64">
        <v>0</v>
      </c>
      <c r="AI25" s="64" t="s">
        <v>188</v>
      </c>
    </row>
    <row r="26" spans="1:35">
      <c r="A26" s="66">
        <v>2006</v>
      </c>
      <c r="B26" s="56">
        <v>123097</v>
      </c>
      <c r="C26" s="56" t="str">
        <f t="shared" si="10"/>
        <v>x</v>
      </c>
      <c r="D26" s="56">
        <v>88</v>
      </c>
      <c r="E26" s="57" t="s">
        <v>188</v>
      </c>
      <c r="F26" s="56" t="str">
        <f t="shared" si="11"/>
        <v>x</v>
      </c>
      <c r="G26" s="56">
        <v>0</v>
      </c>
      <c r="H26" s="57" t="s">
        <v>188</v>
      </c>
      <c r="J26" s="32">
        <f t="shared" si="1"/>
        <v>125164</v>
      </c>
      <c r="K26" s="32">
        <f t="shared" si="2"/>
        <v>0</v>
      </c>
      <c r="L26" s="32">
        <f t="shared" si="3"/>
        <v>655.19999999999993</v>
      </c>
      <c r="M26" s="32">
        <f t="shared" si="4"/>
        <v>0</v>
      </c>
      <c r="N26" s="32">
        <f t="shared" si="5"/>
        <v>0</v>
      </c>
      <c r="O26" s="32">
        <f t="shared" si="6"/>
        <v>0</v>
      </c>
      <c r="P26" s="32">
        <f t="shared" si="7"/>
        <v>431.6</v>
      </c>
      <c r="Q26" s="32">
        <f t="shared" si="8"/>
        <v>0</v>
      </c>
      <c r="R26" s="32">
        <f t="shared" si="9"/>
        <v>416</v>
      </c>
      <c r="T26" s="64">
        <v>2407</v>
      </c>
      <c r="U26" s="64">
        <v>0</v>
      </c>
      <c r="V26" s="64">
        <v>12.6</v>
      </c>
      <c r="W26" s="64">
        <v>0</v>
      </c>
      <c r="X26" s="64">
        <v>0</v>
      </c>
      <c r="Y26" s="64">
        <v>0</v>
      </c>
      <c r="Z26" s="64">
        <v>8.3000000000000007</v>
      </c>
      <c r="AA26" s="64">
        <v>0</v>
      </c>
      <c r="AB26" s="64">
        <v>8</v>
      </c>
      <c r="AD26" s="64">
        <v>122893000</v>
      </c>
      <c r="AE26" s="64">
        <v>196000</v>
      </c>
      <c r="AF26" s="64" t="s">
        <v>188</v>
      </c>
      <c r="AG26" s="64" t="s">
        <v>188</v>
      </c>
      <c r="AH26" s="64">
        <v>0</v>
      </c>
      <c r="AI26" s="64" t="s">
        <v>188</v>
      </c>
    </row>
    <row r="27" spans="1:35">
      <c r="A27" s="66">
        <v>2007</v>
      </c>
      <c r="B27" s="56">
        <v>121333</v>
      </c>
      <c r="C27" s="56" t="str">
        <f t="shared" si="10"/>
        <v>x</v>
      </c>
      <c r="D27" s="56">
        <v>21</v>
      </c>
      <c r="E27" s="56" t="s">
        <v>188</v>
      </c>
      <c r="F27" s="56" t="str">
        <f t="shared" si="11"/>
        <v>x</v>
      </c>
      <c r="G27" s="56">
        <v>0</v>
      </c>
      <c r="H27" s="56" t="s">
        <v>188</v>
      </c>
      <c r="J27" s="32">
        <f t="shared" si="1"/>
        <v>124181.2</v>
      </c>
      <c r="K27" s="32">
        <f t="shared" si="2"/>
        <v>0</v>
      </c>
      <c r="L27" s="32">
        <f t="shared" si="3"/>
        <v>613.6</v>
      </c>
      <c r="M27" s="32">
        <f t="shared" si="4"/>
        <v>0</v>
      </c>
      <c r="N27" s="32">
        <f t="shared" si="5"/>
        <v>0</v>
      </c>
      <c r="O27" s="32">
        <f t="shared" si="6"/>
        <v>0</v>
      </c>
      <c r="P27" s="32">
        <f t="shared" si="7"/>
        <v>702</v>
      </c>
      <c r="Q27" s="32">
        <f t="shared" si="8"/>
        <v>0</v>
      </c>
      <c r="R27" s="32">
        <f t="shared" si="9"/>
        <v>629.19999999999993</v>
      </c>
      <c r="T27" s="64">
        <v>2388.1</v>
      </c>
      <c r="U27" s="64">
        <v>0</v>
      </c>
      <c r="V27" s="64">
        <v>11.8</v>
      </c>
      <c r="W27" s="64">
        <v>0</v>
      </c>
      <c r="X27" s="64">
        <v>0</v>
      </c>
      <c r="Y27" s="64">
        <v>0</v>
      </c>
      <c r="Z27" s="64">
        <v>13.5</v>
      </c>
      <c r="AA27" s="64">
        <v>0</v>
      </c>
      <c r="AB27" s="64">
        <v>12.1</v>
      </c>
    </row>
    <row r="28" spans="1:35">
      <c r="A28" s="66">
        <v>2008</v>
      </c>
      <c r="B28" s="56">
        <v>122299</v>
      </c>
      <c r="C28" s="56" t="str">
        <f>IFERROR(D28+E28+F28,"x")</f>
        <v>x</v>
      </c>
      <c r="D28" s="56">
        <v>21</v>
      </c>
      <c r="E28" s="56" t="s">
        <v>188</v>
      </c>
      <c r="F28" s="56" t="str">
        <f t="shared" si="11"/>
        <v>x</v>
      </c>
      <c r="G28" s="56">
        <v>0</v>
      </c>
      <c r="H28" s="56" t="s">
        <v>188</v>
      </c>
      <c r="J28" s="32"/>
      <c r="K28" s="32"/>
      <c r="L28" s="32"/>
      <c r="M28" s="32"/>
      <c r="N28" s="32"/>
      <c r="O28" s="32"/>
      <c r="P28" s="32"/>
      <c r="Q28" s="32"/>
      <c r="R28" s="32"/>
    </row>
    <row r="29" spans="1:35">
      <c r="A29" s="66">
        <v>2009</v>
      </c>
      <c r="B29" s="56">
        <v>120914</v>
      </c>
      <c r="C29" s="56" t="str">
        <f t="shared" ref="C29:C31" si="12">IFERROR(D29+E29+F29,"x")</f>
        <v>x</v>
      </c>
      <c r="D29" s="56">
        <v>24</v>
      </c>
      <c r="E29" s="56" t="s">
        <v>188</v>
      </c>
      <c r="F29" s="56" t="str">
        <f t="shared" si="11"/>
        <v>x</v>
      </c>
      <c r="G29" s="56">
        <v>0</v>
      </c>
      <c r="H29" s="56" t="s">
        <v>188</v>
      </c>
      <c r="J29" s="32"/>
      <c r="K29" s="32"/>
      <c r="L29" s="32"/>
      <c r="M29" s="32"/>
      <c r="N29" s="32"/>
      <c r="O29" s="32"/>
      <c r="P29" s="32"/>
      <c r="Q29" s="32"/>
      <c r="R29" s="32"/>
    </row>
    <row r="30" spans="1:35">
      <c r="A30" s="66">
        <v>2010</v>
      </c>
      <c r="B30" s="56">
        <v>121302</v>
      </c>
      <c r="C30" s="56" t="str">
        <f t="shared" si="12"/>
        <v>x</v>
      </c>
      <c r="D30" s="56">
        <v>71</v>
      </c>
      <c r="E30" s="56" t="s">
        <v>188</v>
      </c>
      <c r="F30" s="56" t="str">
        <f t="shared" si="11"/>
        <v>x</v>
      </c>
      <c r="G30" s="56">
        <v>0</v>
      </c>
      <c r="H30" s="56" t="s">
        <v>188</v>
      </c>
      <c r="J30" s="32"/>
      <c r="K30" s="32"/>
      <c r="L30" s="32"/>
      <c r="M30" s="32"/>
      <c r="N30" s="32"/>
      <c r="O30" s="32"/>
      <c r="P30" s="32"/>
      <c r="Q30" s="32"/>
      <c r="R30" s="32"/>
    </row>
    <row r="31" spans="1:35" ht="16.5" customHeight="1">
      <c r="A31" s="66">
        <v>2011</v>
      </c>
      <c r="B31" s="57">
        <v>126148</v>
      </c>
      <c r="C31" s="56" t="str">
        <f t="shared" si="12"/>
        <v>x</v>
      </c>
      <c r="D31" s="57">
        <v>26</v>
      </c>
      <c r="E31" s="57" t="s">
        <v>188</v>
      </c>
      <c r="F31" s="56" t="str">
        <f t="shared" si="11"/>
        <v>x</v>
      </c>
      <c r="G31" s="57">
        <v>0</v>
      </c>
      <c r="H31" s="57" t="s">
        <v>188</v>
      </c>
    </row>
    <row r="32" spans="1:35" ht="16.5" customHeight="1">
      <c r="A32" s="66"/>
      <c r="C32" s="56"/>
    </row>
    <row r="33" spans="1:22">
      <c r="A33" s="64" t="s">
        <v>498</v>
      </c>
      <c r="B33" s="57"/>
      <c r="C33" s="57"/>
      <c r="D33" s="57"/>
      <c r="E33" s="57"/>
      <c r="F33" s="57"/>
      <c r="G33" s="57"/>
      <c r="H33" s="57"/>
    </row>
    <row r="34" spans="1:22">
      <c r="A34" s="64" t="s">
        <v>1780</v>
      </c>
      <c r="B34" s="65">
        <f>IFERROR(((B31/B17)^(1/14)-1)*100,"n.a.")</f>
        <v>0.99468320425728507</v>
      </c>
      <c r="C34" s="65" t="str">
        <f t="shared" ref="C34:H34" si="13">IFERROR(((C31/C17)^(1/14)-1)*100,"n.a.")</f>
        <v>n.a.</v>
      </c>
      <c r="D34" s="65">
        <f t="shared" si="13"/>
        <v>-15.095356143076998</v>
      </c>
      <c r="E34" s="65" t="str">
        <f t="shared" si="13"/>
        <v>n.a.</v>
      </c>
      <c r="F34" s="65" t="str">
        <f t="shared" si="13"/>
        <v>n.a.</v>
      </c>
      <c r="G34" s="65" t="str">
        <f t="shared" si="13"/>
        <v>n.a.</v>
      </c>
      <c r="H34" s="65" t="str">
        <f t="shared" si="13"/>
        <v>n.a.</v>
      </c>
      <c r="J34" s="138">
        <f>((J26/J17)^(1/9)-1)*100</f>
        <v>1.4574644319281127</v>
      </c>
      <c r="K34" s="138" t="e">
        <f t="shared" ref="K34:R34" si="14">((K26/K17)^(1/9)-1)*100</f>
        <v>#DIV/0!</v>
      </c>
      <c r="L34" s="138">
        <f t="shared" si="14"/>
        <v>-0.68164279291599295</v>
      </c>
      <c r="M34" s="138" t="e">
        <f t="shared" si="14"/>
        <v>#DIV/0!</v>
      </c>
      <c r="N34" s="138" t="e">
        <f t="shared" si="14"/>
        <v>#DIV/0!</v>
      </c>
      <c r="O34" s="138">
        <f t="shared" si="14"/>
        <v>-100</v>
      </c>
      <c r="P34" s="138" t="e">
        <f t="shared" si="14"/>
        <v>#DIV/0!</v>
      </c>
      <c r="Q34" s="138" t="e">
        <f t="shared" si="14"/>
        <v>#DIV/0!</v>
      </c>
      <c r="R34" s="138" t="e">
        <f t="shared" si="14"/>
        <v>#DIV/0!</v>
      </c>
    </row>
    <row r="35" spans="1:22">
      <c r="A35" s="64" t="s">
        <v>663</v>
      </c>
      <c r="B35" s="65">
        <f>IFERROR(((B20/B17)^(1/3)-1)*100,"n.a.")</f>
        <v>1.8076316276936177</v>
      </c>
      <c r="C35" s="65" t="str">
        <f t="shared" ref="C35:H35" si="15">IFERROR(((C20/C17)^(1/3)-1)*100,"n.a.")</f>
        <v>n.a.</v>
      </c>
      <c r="D35" s="65">
        <f t="shared" si="15"/>
        <v>-3.0768371069300415</v>
      </c>
      <c r="E35" s="65" t="str">
        <f t="shared" si="15"/>
        <v>n.a.</v>
      </c>
      <c r="F35" s="65" t="str">
        <f t="shared" si="15"/>
        <v>n.a.</v>
      </c>
      <c r="G35" s="65" t="str">
        <f t="shared" si="15"/>
        <v>n.a.</v>
      </c>
      <c r="H35" s="65" t="str">
        <f t="shared" si="15"/>
        <v>n.a.</v>
      </c>
      <c r="J35" s="138"/>
      <c r="K35" s="138"/>
      <c r="L35" s="138"/>
      <c r="M35" s="138"/>
      <c r="N35" s="138"/>
      <c r="O35" s="138"/>
      <c r="P35" s="138"/>
      <c r="Q35" s="138"/>
      <c r="R35" s="138"/>
    </row>
    <row r="36" spans="1:22">
      <c r="A36" s="64" t="s">
        <v>1782</v>
      </c>
      <c r="B36" s="65">
        <f>IFERROR(((B31/B20)^(1/11)-1)*100,"n.a.")</f>
        <v>0.77409881182981533</v>
      </c>
      <c r="C36" s="65" t="str">
        <f t="shared" ref="C36:H36" si="16">IFERROR(((C31/C20)^(1/11)-1)*100,"n.a.")</f>
        <v>n.a.</v>
      </c>
      <c r="D36" s="65">
        <f t="shared" si="16"/>
        <v>-18.10626459603758</v>
      </c>
      <c r="E36" s="65" t="str">
        <f t="shared" si="16"/>
        <v>n.a.</v>
      </c>
      <c r="F36" s="65" t="str">
        <f t="shared" si="16"/>
        <v>n.a.</v>
      </c>
      <c r="G36" s="65">
        <f t="shared" si="16"/>
        <v>-100</v>
      </c>
      <c r="H36" s="65" t="str">
        <f t="shared" si="16"/>
        <v>n.a.</v>
      </c>
      <c r="J36" s="138"/>
      <c r="K36" s="138"/>
      <c r="L36" s="138"/>
      <c r="M36" s="138"/>
      <c r="N36" s="138"/>
      <c r="O36" s="138"/>
      <c r="P36" s="138"/>
      <c r="Q36" s="138"/>
      <c r="R36" s="138"/>
    </row>
    <row r="37" spans="1:22">
      <c r="B37" s="57"/>
      <c r="C37" s="57"/>
      <c r="D37" s="57"/>
      <c r="E37" s="57"/>
      <c r="F37" s="57"/>
      <c r="G37" s="57"/>
      <c r="H37" s="57"/>
    </row>
    <row r="38" spans="1:22">
      <c r="A38" s="137" t="s">
        <v>494</v>
      </c>
      <c r="B38" s="137"/>
      <c r="C38" s="137"/>
      <c r="D38" s="137"/>
      <c r="E38" s="137"/>
      <c r="F38" s="137"/>
      <c r="G38" s="137"/>
      <c r="H38" s="137"/>
    </row>
    <row r="39" spans="1:22">
      <c r="A39" s="137" t="s">
        <v>495</v>
      </c>
      <c r="B39" s="137"/>
      <c r="C39" s="137"/>
      <c r="D39" s="137"/>
      <c r="E39" s="137"/>
      <c r="F39" s="137"/>
      <c r="G39" s="137"/>
      <c r="H39" s="137"/>
    </row>
    <row r="40" spans="1:22" ht="15" hidden="1" customHeight="1" outlineLevel="1">
      <c r="A40" s="137" t="s">
        <v>496</v>
      </c>
      <c r="B40" s="137"/>
      <c r="C40" s="137"/>
      <c r="D40" s="137"/>
      <c r="E40" s="137"/>
      <c r="F40" s="137"/>
      <c r="G40" s="137"/>
      <c r="H40" s="137"/>
    </row>
    <row r="41" spans="1:22" collapsed="1">
      <c r="A41" s="137" t="s">
        <v>193</v>
      </c>
      <c r="B41" s="137"/>
      <c r="C41" s="137"/>
      <c r="D41" s="137"/>
      <c r="E41" s="137"/>
      <c r="F41" s="137"/>
      <c r="G41" s="137"/>
      <c r="H41" s="137"/>
    </row>
    <row r="42" spans="1:22">
      <c r="A42" s="137" t="s">
        <v>194</v>
      </c>
      <c r="B42" s="137"/>
      <c r="C42" s="137"/>
      <c r="D42" s="137"/>
      <c r="E42" s="137"/>
      <c r="F42" s="137"/>
      <c r="G42" s="137"/>
      <c r="H42" s="137"/>
    </row>
    <row r="43" spans="1:22">
      <c r="A43" s="137" t="s">
        <v>383</v>
      </c>
      <c r="B43" s="137"/>
      <c r="C43" s="137"/>
      <c r="D43" s="137"/>
      <c r="E43" s="137"/>
      <c r="F43" s="137"/>
      <c r="G43" s="137"/>
      <c r="H43" s="137"/>
    </row>
    <row r="44" spans="1:22" ht="15" hidden="1" customHeight="1" outlineLevel="1">
      <c r="A44" s="64" t="s">
        <v>497</v>
      </c>
      <c r="C44" s="142"/>
    </row>
    <row r="45" spans="1:22" collapsed="1">
      <c r="B45" s="142"/>
      <c r="C45" s="142"/>
      <c r="D45" s="143"/>
      <c r="E45" s="143"/>
      <c r="F45" s="143"/>
      <c r="G45" s="143"/>
      <c r="H45" s="143"/>
      <c r="I45" s="143"/>
      <c r="J45" s="143"/>
      <c r="K45" s="143"/>
      <c r="L45" s="143"/>
      <c r="M45" s="143"/>
      <c r="N45" s="143"/>
      <c r="O45" s="143"/>
      <c r="P45" s="143"/>
      <c r="Q45" s="143"/>
      <c r="R45" s="143"/>
      <c r="S45" s="143"/>
      <c r="T45" s="143"/>
      <c r="U45" s="143"/>
      <c r="V45" s="143"/>
    </row>
    <row r="46" spans="1:22">
      <c r="B46" s="142"/>
      <c r="C46" s="142"/>
      <c r="D46" s="143"/>
      <c r="E46" s="143"/>
      <c r="F46" s="143"/>
      <c r="G46" s="143"/>
      <c r="H46" s="143"/>
      <c r="I46" s="143"/>
      <c r="J46" s="143"/>
      <c r="K46" s="143"/>
      <c r="L46" s="143"/>
      <c r="M46" s="143"/>
      <c r="N46" s="143"/>
      <c r="O46" s="143"/>
      <c r="P46" s="143"/>
      <c r="Q46" s="143"/>
      <c r="R46" s="143"/>
      <c r="S46" s="143"/>
      <c r="T46" s="143"/>
      <c r="U46" s="143"/>
      <c r="V46" s="143"/>
    </row>
    <row r="47" spans="1:22">
      <c r="B47" s="142"/>
      <c r="C47" s="142"/>
      <c r="D47" s="143"/>
      <c r="E47" s="143"/>
      <c r="F47" s="143"/>
      <c r="G47" s="143"/>
      <c r="H47" s="143"/>
      <c r="I47" s="143"/>
      <c r="J47" s="143"/>
      <c r="K47" s="143"/>
      <c r="L47" s="143"/>
      <c r="M47" s="143"/>
      <c r="N47" s="143"/>
      <c r="O47" s="143"/>
      <c r="P47" s="143"/>
      <c r="Q47" s="143"/>
      <c r="R47" s="143"/>
      <c r="S47" s="143"/>
      <c r="T47" s="143"/>
      <c r="U47" s="143"/>
      <c r="V47" s="143"/>
    </row>
    <row r="48" spans="1:22">
      <c r="B48" s="142"/>
      <c r="C48" s="142"/>
      <c r="D48" s="143"/>
      <c r="E48" s="143"/>
      <c r="F48" s="143"/>
      <c r="G48" s="143"/>
      <c r="H48" s="143"/>
      <c r="I48" s="143"/>
      <c r="J48" s="143"/>
      <c r="K48" s="143"/>
      <c r="L48" s="143"/>
      <c r="M48" s="143"/>
      <c r="N48" s="143"/>
      <c r="O48" s="143"/>
      <c r="P48" s="143"/>
      <c r="Q48" s="143"/>
      <c r="R48" s="143"/>
      <c r="S48" s="143"/>
      <c r="T48" s="143"/>
      <c r="U48" s="143"/>
      <c r="V48" s="143"/>
    </row>
    <row r="49" spans="2:22">
      <c r="B49" s="142"/>
      <c r="C49" s="142"/>
      <c r="D49" s="143"/>
      <c r="E49" s="143"/>
      <c r="F49" s="143"/>
      <c r="G49" s="143"/>
      <c r="H49" s="143"/>
      <c r="I49" s="143"/>
      <c r="J49" s="143"/>
      <c r="K49" s="143"/>
      <c r="L49" s="143"/>
      <c r="M49" s="143"/>
      <c r="N49" s="143"/>
      <c r="O49" s="143"/>
      <c r="P49" s="143"/>
      <c r="Q49" s="143"/>
      <c r="R49" s="143"/>
      <c r="S49" s="143"/>
      <c r="T49" s="143"/>
      <c r="U49" s="143"/>
      <c r="V49" s="143"/>
    </row>
    <row r="50" spans="2:22">
      <c r="B50" s="142"/>
      <c r="C50" s="142"/>
      <c r="D50" s="143"/>
      <c r="E50" s="143"/>
      <c r="F50" s="143"/>
      <c r="G50" s="143"/>
      <c r="H50" s="143"/>
      <c r="I50" s="143"/>
      <c r="J50" s="143"/>
      <c r="K50" s="143"/>
      <c r="L50" s="143"/>
      <c r="M50" s="143"/>
      <c r="N50" s="143"/>
      <c r="O50" s="143"/>
      <c r="P50" s="143"/>
      <c r="Q50" s="143"/>
      <c r="R50" s="143"/>
      <c r="S50" s="143"/>
      <c r="T50" s="143"/>
      <c r="U50" s="143"/>
      <c r="V50" s="143"/>
    </row>
    <row r="51" spans="2:22">
      <c r="B51" s="142"/>
      <c r="D51" s="143"/>
      <c r="E51" s="143"/>
      <c r="F51" s="143"/>
      <c r="G51" s="143"/>
      <c r="H51" s="143"/>
      <c r="I51" s="143"/>
      <c r="J51" s="143"/>
      <c r="K51" s="143"/>
      <c r="L51" s="143"/>
      <c r="M51" s="143"/>
      <c r="N51" s="143"/>
      <c r="O51" s="143"/>
      <c r="P51" s="143"/>
      <c r="Q51" s="143"/>
      <c r="R51" s="143"/>
      <c r="S51" s="143"/>
      <c r="T51" s="143"/>
      <c r="U51" s="143"/>
      <c r="V51" s="143"/>
    </row>
  </sheetData>
  <mergeCells count="7">
    <mergeCell ref="A42:H42"/>
    <mergeCell ref="A43:H43"/>
    <mergeCell ref="A1:H1"/>
    <mergeCell ref="A38:H38"/>
    <mergeCell ref="A39:H39"/>
    <mergeCell ref="A40:H40"/>
    <mergeCell ref="A41:H41"/>
  </mergeCells>
  <pageMargins left="0.7" right="0.7" top="0.75" bottom="0.75" header="0.3" footer="0.3"/>
  <pageSetup scale="90" orientation="landscape" horizontalDpi="0" verticalDpi="0" r:id="rId1"/>
</worksheet>
</file>

<file path=xl/worksheets/sheet172.xml><?xml version="1.0" encoding="utf-8"?>
<worksheet xmlns="http://schemas.openxmlformats.org/spreadsheetml/2006/main" xmlns:r="http://schemas.openxmlformats.org/officeDocument/2006/relationships">
  <sheetPr codeName="Sheet166"/>
  <dimension ref="A1:AJ46"/>
  <sheetViews>
    <sheetView view="pageBreakPreview" zoomScaleNormal="85" zoomScaleSheetLayoutView="100"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28515625" style="64" customWidth="1"/>
    <col min="2" max="2" width="15.42578125" style="64" customWidth="1"/>
    <col min="3" max="3" width="15.28515625" style="64" customWidth="1"/>
    <col min="4" max="8" width="15.42578125" style="64" customWidth="1"/>
    <col min="9" max="9" width="4.28515625" style="64" customWidth="1"/>
    <col min="10" max="35" width="9.140625" style="64" hidden="1" customWidth="1" outlineLevel="1"/>
    <col min="36" max="36" width="9.140625" style="64" collapsed="1"/>
    <col min="37" max="16384" width="9.140625" style="64"/>
  </cols>
  <sheetData>
    <row r="1" spans="1:35">
      <c r="A1" s="108" t="s">
        <v>2096</v>
      </c>
      <c r="B1" s="108"/>
      <c r="C1" s="108"/>
      <c r="D1" s="108"/>
      <c r="E1" s="108"/>
      <c r="F1" s="108"/>
      <c r="G1" s="108"/>
      <c r="H1" s="108"/>
    </row>
    <row r="2" spans="1:35" ht="120">
      <c r="A2" s="66"/>
      <c r="B2" s="73" t="s">
        <v>41</v>
      </c>
      <c r="C2" s="73" t="s">
        <v>37</v>
      </c>
      <c r="D2" s="73" t="s">
        <v>0</v>
      </c>
      <c r="E2" s="73" t="s">
        <v>1</v>
      </c>
      <c r="F2" s="73" t="s">
        <v>2</v>
      </c>
      <c r="G2" s="73" t="s">
        <v>13</v>
      </c>
      <c r="H2" s="73" t="s">
        <v>19</v>
      </c>
      <c r="J2" s="73" t="s">
        <v>41</v>
      </c>
      <c r="K2" s="73" t="s">
        <v>492</v>
      </c>
      <c r="L2" s="73" t="s">
        <v>67</v>
      </c>
      <c r="M2" s="73" t="s">
        <v>68</v>
      </c>
      <c r="N2" s="73" t="s">
        <v>69</v>
      </c>
      <c r="O2" s="73" t="s">
        <v>70</v>
      </c>
      <c r="P2" s="73" t="s">
        <v>71</v>
      </c>
      <c r="Q2" s="73" t="s">
        <v>72</v>
      </c>
      <c r="R2" s="73" t="s">
        <v>73</v>
      </c>
      <c r="T2" s="73" t="s">
        <v>41</v>
      </c>
      <c r="U2" s="117" t="s">
        <v>492</v>
      </c>
      <c r="V2" s="117" t="s">
        <v>67</v>
      </c>
      <c r="W2" s="117" t="s">
        <v>68</v>
      </c>
      <c r="X2" s="117" t="s">
        <v>69</v>
      </c>
      <c r="Y2" s="117" t="s">
        <v>70</v>
      </c>
      <c r="Z2" s="117" t="s">
        <v>71</v>
      </c>
      <c r="AA2" s="117" t="s">
        <v>72</v>
      </c>
      <c r="AB2" s="117" t="s">
        <v>73</v>
      </c>
      <c r="AD2" s="64" t="s">
        <v>396</v>
      </c>
      <c r="AE2" s="64" t="s">
        <v>397</v>
      </c>
      <c r="AF2" s="64" t="s">
        <v>398</v>
      </c>
      <c r="AG2" s="64" t="s">
        <v>399</v>
      </c>
      <c r="AH2" s="64" t="s">
        <v>400</v>
      </c>
      <c r="AI2" s="64" t="s">
        <v>401</v>
      </c>
    </row>
    <row r="3" spans="1:35" hidden="1" outlineLevel="1">
      <c r="C3" s="135"/>
      <c r="AD3" s="64" t="s">
        <v>402</v>
      </c>
      <c r="AE3" s="64" t="s">
        <v>403</v>
      </c>
      <c r="AF3" s="64" t="s">
        <v>404</v>
      </c>
      <c r="AG3" s="64" t="s">
        <v>405</v>
      </c>
      <c r="AH3" s="64" t="s">
        <v>406</v>
      </c>
      <c r="AI3" s="64" t="s">
        <v>407</v>
      </c>
    </row>
    <row r="4" spans="1:35" hidden="1" outlineLevel="1" collapsed="1">
      <c r="A4" s="64">
        <v>1984</v>
      </c>
      <c r="C4" s="57"/>
    </row>
    <row r="5" spans="1:35" hidden="1" outlineLevel="1">
      <c r="A5" s="64">
        <v>1985</v>
      </c>
      <c r="C5" s="57"/>
    </row>
    <row r="6" spans="1:35" hidden="1" outlineLevel="1">
      <c r="A6" s="64">
        <v>1986</v>
      </c>
      <c r="C6" s="57"/>
    </row>
    <row r="7" spans="1:35" hidden="1" outlineLevel="1">
      <c r="A7" s="64">
        <v>1987</v>
      </c>
      <c r="C7" s="57"/>
      <c r="J7" s="32">
        <f>T7*52</f>
        <v>644092.79999999993</v>
      </c>
      <c r="K7" s="32">
        <f t="shared" ref="K7:R7" si="0">U7*52</f>
        <v>5272.8</v>
      </c>
      <c r="L7" s="32">
        <f t="shared" si="0"/>
        <v>4888</v>
      </c>
      <c r="M7" s="32">
        <f t="shared" si="0"/>
        <v>3354</v>
      </c>
      <c r="N7" s="32">
        <f t="shared" si="0"/>
        <v>0</v>
      </c>
      <c r="O7" s="32">
        <f t="shared" si="0"/>
        <v>1289.6000000000001</v>
      </c>
      <c r="P7" s="32">
        <f t="shared" si="0"/>
        <v>8616.4</v>
      </c>
      <c r="Q7" s="32">
        <f t="shared" si="0"/>
        <v>7196.8</v>
      </c>
      <c r="R7" s="32">
        <f t="shared" si="0"/>
        <v>1419.6000000000001</v>
      </c>
      <c r="T7" s="64">
        <v>12386.4</v>
      </c>
      <c r="U7" s="64">
        <v>101.4</v>
      </c>
      <c r="V7" s="64">
        <v>94</v>
      </c>
      <c r="W7" s="64">
        <v>64.5</v>
      </c>
      <c r="X7" s="64">
        <v>0</v>
      </c>
      <c r="Y7" s="64">
        <v>24.8</v>
      </c>
      <c r="Z7" s="64">
        <v>165.7</v>
      </c>
      <c r="AA7" s="64">
        <v>138.4</v>
      </c>
      <c r="AB7" s="64">
        <v>27.3</v>
      </c>
    </row>
    <row r="8" spans="1:35" hidden="1" outlineLevel="1">
      <c r="A8" s="64">
        <v>1988</v>
      </c>
      <c r="C8" s="57"/>
      <c r="J8" s="32">
        <f t="shared" ref="J8:J27" si="1">T8*52</f>
        <v>684080.79999999993</v>
      </c>
      <c r="K8" s="32">
        <f t="shared" ref="K8:K27" si="2">U8*52</f>
        <v>5267.5999999999995</v>
      </c>
      <c r="L8" s="32">
        <f t="shared" ref="L8:L27" si="3">V8*52</f>
        <v>3733.6</v>
      </c>
      <c r="M8" s="32">
        <f t="shared" ref="M8:M27" si="4">W8*52</f>
        <v>1783.6</v>
      </c>
      <c r="N8" s="32">
        <f t="shared" ref="N8:N27" si="5">X8*52</f>
        <v>0</v>
      </c>
      <c r="O8" s="32">
        <f t="shared" ref="O8:O27" si="6">Y8*52</f>
        <v>1710.8</v>
      </c>
      <c r="P8" s="32">
        <f t="shared" ref="P8:P27" si="7">Z8*52</f>
        <v>8595.6</v>
      </c>
      <c r="Q8" s="32">
        <f t="shared" ref="Q8:Q27" si="8">AA8*52</f>
        <v>8122.4</v>
      </c>
      <c r="R8" s="32">
        <f t="shared" ref="R8:R27" si="9">AB8*52</f>
        <v>0</v>
      </c>
      <c r="T8" s="64">
        <v>13155.4</v>
      </c>
      <c r="U8" s="64">
        <v>101.3</v>
      </c>
      <c r="V8" s="64">
        <v>71.8</v>
      </c>
      <c r="W8" s="64">
        <v>34.299999999999997</v>
      </c>
      <c r="X8" s="64">
        <v>0</v>
      </c>
      <c r="Y8" s="64">
        <v>32.9</v>
      </c>
      <c r="Z8" s="64">
        <v>165.3</v>
      </c>
      <c r="AA8" s="64">
        <v>156.19999999999999</v>
      </c>
      <c r="AB8" s="64">
        <v>0</v>
      </c>
    </row>
    <row r="9" spans="1:35" hidden="1" outlineLevel="1">
      <c r="A9" s="64">
        <v>1989</v>
      </c>
      <c r="C9" s="57"/>
      <c r="J9" s="32">
        <f t="shared" si="1"/>
        <v>707709.6</v>
      </c>
      <c r="K9" s="32">
        <f t="shared" si="2"/>
        <v>3302</v>
      </c>
      <c r="L9" s="32">
        <f t="shared" si="3"/>
        <v>3889.6</v>
      </c>
      <c r="M9" s="32">
        <f t="shared" si="4"/>
        <v>1970.8</v>
      </c>
      <c r="N9" s="32">
        <f t="shared" si="5"/>
        <v>0</v>
      </c>
      <c r="O9" s="32">
        <f t="shared" si="6"/>
        <v>1554.8</v>
      </c>
      <c r="P9" s="32">
        <f t="shared" si="7"/>
        <v>9219.6</v>
      </c>
      <c r="Q9" s="32">
        <f t="shared" si="8"/>
        <v>7727.2</v>
      </c>
      <c r="R9" s="32">
        <f t="shared" si="9"/>
        <v>1492.3999999999999</v>
      </c>
      <c r="T9" s="64">
        <v>13609.8</v>
      </c>
      <c r="U9" s="64">
        <v>63.5</v>
      </c>
      <c r="V9" s="64">
        <v>74.8</v>
      </c>
      <c r="W9" s="64">
        <v>37.9</v>
      </c>
      <c r="X9" s="64">
        <v>0</v>
      </c>
      <c r="Y9" s="64">
        <v>29.9</v>
      </c>
      <c r="Z9" s="64">
        <v>177.3</v>
      </c>
      <c r="AA9" s="64">
        <v>148.6</v>
      </c>
      <c r="AB9" s="64">
        <v>28.7</v>
      </c>
    </row>
    <row r="10" spans="1:35" hidden="1" outlineLevel="1">
      <c r="A10" s="64">
        <v>1990</v>
      </c>
      <c r="C10" s="57"/>
      <c r="J10" s="32">
        <f t="shared" si="1"/>
        <v>705244.79999999993</v>
      </c>
      <c r="K10" s="32">
        <f t="shared" si="2"/>
        <v>3203.2000000000003</v>
      </c>
      <c r="L10" s="32">
        <f t="shared" si="3"/>
        <v>3276</v>
      </c>
      <c r="M10" s="32">
        <f t="shared" si="4"/>
        <v>1939.6</v>
      </c>
      <c r="N10" s="32">
        <f t="shared" si="5"/>
        <v>0</v>
      </c>
      <c r="O10" s="32">
        <f t="shared" si="6"/>
        <v>884</v>
      </c>
      <c r="P10" s="32">
        <f t="shared" si="7"/>
        <v>8075.6</v>
      </c>
      <c r="Q10" s="32">
        <f t="shared" si="8"/>
        <v>6172.4000000000005</v>
      </c>
      <c r="R10" s="32">
        <f t="shared" si="9"/>
        <v>1903.2</v>
      </c>
      <c r="T10" s="64">
        <v>13562.4</v>
      </c>
      <c r="U10" s="64">
        <v>61.6</v>
      </c>
      <c r="V10" s="64">
        <v>63</v>
      </c>
      <c r="W10" s="64">
        <v>37.299999999999997</v>
      </c>
      <c r="X10" s="64">
        <v>0</v>
      </c>
      <c r="Y10" s="64">
        <v>17</v>
      </c>
      <c r="Z10" s="64">
        <v>155.30000000000001</v>
      </c>
      <c r="AA10" s="64">
        <v>118.7</v>
      </c>
      <c r="AB10" s="64">
        <v>36.6</v>
      </c>
    </row>
    <row r="11" spans="1:35" hidden="1" outlineLevel="1">
      <c r="A11" s="64">
        <v>1991</v>
      </c>
      <c r="C11" s="57"/>
      <c r="J11" s="32">
        <f t="shared" si="1"/>
        <v>676951.6</v>
      </c>
      <c r="K11" s="32">
        <f t="shared" si="2"/>
        <v>3728.4</v>
      </c>
      <c r="L11" s="32">
        <f t="shared" si="3"/>
        <v>3484</v>
      </c>
      <c r="M11" s="32">
        <f t="shared" si="4"/>
        <v>1965.6</v>
      </c>
      <c r="N11" s="32">
        <f t="shared" si="5"/>
        <v>0</v>
      </c>
      <c r="O11" s="32">
        <f t="shared" si="6"/>
        <v>993.2</v>
      </c>
      <c r="P11" s="32">
        <f t="shared" si="7"/>
        <v>5777.2</v>
      </c>
      <c r="Q11" s="32">
        <f t="shared" si="8"/>
        <v>4555.2</v>
      </c>
      <c r="R11" s="32">
        <f t="shared" si="9"/>
        <v>1222</v>
      </c>
      <c r="T11" s="64">
        <v>13018.3</v>
      </c>
      <c r="U11" s="64">
        <v>71.7</v>
      </c>
      <c r="V11" s="64">
        <v>67</v>
      </c>
      <c r="W11" s="64">
        <v>37.799999999999997</v>
      </c>
      <c r="X11" s="64">
        <v>0</v>
      </c>
      <c r="Y11" s="64">
        <v>19.100000000000001</v>
      </c>
      <c r="Z11" s="64">
        <v>111.1</v>
      </c>
      <c r="AA11" s="64">
        <v>87.6</v>
      </c>
      <c r="AB11" s="64">
        <v>23.5</v>
      </c>
    </row>
    <row r="12" spans="1:35" hidden="1" outlineLevel="1">
      <c r="A12" s="64">
        <v>1992</v>
      </c>
      <c r="B12" s="57"/>
      <c r="C12" s="57"/>
      <c r="D12" s="57"/>
      <c r="E12" s="57"/>
      <c r="F12" s="57"/>
      <c r="G12" s="57"/>
      <c r="H12" s="57"/>
      <c r="J12" s="32">
        <f t="shared" si="1"/>
        <v>650946.4</v>
      </c>
      <c r="K12" s="32">
        <f t="shared" si="2"/>
        <v>4430.4000000000005</v>
      </c>
      <c r="L12" s="32">
        <f t="shared" si="3"/>
        <v>3827.2</v>
      </c>
      <c r="M12" s="32">
        <f t="shared" si="4"/>
        <v>2459.6</v>
      </c>
      <c r="N12" s="32">
        <f t="shared" si="5"/>
        <v>0</v>
      </c>
      <c r="O12" s="32">
        <f t="shared" si="6"/>
        <v>1014</v>
      </c>
      <c r="P12" s="32">
        <f t="shared" si="7"/>
        <v>4986.8</v>
      </c>
      <c r="Q12" s="32">
        <f t="shared" si="8"/>
        <v>4175.5999999999995</v>
      </c>
      <c r="R12" s="32">
        <f t="shared" si="9"/>
        <v>0</v>
      </c>
      <c r="T12" s="64">
        <v>12518.2</v>
      </c>
      <c r="U12" s="64">
        <v>85.2</v>
      </c>
      <c r="V12" s="64">
        <v>73.599999999999994</v>
      </c>
      <c r="W12" s="64">
        <v>47.3</v>
      </c>
      <c r="X12" s="64">
        <v>0</v>
      </c>
      <c r="Y12" s="64">
        <v>19.5</v>
      </c>
      <c r="Z12" s="64">
        <v>95.9</v>
      </c>
      <c r="AA12" s="64">
        <v>80.3</v>
      </c>
      <c r="AB12" s="64">
        <v>0</v>
      </c>
    </row>
    <row r="13" spans="1:35" hidden="1" outlineLevel="1">
      <c r="A13" s="64">
        <v>1993</v>
      </c>
      <c r="B13" s="57"/>
      <c r="C13" s="57"/>
      <c r="D13" s="57"/>
      <c r="E13" s="57"/>
      <c r="F13" s="57"/>
      <c r="G13" s="57"/>
      <c r="H13" s="57"/>
      <c r="J13" s="32">
        <f t="shared" si="1"/>
        <v>648752</v>
      </c>
      <c r="K13" s="32">
        <f t="shared" si="2"/>
        <v>5288.4000000000005</v>
      </c>
      <c r="L13" s="32">
        <f t="shared" si="3"/>
        <v>3785.6</v>
      </c>
      <c r="M13" s="32">
        <f t="shared" si="4"/>
        <v>2657.2000000000003</v>
      </c>
      <c r="N13" s="32">
        <f t="shared" si="5"/>
        <v>0</v>
      </c>
      <c r="O13" s="32">
        <f t="shared" si="6"/>
        <v>0</v>
      </c>
      <c r="P13" s="32">
        <f t="shared" si="7"/>
        <v>5460</v>
      </c>
      <c r="Q13" s="32">
        <f t="shared" si="8"/>
        <v>4810</v>
      </c>
      <c r="R13" s="32">
        <f t="shared" si="9"/>
        <v>0</v>
      </c>
      <c r="T13" s="64">
        <v>12476</v>
      </c>
      <c r="U13" s="64">
        <v>101.7</v>
      </c>
      <c r="V13" s="64">
        <v>72.8</v>
      </c>
      <c r="W13" s="64">
        <v>51.1</v>
      </c>
      <c r="X13" s="64">
        <v>0</v>
      </c>
      <c r="Y13" s="64">
        <v>0</v>
      </c>
      <c r="Z13" s="64">
        <v>105</v>
      </c>
      <c r="AA13" s="64">
        <v>92.5</v>
      </c>
      <c r="AB13" s="64">
        <v>0</v>
      </c>
    </row>
    <row r="14" spans="1:35" hidden="1" outlineLevel="1">
      <c r="A14" s="64">
        <v>1994</v>
      </c>
      <c r="B14" s="56"/>
      <c r="C14" s="56"/>
      <c r="D14" s="56"/>
      <c r="E14" s="56"/>
      <c r="F14" s="56"/>
      <c r="G14" s="56"/>
      <c r="H14" s="56"/>
      <c r="J14" s="32">
        <f t="shared" si="1"/>
        <v>669666.4</v>
      </c>
      <c r="K14" s="32">
        <f t="shared" si="2"/>
        <v>4856.8</v>
      </c>
      <c r="L14" s="32">
        <f t="shared" si="3"/>
        <v>4929.5999999999995</v>
      </c>
      <c r="M14" s="32">
        <f t="shared" si="4"/>
        <v>2350.4</v>
      </c>
      <c r="N14" s="32">
        <f t="shared" si="5"/>
        <v>0</v>
      </c>
      <c r="O14" s="32">
        <f t="shared" si="6"/>
        <v>1742</v>
      </c>
      <c r="P14" s="32">
        <f t="shared" si="7"/>
        <v>7904</v>
      </c>
      <c r="Q14" s="32">
        <f t="shared" si="8"/>
        <v>6110</v>
      </c>
      <c r="R14" s="32">
        <f t="shared" si="9"/>
        <v>1794</v>
      </c>
      <c r="T14" s="64">
        <v>12878.2</v>
      </c>
      <c r="U14" s="64">
        <v>93.4</v>
      </c>
      <c r="V14" s="64">
        <v>94.8</v>
      </c>
      <c r="W14" s="64">
        <v>45.2</v>
      </c>
      <c r="X14" s="64">
        <v>0</v>
      </c>
      <c r="Y14" s="64">
        <v>33.5</v>
      </c>
      <c r="Z14" s="64">
        <v>152</v>
      </c>
      <c r="AA14" s="64">
        <v>117.5</v>
      </c>
      <c r="AB14" s="64">
        <v>34.5</v>
      </c>
    </row>
    <row r="15" spans="1:35" hidden="1" outlineLevel="1">
      <c r="A15" s="64">
        <v>1995</v>
      </c>
      <c r="B15" s="56"/>
      <c r="C15" s="56"/>
      <c r="D15" s="56"/>
      <c r="E15" s="56"/>
      <c r="F15" s="56"/>
      <c r="G15" s="56"/>
      <c r="H15" s="56"/>
      <c r="J15" s="32">
        <f t="shared" si="1"/>
        <v>671039.20000000007</v>
      </c>
      <c r="K15" s="32">
        <f t="shared" si="2"/>
        <v>4414.8</v>
      </c>
      <c r="L15" s="32">
        <f t="shared" si="3"/>
        <v>4966</v>
      </c>
      <c r="M15" s="32">
        <f t="shared" si="4"/>
        <v>2496</v>
      </c>
      <c r="N15" s="32">
        <f t="shared" si="5"/>
        <v>1045.2</v>
      </c>
      <c r="O15" s="32">
        <f t="shared" si="6"/>
        <v>1424.8</v>
      </c>
      <c r="P15" s="32">
        <f t="shared" si="7"/>
        <v>6780.8</v>
      </c>
      <c r="Q15" s="32">
        <f t="shared" si="8"/>
        <v>5246.8</v>
      </c>
      <c r="R15" s="32">
        <f t="shared" si="9"/>
        <v>1534</v>
      </c>
      <c r="T15" s="64">
        <v>12904.6</v>
      </c>
      <c r="U15" s="64">
        <v>84.9</v>
      </c>
      <c r="V15" s="64">
        <v>95.5</v>
      </c>
      <c r="W15" s="64">
        <v>48</v>
      </c>
      <c r="X15" s="64">
        <v>20.100000000000001</v>
      </c>
      <c r="Y15" s="64">
        <v>27.4</v>
      </c>
      <c r="Z15" s="64">
        <v>130.4</v>
      </c>
      <c r="AA15" s="64">
        <v>100.9</v>
      </c>
      <c r="AB15" s="64">
        <v>29.5</v>
      </c>
    </row>
    <row r="16" spans="1:35" hidden="1" outlineLevel="1">
      <c r="A16" s="64">
        <v>1996</v>
      </c>
      <c r="B16" s="56"/>
      <c r="C16" s="56"/>
      <c r="D16" s="56"/>
      <c r="E16" s="56"/>
      <c r="F16" s="56"/>
      <c r="G16" s="56"/>
      <c r="H16" s="56"/>
      <c r="J16" s="32">
        <f t="shared" si="1"/>
        <v>679062.79999999993</v>
      </c>
      <c r="K16" s="32">
        <f t="shared" si="2"/>
        <v>4872.4000000000005</v>
      </c>
      <c r="L16" s="32">
        <f t="shared" si="3"/>
        <v>5236.4000000000005</v>
      </c>
      <c r="M16" s="32">
        <f t="shared" si="4"/>
        <v>2688.4</v>
      </c>
      <c r="N16" s="32">
        <f t="shared" si="5"/>
        <v>0</v>
      </c>
      <c r="O16" s="32">
        <f t="shared" si="6"/>
        <v>1762.8</v>
      </c>
      <c r="P16" s="32">
        <f t="shared" si="7"/>
        <v>7020</v>
      </c>
      <c r="Q16" s="32">
        <f t="shared" si="8"/>
        <v>6375.2</v>
      </c>
      <c r="R16" s="32">
        <f t="shared" si="9"/>
        <v>0</v>
      </c>
      <c r="T16" s="64">
        <v>13058.9</v>
      </c>
      <c r="U16" s="64">
        <v>93.7</v>
      </c>
      <c r="V16" s="64">
        <v>100.7</v>
      </c>
      <c r="W16" s="64">
        <v>51.7</v>
      </c>
      <c r="X16" s="64">
        <v>0</v>
      </c>
      <c r="Y16" s="64">
        <v>33.9</v>
      </c>
      <c r="Z16" s="64">
        <v>135</v>
      </c>
      <c r="AA16" s="64">
        <v>122.6</v>
      </c>
      <c r="AB16" s="64">
        <v>0</v>
      </c>
    </row>
    <row r="17" spans="1:35" collapsed="1">
      <c r="A17" s="66">
        <v>1997</v>
      </c>
      <c r="B17" s="56">
        <v>711680</v>
      </c>
      <c r="C17" s="56" t="str">
        <f t="shared" ref="C17:C27" si="10">IFERROR(D17+E17+F17,"x")</f>
        <v>x</v>
      </c>
      <c r="D17" s="56">
        <v>4363</v>
      </c>
      <c r="E17" s="56">
        <v>6143</v>
      </c>
      <c r="F17" s="56" t="s">
        <v>188</v>
      </c>
      <c r="G17" s="56" t="s">
        <v>188</v>
      </c>
      <c r="H17" s="56">
        <v>1021</v>
      </c>
      <c r="J17" s="32">
        <f t="shared" si="1"/>
        <v>689514.79999999993</v>
      </c>
      <c r="K17" s="32">
        <f t="shared" si="2"/>
        <v>3036.7999999999997</v>
      </c>
      <c r="L17" s="32">
        <f t="shared" si="3"/>
        <v>5860.4000000000005</v>
      </c>
      <c r="M17" s="32">
        <f t="shared" si="4"/>
        <v>3484</v>
      </c>
      <c r="N17" s="32">
        <f t="shared" si="5"/>
        <v>0</v>
      </c>
      <c r="O17" s="32">
        <f t="shared" si="6"/>
        <v>1450.8</v>
      </c>
      <c r="P17" s="32">
        <f t="shared" si="7"/>
        <v>8086</v>
      </c>
      <c r="Q17" s="32">
        <f t="shared" si="8"/>
        <v>6968</v>
      </c>
      <c r="R17" s="32">
        <f t="shared" si="9"/>
        <v>1123.2</v>
      </c>
      <c r="T17" s="64">
        <v>13259.9</v>
      </c>
      <c r="U17" s="64">
        <v>58.4</v>
      </c>
      <c r="V17" s="64">
        <v>112.7</v>
      </c>
      <c r="W17" s="64">
        <v>67</v>
      </c>
      <c r="X17" s="64">
        <v>0</v>
      </c>
      <c r="Y17" s="64">
        <v>27.9</v>
      </c>
      <c r="Z17" s="64">
        <v>155.5</v>
      </c>
      <c r="AA17" s="64">
        <v>134</v>
      </c>
      <c r="AB17" s="64">
        <v>21.6</v>
      </c>
      <c r="AD17" s="64">
        <v>705814000</v>
      </c>
      <c r="AE17" s="64">
        <v>4541000</v>
      </c>
      <c r="AF17" s="64">
        <v>6437000</v>
      </c>
      <c r="AG17" s="64" t="s">
        <v>188</v>
      </c>
      <c r="AH17" s="64" t="s">
        <v>188</v>
      </c>
      <c r="AI17" s="64">
        <v>1318000</v>
      </c>
    </row>
    <row r="18" spans="1:35">
      <c r="A18" s="66">
        <v>1998</v>
      </c>
      <c r="B18" s="56">
        <v>734459</v>
      </c>
      <c r="C18" s="56">
        <f t="shared" si="10"/>
        <v>16571</v>
      </c>
      <c r="D18" s="56">
        <v>4835</v>
      </c>
      <c r="E18" s="56">
        <v>5903</v>
      </c>
      <c r="F18" s="56">
        <v>5833</v>
      </c>
      <c r="G18" s="56" t="s">
        <v>188</v>
      </c>
      <c r="H18" s="56" t="s">
        <v>188</v>
      </c>
      <c r="J18" s="32">
        <f t="shared" si="1"/>
        <v>710268</v>
      </c>
      <c r="K18" s="32">
        <f t="shared" si="2"/>
        <v>5127.2</v>
      </c>
      <c r="L18" s="32">
        <f t="shared" si="3"/>
        <v>8086</v>
      </c>
      <c r="M18" s="32">
        <f t="shared" si="4"/>
        <v>5532.8</v>
      </c>
      <c r="N18" s="32">
        <f>X18*52</f>
        <v>0</v>
      </c>
      <c r="O18" s="32">
        <f>Y18*52</f>
        <v>1794</v>
      </c>
      <c r="P18" s="32">
        <f t="shared" si="7"/>
        <v>8153.6</v>
      </c>
      <c r="Q18" s="32">
        <f t="shared" si="8"/>
        <v>7399.6</v>
      </c>
      <c r="R18" s="32">
        <f t="shared" si="9"/>
        <v>0</v>
      </c>
      <c r="T18" s="64">
        <v>13659</v>
      </c>
      <c r="U18" s="64">
        <v>98.6</v>
      </c>
      <c r="V18" s="64">
        <v>155.5</v>
      </c>
      <c r="W18" s="64">
        <v>106.4</v>
      </c>
      <c r="X18" s="64">
        <v>0</v>
      </c>
      <c r="Y18" s="64">
        <v>34.5</v>
      </c>
      <c r="Z18" s="64">
        <v>156.80000000000001</v>
      </c>
      <c r="AA18" s="64">
        <v>142.30000000000001</v>
      </c>
      <c r="AB18" s="64">
        <v>0</v>
      </c>
      <c r="AD18" s="64">
        <v>726120000</v>
      </c>
      <c r="AE18" s="64">
        <v>4962000</v>
      </c>
      <c r="AF18" s="64">
        <v>6188000</v>
      </c>
      <c r="AG18" s="64">
        <v>6215000</v>
      </c>
      <c r="AH18" s="64" t="s">
        <v>188</v>
      </c>
      <c r="AI18" s="64" t="s">
        <v>188</v>
      </c>
    </row>
    <row r="19" spans="1:35">
      <c r="A19" s="66">
        <v>1999</v>
      </c>
      <c r="B19" s="56">
        <v>745326</v>
      </c>
      <c r="C19" s="56">
        <f t="shared" si="10"/>
        <v>16904</v>
      </c>
      <c r="D19" s="56">
        <v>5198</v>
      </c>
      <c r="E19" s="56">
        <v>5944</v>
      </c>
      <c r="F19" s="56">
        <v>5762</v>
      </c>
      <c r="G19" s="56" t="s">
        <v>188</v>
      </c>
      <c r="H19" s="56" t="s">
        <v>188</v>
      </c>
      <c r="J19" s="32">
        <f t="shared" si="1"/>
        <v>726362</v>
      </c>
      <c r="K19" s="32">
        <f t="shared" si="2"/>
        <v>4940</v>
      </c>
      <c r="L19" s="32">
        <f t="shared" si="3"/>
        <v>7176</v>
      </c>
      <c r="M19" s="32">
        <f t="shared" si="4"/>
        <v>5366.4000000000005</v>
      </c>
      <c r="N19" s="32">
        <f t="shared" si="5"/>
        <v>0</v>
      </c>
      <c r="O19" s="32">
        <f t="shared" si="6"/>
        <v>1066</v>
      </c>
      <c r="P19" s="32">
        <f t="shared" si="7"/>
        <v>6380.4000000000005</v>
      </c>
      <c r="Q19" s="32">
        <f t="shared" si="8"/>
        <v>6167.2</v>
      </c>
      <c r="R19" s="32">
        <f t="shared" si="9"/>
        <v>0</v>
      </c>
      <c r="T19" s="64">
        <v>13968.5</v>
      </c>
      <c r="U19" s="64">
        <v>95</v>
      </c>
      <c r="V19" s="64">
        <v>138</v>
      </c>
      <c r="W19" s="64">
        <v>103.2</v>
      </c>
      <c r="X19" s="64">
        <v>0</v>
      </c>
      <c r="Y19" s="64">
        <v>20.5</v>
      </c>
      <c r="Z19" s="64">
        <v>122.7</v>
      </c>
      <c r="AA19" s="64">
        <v>118.6</v>
      </c>
      <c r="AB19" s="64">
        <v>0</v>
      </c>
      <c r="AD19" s="64">
        <v>740023000</v>
      </c>
      <c r="AE19" s="64">
        <v>5395000</v>
      </c>
      <c r="AF19" s="64">
        <v>6382000</v>
      </c>
      <c r="AG19" s="64">
        <v>6222000</v>
      </c>
      <c r="AH19" s="64" t="s">
        <v>188</v>
      </c>
      <c r="AI19" s="64" t="s">
        <v>188</v>
      </c>
    </row>
    <row r="20" spans="1:35">
      <c r="A20" s="66">
        <v>2000</v>
      </c>
      <c r="B20" s="56">
        <v>752567</v>
      </c>
      <c r="C20" s="56">
        <f t="shared" si="10"/>
        <v>18026</v>
      </c>
      <c r="D20" s="56">
        <v>5251</v>
      </c>
      <c r="E20" s="56">
        <v>7291</v>
      </c>
      <c r="F20" s="56">
        <v>5484</v>
      </c>
      <c r="G20" s="56" t="s">
        <v>188</v>
      </c>
      <c r="H20" s="56" t="s">
        <v>188</v>
      </c>
      <c r="J20" s="32">
        <f t="shared" si="1"/>
        <v>743298.4</v>
      </c>
      <c r="K20" s="32">
        <f t="shared" si="2"/>
        <v>4784</v>
      </c>
      <c r="L20" s="32">
        <f t="shared" si="3"/>
        <v>7857.2</v>
      </c>
      <c r="M20" s="32">
        <f t="shared" si="4"/>
        <v>5522.4000000000005</v>
      </c>
      <c r="N20" s="32">
        <f t="shared" si="5"/>
        <v>0</v>
      </c>
      <c r="O20" s="32">
        <f t="shared" si="6"/>
        <v>1679.6</v>
      </c>
      <c r="P20" s="32">
        <f t="shared" si="7"/>
        <v>4784</v>
      </c>
      <c r="Q20" s="32">
        <f t="shared" si="8"/>
        <v>3889.6</v>
      </c>
      <c r="R20" s="32">
        <f t="shared" si="9"/>
        <v>899.6</v>
      </c>
      <c r="T20" s="64">
        <v>14294.2</v>
      </c>
      <c r="U20" s="64">
        <v>92</v>
      </c>
      <c r="V20" s="64">
        <v>151.1</v>
      </c>
      <c r="W20" s="64">
        <v>106.2</v>
      </c>
      <c r="X20" s="64">
        <v>0</v>
      </c>
      <c r="Y20" s="64">
        <v>32.299999999999997</v>
      </c>
      <c r="Z20" s="64">
        <v>92</v>
      </c>
      <c r="AA20" s="64">
        <v>74.8</v>
      </c>
      <c r="AB20" s="64">
        <v>17.3</v>
      </c>
      <c r="AD20" s="64">
        <v>743491000</v>
      </c>
      <c r="AE20" s="64">
        <v>5431000</v>
      </c>
      <c r="AF20" s="64">
        <v>7692000</v>
      </c>
      <c r="AG20" s="64">
        <v>5758000</v>
      </c>
      <c r="AH20" s="64" t="s">
        <v>188</v>
      </c>
      <c r="AI20" s="64" t="s">
        <v>188</v>
      </c>
    </row>
    <row r="21" spans="1:35">
      <c r="A21" s="66">
        <v>2001</v>
      </c>
      <c r="B21" s="56">
        <v>758458</v>
      </c>
      <c r="C21" s="56">
        <f t="shared" si="10"/>
        <v>16323</v>
      </c>
      <c r="D21" s="56">
        <v>4631</v>
      </c>
      <c r="E21" s="56">
        <v>6733</v>
      </c>
      <c r="F21" s="56">
        <v>4959</v>
      </c>
      <c r="G21" s="56" t="s">
        <v>188</v>
      </c>
      <c r="H21" s="56" t="s">
        <v>188</v>
      </c>
      <c r="J21" s="32">
        <f t="shared" si="1"/>
        <v>742336.4</v>
      </c>
      <c r="K21" s="32">
        <f t="shared" si="2"/>
        <v>4914</v>
      </c>
      <c r="L21" s="32">
        <f t="shared" si="3"/>
        <v>7768.8</v>
      </c>
      <c r="M21" s="32">
        <f t="shared" si="4"/>
        <v>4071.6</v>
      </c>
      <c r="N21" s="32">
        <f t="shared" si="5"/>
        <v>993.2</v>
      </c>
      <c r="O21" s="32">
        <f t="shared" si="6"/>
        <v>2704</v>
      </c>
      <c r="P21" s="32">
        <f t="shared" si="7"/>
        <v>6858.8</v>
      </c>
      <c r="Q21" s="32">
        <f t="shared" si="8"/>
        <v>6328.4000000000005</v>
      </c>
      <c r="R21" s="32">
        <f t="shared" si="9"/>
        <v>0</v>
      </c>
      <c r="T21" s="64">
        <v>14275.7</v>
      </c>
      <c r="U21" s="64">
        <v>94.5</v>
      </c>
      <c r="V21" s="64">
        <v>149.4</v>
      </c>
      <c r="W21" s="64">
        <v>78.3</v>
      </c>
      <c r="X21" s="64">
        <v>19.100000000000001</v>
      </c>
      <c r="Y21" s="64">
        <v>52</v>
      </c>
      <c r="Z21" s="64">
        <v>131.9</v>
      </c>
      <c r="AA21" s="64">
        <v>121.7</v>
      </c>
      <c r="AB21" s="64">
        <v>0</v>
      </c>
      <c r="AD21" s="64">
        <v>752628000</v>
      </c>
      <c r="AE21" s="64">
        <v>4727000</v>
      </c>
      <c r="AF21" s="64">
        <v>7131000</v>
      </c>
      <c r="AG21" s="64">
        <v>5441000</v>
      </c>
      <c r="AH21" s="64" t="s">
        <v>188</v>
      </c>
      <c r="AI21" s="64" t="s">
        <v>188</v>
      </c>
    </row>
    <row r="22" spans="1:35">
      <c r="A22" s="66">
        <v>2002</v>
      </c>
      <c r="B22" s="56">
        <v>764948</v>
      </c>
      <c r="C22" s="56">
        <f t="shared" si="10"/>
        <v>14051</v>
      </c>
      <c r="D22" s="56">
        <v>4424</v>
      </c>
      <c r="E22" s="56">
        <v>5699</v>
      </c>
      <c r="F22" s="56">
        <v>3928</v>
      </c>
      <c r="G22" s="56" t="s">
        <v>188</v>
      </c>
      <c r="H22" s="56" t="s">
        <v>188</v>
      </c>
      <c r="J22" s="32">
        <f t="shared" si="1"/>
        <v>749101.6</v>
      </c>
      <c r="K22" s="32">
        <f t="shared" si="2"/>
        <v>4872.4000000000005</v>
      </c>
      <c r="L22" s="32">
        <f t="shared" si="3"/>
        <v>7415.2</v>
      </c>
      <c r="M22" s="32">
        <f t="shared" si="4"/>
        <v>4726.8</v>
      </c>
      <c r="N22" s="32">
        <f t="shared" si="5"/>
        <v>0</v>
      </c>
      <c r="O22" s="32">
        <f t="shared" si="6"/>
        <v>1892.8</v>
      </c>
      <c r="P22" s="32">
        <f t="shared" si="7"/>
        <v>6104.8</v>
      </c>
      <c r="Q22" s="32">
        <f t="shared" si="8"/>
        <v>5470.4000000000005</v>
      </c>
      <c r="R22" s="32">
        <f t="shared" si="9"/>
        <v>0</v>
      </c>
      <c r="T22" s="64">
        <v>14405.8</v>
      </c>
      <c r="U22" s="64">
        <v>93.7</v>
      </c>
      <c r="V22" s="64">
        <v>142.6</v>
      </c>
      <c r="W22" s="64">
        <v>90.9</v>
      </c>
      <c r="X22" s="64">
        <v>0</v>
      </c>
      <c r="Y22" s="64">
        <v>36.4</v>
      </c>
      <c r="Z22" s="64">
        <v>117.4</v>
      </c>
      <c r="AA22" s="64">
        <v>105.2</v>
      </c>
      <c r="AB22" s="64">
        <v>0</v>
      </c>
      <c r="AD22" s="64">
        <v>759699000</v>
      </c>
      <c r="AE22" s="64">
        <v>4447000</v>
      </c>
      <c r="AF22" s="64">
        <v>6246000</v>
      </c>
      <c r="AG22" s="64">
        <v>4562000</v>
      </c>
      <c r="AH22" s="64" t="s">
        <v>188</v>
      </c>
      <c r="AI22" s="64" t="s">
        <v>188</v>
      </c>
    </row>
    <row r="23" spans="1:35">
      <c r="A23" s="66">
        <v>2003</v>
      </c>
      <c r="B23" s="56">
        <v>772475</v>
      </c>
      <c r="C23" s="56">
        <f t="shared" si="10"/>
        <v>14655</v>
      </c>
      <c r="D23" s="56">
        <v>5208</v>
      </c>
      <c r="E23" s="56">
        <v>5586</v>
      </c>
      <c r="F23" s="56">
        <v>3861</v>
      </c>
      <c r="G23" s="56" t="s">
        <v>188</v>
      </c>
      <c r="H23" s="56" t="s">
        <v>188</v>
      </c>
      <c r="J23" s="32">
        <f t="shared" si="1"/>
        <v>749980.4</v>
      </c>
      <c r="K23" s="32">
        <f t="shared" si="2"/>
        <v>4882.8</v>
      </c>
      <c r="L23" s="32">
        <f t="shared" si="3"/>
        <v>9183.1999999999989</v>
      </c>
      <c r="M23" s="32">
        <f t="shared" si="4"/>
        <v>4357.5999999999995</v>
      </c>
      <c r="N23" s="32">
        <f t="shared" si="5"/>
        <v>1331.2</v>
      </c>
      <c r="O23" s="32">
        <f t="shared" si="6"/>
        <v>3494.4</v>
      </c>
      <c r="P23" s="32">
        <f t="shared" si="7"/>
        <v>6370</v>
      </c>
      <c r="Q23" s="32">
        <f t="shared" si="8"/>
        <v>5423.5999999999995</v>
      </c>
      <c r="R23" s="32">
        <f t="shared" si="9"/>
        <v>946.4</v>
      </c>
      <c r="T23" s="64">
        <v>14422.7</v>
      </c>
      <c r="U23" s="64">
        <v>93.9</v>
      </c>
      <c r="V23" s="64">
        <v>176.6</v>
      </c>
      <c r="W23" s="64">
        <v>83.8</v>
      </c>
      <c r="X23" s="64">
        <v>25.6</v>
      </c>
      <c r="Y23" s="64">
        <v>67.2</v>
      </c>
      <c r="Z23" s="64">
        <v>122.5</v>
      </c>
      <c r="AA23" s="64">
        <v>104.3</v>
      </c>
      <c r="AB23" s="64">
        <v>18.2</v>
      </c>
      <c r="AD23" s="64">
        <v>767664000</v>
      </c>
      <c r="AE23" s="64">
        <v>5044000</v>
      </c>
      <c r="AF23" s="64">
        <v>6105000</v>
      </c>
      <c r="AG23" s="64">
        <v>4582000</v>
      </c>
      <c r="AH23" s="64" t="s">
        <v>188</v>
      </c>
      <c r="AI23" s="64" t="s">
        <v>188</v>
      </c>
    </row>
    <row r="24" spans="1:35">
      <c r="A24" s="66">
        <v>2004</v>
      </c>
      <c r="B24" s="56">
        <v>771665</v>
      </c>
      <c r="C24" s="56" t="str">
        <f t="shared" si="10"/>
        <v>x</v>
      </c>
      <c r="D24" s="56">
        <v>5079</v>
      </c>
      <c r="E24" s="56">
        <v>5276</v>
      </c>
      <c r="F24" s="56" t="s">
        <v>188</v>
      </c>
      <c r="G24" s="56" t="s">
        <v>188</v>
      </c>
      <c r="H24" s="56" t="s">
        <v>188</v>
      </c>
      <c r="J24" s="32">
        <f t="shared" si="1"/>
        <v>752684.4</v>
      </c>
      <c r="K24" s="32">
        <f t="shared" si="2"/>
        <v>5007.5999999999995</v>
      </c>
      <c r="L24" s="32">
        <f t="shared" si="3"/>
        <v>8585.1999999999989</v>
      </c>
      <c r="M24" s="32">
        <f t="shared" si="4"/>
        <v>4674.8</v>
      </c>
      <c r="N24" s="32">
        <f t="shared" si="5"/>
        <v>1310.3999999999999</v>
      </c>
      <c r="O24" s="32">
        <f t="shared" si="6"/>
        <v>2600</v>
      </c>
      <c r="P24" s="32">
        <f t="shared" si="7"/>
        <v>5969.5999999999995</v>
      </c>
      <c r="Q24" s="32">
        <f t="shared" si="8"/>
        <v>5189.5999999999995</v>
      </c>
      <c r="R24" s="32">
        <f t="shared" si="9"/>
        <v>780</v>
      </c>
      <c r="T24" s="64">
        <v>14474.7</v>
      </c>
      <c r="U24" s="64">
        <v>96.3</v>
      </c>
      <c r="V24" s="64">
        <v>165.1</v>
      </c>
      <c r="W24" s="64">
        <v>89.9</v>
      </c>
      <c r="X24" s="64">
        <v>25.2</v>
      </c>
      <c r="Y24" s="64">
        <v>50</v>
      </c>
      <c r="Z24" s="64">
        <v>114.8</v>
      </c>
      <c r="AA24" s="64">
        <v>99.8</v>
      </c>
      <c r="AB24" s="64">
        <v>15</v>
      </c>
      <c r="AD24" s="64">
        <v>770316000</v>
      </c>
      <c r="AE24" s="64">
        <v>4861000</v>
      </c>
      <c r="AF24" s="64">
        <v>5790000</v>
      </c>
      <c r="AG24" s="64">
        <v>4570000</v>
      </c>
      <c r="AH24" s="64" t="s">
        <v>188</v>
      </c>
      <c r="AI24" s="64" t="s">
        <v>188</v>
      </c>
    </row>
    <row r="25" spans="1:35">
      <c r="A25" s="66">
        <v>2005</v>
      </c>
      <c r="B25" s="56">
        <v>782830</v>
      </c>
      <c r="C25" s="56" t="str">
        <f t="shared" si="10"/>
        <v>x</v>
      </c>
      <c r="D25" s="56">
        <v>4607</v>
      </c>
      <c r="E25" s="56">
        <v>5876</v>
      </c>
      <c r="F25" s="56" t="s">
        <v>188</v>
      </c>
      <c r="G25" s="56" t="s">
        <v>188</v>
      </c>
      <c r="H25" s="56" t="s">
        <v>188</v>
      </c>
      <c r="J25" s="32">
        <f t="shared" si="1"/>
        <v>775569.6</v>
      </c>
      <c r="K25" s="32">
        <f t="shared" si="2"/>
        <v>5174</v>
      </c>
      <c r="L25" s="32">
        <f t="shared" si="3"/>
        <v>8486.4</v>
      </c>
      <c r="M25" s="32">
        <f t="shared" si="4"/>
        <v>5267.5999999999995</v>
      </c>
      <c r="N25" s="32">
        <f t="shared" si="5"/>
        <v>1138.8</v>
      </c>
      <c r="O25" s="32">
        <f t="shared" si="6"/>
        <v>2085.2000000000003</v>
      </c>
      <c r="P25" s="32">
        <f t="shared" si="7"/>
        <v>4732</v>
      </c>
      <c r="Q25" s="32">
        <f t="shared" si="8"/>
        <v>3562</v>
      </c>
      <c r="R25" s="32">
        <f t="shared" si="9"/>
        <v>1170</v>
      </c>
      <c r="T25" s="64">
        <v>14914.8</v>
      </c>
      <c r="U25" s="64">
        <v>99.5</v>
      </c>
      <c r="V25" s="64">
        <v>163.19999999999999</v>
      </c>
      <c r="W25" s="64">
        <v>101.3</v>
      </c>
      <c r="X25" s="64">
        <v>21.9</v>
      </c>
      <c r="Y25" s="64">
        <v>40.1</v>
      </c>
      <c r="Z25" s="64">
        <v>91</v>
      </c>
      <c r="AA25" s="64">
        <v>68.5</v>
      </c>
      <c r="AB25" s="64">
        <v>22.5</v>
      </c>
      <c r="AD25" s="64">
        <v>781917000</v>
      </c>
      <c r="AE25" s="64">
        <v>4115000</v>
      </c>
      <c r="AF25" s="64" t="s">
        <v>188</v>
      </c>
      <c r="AG25" s="64">
        <v>4549000</v>
      </c>
      <c r="AH25" s="64" t="s">
        <v>188</v>
      </c>
      <c r="AI25" s="64" t="s">
        <v>188</v>
      </c>
    </row>
    <row r="26" spans="1:35">
      <c r="A26" s="66">
        <v>2006</v>
      </c>
      <c r="B26" s="56">
        <v>780487</v>
      </c>
      <c r="C26" s="56" t="str">
        <f t="shared" si="10"/>
        <v>x</v>
      </c>
      <c r="D26" s="56">
        <v>4054</v>
      </c>
      <c r="E26" s="56">
        <v>5993</v>
      </c>
      <c r="F26" s="56" t="s">
        <v>188</v>
      </c>
      <c r="G26" s="56" t="s">
        <v>188</v>
      </c>
      <c r="H26" s="56" t="s">
        <v>188</v>
      </c>
      <c r="J26" s="32">
        <f t="shared" si="1"/>
        <v>770494.4</v>
      </c>
      <c r="K26" s="32">
        <f t="shared" si="2"/>
        <v>3140.7999999999997</v>
      </c>
      <c r="L26" s="32">
        <f t="shared" si="3"/>
        <v>5163.5999999999995</v>
      </c>
      <c r="M26" s="32">
        <f t="shared" si="4"/>
        <v>3109.6</v>
      </c>
      <c r="N26" s="32">
        <f t="shared" si="5"/>
        <v>0</v>
      </c>
      <c r="O26" s="32">
        <f t="shared" si="6"/>
        <v>1627.6000000000001</v>
      </c>
      <c r="P26" s="32">
        <f t="shared" si="7"/>
        <v>4024.8</v>
      </c>
      <c r="Q26" s="32">
        <f t="shared" si="8"/>
        <v>3021.2000000000003</v>
      </c>
      <c r="R26" s="32">
        <f t="shared" si="9"/>
        <v>0</v>
      </c>
      <c r="T26" s="64">
        <v>14817.2</v>
      </c>
      <c r="U26" s="64">
        <v>60.4</v>
      </c>
      <c r="V26" s="64">
        <v>99.3</v>
      </c>
      <c r="W26" s="64">
        <v>59.8</v>
      </c>
      <c r="X26" s="64">
        <v>0</v>
      </c>
      <c r="Y26" s="64">
        <v>31.3</v>
      </c>
      <c r="Z26" s="64">
        <v>77.400000000000006</v>
      </c>
      <c r="AA26" s="64">
        <v>58.1</v>
      </c>
      <c r="AB26" s="64">
        <v>0</v>
      </c>
      <c r="AD26" s="64">
        <v>777996000</v>
      </c>
      <c r="AE26" s="64">
        <v>4194000</v>
      </c>
      <c r="AF26" s="64" t="s">
        <v>188</v>
      </c>
      <c r="AG26" s="64">
        <v>4453000</v>
      </c>
      <c r="AH26" s="64" t="s">
        <v>188</v>
      </c>
      <c r="AI26" s="64" t="s">
        <v>188</v>
      </c>
    </row>
    <row r="27" spans="1:35">
      <c r="A27" s="66">
        <v>2007</v>
      </c>
      <c r="B27" s="56">
        <v>796609</v>
      </c>
      <c r="C27" s="56" t="str">
        <f t="shared" si="10"/>
        <v>x</v>
      </c>
      <c r="D27" s="56">
        <v>4374</v>
      </c>
      <c r="E27" s="56">
        <v>5508</v>
      </c>
      <c r="F27" s="56" t="s">
        <v>188</v>
      </c>
      <c r="G27" s="56" t="s">
        <v>188</v>
      </c>
      <c r="H27" s="56" t="s">
        <v>188</v>
      </c>
      <c r="J27" s="32">
        <f t="shared" si="1"/>
        <v>788632</v>
      </c>
      <c r="K27" s="32">
        <f t="shared" si="2"/>
        <v>3218.7999999999997</v>
      </c>
      <c r="L27" s="32">
        <f t="shared" si="3"/>
        <v>7040.8</v>
      </c>
      <c r="M27" s="32">
        <f t="shared" si="4"/>
        <v>3302</v>
      </c>
      <c r="N27" s="32">
        <f t="shared" si="5"/>
        <v>1274</v>
      </c>
      <c r="O27" s="32">
        <f t="shared" si="6"/>
        <v>2459.6</v>
      </c>
      <c r="P27" s="32">
        <f t="shared" si="7"/>
        <v>5584.8</v>
      </c>
      <c r="Q27" s="32">
        <f t="shared" si="8"/>
        <v>4305.5999999999995</v>
      </c>
      <c r="R27" s="32">
        <f t="shared" si="9"/>
        <v>1279.2</v>
      </c>
      <c r="T27" s="64">
        <v>15166</v>
      </c>
      <c r="U27" s="64">
        <v>61.9</v>
      </c>
      <c r="V27" s="64">
        <v>135.4</v>
      </c>
      <c r="W27" s="64">
        <v>63.5</v>
      </c>
      <c r="X27" s="64">
        <v>24.5</v>
      </c>
      <c r="Y27" s="64">
        <v>47.3</v>
      </c>
      <c r="Z27" s="64">
        <v>107.4</v>
      </c>
      <c r="AA27" s="64">
        <v>82.8</v>
      </c>
      <c r="AB27" s="64">
        <v>24.6</v>
      </c>
    </row>
    <row r="28" spans="1:35">
      <c r="A28" s="66">
        <v>2008</v>
      </c>
      <c r="B28" s="56">
        <v>800225</v>
      </c>
      <c r="C28" s="56" t="str">
        <f>IFERROR(D28+E28+F28,"x")</f>
        <v>x</v>
      </c>
      <c r="D28" s="56">
        <v>3764</v>
      </c>
      <c r="E28" s="56">
        <v>5382</v>
      </c>
      <c r="F28" s="56" t="s">
        <v>188</v>
      </c>
      <c r="G28" s="56" t="s">
        <v>188</v>
      </c>
      <c r="H28" s="56" t="s">
        <v>188</v>
      </c>
      <c r="J28" s="32"/>
      <c r="K28" s="32"/>
      <c r="L28" s="32"/>
      <c r="M28" s="32"/>
      <c r="N28" s="32"/>
      <c r="O28" s="32"/>
      <c r="P28" s="32"/>
      <c r="Q28" s="32"/>
      <c r="R28" s="32"/>
    </row>
    <row r="29" spans="1:35">
      <c r="A29" s="66">
        <v>2009</v>
      </c>
      <c r="B29" s="56">
        <v>794635</v>
      </c>
      <c r="C29" s="56" t="str">
        <f t="shared" ref="C29:C31" si="11">IFERROR(D29+E29+F29,"x")</f>
        <v>x</v>
      </c>
      <c r="D29" s="56">
        <v>3749</v>
      </c>
      <c r="E29" s="56">
        <v>5113</v>
      </c>
      <c r="F29" s="56" t="s">
        <v>188</v>
      </c>
      <c r="G29" s="56" t="s">
        <v>188</v>
      </c>
      <c r="H29" s="56" t="s">
        <v>188</v>
      </c>
      <c r="J29" s="32"/>
      <c r="K29" s="32"/>
      <c r="L29" s="32"/>
      <c r="M29" s="32"/>
      <c r="N29" s="32"/>
      <c r="O29" s="32"/>
      <c r="P29" s="32"/>
      <c r="Q29" s="32"/>
      <c r="R29" s="32"/>
    </row>
    <row r="30" spans="1:35">
      <c r="A30" s="66">
        <v>2010</v>
      </c>
      <c r="B30" s="56">
        <v>800039</v>
      </c>
      <c r="C30" s="56" t="str">
        <f t="shared" si="11"/>
        <v>x</v>
      </c>
      <c r="D30" s="56">
        <v>3701</v>
      </c>
      <c r="E30" s="56">
        <v>5500</v>
      </c>
      <c r="F30" s="56" t="s">
        <v>188</v>
      </c>
      <c r="G30" s="56" t="s">
        <v>188</v>
      </c>
      <c r="H30" s="56" t="s">
        <v>188</v>
      </c>
      <c r="J30" s="32"/>
      <c r="K30" s="32"/>
      <c r="L30" s="32"/>
      <c r="M30" s="32"/>
      <c r="N30" s="32"/>
      <c r="O30" s="32"/>
      <c r="P30" s="32"/>
      <c r="Q30" s="32"/>
      <c r="R30" s="32"/>
    </row>
    <row r="31" spans="1:35">
      <c r="A31" s="66">
        <v>2011</v>
      </c>
      <c r="B31" s="56">
        <v>789975</v>
      </c>
      <c r="C31" s="56" t="str">
        <f t="shared" si="11"/>
        <v>x</v>
      </c>
      <c r="D31" s="56">
        <v>3439</v>
      </c>
      <c r="E31" s="56">
        <v>4948</v>
      </c>
      <c r="F31" s="56" t="s">
        <v>188</v>
      </c>
      <c r="G31" s="56" t="s">
        <v>188</v>
      </c>
      <c r="H31" s="56" t="s">
        <v>188</v>
      </c>
      <c r="J31" s="32"/>
      <c r="K31" s="32"/>
      <c r="L31" s="32"/>
      <c r="M31" s="32"/>
      <c r="N31" s="32"/>
      <c r="O31" s="32"/>
      <c r="P31" s="32"/>
      <c r="Q31" s="32"/>
      <c r="R31" s="32"/>
    </row>
    <row r="32" spans="1:35">
      <c r="B32" s="57"/>
      <c r="C32" s="56"/>
      <c r="D32" s="57"/>
      <c r="E32" s="57"/>
      <c r="F32" s="57"/>
      <c r="G32" s="57"/>
      <c r="H32" s="57"/>
    </row>
    <row r="33" spans="1:18">
      <c r="A33" s="64" t="s">
        <v>498</v>
      </c>
      <c r="B33" s="57"/>
      <c r="C33" s="57"/>
      <c r="D33" s="57"/>
      <c r="E33" s="57"/>
      <c r="F33" s="57"/>
      <c r="G33" s="57"/>
      <c r="H33" s="57"/>
    </row>
    <row r="34" spans="1:18">
      <c r="A34" s="64" t="s">
        <v>1780</v>
      </c>
      <c r="B34" s="65">
        <f>IFERROR(((B31/B17)^(1/14)-1)*100,"n.a.")</f>
        <v>0.74830683467603798</v>
      </c>
      <c r="C34" s="65" t="str">
        <f t="shared" ref="C34:H34" si="12">IFERROR(((C31/C17)^(1/14)-1)*100,"n.a.")</f>
        <v>n.a.</v>
      </c>
      <c r="D34" s="65">
        <f t="shared" si="12"/>
        <v>-1.685485207340065</v>
      </c>
      <c r="E34" s="65">
        <f t="shared" si="12"/>
        <v>-1.5333354702473878</v>
      </c>
      <c r="F34" s="65" t="str">
        <f t="shared" si="12"/>
        <v>n.a.</v>
      </c>
      <c r="G34" s="65" t="str">
        <f t="shared" si="12"/>
        <v>n.a.</v>
      </c>
      <c r="H34" s="65" t="str">
        <f t="shared" si="12"/>
        <v>n.a.</v>
      </c>
      <c r="J34" s="138">
        <f>((J26/J17)^(1/9)-1)*100</f>
        <v>1.2414677397205143</v>
      </c>
      <c r="K34" s="138">
        <f t="shared" ref="K34:R34" si="13">((K26/K17)^(1/9)-1)*100</f>
        <v>0.37484763752471117</v>
      </c>
      <c r="L34" s="138">
        <f t="shared" si="13"/>
        <v>-1.3966424000666944</v>
      </c>
      <c r="M34" s="138">
        <f t="shared" si="13"/>
        <v>-1.2552436895565178</v>
      </c>
      <c r="N34" s="138" t="e">
        <f t="shared" si="13"/>
        <v>#DIV/0!</v>
      </c>
      <c r="O34" s="138">
        <f t="shared" si="13"/>
        <v>1.2858795539773649</v>
      </c>
      <c r="P34" s="138">
        <f t="shared" si="13"/>
        <v>-7.4589319633790669</v>
      </c>
      <c r="Q34" s="138">
        <f t="shared" si="13"/>
        <v>-8.8672254418570731</v>
      </c>
      <c r="R34" s="138">
        <f t="shared" si="13"/>
        <v>-100</v>
      </c>
    </row>
    <row r="35" spans="1:18">
      <c r="A35" s="64" t="s">
        <v>663</v>
      </c>
      <c r="B35" s="65">
        <f>IFERROR(((B20/B17)^(1/3)-1)*100,"n.a.")</f>
        <v>1.8794995888367083</v>
      </c>
      <c r="C35" s="65" t="str">
        <f t="shared" ref="C35:H35" si="14">IFERROR(((C20/C17)^(1/3)-1)*100,"n.a.")</f>
        <v>n.a.</v>
      </c>
      <c r="D35" s="65">
        <f t="shared" si="14"/>
        <v>6.36994510202471</v>
      </c>
      <c r="E35" s="65">
        <f t="shared" si="14"/>
        <v>5.8771382621558566</v>
      </c>
      <c r="F35" s="65" t="str">
        <f t="shared" si="14"/>
        <v>n.a.</v>
      </c>
      <c r="G35" s="65" t="str">
        <f t="shared" si="14"/>
        <v>n.a.</v>
      </c>
      <c r="H35" s="65" t="str">
        <f t="shared" si="14"/>
        <v>n.a.</v>
      </c>
      <c r="J35" s="138"/>
      <c r="K35" s="138"/>
      <c r="L35" s="138"/>
      <c r="M35" s="138"/>
      <c r="N35" s="138"/>
      <c r="O35" s="138"/>
      <c r="P35" s="138"/>
      <c r="Q35" s="138"/>
      <c r="R35" s="138"/>
    </row>
    <row r="36" spans="1:18">
      <c r="A36" s="64" t="s">
        <v>1782</v>
      </c>
      <c r="B36" s="65">
        <f>IFERROR(((B31/B20)^(1/11)-1)*100,"n.a.")</f>
        <v>0.44198543419740055</v>
      </c>
      <c r="C36" s="65" t="str">
        <f t="shared" ref="C36:H36" si="15">IFERROR(((C31/C20)^(1/11)-1)*100,"n.a.")</f>
        <v>n.a.</v>
      </c>
      <c r="D36" s="65">
        <f t="shared" si="15"/>
        <v>-3.7745359162424941</v>
      </c>
      <c r="E36" s="65">
        <f t="shared" si="15"/>
        <v>-3.462781566779205</v>
      </c>
      <c r="F36" s="65" t="str">
        <f t="shared" si="15"/>
        <v>n.a.</v>
      </c>
      <c r="G36" s="65" t="str">
        <f t="shared" si="15"/>
        <v>n.a.</v>
      </c>
      <c r="H36" s="65" t="str">
        <f t="shared" si="15"/>
        <v>n.a.</v>
      </c>
      <c r="J36" s="138"/>
      <c r="K36" s="138"/>
      <c r="L36" s="138"/>
      <c r="M36" s="138"/>
      <c r="N36" s="138"/>
      <c r="O36" s="138"/>
      <c r="P36" s="138"/>
      <c r="Q36" s="138"/>
      <c r="R36" s="138"/>
    </row>
    <row r="37" spans="1:18">
      <c r="B37" s="57"/>
      <c r="C37" s="57"/>
      <c r="D37" s="57"/>
      <c r="E37" s="57"/>
      <c r="F37" s="57"/>
      <c r="G37" s="57"/>
      <c r="H37" s="57"/>
    </row>
    <row r="38" spans="1:18">
      <c r="A38" s="137" t="s">
        <v>494</v>
      </c>
      <c r="B38" s="137"/>
      <c r="C38" s="137"/>
      <c r="D38" s="137"/>
      <c r="E38" s="137"/>
      <c r="F38" s="137"/>
      <c r="G38" s="137"/>
      <c r="H38" s="137"/>
    </row>
    <row r="39" spans="1:18">
      <c r="A39" s="137" t="s">
        <v>495</v>
      </c>
      <c r="B39" s="137"/>
      <c r="C39" s="137"/>
      <c r="D39" s="137"/>
      <c r="E39" s="137"/>
      <c r="F39" s="137"/>
      <c r="G39" s="137"/>
      <c r="H39" s="137"/>
    </row>
    <row r="40" spans="1:18" ht="15" hidden="1" customHeight="1" outlineLevel="1">
      <c r="A40" s="137" t="s">
        <v>496</v>
      </c>
      <c r="B40" s="137"/>
      <c r="C40" s="137"/>
      <c r="D40" s="137"/>
      <c r="E40" s="137"/>
      <c r="F40" s="137"/>
      <c r="G40" s="137"/>
      <c r="H40" s="137"/>
    </row>
    <row r="41" spans="1:18" collapsed="1">
      <c r="A41" s="137" t="s">
        <v>193</v>
      </c>
      <c r="B41" s="137"/>
      <c r="C41" s="137"/>
      <c r="D41" s="137"/>
      <c r="E41" s="137"/>
      <c r="F41" s="137"/>
      <c r="G41" s="137"/>
      <c r="H41" s="137"/>
    </row>
    <row r="42" spans="1:18">
      <c r="A42" s="137" t="s">
        <v>194</v>
      </c>
      <c r="B42" s="137"/>
      <c r="C42" s="137"/>
      <c r="D42" s="137"/>
      <c r="E42" s="137"/>
      <c r="F42" s="137"/>
      <c r="G42" s="137"/>
      <c r="H42" s="137"/>
    </row>
    <row r="43" spans="1:18">
      <c r="A43" s="137" t="s">
        <v>383</v>
      </c>
      <c r="B43" s="137"/>
      <c r="C43" s="137"/>
      <c r="D43" s="137"/>
      <c r="E43" s="137"/>
      <c r="F43" s="137"/>
      <c r="G43" s="137"/>
      <c r="H43" s="137"/>
    </row>
    <row r="44" spans="1:18" hidden="1" outlineLevel="1">
      <c r="A44" s="64" t="s">
        <v>497</v>
      </c>
      <c r="C44" s="142"/>
    </row>
    <row r="45" spans="1:18" collapsed="1">
      <c r="C45" s="142"/>
    </row>
    <row r="46" spans="1:18">
      <c r="C46" s="142"/>
    </row>
  </sheetData>
  <mergeCells count="7">
    <mergeCell ref="A42:H42"/>
    <mergeCell ref="A43:H43"/>
    <mergeCell ref="A1:H1"/>
    <mergeCell ref="A38:H38"/>
    <mergeCell ref="A39:H39"/>
    <mergeCell ref="A40:H40"/>
    <mergeCell ref="A41:H41"/>
  </mergeCells>
  <pageMargins left="0.7" right="0.7" top="0.75" bottom="0.75" header="0.3" footer="0.3"/>
  <pageSetup scale="88" orientation="landscape" horizontalDpi="0" verticalDpi="0" r:id="rId1"/>
</worksheet>
</file>

<file path=xl/worksheets/sheet173.xml><?xml version="1.0" encoding="utf-8"?>
<worksheet xmlns="http://schemas.openxmlformats.org/spreadsheetml/2006/main" xmlns:r="http://schemas.openxmlformats.org/officeDocument/2006/relationships">
  <sheetPr codeName="Sheet167"/>
  <dimension ref="A1:AQ46"/>
  <sheetViews>
    <sheetView view="pageBreakPreview" zoomScaleNormal="85" zoomScaleSheetLayoutView="100"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2" style="64" customWidth="1"/>
    <col min="2" max="2" width="15.42578125" style="64" customWidth="1"/>
    <col min="3" max="3" width="15.28515625" style="64" customWidth="1"/>
    <col min="4" max="8" width="15.42578125" style="64" customWidth="1"/>
    <col min="9" max="9" width="9.140625" style="64"/>
    <col min="10" max="35" width="9.140625" style="64" hidden="1" customWidth="1" outlineLevel="1"/>
    <col min="36" max="36" width="9.140625" style="64" collapsed="1"/>
    <col min="37" max="16384" width="9.140625" style="64"/>
  </cols>
  <sheetData>
    <row r="1" spans="1:35">
      <c r="A1" s="108" t="s">
        <v>2097</v>
      </c>
      <c r="B1" s="108"/>
      <c r="C1" s="108"/>
      <c r="D1" s="108"/>
      <c r="E1" s="108"/>
      <c r="F1" s="108"/>
      <c r="G1" s="108"/>
      <c r="H1" s="108"/>
    </row>
    <row r="2" spans="1:35" ht="120">
      <c r="A2" s="66"/>
      <c r="B2" s="73" t="s">
        <v>41</v>
      </c>
      <c r="C2" s="73" t="s">
        <v>37</v>
      </c>
      <c r="D2" s="73" t="s">
        <v>0</v>
      </c>
      <c r="E2" s="73" t="s">
        <v>1</v>
      </c>
      <c r="F2" s="73" t="s">
        <v>2</v>
      </c>
      <c r="G2" s="73" t="s">
        <v>13</v>
      </c>
      <c r="H2" s="73" t="s">
        <v>19</v>
      </c>
      <c r="I2" s="62"/>
      <c r="J2" s="62" t="s">
        <v>493</v>
      </c>
      <c r="K2" s="62" t="s">
        <v>492</v>
      </c>
      <c r="L2" s="62" t="s">
        <v>67</v>
      </c>
      <c r="M2" s="62" t="s">
        <v>68</v>
      </c>
      <c r="N2" s="62" t="s">
        <v>69</v>
      </c>
      <c r="O2" s="62" t="s">
        <v>70</v>
      </c>
      <c r="P2" s="62" t="s">
        <v>71</v>
      </c>
      <c r="Q2" s="62" t="s">
        <v>72</v>
      </c>
      <c r="R2" s="62" t="s">
        <v>73</v>
      </c>
      <c r="S2" s="62"/>
      <c r="T2" s="62" t="s">
        <v>493</v>
      </c>
      <c r="U2" s="62" t="s">
        <v>492</v>
      </c>
      <c r="V2" s="62" t="s">
        <v>67</v>
      </c>
      <c r="W2" s="62" t="s">
        <v>68</v>
      </c>
      <c r="X2" s="62" t="s">
        <v>69</v>
      </c>
      <c r="Y2" s="62" t="s">
        <v>70</v>
      </c>
      <c r="Z2" s="62" t="s">
        <v>71</v>
      </c>
      <c r="AA2" s="62" t="s">
        <v>72</v>
      </c>
      <c r="AB2" s="62" t="s">
        <v>73</v>
      </c>
      <c r="AC2" s="62"/>
      <c r="AD2" s="64" t="s">
        <v>408</v>
      </c>
      <c r="AE2" s="64" t="s">
        <v>409</v>
      </c>
      <c r="AF2" s="64" t="s">
        <v>410</v>
      </c>
      <c r="AG2" s="64" t="s">
        <v>411</v>
      </c>
      <c r="AH2" s="64" t="s">
        <v>412</v>
      </c>
      <c r="AI2" s="64" t="s">
        <v>413</v>
      </c>
    </row>
    <row r="3" spans="1:35" hidden="1" outlineLevel="1">
      <c r="C3" s="135"/>
      <c r="AD3" s="64" t="s">
        <v>414</v>
      </c>
      <c r="AE3" s="64" t="s">
        <v>415</v>
      </c>
      <c r="AF3" s="64" t="s">
        <v>416</v>
      </c>
      <c r="AG3" s="64" t="s">
        <v>417</v>
      </c>
      <c r="AH3" s="64" t="s">
        <v>418</v>
      </c>
      <c r="AI3" s="64" t="s">
        <v>419</v>
      </c>
    </row>
    <row r="4" spans="1:35" hidden="1" outlineLevel="1" collapsed="1">
      <c r="A4" s="64">
        <v>1984</v>
      </c>
      <c r="C4" s="57"/>
    </row>
    <row r="5" spans="1:35" hidden="1" outlineLevel="1">
      <c r="A5" s="64">
        <v>1985</v>
      </c>
      <c r="C5" s="57"/>
    </row>
    <row r="6" spans="1:35" hidden="1" outlineLevel="1">
      <c r="A6" s="64">
        <v>1986</v>
      </c>
      <c r="C6" s="57"/>
    </row>
    <row r="7" spans="1:35" hidden="1" outlineLevel="1">
      <c r="A7" s="64">
        <v>1987</v>
      </c>
      <c r="C7" s="57"/>
      <c r="J7" s="32">
        <f>T7*52</f>
        <v>502330.4</v>
      </c>
      <c r="K7" s="32">
        <f t="shared" ref="K7:R7" si="0">U7*52</f>
        <v>7940.4</v>
      </c>
      <c r="L7" s="32">
        <f t="shared" si="0"/>
        <v>12396.800000000001</v>
      </c>
      <c r="M7" s="32">
        <f t="shared" si="0"/>
        <v>8314.8000000000011</v>
      </c>
      <c r="N7" s="32">
        <f t="shared" si="0"/>
        <v>1211.6000000000001</v>
      </c>
      <c r="O7" s="32">
        <f t="shared" si="0"/>
        <v>2870.4</v>
      </c>
      <c r="P7" s="32">
        <f t="shared" si="0"/>
        <v>14710.8</v>
      </c>
      <c r="Q7" s="32">
        <f t="shared" si="0"/>
        <v>13431.6</v>
      </c>
      <c r="R7" s="32">
        <f t="shared" si="0"/>
        <v>1279.2</v>
      </c>
      <c r="T7" s="64">
        <v>9660.2000000000007</v>
      </c>
      <c r="U7" s="64">
        <v>152.69999999999999</v>
      </c>
      <c r="V7" s="64">
        <v>238.4</v>
      </c>
      <c r="W7" s="64">
        <v>159.9</v>
      </c>
      <c r="X7" s="64">
        <v>23.3</v>
      </c>
      <c r="Y7" s="64">
        <v>55.2</v>
      </c>
      <c r="Z7" s="64">
        <v>282.89999999999998</v>
      </c>
      <c r="AA7" s="64">
        <v>258.3</v>
      </c>
      <c r="AB7" s="64">
        <v>24.6</v>
      </c>
    </row>
    <row r="8" spans="1:35" hidden="1" outlineLevel="1">
      <c r="A8" s="64">
        <v>1988</v>
      </c>
      <c r="C8" s="57"/>
      <c r="J8" s="32">
        <f t="shared" ref="J8:J27" si="1">T8*52</f>
        <v>528210.79999999993</v>
      </c>
      <c r="K8" s="32">
        <f t="shared" ref="K8:K27" si="2">U8*52</f>
        <v>9864.4</v>
      </c>
      <c r="L8" s="32">
        <f t="shared" ref="L8:L27" si="3">V8*52</f>
        <v>13005.199999999999</v>
      </c>
      <c r="M8" s="32">
        <f t="shared" ref="M8:M27" si="4">W8*52</f>
        <v>7248.8</v>
      </c>
      <c r="N8" s="32">
        <f t="shared" ref="N8:N27" si="5">X8*52</f>
        <v>2152.7999999999997</v>
      </c>
      <c r="O8" s="32">
        <f t="shared" ref="O8:O27" si="6">Y8*52</f>
        <v>3598.4</v>
      </c>
      <c r="P8" s="32">
        <f t="shared" ref="P8:P27" si="7">Z8*52</f>
        <v>17414.8</v>
      </c>
      <c r="Q8" s="32">
        <f t="shared" ref="Q8:Q27" si="8">AA8*52</f>
        <v>15938</v>
      </c>
      <c r="R8" s="32">
        <f t="shared" ref="R8:R27" si="9">AB8*52</f>
        <v>1482</v>
      </c>
      <c r="T8" s="64">
        <v>10157.9</v>
      </c>
      <c r="U8" s="64">
        <v>189.7</v>
      </c>
      <c r="V8" s="64">
        <v>250.1</v>
      </c>
      <c r="W8" s="64">
        <v>139.4</v>
      </c>
      <c r="X8" s="64">
        <v>41.4</v>
      </c>
      <c r="Y8" s="64">
        <v>69.2</v>
      </c>
      <c r="Z8" s="64">
        <v>334.9</v>
      </c>
      <c r="AA8" s="64">
        <v>306.5</v>
      </c>
      <c r="AB8" s="64">
        <v>28.5</v>
      </c>
    </row>
    <row r="9" spans="1:35" hidden="1" outlineLevel="1">
      <c r="A9" s="64">
        <v>1989</v>
      </c>
      <c r="C9" s="57"/>
      <c r="J9" s="32">
        <f t="shared" si="1"/>
        <v>547643.20000000007</v>
      </c>
      <c r="K9" s="32">
        <f t="shared" si="2"/>
        <v>8138</v>
      </c>
      <c r="L9" s="32">
        <f t="shared" si="3"/>
        <v>10670.4</v>
      </c>
      <c r="M9" s="32">
        <f t="shared" si="4"/>
        <v>5912.4000000000005</v>
      </c>
      <c r="N9" s="32">
        <f t="shared" si="5"/>
        <v>1606.8</v>
      </c>
      <c r="O9" s="32">
        <f t="shared" si="6"/>
        <v>3146</v>
      </c>
      <c r="P9" s="32">
        <f t="shared" si="7"/>
        <v>14934.4</v>
      </c>
      <c r="Q9" s="32">
        <f t="shared" si="8"/>
        <v>14019.2</v>
      </c>
      <c r="R9" s="32">
        <f t="shared" si="9"/>
        <v>915.2</v>
      </c>
      <c r="T9" s="64">
        <v>10531.6</v>
      </c>
      <c r="U9" s="64">
        <v>156.5</v>
      </c>
      <c r="V9" s="64">
        <v>205.2</v>
      </c>
      <c r="W9" s="64">
        <v>113.7</v>
      </c>
      <c r="X9" s="64">
        <v>30.9</v>
      </c>
      <c r="Y9" s="64">
        <v>60.5</v>
      </c>
      <c r="Z9" s="64">
        <v>287.2</v>
      </c>
      <c r="AA9" s="64">
        <v>269.60000000000002</v>
      </c>
      <c r="AB9" s="64">
        <v>17.600000000000001</v>
      </c>
    </row>
    <row r="10" spans="1:35" hidden="1" outlineLevel="1">
      <c r="A10" s="64">
        <v>1990</v>
      </c>
      <c r="C10" s="57"/>
      <c r="J10" s="32">
        <f t="shared" si="1"/>
        <v>547066</v>
      </c>
      <c r="K10" s="32">
        <f t="shared" si="2"/>
        <v>6479.2</v>
      </c>
      <c r="L10" s="32">
        <f t="shared" si="3"/>
        <v>9136.4</v>
      </c>
      <c r="M10" s="32">
        <f t="shared" si="4"/>
        <v>5746</v>
      </c>
      <c r="N10" s="32">
        <f t="shared" si="5"/>
        <v>1263.6000000000001</v>
      </c>
      <c r="O10" s="32">
        <f t="shared" si="6"/>
        <v>2132</v>
      </c>
      <c r="P10" s="32">
        <f t="shared" si="7"/>
        <v>11830</v>
      </c>
      <c r="Q10" s="32">
        <f t="shared" si="8"/>
        <v>10857.6</v>
      </c>
      <c r="R10" s="32">
        <f t="shared" si="9"/>
        <v>972.4</v>
      </c>
      <c r="T10" s="64">
        <v>10520.5</v>
      </c>
      <c r="U10" s="64">
        <v>124.6</v>
      </c>
      <c r="V10" s="64">
        <v>175.7</v>
      </c>
      <c r="W10" s="64">
        <v>110.5</v>
      </c>
      <c r="X10" s="64">
        <v>24.3</v>
      </c>
      <c r="Y10" s="64">
        <v>41</v>
      </c>
      <c r="Z10" s="64">
        <v>227.5</v>
      </c>
      <c r="AA10" s="64">
        <v>208.8</v>
      </c>
      <c r="AB10" s="64">
        <v>18.7</v>
      </c>
    </row>
    <row r="11" spans="1:35" hidden="1" outlineLevel="1">
      <c r="A11" s="64">
        <v>1991</v>
      </c>
      <c r="B11" s="57"/>
      <c r="C11" s="57"/>
      <c r="D11" s="57"/>
      <c r="E11" s="57"/>
      <c r="F11" s="57"/>
      <c r="G11" s="57"/>
      <c r="H11" s="57"/>
      <c r="J11" s="32">
        <f t="shared" si="1"/>
        <v>528886.79999999993</v>
      </c>
      <c r="K11" s="32">
        <f t="shared" si="2"/>
        <v>5413.2</v>
      </c>
      <c r="L11" s="32">
        <f t="shared" si="3"/>
        <v>7228</v>
      </c>
      <c r="M11" s="32">
        <f t="shared" si="4"/>
        <v>4347.2</v>
      </c>
      <c r="N11" s="32">
        <f t="shared" si="5"/>
        <v>0</v>
      </c>
      <c r="O11" s="32">
        <f t="shared" si="6"/>
        <v>2241.2000000000003</v>
      </c>
      <c r="P11" s="32">
        <f t="shared" si="7"/>
        <v>9370.4</v>
      </c>
      <c r="Q11" s="32">
        <f t="shared" si="8"/>
        <v>8252.4</v>
      </c>
      <c r="R11" s="32">
        <f t="shared" si="9"/>
        <v>1112.8</v>
      </c>
      <c r="T11" s="64">
        <v>10170.9</v>
      </c>
      <c r="U11" s="64">
        <v>104.1</v>
      </c>
      <c r="V11" s="64">
        <v>139</v>
      </c>
      <c r="W11" s="64">
        <v>83.6</v>
      </c>
      <c r="X11" s="64">
        <v>0</v>
      </c>
      <c r="Y11" s="64">
        <v>43.1</v>
      </c>
      <c r="Z11" s="64">
        <v>180.2</v>
      </c>
      <c r="AA11" s="64">
        <v>158.69999999999999</v>
      </c>
      <c r="AB11" s="64">
        <v>21.4</v>
      </c>
    </row>
    <row r="12" spans="1:35" hidden="1" outlineLevel="1">
      <c r="A12" s="64">
        <v>1992</v>
      </c>
      <c r="B12" s="57"/>
      <c r="C12" s="57"/>
      <c r="D12" s="57"/>
      <c r="E12" s="57"/>
      <c r="F12" s="57"/>
      <c r="G12" s="57"/>
      <c r="H12" s="57"/>
      <c r="J12" s="32">
        <f t="shared" si="1"/>
        <v>530103.6</v>
      </c>
      <c r="K12" s="32">
        <f t="shared" si="2"/>
        <v>5168.8</v>
      </c>
      <c r="L12" s="32">
        <f t="shared" si="3"/>
        <v>5486</v>
      </c>
      <c r="M12" s="32">
        <f t="shared" si="4"/>
        <v>3489.2</v>
      </c>
      <c r="N12" s="32">
        <f t="shared" si="5"/>
        <v>0</v>
      </c>
      <c r="O12" s="32">
        <f t="shared" si="6"/>
        <v>1424.8</v>
      </c>
      <c r="P12" s="32">
        <f t="shared" si="7"/>
        <v>10363.6</v>
      </c>
      <c r="Q12" s="32">
        <f t="shared" si="8"/>
        <v>9568</v>
      </c>
      <c r="R12" s="32">
        <f t="shared" si="9"/>
        <v>795.6</v>
      </c>
      <c r="T12" s="64">
        <v>10194.299999999999</v>
      </c>
      <c r="U12" s="64">
        <v>99.4</v>
      </c>
      <c r="V12" s="64">
        <v>105.5</v>
      </c>
      <c r="W12" s="64">
        <v>67.099999999999994</v>
      </c>
      <c r="X12" s="64">
        <v>0</v>
      </c>
      <c r="Y12" s="64">
        <v>27.4</v>
      </c>
      <c r="Z12" s="64">
        <v>199.3</v>
      </c>
      <c r="AA12" s="64">
        <v>184</v>
      </c>
      <c r="AB12" s="64">
        <v>15.3</v>
      </c>
    </row>
    <row r="13" spans="1:35" hidden="1" outlineLevel="1">
      <c r="A13" s="64">
        <v>1993</v>
      </c>
      <c r="B13" s="57"/>
      <c r="C13" s="57"/>
      <c r="D13" s="57"/>
      <c r="E13" s="57"/>
      <c r="F13" s="57"/>
      <c r="G13" s="57"/>
      <c r="H13" s="57"/>
      <c r="J13" s="32">
        <f t="shared" si="1"/>
        <v>542386</v>
      </c>
      <c r="K13" s="32">
        <f t="shared" si="2"/>
        <v>4945.2</v>
      </c>
      <c r="L13" s="32">
        <f t="shared" si="3"/>
        <v>7014.8</v>
      </c>
      <c r="M13" s="32">
        <f t="shared" si="4"/>
        <v>4206.8</v>
      </c>
      <c r="N13" s="32">
        <f t="shared" si="5"/>
        <v>0</v>
      </c>
      <c r="O13" s="32">
        <f t="shared" si="6"/>
        <v>2594.7999999999997</v>
      </c>
      <c r="P13" s="32">
        <f t="shared" si="7"/>
        <v>12017.199999999999</v>
      </c>
      <c r="Q13" s="32">
        <f t="shared" si="8"/>
        <v>11294.4</v>
      </c>
      <c r="R13" s="32">
        <f t="shared" si="9"/>
        <v>0</v>
      </c>
      <c r="T13" s="64">
        <v>10430.5</v>
      </c>
      <c r="U13" s="64">
        <v>95.1</v>
      </c>
      <c r="V13" s="64">
        <v>134.9</v>
      </c>
      <c r="W13" s="64">
        <v>80.900000000000006</v>
      </c>
      <c r="X13" s="64">
        <v>0</v>
      </c>
      <c r="Y13" s="64">
        <v>49.9</v>
      </c>
      <c r="Z13" s="64">
        <v>231.1</v>
      </c>
      <c r="AA13" s="64">
        <v>217.2</v>
      </c>
      <c r="AB13" s="64">
        <v>0</v>
      </c>
    </row>
    <row r="14" spans="1:35" hidden="1" outlineLevel="1">
      <c r="A14" s="64">
        <v>1994</v>
      </c>
      <c r="B14" s="56"/>
      <c r="C14" s="56"/>
      <c r="D14" s="56"/>
      <c r="E14" s="56"/>
      <c r="F14" s="56"/>
      <c r="G14" s="56"/>
      <c r="H14" s="56"/>
      <c r="I14" s="144"/>
      <c r="J14" s="32">
        <f t="shared" si="1"/>
        <v>549031.6</v>
      </c>
      <c r="K14" s="32">
        <f t="shared" si="2"/>
        <v>6609.2</v>
      </c>
      <c r="L14" s="32">
        <f t="shared" si="3"/>
        <v>7488</v>
      </c>
      <c r="M14" s="32">
        <f t="shared" si="4"/>
        <v>4420</v>
      </c>
      <c r="N14" s="32">
        <f t="shared" si="5"/>
        <v>0</v>
      </c>
      <c r="O14" s="32">
        <f t="shared" si="6"/>
        <v>2412.7999999999997</v>
      </c>
      <c r="P14" s="32">
        <f t="shared" si="7"/>
        <v>10509.199999999999</v>
      </c>
      <c r="Q14" s="32">
        <f t="shared" si="8"/>
        <v>9412</v>
      </c>
      <c r="R14" s="32">
        <f t="shared" si="9"/>
        <v>1097.2</v>
      </c>
      <c r="S14" s="144"/>
      <c r="T14" s="64">
        <v>10558.3</v>
      </c>
      <c r="U14" s="64">
        <v>127.1</v>
      </c>
      <c r="V14" s="64">
        <v>144</v>
      </c>
      <c r="W14" s="64">
        <v>85</v>
      </c>
      <c r="X14" s="64">
        <v>0</v>
      </c>
      <c r="Y14" s="64">
        <v>46.4</v>
      </c>
      <c r="Z14" s="64">
        <v>202.1</v>
      </c>
      <c r="AA14" s="64">
        <v>181</v>
      </c>
      <c r="AB14" s="64">
        <v>21.1</v>
      </c>
      <c r="AC14" s="144"/>
    </row>
    <row r="15" spans="1:35" hidden="1" outlineLevel="1">
      <c r="A15" s="64">
        <v>1995</v>
      </c>
      <c r="B15" s="56"/>
      <c r="C15" s="56"/>
      <c r="D15" s="56"/>
      <c r="E15" s="56"/>
      <c r="F15" s="56"/>
      <c r="G15" s="56"/>
      <c r="H15" s="56"/>
      <c r="I15" s="144"/>
      <c r="J15" s="32">
        <f t="shared" si="1"/>
        <v>564038.79999999993</v>
      </c>
      <c r="K15" s="32">
        <f t="shared" si="2"/>
        <v>8730.8000000000011</v>
      </c>
      <c r="L15" s="32">
        <f t="shared" si="3"/>
        <v>9193.6</v>
      </c>
      <c r="M15" s="32">
        <f t="shared" si="4"/>
        <v>4882.8</v>
      </c>
      <c r="N15" s="32">
        <f t="shared" si="5"/>
        <v>1185.6000000000001</v>
      </c>
      <c r="O15" s="32">
        <f t="shared" si="6"/>
        <v>3125.2000000000003</v>
      </c>
      <c r="P15" s="32">
        <f t="shared" si="7"/>
        <v>13577.2</v>
      </c>
      <c r="Q15" s="32">
        <f t="shared" si="8"/>
        <v>12443.6</v>
      </c>
      <c r="R15" s="32">
        <f t="shared" si="9"/>
        <v>1133.6000000000001</v>
      </c>
      <c r="S15" s="144"/>
      <c r="T15" s="64">
        <v>10846.9</v>
      </c>
      <c r="U15" s="64">
        <v>167.9</v>
      </c>
      <c r="V15" s="64">
        <v>176.8</v>
      </c>
      <c r="W15" s="64">
        <v>93.9</v>
      </c>
      <c r="X15" s="64">
        <v>22.8</v>
      </c>
      <c r="Y15" s="64">
        <v>60.1</v>
      </c>
      <c r="Z15" s="64">
        <v>261.10000000000002</v>
      </c>
      <c r="AA15" s="64">
        <v>239.3</v>
      </c>
      <c r="AB15" s="64">
        <v>21.8</v>
      </c>
      <c r="AC15" s="144"/>
    </row>
    <row r="16" spans="1:35" hidden="1" outlineLevel="1">
      <c r="A16" s="64">
        <v>1996</v>
      </c>
      <c r="B16" s="56"/>
      <c r="C16" s="56"/>
      <c r="D16" s="56"/>
      <c r="E16" s="56"/>
      <c r="F16" s="56"/>
      <c r="G16" s="56"/>
      <c r="H16" s="56"/>
      <c r="I16" s="32"/>
      <c r="J16" s="32">
        <f t="shared" si="1"/>
        <v>563794.4</v>
      </c>
      <c r="K16" s="32">
        <f t="shared" si="2"/>
        <v>7389.2</v>
      </c>
      <c r="L16" s="32">
        <f t="shared" si="3"/>
        <v>9708.4</v>
      </c>
      <c r="M16" s="32">
        <f t="shared" si="4"/>
        <v>5579.5999999999995</v>
      </c>
      <c r="N16" s="32">
        <f t="shared" si="5"/>
        <v>1658.8</v>
      </c>
      <c r="O16" s="32">
        <f t="shared" si="6"/>
        <v>2470</v>
      </c>
      <c r="P16" s="32">
        <f t="shared" si="7"/>
        <v>13655.2</v>
      </c>
      <c r="Q16" s="32">
        <f t="shared" si="8"/>
        <v>12854.4</v>
      </c>
      <c r="R16" s="32">
        <f t="shared" si="9"/>
        <v>0</v>
      </c>
      <c r="S16" s="32"/>
      <c r="T16" s="64">
        <v>10842.2</v>
      </c>
      <c r="U16" s="64">
        <v>142.1</v>
      </c>
      <c r="V16" s="64">
        <v>186.7</v>
      </c>
      <c r="W16" s="64">
        <v>107.3</v>
      </c>
      <c r="X16" s="64">
        <v>31.9</v>
      </c>
      <c r="Y16" s="64">
        <v>47.5</v>
      </c>
      <c r="Z16" s="64">
        <v>262.60000000000002</v>
      </c>
      <c r="AA16" s="64">
        <v>247.2</v>
      </c>
      <c r="AB16" s="64">
        <v>0</v>
      </c>
      <c r="AC16" s="32"/>
    </row>
    <row r="17" spans="1:35" collapsed="1">
      <c r="A17" s="66">
        <v>1997</v>
      </c>
      <c r="B17" s="56">
        <v>579624</v>
      </c>
      <c r="C17" s="56">
        <f t="shared" ref="C17:C27" si="10">IFERROR(D17+E17+F17,"x")</f>
        <v>34139</v>
      </c>
      <c r="D17" s="56">
        <v>10160</v>
      </c>
      <c r="E17" s="56">
        <v>13990</v>
      </c>
      <c r="F17" s="56">
        <v>9989</v>
      </c>
      <c r="G17" s="56">
        <v>8776</v>
      </c>
      <c r="H17" s="56">
        <v>1213</v>
      </c>
      <c r="I17" s="32"/>
      <c r="J17" s="32">
        <f t="shared" si="1"/>
        <v>571157.6</v>
      </c>
      <c r="K17" s="32">
        <f t="shared" si="2"/>
        <v>8990.8000000000011</v>
      </c>
      <c r="L17" s="32">
        <f t="shared" si="3"/>
        <v>11570</v>
      </c>
      <c r="M17" s="32">
        <f t="shared" si="4"/>
        <v>6936.8</v>
      </c>
      <c r="N17" s="32">
        <f t="shared" si="5"/>
        <v>2090.4</v>
      </c>
      <c r="O17" s="32">
        <f t="shared" si="6"/>
        <v>2542.7999999999997</v>
      </c>
      <c r="P17" s="32">
        <f t="shared" si="7"/>
        <v>12225.199999999999</v>
      </c>
      <c r="Q17" s="32">
        <f t="shared" si="8"/>
        <v>10764</v>
      </c>
      <c r="R17" s="32">
        <f t="shared" si="9"/>
        <v>1461.2</v>
      </c>
      <c r="S17" s="32"/>
      <c r="T17" s="64">
        <v>10983.8</v>
      </c>
      <c r="U17" s="64">
        <v>172.9</v>
      </c>
      <c r="V17" s="64">
        <v>222.5</v>
      </c>
      <c r="W17" s="64">
        <v>133.4</v>
      </c>
      <c r="X17" s="64">
        <v>40.200000000000003</v>
      </c>
      <c r="Y17" s="64">
        <v>48.9</v>
      </c>
      <c r="Z17" s="64">
        <v>235.1</v>
      </c>
      <c r="AA17" s="64">
        <v>207</v>
      </c>
      <c r="AB17" s="64">
        <v>28.1</v>
      </c>
      <c r="AC17" s="32"/>
      <c r="AD17" s="64">
        <v>575104000</v>
      </c>
      <c r="AE17" s="64">
        <v>10650000</v>
      </c>
      <c r="AF17" s="64">
        <v>12845000</v>
      </c>
      <c r="AG17" s="64">
        <v>10085000</v>
      </c>
      <c r="AH17" s="64">
        <v>8861000</v>
      </c>
      <c r="AI17" s="64">
        <v>1224000</v>
      </c>
    </row>
    <row r="18" spans="1:35">
      <c r="A18" s="66">
        <v>1998</v>
      </c>
      <c r="B18" s="56">
        <v>590138</v>
      </c>
      <c r="C18" s="56">
        <f t="shared" si="10"/>
        <v>34709</v>
      </c>
      <c r="D18" s="56">
        <v>9971</v>
      </c>
      <c r="E18" s="56">
        <v>14097</v>
      </c>
      <c r="F18" s="56">
        <v>10641</v>
      </c>
      <c r="G18" s="56">
        <v>9518</v>
      </c>
      <c r="H18" s="56">
        <v>1123</v>
      </c>
      <c r="I18" s="32"/>
      <c r="J18" s="32">
        <f t="shared" si="1"/>
        <v>579368.4</v>
      </c>
      <c r="K18" s="32">
        <f t="shared" si="2"/>
        <v>7846.8</v>
      </c>
      <c r="L18" s="32">
        <f t="shared" si="3"/>
        <v>12599.6</v>
      </c>
      <c r="M18" s="32">
        <f t="shared" si="4"/>
        <v>7888.4</v>
      </c>
      <c r="N18" s="32">
        <f t="shared" si="5"/>
        <v>1227.2</v>
      </c>
      <c r="O18" s="32">
        <f t="shared" si="6"/>
        <v>3478.8</v>
      </c>
      <c r="P18" s="32">
        <f t="shared" si="7"/>
        <v>11934</v>
      </c>
      <c r="Q18" s="32">
        <f t="shared" si="8"/>
        <v>10790</v>
      </c>
      <c r="R18" s="32">
        <f t="shared" si="9"/>
        <v>1144</v>
      </c>
      <c r="S18" s="32"/>
      <c r="T18" s="144">
        <v>11141.7</v>
      </c>
      <c r="U18" s="144">
        <v>150.9</v>
      </c>
      <c r="V18" s="144">
        <v>242.3</v>
      </c>
      <c r="W18" s="144">
        <v>151.69999999999999</v>
      </c>
      <c r="X18" s="144">
        <v>23.6</v>
      </c>
      <c r="Y18" s="144">
        <v>66.900000000000006</v>
      </c>
      <c r="Z18" s="144">
        <v>229.5</v>
      </c>
      <c r="AA18" s="144">
        <v>207.5</v>
      </c>
      <c r="AB18" s="144">
        <v>22</v>
      </c>
      <c r="AC18" s="32"/>
      <c r="AD18" s="64">
        <v>584251000</v>
      </c>
      <c r="AE18" s="64">
        <v>10405000</v>
      </c>
      <c r="AF18" s="64">
        <v>13050000</v>
      </c>
      <c r="AG18" s="64">
        <v>10883000</v>
      </c>
      <c r="AH18" s="64">
        <v>9730000</v>
      </c>
      <c r="AI18" s="64">
        <v>1152000</v>
      </c>
    </row>
    <row r="19" spans="1:35">
      <c r="A19" s="66">
        <v>1999</v>
      </c>
      <c r="B19" s="56">
        <v>606253</v>
      </c>
      <c r="C19" s="56">
        <f t="shared" si="10"/>
        <v>37117</v>
      </c>
      <c r="D19" s="56">
        <v>10106</v>
      </c>
      <c r="E19" s="56">
        <v>15004</v>
      </c>
      <c r="F19" s="56">
        <v>12007</v>
      </c>
      <c r="G19" s="56">
        <v>10793</v>
      </c>
      <c r="H19" s="56">
        <v>1214</v>
      </c>
      <c r="I19" s="32"/>
      <c r="J19" s="32">
        <f t="shared" si="1"/>
        <v>599684.79999999993</v>
      </c>
      <c r="K19" s="32">
        <f t="shared" si="2"/>
        <v>7290.4</v>
      </c>
      <c r="L19" s="32">
        <f t="shared" si="3"/>
        <v>15199.6</v>
      </c>
      <c r="M19" s="32">
        <f t="shared" si="4"/>
        <v>10275.199999999999</v>
      </c>
      <c r="N19" s="32">
        <f t="shared" si="5"/>
        <v>2132</v>
      </c>
      <c r="O19" s="32">
        <f t="shared" si="6"/>
        <v>2797.6</v>
      </c>
      <c r="P19" s="32">
        <f t="shared" si="7"/>
        <v>12547.6</v>
      </c>
      <c r="Q19" s="32">
        <f t="shared" si="8"/>
        <v>10909.6</v>
      </c>
      <c r="R19" s="32">
        <f t="shared" si="9"/>
        <v>1638</v>
      </c>
      <c r="S19" s="32"/>
      <c r="T19" s="144">
        <v>11532.4</v>
      </c>
      <c r="U19" s="144">
        <v>140.19999999999999</v>
      </c>
      <c r="V19" s="144">
        <v>292.3</v>
      </c>
      <c r="W19" s="144">
        <v>197.6</v>
      </c>
      <c r="X19" s="144">
        <v>41</v>
      </c>
      <c r="Y19" s="144">
        <v>53.8</v>
      </c>
      <c r="Z19" s="144">
        <v>241.3</v>
      </c>
      <c r="AA19" s="144">
        <v>209.8</v>
      </c>
      <c r="AB19" s="144">
        <v>31.5</v>
      </c>
      <c r="AC19" s="32"/>
      <c r="AD19" s="64">
        <v>606095000</v>
      </c>
      <c r="AE19" s="64">
        <v>10733000</v>
      </c>
      <c r="AF19" s="64">
        <v>14293000</v>
      </c>
      <c r="AG19" s="64">
        <v>12493000</v>
      </c>
      <c r="AH19" s="64">
        <v>11253000</v>
      </c>
      <c r="AI19" s="64">
        <v>1239000</v>
      </c>
    </row>
    <row r="20" spans="1:35">
      <c r="A20" s="66">
        <v>2000</v>
      </c>
      <c r="B20" s="56">
        <v>619006</v>
      </c>
      <c r="C20" s="56">
        <f t="shared" si="10"/>
        <v>36889</v>
      </c>
      <c r="D20" s="56">
        <v>10534</v>
      </c>
      <c r="E20" s="56">
        <v>14177</v>
      </c>
      <c r="F20" s="56">
        <v>12178</v>
      </c>
      <c r="G20" s="56">
        <v>11006</v>
      </c>
      <c r="H20" s="56">
        <v>1172</v>
      </c>
      <c r="I20" s="32"/>
      <c r="J20" s="32">
        <f t="shared" si="1"/>
        <v>619382.4</v>
      </c>
      <c r="K20" s="32">
        <f t="shared" si="2"/>
        <v>8632</v>
      </c>
      <c r="L20" s="32">
        <f t="shared" si="3"/>
        <v>14955.2</v>
      </c>
      <c r="M20" s="32">
        <f t="shared" si="4"/>
        <v>9672</v>
      </c>
      <c r="N20" s="32">
        <f t="shared" si="5"/>
        <v>1814.8</v>
      </c>
      <c r="O20" s="32">
        <f t="shared" si="6"/>
        <v>3463.2</v>
      </c>
      <c r="P20" s="32">
        <f t="shared" si="7"/>
        <v>13260</v>
      </c>
      <c r="Q20" s="32">
        <f t="shared" si="8"/>
        <v>12225.199999999999</v>
      </c>
      <c r="R20" s="32">
        <f t="shared" si="9"/>
        <v>1034.8</v>
      </c>
      <c r="S20" s="32"/>
      <c r="T20" s="32">
        <v>11911.2</v>
      </c>
      <c r="U20" s="32">
        <v>166</v>
      </c>
      <c r="V20" s="32">
        <v>287.60000000000002</v>
      </c>
      <c r="W20" s="32">
        <v>186</v>
      </c>
      <c r="X20" s="32">
        <v>34.9</v>
      </c>
      <c r="Y20" s="32">
        <v>66.599999999999994</v>
      </c>
      <c r="Z20" s="32">
        <v>255</v>
      </c>
      <c r="AA20" s="32">
        <v>235.1</v>
      </c>
      <c r="AB20" s="32">
        <v>19.899999999999999</v>
      </c>
      <c r="AC20" s="32"/>
      <c r="AD20" s="64">
        <v>612741000</v>
      </c>
      <c r="AE20" s="64">
        <v>10934000</v>
      </c>
      <c r="AF20" s="64">
        <v>13466000</v>
      </c>
      <c r="AG20" s="64">
        <v>12581000</v>
      </c>
      <c r="AH20" s="64">
        <v>11385000</v>
      </c>
      <c r="AI20" s="64">
        <v>1196000</v>
      </c>
    </row>
    <row r="21" spans="1:35">
      <c r="A21" s="66">
        <v>2001</v>
      </c>
      <c r="B21" s="56">
        <v>609926</v>
      </c>
      <c r="C21" s="56">
        <f t="shared" si="10"/>
        <v>35854</v>
      </c>
      <c r="D21" s="56">
        <v>8826</v>
      </c>
      <c r="E21" s="56">
        <v>14712</v>
      </c>
      <c r="F21" s="56">
        <v>12316</v>
      </c>
      <c r="G21" s="56">
        <v>11121</v>
      </c>
      <c r="H21" s="56">
        <v>1195</v>
      </c>
      <c r="I21" s="32"/>
      <c r="J21" s="32">
        <f t="shared" si="1"/>
        <v>603642</v>
      </c>
      <c r="K21" s="32">
        <f t="shared" si="2"/>
        <v>7716.8</v>
      </c>
      <c r="L21" s="32">
        <f t="shared" si="3"/>
        <v>14034.8</v>
      </c>
      <c r="M21" s="32">
        <f t="shared" si="4"/>
        <v>9006.4</v>
      </c>
      <c r="N21" s="32">
        <f t="shared" si="5"/>
        <v>1024.3999999999999</v>
      </c>
      <c r="O21" s="32">
        <f t="shared" si="6"/>
        <v>4004</v>
      </c>
      <c r="P21" s="32">
        <f t="shared" si="7"/>
        <v>10795.199999999999</v>
      </c>
      <c r="Q21" s="32">
        <f t="shared" si="8"/>
        <v>9063.6</v>
      </c>
      <c r="R21" s="32">
        <f t="shared" si="9"/>
        <v>1731.6</v>
      </c>
      <c r="S21" s="32"/>
      <c r="T21" s="32">
        <v>11608.5</v>
      </c>
      <c r="U21" s="32">
        <v>148.4</v>
      </c>
      <c r="V21" s="32">
        <v>269.89999999999998</v>
      </c>
      <c r="W21" s="32">
        <v>173.2</v>
      </c>
      <c r="X21" s="32">
        <v>19.7</v>
      </c>
      <c r="Y21" s="32">
        <v>77</v>
      </c>
      <c r="Z21" s="32">
        <v>207.6</v>
      </c>
      <c r="AA21" s="32">
        <v>174.3</v>
      </c>
      <c r="AB21" s="32">
        <v>33.299999999999997</v>
      </c>
      <c r="AC21" s="32"/>
      <c r="AD21" s="64">
        <v>606505000</v>
      </c>
      <c r="AE21" s="64">
        <v>9291000</v>
      </c>
      <c r="AF21" s="64">
        <v>14091000</v>
      </c>
      <c r="AG21" s="64">
        <v>13226000</v>
      </c>
      <c r="AH21" s="64">
        <v>11967000</v>
      </c>
      <c r="AI21" s="64">
        <v>1259000</v>
      </c>
    </row>
    <row r="22" spans="1:35">
      <c r="A22" s="66">
        <v>2002</v>
      </c>
      <c r="B22" s="56">
        <v>628473</v>
      </c>
      <c r="C22" s="56">
        <f t="shared" si="10"/>
        <v>35322</v>
      </c>
      <c r="D22" s="56">
        <v>9054</v>
      </c>
      <c r="E22" s="56">
        <v>13430</v>
      </c>
      <c r="F22" s="56">
        <v>12838</v>
      </c>
      <c r="G22" s="56">
        <v>11729</v>
      </c>
      <c r="H22" s="56">
        <v>1109</v>
      </c>
      <c r="I22" s="32"/>
      <c r="J22" s="32">
        <f t="shared" si="1"/>
        <v>625398.79999999993</v>
      </c>
      <c r="K22" s="32">
        <f t="shared" si="2"/>
        <v>5319.5999999999995</v>
      </c>
      <c r="L22" s="32">
        <f t="shared" si="3"/>
        <v>13806</v>
      </c>
      <c r="M22" s="32">
        <f t="shared" si="4"/>
        <v>8621.6</v>
      </c>
      <c r="N22" s="32">
        <f t="shared" si="5"/>
        <v>1123.2</v>
      </c>
      <c r="O22" s="32">
        <f t="shared" si="6"/>
        <v>4061.2</v>
      </c>
      <c r="P22" s="32">
        <f t="shared" si="7"/>
        <v>10472.800000000001</v>
      </c>
      <c r="Q22" s="32">
        <f t="shared" si="8"/>
        <v>9682.4</v>
      </c>
      <c r="R22" s="32">
        <f t="shared" si="9"/>
        <v>0</v>
      </c>
      <c r="S22" s="32"/>
      <c r="T22" s="32">
        <v>12026.9</v>
      </c>
      <c r="U22" s="32">
        <v>102.3</v>
      </c>
      <c r="V22" s="32">
        <v>265.5</v>
      </c>
      <c r="W22" s="32">
        <v>165.8</v>
      </c>
      <c r="X22" s="32">
        <v>21.6</v>
      </c>
      <c r="Y22" s="32">
        <v>78.099999999999994</v>
      </c>
      <c r="Z22" s="32">
        <v>201.4</v>
      </c>
      <c r="AA22" s="32">
        <v>186.2</v>
      </c>
      <c r="AB22" s="32">
        <v>0</v>
      </c>
      <c r="AC22" s="32"/>
      <c r="AD22" s="64">
        <v>631261000</v>
      </c>
      <c r="AE22" s="64">
        <v>9496000</v>
      </c>
      <c r="AF22" s="64">
        <v>13467000</v>
      </c>
      <c r="AG22" s="64">
        <v>14311000</v>
      </c>
      <c r="AH22" s="64">
        <v>13187000</v>
      </c>
      <c r="AI22" s="64">
        <v>1123000</v>
      </c>
    </row>
    <row r="23" spans="1:35">
      <c r="A23" s="66">
        <v>2003</v>
      </c>
      <c r="B23" s="56">
        <v>624770</v>
      </c>
      <c r="C23" s="56">
        <f t="shared" si="10"/>
        <v>34492</v>
      </c>
      <c r="D23" s="56">
        <v>8229</v>
      </c>
      <c r="E23" s="56">
        <v>13125</v>
      </c>
      <c r="F23" s="56">
        <v>13138</v>
      </c>
      <c r="G23" s="56">
        <v>12070</v>
      </c>
      <c r="H23" s="56">
        <v>1068</v>
      </c>
      <c r="I23" s="32"/>
      <c r="J23" s="32">
        <f t="shared" si="1"/>
        <v>617848.4</v>
      </c>
      <c r="K23" s="32">
        <f t="shared" si="2"/>
        <v>7987.2</v>
      </c>
      <c r="L23" s="32">
        <f t="shared" si="3"/>
        <v>15371.2</v>
      </c>
      <c r="M23" s="32">
        <f t="shared" si="4"/>
        <v>8470.8000000000011</v>
      </c>
      <c r="N23" s="32">
        <f t="shared" si="5"/>
        <v>2100.7999999999997</v>
      </c>
      <c r="O23" s="32">
        <f t="shared" si="6"/>
        <v>4799.5999999999995</v>
      </c>
      <c r="P23" s="32">
        <f t="shared" si="7"/>
        <v>11164.4</v>
      </c>
      <c r="Q23" s="32">
        <f t="shared" si="8"/>
        <v>10114</v>
      </c>
      <c r="R23" s="32">
        <f t="shared" si="9"/>
        <v>1050.3999999999999</v>
      </c>
      <c r="S23" s="32"/>
      <c r="T23" s="32">
        <v>11881.7</v>
      </c>
      <c r="U23" s="32">
        <v>153.6</v>
      </c>
      <c r="V23" s="32">
        <v>295.60000000000002</v>
      </c>
      <c r="W23" s="32">
        <v>162.9</v>
      </c>
      <c r="X23" s="32">
        <v>40.4</v>
      </c>
      <c r="Y23" s="32">
        <v>92.3</v>
      </c>
      <c r="Z23" s="32">
        <v>214.7</v>
      </c>
      <c r="AA23" s="32">
        <v>194.5</v>
      </c>
      <c r="AB23" s="32">
        <v>20.2</v>
      </c>
      <c r="AC23" s="32"/>
      <c r="AD23" s="64">
        <v>626768000</v>
      </c>
      <c r="AE23" s="64">
        <v>8699000</v>
      </c>
      <c r="AF23" s="64">
        <v>12961000</v>
      </c>
      <c r="AG23" s="64">
        <v>15216000</v>
      </c>
      <c r="AH23" s="64">
        <v>14120000</v>
      </c>
      <c r="AI23" s="64">
        <v>1097000</v>
      </c>
    </row>
    <row r="24" spans="1:35">
      <c r="A24" s="66">
        <v>2004</v>
      </c>
      <c r="B24" s="56">
        <v>631660</v>
      </c>
      <c r="C24" s="56" t="str">
        <f t="shared" si="10"/>
        <v>x</v>
      </c>
      <c r="D24" s="56">
        <v>6799</v>
      </c>
      <c r="E24" s="56">
        <v>12556</v>
      </c>
      <c r="F24" s="56" t="s">
        <v>188</v>
      </c>
      <c r="G24" s="56" t="s">
        <v>188</v>
      </c>
      <c r="H24" s="56" t="s">
        <v>188</v>
      </c>
      <c r="I24" s="32"/>
      <c r="J24" s="32">
        <f t="shared" si="1"/>
        <v>624488.79999999993</v>
      </c>
      <c r="K24" s="32">
        <f t="shared" si="2"/>
        <v>8387.6</v>
      </c>
      <c r="L24" s="32">
        <f t="shared" si="3"/>
        <v>15678</v>
      </c>
      <c r="M24" s="32">
        <f t="shared" si="4"/>
        <v>9271.6</v>
      </c>
      <c r="N24" s="32">
        <f t="shared" si="5"/>
        <v>2017.6</v>
      </c>
      <c r="O24" s="32">
        <f t="shared" si="6"/>
        <v>4394</v>
      </c>
      <c r="P24" s="32">
        <f t="shared" si="7"/>
        <v>11887.199999999999</v>
      </c>
      <c r="Q24" s="32">
        <f t="shared" si="8"/>
        <v>10566.4</v>
      </c>
      <c r="R24" s="32">
        <f t="shared" si="9"/>
        <v>1326</v>
      </c>
      <c r="S24" s="32"/>
      <c r="T24" s="32">
        <v>12009.4</v>
      </c>
      <c r="U24" s="32">
        <v>161.30000000000001</v>
      </c>
      <c r="V24" s="32">
        <v>301.5</v>
      </c>
      <c r="W24" s="32">
        <v>178.3</v>
      </c>
      <c r="X24" s="32">
        <v>38.799999999999997</v>
      </c>
      <c r="Y24" s="32">
        <v>84.5</v>
      </c>
      <c r="Z24" s="32">
        <v>228.6</v>
      </c>
      <c r="AA24" s="32">
        <v>203.2</v>
      </c>
      <c r="AB24" s="32">
        <v>25.5</v>
      </c>
      <c r="AC24" s="32"/>
      <c r="AD24" s="64">
        <v>632194000</v>
      </c>
      <c r="AE24" s="64">
        <v>7072000</v>
      </c>
      <c r="AF24" s="64">
        <v>12740000</v>
      </c>
      <c r="AG24" s="64">
        <v>14872000</v>
      </c>
      <c r="AH24" s="64">
        <v>13818000</v>
      </c>
      <c r="AI24" s="64">
        <v>1054000</v>
      </c>
    </row>
    <row r="25" spans="1:35">
      <c r="A25" s="66">
        <v>2005</v>
      </c>
      <c r="B25" s="56">
        <v>626367</v>
      </c>
      <c r="C25" s="56" t="str">
        <f t="shared" si="10"/>
        <v>x</v>
      </c>
      <c r="D25" s="56">
        <v>6655</v>
      </c>
      <c r="E25" s="56">
        <v>10671</v>
      </c>
      <c r="F25" s="56" t="s">
        <v>188</v>
      </c>
      <c r="G25" s="56" t="s">
        <v>188</v>
      </c>
      <c r="H25" s="56" t="s">
        <v>188</v>
      </c>
      <c r="I25" s="32"/>
      <c r="J25" s="32">
        <f t="shared" si="1"/>
        <v>631675.20000000007</v>
      </c>
      <c r="K25" s="32">
        <f t="shared" si="2"/>
        <v>6905.6</v>
      </c>
      <c r="L25" s="32">
        <f t="shared" si="3"/>
        <v>16582.8</v>
      </c>
      <c r="M25" s="32">
        <f t="shared" si="4"/>
        <v>9552.4</v>
      </c>
      <c r="N25" s="32">
        <f t="shared" si="5"/>
        <v>2620.7999999999997</v>
      </c>
      <c r="O25" s="32">
        <f t="shared" si="6"/>
        <v>4414.8</v>
      </c>
      <c r="P25" s="32">
        <f t="shared" si="7"/>
        <v>7628.4</v>
      </c>
      <c r="Q25" s="32">
        <f t="shared" si="8"/>
        <v>6344</v>
      </c>
      <c r="R25" s="32">
        <f t="shared" si="9"/>
        <v>1284.3999999999999</v>
      </c>
      <c r="S25" s="32"/>
      <c r="T25" s="32">
        <v>12147.6</v>
      </c>
      <c r="U25" s="32">
        <v>132.80000000000001</v>
      </c>
      <c r="V25" s="32">
        <v>318.89999999999998</v>
      </c>
      <c r="W25" s="32">
        <v>183.7</v>
      </c>
      <c r="X25" s="32">
        <v>50.4</v>
      </c>
      <c r="Y25" s="32">
        <v>84.9</v>
      </c>
      <c r="Z25" s="32">
        <v>146.69999999999999</v>
      </c>
      <c r="AA25" s="32">
        <v>122</v>
      </c>
      <c r="AB25" s="32">
        <v>24.7</v>
      </c>
      <c r="AC25" s="32"/>
      <c r="AD25" s="64">
        <v>630959000</v>
      </c>
      <c r="AE25" s="64">
        <v>6756000</v>
      </c>
      <c r="AF25" s="64">
        <v>11083000</v>
      </c>
      <c r="AG25" s="64">
        <v>13822000</v>
      </c>
      <c r="AH25" s="64">
        <v>12699000</v>
      </c>
      <c r="AI25" s="64">
        <v>1123000</v>
      </c>
    </row>
    <row r="26" spans="1:35">
      <c r="A26" s="66">
        <v>2006</v>
      </c>
      <c r="B26" s="56">
        <v>635741</v>
      </c>
      <c r="C26" s="56" t="str">
        <f t="shared" si="10"/>
        <v>x</v>
      </c>
      <c r="D26" s="56">
        <v>5953</v>
      </c>
      <c r="E26" s="56">
        <v>10199</v>
      </c>
      <c r="F26" s="56" t="s">
        <v>188</v>
      </c>
      <c r="G26" s="56" t="s">
        <v>188</v>
      </c>
      <c r="H26" s="56" t="s">
        <v>188</v>
      </c>
      <c r="I26" s="32"/>
      <c r="J26" s="32">
        <f t="shared" si="1"/>
        <v>643749.6</v>
      </c>
      <c r="K26" s="32">
        <f t="shared" si="2"/>
        <v>6708</v>
      </c>
      <c r="L26" s="32">
        <f t="shared" si="3"/>
        <v>15334.8</v>
      </c>
      <c r="M26" s="32">
        <f t="shared" si="4"/>
        <v>7566</v>
      </c>
      <c r="N26" s="32">
        <f t="shared" si="5"/>
        <v>3738.8</v>
      </c>
      <c r="O26" s="32">
        <f t="shared" si="6"/>
        <v>4035.2</v>
      </c>
      <c r="P26" s="32">
        <f t="shared" si="7"/>
        <v>9708.4</v>
      </c>
      <c r="Q26" s="32">
        <f t="shared" si="8"/>
        <v>8413.6</v>
      </c>
      <c r="R26" s="32">
        <f t="shared" si="9"/>
        <v>1289.6000000000001</v>
      </c>
      <c r="S26" s="32"/>
      <c r="T26" s="32">
        <v>12379.8</v>
      </c>
      <c r="U26" s="32">
        <v>129</v>
      </c>
      <c r="V26" s="32">
        <v>294.89999999999998</v>
      </c>
      <c r="W26" s="32">
        <v>145.5</v>
      </c>
      <c r="X26" s="32">
        <v>71.900000000000006</v>
      </c>
      <c r="Y26" s="32">
        <v>77.599999999999994</v>
      </c>
      <c r="Z26" s="32">
        <v>186.7</v>
      </c>
      <c r="AA26" s="32">
        <v>161.80000000000001</v>
      </c>
      <c r="AB26" s="32">
        <v>24.8</v>
      </c>
      <c r="AC26" s="32"/>
      <c r="AD26" s="64">
        <v>642088000</v>
      </c>
      <c r="AE26" s="64">
        <v>6357000</v>
      </c>
      <c r="AF26" s="64">
        <v>11627000</v>
      </c>
      <c r="AG26" s="64">
        <v>13812000</v>
      </c>
      <c r="AH26" s="64">
        <v>12675000</v>
      </c>
      <c r="AI26" s="64">
        <v>1137000</v>
      </c>
    </row>
    <row r="27" spans="1:35">
      <c r="A27" s="66">
        <v>2007</v>
      </c>
      <c r="B27" s="56">
        <v>642130</v>
      </c>
      <c r="C27" s="56" t="str">
        <f t="shared" si="10"/>
        <v>x</v>
      </c>
      <c r="D27" s="56">
        <v>6240</v>
      </c>
      <c r="E27" s="56">
        <v>9086</v>
      </c>
      <c r="F27" s="56" t="s">
        <v>188</v>
      </c>
      <c r="G27" s="56" t="s">
        <v>188</v>
      </c>
      <c r="H27" s="56" t="s">
        <v>188</v>
      </c>
      <c r="I27" s="32"/>
      <c r="J27" s="32">
        <f t="shared" si="1"/>
        <v>653712.79999999993</v>
      </c>
      <c r="K27" s="32">
        <f t="shared" si="2"/>
        <v>6219.2</v>
      </c>
      <c r="L27" s="32">
        <f t="shared" si="3"/>
        <v>14320.8</v>
      </c>
      <c r="M27" s="32">
        <f t="shared" si="4"/>
        <v>8434.4</v>
      </c>
      <c r="N27" s="32">
        <f t="shared" si="5"/>
        <v>2069.6</v>
      </c>
      <c r="O27" s="32">
        <f t="shared" si="6"/>
        <v>3816.8</v>
      </c>
      <c r="P27" s="32">
        <f t="shared" si="7"/>
        <v>10316.800000000001</v>
      </c>
      <c r="Q27" s="32">
        <f t="shared" si="8"/>
        <v>8798.4</v>
      </c>
      <c r="R27" s="32">
        <f t="shared" si="9"/>
        <v>1518.3999999999999</v>
      </c>
      <c r="S27" s="32"/>
      <c r="T27" s="32">
        <v>12571.4</v>
      </c>
      <c r="U27" s="32">
        <v>119.6</v>
      </c>
      <c r="V27" s="32">
        <v>275.39999999999998</v>
      </c>
      <c r="W27" s="32">
        <v>162.19999999999999</v>
      </c>
      <c r="X27" s="32">
        <v>39.799999999999997</v>
      </c>
      <c r="Y27" s="32">
        <v>73.400000000000006</v>
      </c>
      <c r="Z27" s="32">
        <v>198.4</v>
      </c>
      <c r="AA27" s="32">
        <v>169.2</v>
      </c>
      <c r="AB27" s="32">
        <v>29.2</v>
      </c>
      <c r="AC27" s="32"/>
    </row>
    <row r="28" spans="1:35">
      <c r="A28" s="66">
        <v>2008</v>
      </c>
      <c r="B28" s="56">
        <v>645448</v>
      </c>
      <c r="C28" s="56" t="str">
        <f>IFERROR(D28+E28+F28,"x")</f>
        <v>x</v>
      </c>
      <c r="D28" s="56">
        <v>5693</v>
      </c>
      <c r="E28" s="56">
        <v>8096</v>
      </c>
      <c r="F28" s="56" t="s">
        <v>188</v>
      </c>
      <c r="G28" s="56" t="s">
        <v>188</v>
      </c>
      <c r="H28" s="56" t="s">
        <v>188</v>
      </c>
      <c r="I28" s="32"/>
      <c r="J28" s="32"/>
      <c r="K28" s="32"/>
      <c r="L28" s="32"/>
      <c r="M28" s="32"/>
      <c r="N28" s="32"/>
      <c r="O28" s="32"/>
      <c r="P28" s="32"/>
      <c r="Q28" s="32"/>
      <c r="R28" s="32"/>
      <c r="S28" s="32"/>
      <c r="T28" s="32"/>
      <c r="U28" s="32"/>
      <c r="V28" s="32"/>
      <c r="W28" s="32"/>
      <c r="X28" s="32"/>
      <c r="Y28" s="32"/>
      <c r="Z28" s="32"/>
      <c r="AA28" s="32"/>
      <c r="AB28" s="32"/>
      <c r="AC28" s="32"/>
    </row>
    <row r="29" spans="1:35">
      <c r="A29" s="66">
        <v>2009</v>
      </c>
      <c r="B29" s="56">
        <v>643042</v>
      </c>
      <c r="C29" s="56" t="str">
        <f t="shared" ref="C29:C31" si="11">IFERROR(D29+E29+F29,"x")</f>
        <v>x</v>
      </c>
      <c r="D29" s="56">
        <v>5425</v>
      </c>
      <c r="E29" s="56">
        <v>6938</v>
      </c>
      <c r="F29" s="56" t="s">
        <v>188</v>
      </c>
      <c r="G29" s="56" t="s">
        <v>188</v>
      </c>
      <c r="H29" s="56" t="s">
        <v>188</v>
      </c>
      <c r="I29" s="32"/>
      <c r="J29" s="32"/>
      <c r="K29" s="32"/>
      <c r="L29" s="32"/>
      <c r="M29" s="32"/>
      <c r="N29" s="32"/>
      <c r="O29" s="32"/>
      <c r="P29" s="32"/>
      <c r="Q29" s="32"/>
      <c r="R29" s="32"/>
      <c r="S29" s="32"/>
      <c r="T29" s="32"/>
      <c r="U29" s="32"/>
      <c r="V29" s="32"/>
      <c r="W29" s="32"/>
      <c r="X29" s="32"/>
      <c r="Y29" s="32"/>
      <c r="Z29" s="32"/>
      <c r="AA29" s="32"/>
      <c r="AB29" s="32"/>
      <c r="AC29" s="32"/>
    </row>
    <row r="30" spans="1:35">
      <c r="A30" s="66">
        <v>2010</v>
      </c>
      <c r="B30" s="56">
        <v>643342</v>
      </c>
      <c r="C30" s="56" t="str">
        <f t="shared" si="11"/>
        <v>x</v>
      </c>
      <c r="D30" s="56">
        <v>5569</v>
      </c>
      <c r="E30" s="56">
        <v>7815</v>
      </c>
      <c r="F30" s="56" t="s">
        <v>188</v>
      </c>
      <c r="G30" s="56" t="s">
        <v>188</v>
      </c>
      <c r="H30" s="56" t="s">
        <v>188</v>
      </c>
      <c r="I30" s="32"/>
      <c r="J30" s="32"/>
      <c r="K30" s="32"/>
      <c r="L30" s="32"/>
      <c r="M30" s="32"/>
      <c r="N30" s="32"/>
      <c r="O30" s="32"/>
      <c r="P30" s="32"/>
      <c r="Q30" s="32"/>
      <c r="R30" s="32"/>
      <c r="S30" s="32"/>
      <c r="T30" s="32"/>
      <c r="U30" s="32"/>
      <c r="V30" s="32"/>
      <c r="W30" s="32"/>
      <c r="X30" s="32"/>
      <c r="Y30" s="32"/>
      <c r="Z30" s="32"/>
      <c r="AA30" s="32"/>
      <c r="AB30" s="32"/>
      <c r="AC30" s="32"/>
    </row>
    <row r="31" spans="1:35">
      <c r="A31" s="66">
        <v>2011</v>
      </c>
      <c r="B31" s="56">
        <v>623651</v>
      </c>
      <c r="C31" s="56" t="str">
        <f t="shared" si="11"/>
        <v>x</v>
      </c>
      <c r="D31" s="56">
        <v>5326</v>
      </c>
      <c r="E31" s="56">
        <v>6713</v>
      </c>
      <c r="F31" s="56" t="s">
        <v>188</v>
      </c>
      <c r="G31" s="56" t="s">
        <v>188</v>
      </c>
      <c r="H31" s="56" t="s">
        <v>188</v>
      </c>
      <c r="I31" s="32"/>
      <c r="J31" s="32"/>
      <c r="K31" s="32"/>
      <c r="L31" s="32"/>
      <c r="M31" s="32"/>
      <c r="N31" s="32"/>
      <c r="O31" s="32"/>
      <c r="P31" s="32"/>
      <c r="Q31" s="32"/>
      <c r="R31" s="32"/>
      <c r="S31" s="32"/>
      <c r="T31" s="32"/>
      <c r="U31" s="32"/>
      <c r="V31" s="32"/>
      <c r="W31" s="32"/>
      <c r="X31" s="32"/>
      <c r="Y31" s="32"/>
      <c r="Z31" s="32"/>
      <c r="AA31" s="32"/>
      <c r="AB31" s="32"/>
      <c r="AC31" s="32"/>
    </row>
    <row r="32" spans="1:35">
      <c r="B32" s="57"/>
      <c r="C32" s="56"/>
      <c r="D32" s="57"/>
      <c r="E32" s="57"/>
      <c r="F32" s="57"/>
      <c r="G32" s="57"/>
      <c r="H32" s="57"/>
    </row>
    <row r="33" spans="1:43">
      <c r="A33" s="64" t="s">
        <v>498</v>
      </c>
      <c r="B33" s="57"/>
      <c r="C33" s="57"/>
      <c r="D33" s="57"/>
      <c r="E33" s="57"/>
      <c r="F33" s="57"/>
      <c r="G33" s="57"/>
      <c r="H33" s="57"/>
    </row>
    <row r="34" spans="1:43">
      <c r="A34" s="64" t="s">
        <v>1780</v>
      </c>
      <c r="B34" s="65">
        <f>IFERROR(((B31/B17)^(1/14)-1)*100,"n.a.")</f>
        <v>0.52430756064951733</v>
      </c>
      <c r="C34" s="65" t="str">
        <f t="shared" ref="C34:H34" si="12">IFERROR(((C31/C17)^(1/14)-1)*100,"n.a.")</f>
        <v>n.a.</v>
      </c>
      <c r="D34" s="65">
        <f t="shared" si="12"/>
        <v>-4.5084774025044521</v>
      </c>
      <c r="E34" s="65">
        <f t="shared" si="12"/>
        <v>-5.1098021113539343</v>
      </c>
      <c r="F34" s="65" t="str">
        <f t="shared" si="12"/>
        <v>n.a.</v>
      </c>
      <c r="G34" s="65" t="str">
        <f t="shared" si="12"/>
        <v>n.a.</v>
      </c>
      <c r="H34" s="65" t="str">
        <f t="shared" si="12"/>
        <v>n.a.</v>
      </c>
      <c r="J34" s="138">
        <f>((J26/J17)^(1/9)-1)*100</f>
        <v>1.338260632092525</v>
      </c>
      <c r="K34" s="138">
        <f t="shared" ref="K34:R34" si="13">((K26/K17)^(1/9)-1)*100</f>
        <v>-3.2020678730485197</v>
      </c>
      <c r="L34" s="138">
        <f t="shared" si="13"/>
        <v>3.1796052313148193</v>
      </c>
      <c r="M34" s="138">
        <f t="shared" si="13"/>
        <v>0.96937892283888161</v>
      </c>
      <c r="N34" s="138">
        <f t="shared" si="13"/>
        <v>6.673334476412518</v>
      </c>
      <c r="O34" s="138">
        <f t="shared" si="13"/>
        <v>5.2649167541141573</v>
      </c>
      <c r="P34" s="138">
        <f t="shared" si="13"/>
        <v>-2.5286784738026924</v>
      </c>
      <c r="Q34" s="138">
        <f t="shared" si="13"/>
        <v>-2.7001839776476633</v>
      </c>
      <c r="R34" s="138">
        <f t="shared" si="13"/>
        <v>-1.3784765989550252</v>
      </c>
    </row>
    <row r="35" spans="1:43">
      <c r="A35" s="64" t="s">
        <v>663</v>
      </c>
      <c r="B35" s="65">
        <f>IFERROR(((B20/B17)^(1/3)-1)*100,"n.a.")</f>
        <v>2.2153608907134359</v>
      </c>
      <c r="C35" s="65">
        <f t="shared" ref="C35:H35" si="14">IFERROR(((C20/C17)^(1/3)-1)*100,"n.a.")</f>
        <v>2.6160662835378323</v>
      </c>
      <c r="D35" s="65">
        <f t="shared" si="14"/>
        <v>1.2122785418415605</v>
      </c>
      <c r="E35" s="65">
        <f t="shared" si="14"/>
        <v>0.44358575708061121</v>
      </c>
      <c r="F35" s="65">
        <f t="shared" si="14"/>
        <v>6.8278904034971832</v>
      </c>
      <c r="G35" s="65">
        <f t="shared" si="14"/>
        <v>7.8394418265264054</v>
      </c>
      <c r="H35" s="65">
        <f t="shared" si="14"/>
        <v>-1.1396211835473569</v>
      </c>
      <c r="J35" s="138"/>
      <c r="K35" s="138"/>
      <c r="L35" s="138"/>
      <c r="M35" s="138"/>
      <c r="N35" s="138"/>
      <c r="O35" s="138"/>
      <c r="P35" s="138"/>
      <c r="Q35" s="138"/>
      <c r="R35" s="138"/>
    </row>
    <row r="36" spans="1:43">
      <c r="A36" s="64" t="s">
        <v>1782</v>
      </c>
      <c r="B36" s="65">
        <f>IFERROR(((B31/B20)^(1/11)-1)*100,"n.a.")</f>
        <v>6.798629423874214E-2</v>
      </c>
      <c r="C36" s="65" t="str">
        <f t="shared" ref="C36:H36" si="15">IFERROR(((C31/C20)^(1/11)-1)*100,"n.a.")</f>
        <v>n.a.</v>
      </c>
      <c r="D36" s="65">
        <f t="shared" si="15"/>
        <v>-6.0117765459165362</v>
      </c>
      <c r="E36" s="65">
        <f t="shared" si="15"/>
        <v>-6.5703428294032644</v>
      </c>
      <c r="F36" s="65" t="str">
        <f t="shared" si="15"/>
        <v>n.a.</v>
      </c>
      <c r="G36" s="65" t="str">
        <f t="shared" si="15"/>
        <v>n.a.</v>
      </c>
      <c r="H36" s="65" t="str">
        <f t="shared" si="15"/>
        <v>n.a.</v>
      </c>
      <c r="J36" s="138"/>
      <c r="K36" s="138"/>
      <c r="L36" s="138"/>
      <c r="M36" s="138"/>
      <c r="N36" s="138"/>
      <c r="O36" s="138"/>
      <c r="P36" s="138"/>
      <c r="Q36" s="138"/>
      <c r="R36" s="138"/>
    </row>
    <row r="37" spans="1:43">
      <c r="B37" s="57"/>
      <c r="C37" s="57"/>
      <c r="D37" s="57"/>
      <c r="E37" s="57"/>
      <c r="F37" s="57"/>
      <c r="G37" s="57"/>
      <c r="H37" s="57"/>
    </row>
    <row r="38" spans="1:43">
      <c r="A38" s="137" t="s">
        <v>494</v>
      </c>
      <c r="B38" s="137"/>
      <c r="C38" s="137"/>
      <c r="D38" s="137"/>
      <c r="E38" s="137"/>
      <c r="F38" s="137"/>
      <c r="G38" s="137"/>
      <c r="H38" s="137"/>
    </row>
    <row r="39" spans="1:43">
      <c r="A39" s="137" t="s">
        <v>495</v>
      </c>
      <c r="B39" s="137"/>
      <c r="C39" s="137"/>
      <c r="D39" s="137"/>
      <c r="E39" s="137"/>
      <c r="F39" s="137"/>
      <c r="G39" s="137"/>
      <c r="H39" s="137"/>
    </row>
    <row r="40" spans="1:43" ht="15" hidden="1" customHeight="1" outlineLevel="1">
      <c r="A40" s="137" t="s">
        <v>496</v>
      </c>
      <c r="B40" s="137"/>
      <c r="C40" s="137"/>
      <c r="D40" s="137"/>
      <c r="E40" s="137"/>
      <c r="F40" s="137"/>
      <c r="G40" s="137"/>
      <c r="H40" s="137"/>
    </row>
    <row r="41" spans="1:43" collapsed="1">
      <c r="A41" s="137" t="s">
        <v>193</v>
      </c>
      <c r="B41" s="137"/>
      <c r="C41" s="137"/>
      <c r="D41" s="137"/>
      <c r="E41" s="137"/>
      <c r="F41" s="137"/>
      <c r="G41" s="137"/>
      <c r="H41" s="137"/>
    </row>
    <row r="42" spans="1:43">
      <c r="A42" s="137" t="s">
        <v>194</v>
      </c>
      <c r="B42" s="137"/>
      <c r="C42" s="137"/>
      <c r="D42" s="137"/>
      <c r="E42" s="137"/>
      <c r="F42" s="137"/>
      <c r="G42" s="137"/>
      <c r="H42" s="137"/>
    </row>
    <row r="43" spans="1:43">
      <c r="A43" s="137" t="s">
        <v>383</v>
      </c>
      <c r="B43" s="137"/>
      <c r="C43" s="137"/>
      <c r="D43" s="137"/>
      <c r="E43" s="137"/>
      <c r="F43" s="137"/>
      <c r="G43" s="137"/>
      <c r="H43" s="137"/>
    </row>
    <row r="44" spans="1:43" hidden="1" outlineLevel="1">
      <c r="A44" s="64" t="s">
        <v>497</v>
      </c>
      <c r="C44" s="142"/>
    </row>
    <row r="45" spans="1:43" collapsed="1">
      <c r="C45" s="142"/>
      <c r="J45" s="143"/>
      <c r="K45" s="143"/>
      <c r="L45" s="143"/>
      <c r="M45" s="143"/>
      <c r="N45" s="143"/>
      <c r="O45" s="143"/>
      <c r="P45" s="143"/>
      <c r="Q45" s="143"/>
      <c r="R45" s="143"/>
      <c r="S45" s="143"/>
      <c r="T45" s="143"/>
      <c r="U45" s="143"/>
      <c r="V45" s="143"/>
      <c r="W45" s="143"/>
      <c r="X45" s="143"/>
      <c r="Y45" s="143"/>
      <c r="Z45" s="143"/>
      <c r="AA45" s="143"/>
      <c r="AB45" s="143"/>
      <c r="AC45" s="143"/>
      <c r="AD45" s="143"/>
      <c r="AE45" s="143"/>
      <c r="AF45" s="143"/>
      <c r="AG45" s="143"/>
      <c r="AH45" s="143"/>
      <c r="AI45" s="143"/>
      <c r="AJ45" s="143"/>
      <c r="AK45" s="143"/>
      <c r="AL45" s="143"/>
      <c r="AM45" s="143"/>
      <c r="AN45" s="143"/>
      <c r="AO45" s="143"/>
      <c r="AP45" s="143"/>
      <c r="AQ45" s="143"/>
    </row>
    <row r="46" spans="1:43">
      <c r="C46" s="142"/>
      <c r="J46" s="143"/>
      <c r="K46" s="143"/>
      <c r="L46" s="143"/>
      <c r="M46" s="143"/>
      <c r="N46" s="143"/>
      <c r="O46" s="143"/>
      <c r="P46" s="143"/>
      <c r="Q46" s="143"/>
      <c r="R46" s="143"/>
      <c r="S46" s="143"/>
      <c r="T46" s="143"/>
      <c r="U46" s="143"/>
      <c r="V46" s="143"/>
      <c r="W46" s="143"/>
      <c r="X46" s="143"/>
      <c r="Y46" s="143"/>
      <c r="Z46" s="143"/>
      <c r="AA46" s="143"/>
      <c r="AB46" s="143"/>
      <c r="AC46" s="143"/>
      <c r="AD46" s="143"/>
      <c r="AE46" s="143"/>
      <c r="AF46" s="143"/>
      <c r="AG46" s="143"/>
      <c r="AH46" s="143"/>
      <c r="AI46" s="143"/>
      <c r="AJ46" s="143"/>
      <c r="AK46" s="143"/>
      <c r="AL46" s="143"/>
      <c r="AM46" s="143"/>
      <c r="AN46" s="143"/>
      <c r="AO46" s="143"/>
      <c r="AP46" s="143"/>
      <c r="AQ46" s="143"/>
    </row>
  </sheetData>
  <mergeCells count="7">
    <mergeCell ref="A42:H42"/>
    <mergeCell ref="A43:H43"/>
    <mergeCell ref="A1:H1"/>
    <mergeCell ref="A38:H38"/>
    <mergeCell ref="A39:H39"/>
    <mergeCell ref="A40:H40"/>
    <mergeCell ref="A41:H41"/>
  </mergeCells>
  <pageMargins left="0.7" right="0.7" top="0.75" bottom="0.75" header="0.3" footer="0.3"/>
  <pageSetup scale="88" orientation="landscape" horizontalDpi="0" verticalDpi="0" r:id="rId1"/>
</worksheet>
</file>

<file path=xl/worksheets/sheet174.xml><?xml version="1.0" encoding="utf-8"?>
<worksheet xmlns="http://schemas.openxmlformats.org/spreadsheetml/2006/main" xmlns:r="http://schemas.openxmlformats.org/officeDocument/2006/relationships">
  <sheetPr codeName="Sheet168"/>
  <dimension ref="A1:AJ46"/>
  <sheetViews>
    <sheetView view="pageBreakPreview" zoomScaleNormal="85" zoomScaleSheetLayoutView="100"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9.140625" style="64"/>
    <col min="2" max="2" width="15.42578125" style="64" customWidth="1"/>
    <col min="3" max="3" width="15.28515625" style="64" customWidth="1"/>
    <col min="4" max="8" width="15.42578125" style="64" customWidth="1"/>
    <col min="9" max="9" width="9.140625" style="64"/>
    <col min="10" max="19" width="0" style="64" hidden="1" customWidth="1" outlineLevel="1"/>
    <col min="20" max="35" width="9.140625" style="64" hidden="1" customWidth="1" outlineLevel="1"/>
    <col min="36" max="36" width="9.140625" style="64" collapsed="1"/>
    <col min="37" max="16384" width="9.140625" style="64"/>
  </cols>
  <sheetData>
    <row r="1" spans="1:35">
      <c r="A1" s="108" t="s">
        <v>2098</v>
      </c>
      <c r="B1" s="108"/>
      <c r="C1" s="108"/>
      <c r="D1" s="108"/>
      <c r="E1" s="108"/>
      <c r="F1" s="108"/>
      <c r="G1" s="108"/>
      <c r="H1" s="108"/>
    </row>
    <row r="2" spans="1:35" ht="120">
      <c r="A2" s="66"/>
      <c r="B2" s="73" t="s">
        <v>41</v>
      </c>
      <c r="C2" s="73" t="s">
        <v>37</v>
      </c>
      <c r="D2" s="73" t="s">
        <v>0</v>
      </c>
      <c r="E2" s="73" t="s">
        <v>1</v>
      </c>
      <c r="F2" s="73" t="s">
        <v>2</v>
      </c>
      <c r="G2" s="73" t="s">
        <v>13</v>
      </c>
      <c r="H2" s="73" t="s">
        <v>19</v>
      </c>
      <c r="J2" s="117" t="s">
        <v>493</v>
      </c>
      <c r="K2" s="117" t="s">
        <v>492</v>
      </c>
      <c r="L2" s="117" t="s">
        <v>67</v>
      </c>
      <c r="M2" s="117" t="s">
        <v>68</v>
      </c>
      <c r="N2" s="117" t="s">
        <v>69</v>
      </c>
      <c r="O2" s="117" t="s">
        <v>70</v>
      </c>
      <c r="P2" s="117" t="s">
        <v>71</v>
      </c>
      <c r="Q2" s="117" t="s">
        <v>72</v>
      </c>
      <c r="R2" s="117" t="s">
        <v>73</v>
      </c>
      <c r="T2" s="117" t="s">
        <v>493</v>
      </c>
      <c r="U2" s="117" t="s">
        <v>492</v>
      </c>
      <c r="V2" s="117" t="s">
        <v>67</v>
      </c>
      <c r="W2" s="117" t="s">
        <v>68</v>
      </c>
      <c r="X2" s="117" t="s">
        <v>69</v>
      </c>
      <c r="Y2" s="117" t="s">
        <v>70</v>
      </c>
      <c r="Z2" s="117" t="s">
        <v>71</v>
      </c>
      <c r="AA2" s="117" t="s">
        <v>72</v>
      </c>
      <c r="AB2" s="117" t="s">
        <v>73</v>
      </c>
      <c r="AD2" s="64" t="s">
        <v>420</v>
      </c>
      <c r="AE2" s="64" t="s">
        <v>421</v>
      </c>
      <c r="AF2" s="64" t="s">
        <v>422</v>
      </c>
      <c r="AG2" s="64" t="s">
        <v>423</v>
      </c>
      <c r="AH2" s="64" t="s">
        <v>424</v>
      </c>
      <c r="AI2" s="64" t="s">
        <v>425</v>
      </c>
    </row>
    <row r="3" spans="1:35" hidden="1" outlineLevel="1">
      <c r="C3" s="135"/>
      <c r="AD3" s="64" t="s">
        <v>426</v>
      </c>
      <c r="AE3" s="64" t="s">
        <v>427</v>
      </c>
      <c r="AF3" s="64" t="s">
        <v>428</v>
      </c>
      <c r="AG3" s="64" t="s">
        <v>429</v>
      </c>
      <c r="AH3" s="64" t="s">
        <v>430</v>
      </c>
      <c r="AI3" s="64" t="s">
        <v>431</v>
      </c>
    </row>
    <row r="4" spans="1:35" hidden="1" outlineLevel="1" collapsed="1">
      <c r="A4" s="64">
        <v>1984</v>
      </c>
      <c r="C4" s="57"/>
    </row>
    <row r="5" spans="1:35" hidden="1" outlineLevel="1">
      <c r="A5" s="64">
        <v>1985</v>
      </c>
      <c r="C5" s="57"/>
    </row>
    <row r="6" spans="1:35" hidden="1" outlineLevel="1">
      <c r="A6" s="64">
        <v>1986</v>
      </c>
      <c r="C6" s="57"/>
    </row>
    <row r="7" spans="1:35" hidden="1" outlineLevel="1">
      <c r="A7" s="64">
        <v>1987</v>
      </c>
      <c r="C7" s="57"/>
      <c r="J7" s="32">
        <f>T7*52</f>
        <v>5316537.2</v>
      </c>
      <c r="K7" s="32">
        <f t="shared" ref="K7:R7" si="0">U7*52</f>
        <v>32526</v>
      </c>
      <c r="L7" s="32">
        <f t="shared" si="0"/>
        <v>55224</v>
      </c>
      <c r="M7" s="32">
        <f t="shared" si="0"/>
        <v>21554</v>
      </c>
      <c r="N7" s="32">
        <f t="shared" si="0"/>
        <v>7597.2</v>
      </c>
      <c r="O7" s="32">
        <f t="shared" si="0"/>
        <v>26072.799999999999</v>
      </c>
      <c r="P7" s="32">
        <f t="shared" si="0"/>
        <v>82539.599999999991</v>
      </c>
      <c r="Q7" s="32">
        <f t="shared" si="0"/>
        <v>67724.800000000003</v>
      </c>
      <c r="R7" s="32">
        <f t="shared" si="0"/>
        <v>14809.6</v>
      </c>
      <c r="T7" s="64">
        <v>102241.1</v>
      </c>
      <c r="U7" s="64">
        <v>625.5</v>
      </c>
      <c r="V7" s="64">
        <v>1062</v>
      </c>
      <c r="W7" s="64">
        <v>414.5</v>
      </c>
      <c r="X7" s="64">
        <v>146.1</v>
      </c>
      <c r="Y7" s="64">
        <v>501.4</v>
      </c>
      <c r="Z7" s="64">
        <v>1587.3</v>
      </c>
      <c r="AA7" s="64">
        <v>1302.4000000000001</v>
      </c>
      <c r="AB7" s="64">
        <v>284.8</v>
      </c>
    </row>
    <row r="8" spans="1:35" hidden="1" outlineLevel="1">
      <c r="A8" s="64">
        <v>1988</v>
      </c>
      <c r="C8" s="57"/>
      <c r="J8" s="32">
        <f t="shared" ref="J8:J27" si="1">T8*52</f>
        <v>5550708.7999999998</v>
      </c>
      <c r="K8" s="32">
        <f t="shared" ref="K8:K27" si="2">U8*52</f>
        <v>32177.599999999999</v>
      </c>
      <c r="L8" s="32">
        <f t="shared" ref="L8:L27" si="3">V8*52</f>
        <v>61458.8</v>
      </c>
      <c r="M8" s="32">
        <f t="shared" ref="M8:M27" si="4">W8*52</f>
        <v>27331.200000000001</v>
      </c>
      <c r="N8" s="32">
        <f t="shared" ref="N8:N27" si="5">X8*52</f>
        <v>8689.1999999999989</v>
      </c>
      <c r="O8" s="32">
        <f t="shared" ref="O8:O27" si="6">Y8*52</f>
        <v>25433.200000000001</v>
      </c>
      <c r="P8" s="32">
        <f t="shared" ref="P8:P27" si="7">Z8*52</f>
        <v>85493.2</v>
      </c>
      <c r="Q8" s="32">
        <f t="shared" ref="Q8:Q27" si="8">AA8*52</f>
        <v>73460.400000000009</v>
      </c>
      <c r="R8" s="32">
        <f t="shared" ref="R8:R27" si="9">AB8*52</f>
        <v>12038</v>
      </c>
      <c r="T8" s="64">
        <v>106744.4</v>
      </c>
      <c r="U8" s="64">
        <v>618.79999999999995</v>
      </c>
      <c r="V8" s="64">
        <v>1181.9000000000001</v>
      </c>
      <c r="W8" s="64">
        <v>525.6</v>
      </c>
      <c r="X8" s="64">
        <v>167.1</v>
      </c>
      <c r="Y8" s="64">
        <v>489.1</v>
      </c>
      <c r="Z8" s="64">
        <v>1644.1</v>
      </c>
      <c r="AA8" s="64">
        <v>1412.7</v>
      </c>
      <c r="AB8" s="64">
        <v>231.5</v>
      </c>
    </row>
    <row r="9" spans="1:35" hidden="1" outlineLevel="1">
      <c r="A9" s="64">
        <v>1989</v>
      </c>
      <c r="C9" s="57"/>
      <c r="J9" s="32">
        <f t="shared" si="1"/>
        <v>5654786.7999999998</v>
      </c>
      <c r="K9" s="32">
        <f t="shared" si="2"/>
        <v>36826.400000000001</v>
      </c>
      <c r="L9" s="32">
        <f t="shared" si="3"/>
        <v>71848.400000000009</v>
      </c>
      <c r="M9" s="32">
        <f t="shared" si="4"/>
        <v>37122.799999999996</v>
      </c>
      <c r="N9" s="32">
        <f t="shared" si="5"/>
        <v>7404.8</v>
      </c>
      <c r="O9" s="32">
        <f t="shared" si="6"/>
        <v>27320.799999999999</v>
      </c>
      <c r="P9" s="32">
        <f t="shared" si="7"/>
        <v>97328.400000000009</v>
      </c>
      <c r="Q9" s="32">
        <f t="shared" si="8"/>
        <v>77506</v>
      </c>
      <c r="R9" s="32">
        <f t="shared" si="9"/>
        <v>19822.399999999998</v>
      </c>
      <c r="T9" s="64">
        <v>108745.9</v>
      </c>
      <c r="U9" s="64">
        <v>708.2</v>
      </c>
      <c r="V9" s="64">
        <v>1381.7</v>
      </c>
      <c r="W9" s="64">
        <v>713.9</v>
      </c>
      <c r="X9" s="64">
        <v>142.4</v>
      </c>
      <c r="Y9" s="64">
        <v>525.4</v>
      </c>
      <c r="Z9" s="64">
        <v>1871.7</v>
      </c>
      <c r="AA9" s="64">
        <v>1490.5</v>
      </c>
      <c r="AB9" s="64">
        <v>381.2</v>
      </c>
    </row>
    <row r="10" spans="1:35" hidden="1" outlineLevel="1">
      <c r="A10" s="64">
        <v>1990</v>
      </c>
      <c r="C10" s="57"/>
      <c r="J10" s="32">
        <f t="shared" si="1"/>
        <v>5558072</v>
      </c>
      <c r="K10" s="32">
        <f t="shared" si="2"/>
        <v>31720</v>
      </c>
      <c r="L10" s="32">
        <f t="shared" si="3"/>
        <v>56773.599999999999</v>
      </c>
      <c r="M10" s="32">
        <f t="shared" si="4"/>
        <v>25729.600000000002</v>
      </c>
      <c r="N10" s="32">
        <f t="shared" si="5"/>
        <v>9302.8000000000011</v>
      </c>
      <c r="O10" s="32">
        <f t="shared" si="6"/>
        <v>21736</v>
      </c>
      <c r="P10" s="32">
        <f t="shared" si="7"/>
        <v>95732</v>
      </c>
      <c r="Q10" s="32">
        <f t="shared" si="8"/>
        <v>81416.400000000009</v>
      </c>
      <c r="R10" s="32">
        <f t="shared" si="9"/>
        <v>14320.8</v>
      </c>
      <c r="T10" s="64">
        <v>106886</v>
      </c>
      <c r="U10" s="64">
        <v>610</v>
      </c>
      <c r="V10" s="64">
        <v>1091.8</v>
      </c>
      <c r="W10" s="64">
        <v>494.8</v>
      </c>
      <c r="X10" s="64">
        <v>178.9</v>
      </c>
      <c r="Y10" s="64">
        <v>418</v>
      </c>
      <c r="Z10" s="64">
        <v>1841</v>
      </c>
      <c r="AA10" s="64">
        <v>1565.7</v>
      </c>
      <c r="AB10" s="64">
        <v>275.39999999999998</v>
      </c>
    </row>
    <row r="11" spans="1:35" hidden="1" outlineLevel="1">
      <c r="A11" s="64">
        <v>1991</v>
      </c>
      <c r="C11" s="57"/>
      <c r="J11" s="32">
        <f t="shared" si="1"/>
        <v>5357440.3999999994</v>
      </c>
      <c r="K11" s="32">
        <f t="shared" si="2"/>
        <v>28267.200000000001</v>
      </c>
      <c r="L11" s="32">
        <f t="shared" si="3"/>
        <v>42946.799999999996</v>
      </c>
      <c r="M11" s="32">
        <f t="shared" si="4"/>
        <v>19323.2</v>
      </c>
      <c r="N11" s="32">
        <f t="shared" si="5"/>
        <v>7389.2</v>
      </c>
      <c r="O11" s="32">
        <f t="shared" si="6"/>
        <v>16239.6</v>
      </c>
      <c r="P11" s="32">
        <f t="shared" si="7"/>
        <v>98670</v>
      </c>
      <c r="Q11" s="32">
        <f t="shared" si="8"/>
        <v>82498</v>
      </c>
      <c r="R11" s="32">
        <f t="shared" si="9"/>
        <v>16172</v>
      </c>
      <c r="T11" s="64">
        <v>103027.7</v>
      </c>
      <c r="U11" s="64">
        <v>543.6</v>
      </c>
      <c r="V11" s="64">
        <v>825.9</v>
      </c>
      <c r="W11" s="64">
        <v>371.6</v>
      </c>
      <c r="X11" s="64">
        <v>142.1</v>
      </c>
      <c r="Y11" s="64">
        <v>312.3</v>
      </c>
      <c r="Z11" s="64">
        <v>1897.5</v>
      </c>
      <c r="AA11" s="64">
        <v>1586.5</v>
      </c>
      <c r="AB11" s="64">
        <v>311</v>
      </c>
    </row>
    <row r="12" spans="1:35" hidden="1" outlineLevel="1">
      <c r="A12" s="64">
        <v>1992</v>
      </c>
      <c r="C12" s="57"/>
      <c r="J12" s="32">
        <f t="shared" si="1"/>
        <v>5224637.6000000006</v>
      </c>
      <c r="K12" s="32">
        <f t="shared" si="2"/>
        <v>26644.799999999999</v>
      </c>
      <c r="L12" s="32">
        <f t="shared" si="3"/>
        <v>48542</v>
      </c>
      <c r="M12" s="32">
        <f t="shared" si="4"/>
        <v>22807.200000000001</v>
      </c>
      <c r="N12" s="32">
        <f t="shared" si="5"/>
        <v>8600.8000000000011</v>
      </c>
      <c r="O12" s="32">
        <f t="shared" si="6"/>
        <v>17134</v>
      </c>
      <c r="P12" s="32">
        <f t="shared" si="7"/>
        <v>79014</v>
      </c>
      <c r="Q12" s="32">
        <f t="shared" si="8"/>
        <v>64376</v>
      </c>
      <c r="R12" s="32">
        <f t="shared" si="9"/>
        <v>14643.2</v>
      </c>
      <c r="T12" s="64">
        <v>100473.8</v>
      </c>
      <c r="U12" s="64">
        <v>512.4</v>
      </c>
      <c r="V12" s="64">
        <v>933.5</v>
      </c>
      <c r="W12" s="64">
        <v>438.6</v>
      </c>
      <c r="X12" s="64">
        <v>165.4</v>
      </c>
      <c r="Y12" s="64">
        <v>329.5</v>
      </c>
      <c r="Z12" s="64">
        <v>1519.5</v>
      </c>
      <c r="AA12" s="64">
        <v>1238</v>
      </c>
      <c r="AB12" s="64">
        <v>281.60000000000002</v>
      </c>
    </row>
    <row r="13" spans="1:35" hidden="1" outlineLevel="1">
      <c r="A13" s="64">
        <v>1993</v>
      </c>
      <c r="C13" s="57"/>
      <c r="J13" s="32">
        <f t="shared" si="1"/>
        <v>5289476.3999999994</v>
      </c>
      <c r="K13" s="32">
        <f t="shared" si="2"/>
        <v>28605.200000000001</v>
      </c>
      <c r="L13" s="32">
        <f t="shared" si="3"/>
        <v>57714.8</v>
      </c>
      <c r="M13" s="32">
        <f t="shared" si="4"/>
        <v>28132</v>
      </c>
      <c r="N13" s="32">
        <f t="shared" si="5"/>
        <v>9599.1999999999989</v>
      </c>
      <c r="O13" s="32">
        <f t="shared" si="6"/>
        <v>19983.600000000002</v>
      </c>
      <c r="P13" s="32">
        <f t="shared" si="7"/>
        <v>77558</v>
      </c>
      <c r="Q13" s="32">
        <f t="shared" si="8"/>
        <v>62836.800000000003</v>
      </c>
      <c r="R13" s="32">
        <f t="shared" si="9"/>
        <v>14716</v>
      </c>
      <c r="T13" s="64">
        <v>101720.7</v>
      </c>
      <c r="U13" s="64">
        <v>550.1</v>
      </c>
      <c r="V13" s="64">
        <v>1109.9000000000001</v>
      </c>
      <c r="W13" s="64">
        <v>541</v>
      </c>
      <c r="X13" s="64">
        <v>184.6</v>
      </c>
      <c r="Y13" s="64">
        <v>384.3</v>
      </c>
      <c r="Z13" s="64">
        <v>1491.5</v>
      </c>
      <c r="AA13" s="64">
        <v>1208.4000000000001</v>
      </c>
      <c r="AB13" s="64">
        <v>283</v>
      </c>
    </row>
    <row r="14" spans="1:35" hidden="1" outlineLevel="1">
      <c r="A14" s="64">
        <v>1994</v>
      </c>
      <c r="B14" s="32"/>
      <c r="C14" s="56"/>
      <c r="D14" s="32"/>
      <c r="E14" s="32"/>
      <c r="F14" s="32"/>
      <c r="G14" s="144"/>
      <c r="H14" s="144"/>
      <c r="J14" s="32">
        <f t="shared" si="1"/>
        <v>5513679.6000000006</v>
      </c>
      <c r="K14" s="32">
        <f t="shared" si="2"/>
        <v>40965.599999999999</v>
      </c>
      <c r="L14" s="32">
        <f t="shared" si="3"/>
        <v>68931.199999999997</v>
      </c>
      <c r="M14" s="32">
        <f t="shared" si="4"/>
        <v>37060.400000000001</v>
      </c>
      <c r="N14" s="32">
        <f t="shared" si="5"/>
        <v>9562.8000000000011</v>
      </c>
      <c r="O14" s="32">
        <f t="shared" si="6"/>
        <v>22308</v>
      </c>
      <c r="P14" s="32">
        <f t="shared" si="7"/>
        <v>75514.400000000009</v>
      </c>
      <c r="Q14" s="32">
        <f t="shared" si="8"/>
        <v>64173.2</v>
      </c>
      <c r="R14" s="32">
        <f t="shared" si="9"/>
        <v>11346.4</v>
      </c>
      <c r="T14" s="64">
        <v>106032.3</v>
      </c>
      <c r="U14" s="64">
        <v>787.8</v>
      </c>
      <c r="V14" s="64">
        <v>1325.6</v>
      </c>
      <c r="W14" s="64">
        <v>712.7</v>
      </c>
      <c r="X14" s="64">
        <v>183.9</v>
      </c>
      <c r="Y14" s="64">
        <v>429</v>
      </c>
      <c r="Z14" s="64">
        <v>1452.2</v>
      </c>
      <c r="AA14" s="64">
        <v>1234.0999999999999</v>
      </c>
      <c r="AB14" s="64">
        <v>218.2</v>
      </c>
    </row>
    <row r="15" spans="1:35" hidden="1" outlineLevel="1">
      <c r="A15" s="64">
        <v>1995</v>
      </c>
      <c r="B15" s="32"/>
      <c r="C15" s="56"/>
      <c r="D15" s="56"/>
      <c r="E15" s="56"/>
      <c r="F15" s="56"/>
      <c r="G15" s="56"/>
      <c r="H15" s="56"/>
      <c r="J15" s="32">
        <f t="shared" si="1"/>
        <v>5529773.6000000006</v>
      </c>
      <c r="K15" s="32">
        <f t="shared" si="2"/>
        <v>44231.200000000004</v>
      </c>
      <c r="L15" s="32">
        <f t="shared" si="3"/>
        <v>71968</v>
      </c>
      <c r="M15" s="32">
        <f t="shared" si="4"/>
        <v>41828.799999999996</v>
      </c>
      <c r="N15" s="32">
        <f t="shared" si="5"/>
        <v>7857.2</v>
      </c>
      <c r="O15" s="32">
        <f t="shared" si="6"/>
        <v>22276.799999999999</v>
      </c>
      <c r="P15" s="32">
        <f t="shared" si="7"/>
        <v>74245.599999999991</v>
      </c>
      <c r="Q15" s="32">
        <f t="shared" si="8"/>
        <v>59644</v>
      </c>
      <c r="R15" s="32">
        <f t="shared" si="9"/>
        <v>14601.6</v>
      </c>
      <c r="T15" s="64">
        <v>106341.8</v>
      </c>
      <c r="U15" s="64">
        <v>850.6</v>
      </c>
      <c r="V15" s="64">
        <v>1384</v>
      </c>
      <c r="W15" s="64">
        <v>804.4</v>
      </c>
      <c r="X15" s="64">
        <v>151.1</v>
      </c>
      <c r="Y15" s="64">
        <v>428.4</v>
      </c>
      <c r="Z15" s="64">
        <v>1427.8</v>
      </c>
      <c r="AA15" s="64">
        <v>1147</v>
      </c>
      <c r="AB15" s="64">
        <v>280.8</v>
      </c>
    </row>
    <row r="16" spans="1:35" hidden="1" outlineLevel="1">
      <c r="A16" s="64">
        <v>1996</v>
      </c>
      <c r="B16" s="32"/>
      <c r="C16" s="56"/>
      <c r="D16" s="56"/>
      <c r="E16" s="56"/>
      <c r="F16" s="56"/>
      <c r="G16" s="56"/>
      <c r="H16" s="56"/>
      <c r="J16" s="32">
        <f t="shared" si="1"/>
        <v>5500976</v>
      </c>
      <c r="K16" s="32">
        <f t="shared" si="2"/>
        <v>43414.799999999996</v>
      </c>
      <c r="L16" s="32">
        <f t="shared" si="3"/>
        <v>77942.8</v>
      </c>
      <c r="M16" s="32">
        <f t="shared" si="4"/>
        <v>45734</v>
      </c>
      <c r="N16" s="32">
        <f t="shared" si="5"/>
        <v>7904</v>
      </c>
      <c r="O16" s="32">
        <f t="shared" si="6"/>
        <v>24304.799999999999</v>
      </c>
      <c r="P16" s="32">
        <f t="shared" si="7"/>
        <v>70361.2</v>
      </c>
      <c r="Q16" s="32">
        <f t="shared" si="8"/>
        <v>54158</v>
      </c>
      <c r="R16" s="32">
        <f t="shared" si="9"/>
        <v>16203.2</v>
      </c>
      <c r="T16" s="64">
        <v>105788</v>
      </c>
      <c r="U16" s="64">
        <v>834.9</v>
      </c>
      <c r="V16" s="64">
        <v>1498.9</v>
      </c>
      <c r="W16" s="64">
        <v>879.5</v>
      </c>
      <c r="X16" s="64">
        <v>152</v>
      </c>
      <c r="Y16" s="64">
        <v>467.4</v>
      </c>
      <c r="Z16" s="64">
        <v>1353.1</v>
      </c>
      <c r="AA16" s="64">
        <v>1041.5</v>
      </c>
      <c r="AB16" s="64">
        <v>311.60000000000002</v>
      </c>
    </row>
    <row r="17" spans="1:35" collapsed="1">
      <c r="A17" s="66">
        <v>1997</v>
      </c>
      <c r="B17" s="30">
        <v>5518993</v>
      </c>
      <c r="C17" s="56">
        <f t="shared" ref="C17:C27" si="10">IFERROR(D17+E17+F17,"x")</f>
        <v>170464</v>
      </c>
      <c r="D17" s="30">
        <v>26982</v>
      </c>
      <c r="E17" s="30">
        <v>68474</v>
      </c>
      <c r="F17" s="56">
        <f>IFERROR(G17+H17,"x")</f>
        <v>75008</v>
      </c>
      <c r="G17" s="30">
        <v>51699</v>
      </c>
      <c r="H17" s="30">
        <v>23309</v>
      </c>
      <c r="J17" s="32">
        <f t="shared" si="1"/>
        <v>5578419.6000000006</v>
      </c>
      <c r="K17" s="32">
        <f t="shared" si="2"/>
        <v>41719.599999999999</v>
      </c>
      <c r="L17" s="32">
        <f t="shared" si="3"/>
        <v>81016</v>
      </c>
      <c r="M17" s="32">
        <f t="shared" si="4"/>
        <v>45448</v>
      </c>
      <c r="N17" s="32">
        <f t="shared" si="5"/>
        <v>9458.8000000000011</v>
      </c>
      <c r="O17" s="32">
        <f t="shared" si="6"/>
        <v>26104</v>
      </c>
      <c r="P17" s="32">
        <f t="shared" si="7"/>
        <v>61947.6</v>
      </c>
      <c r="Q17" s="32">
        <f t="shared" si="8"/>
        <v>50996.4</v>
      </c>
      <c r="R17" s="32">
        <f t="shared" si="9"/>
        <v>10951.199999999999</v>
      </c>
      <c r="T17" s="64">
        <v>107277.3</v>
      </c>
      <c r="U17" s="64">
        <v>802.3</v>
      </c>
      <c r="V17" s="64">
        <v>1558</v>
      </c>
      <c r="W17" s="64">
        <v>874</v>
      </c>
      <c r="X17" s="64">
        <v>181.9</v>
      </c>
      <c r="Y17" s="64">
        <v>502</v>
      </c>
      <c r="Z17" s="64">
        <v>1191.3</v>
      </c>
      <c r="AA17" s="64">
        <v>980.7</v>
      </c>
      <c r="AB17" s="64">
        <v>210.6</v>
      </c>
      <c r="AD17" s="64">
        <v>5442888000</v>
      </c>
      <c r="AE17" s="64">
        <v>27986000</v>
      </c>
      <c r="AF17" s="64">
        <v>67409000</v>
      </c>
      <c r="AG17" s="64">
        <v>75579000</v>
      </c>
      <c r="AH17" s="64">
        <v>52066000</v>
      </c>
      <c r="AI17" s="64">
        <v>23513000</v>
      </c>
    </row>
    <row r="18" spans="1:35">
      <c r="A18" s="66">
        <v>1998</v>
      </c>
      <c r="B18" s="30">
        <v>5649736</v>
      </c>
      <c r="C18" s="56">
        <f t="shared" si="10"/>
        <v>171527</v>
      </c>
      <c r="D18" s="30">
        <v>30322</v>
      </c>
      <c r="E18" s="30">
        <v>71081</v>
      </c>
      <c r="F18" s="56">
        <f t="shared" ref="F18:F31" si="11">IFERROR(G18+H18,"x")</f>
        <v>70124</v>
      </c>
      <c r="G18" s="30">
        <v>44441</v>
      </c>
      <c r="H18" s="30">
        <v>25683</v>
      </c>
      <c r="J18" s="32">
        <f t="shared" si="1"/>
        <v>5671671.2000000002</v>
      </c>
      <c r="K18" s="32">
        <f t="shared" si="2"/>
        <v>42286.400000000001</v>
      </c>
      <c r="L18" s="32">
        <f t="shared" si="3"/>
        <v>86283.599999999991</v>
      </c>
      <c r="M18" s="32">
        <f t="shared" si="4"/>
        <v>46202</v>
      </c>
      <c r="N18" s="32">
        <f t="shared" si="5"/>
        <v>11273.6</v>
      </c>
      <c r="O18" s="32">
        <f t="shared" si="6"/>
        <v>28802.799999999999</v>
      </c>
      <c r="P18" s="32">
        <f t="shared" si="7"/>
        <v>66705.599999999991</v>
      </c>
      <c r="Q18" s="32">
        <f t="shared" si="8"/>
        <v>48661.599999999999</v>
      </c>
      <c r="R18" s="32">
        <f t="shared" si="9"/>
        <v>18044</v>
      </c>
      <c r="T18" s="64">
        <v>109070.6</v>
      </c>
      <c r="U18" s="64">
        <v>813.2</v>
      </c>
      <c r="V18" s="64">
        <v>1659.3</v>
      </c>
      <c r="W18" s="64">
        <v>888.5</v>
      </c>
      <c r="X18" s="64">
        <v>216.8</v>
      </c>
      <c r="Y18" s="64">
        <v>553.9</v>
      </c>
      <c r="Z18" s="64">
        <v>1282.8</v>
      </c>
      <c r="AA18" s="64">
        <v>935.8</v>
      </c>
      <c r="AB18" s="64">
        <v>347</v>
      </c>
      <c r="AD18" s="64">
        <v>5587894000</v>
      </c>
      <c r="AE18" s="64">
        <v>31942000</v>
      </c>
      <c r="AF18" s="64">
        <v>70840000</v>
      </c>
      <c r="AG18" s="64">
        <v>71260000</v>
      </c>
      <c r="AH18" s="64">
        <v>45255000</v>
      </c>
      <c r="AI18" s="64">
        <v>26005000</v>
      </c>
    </row>
    <row r="19" spans="1:35">
      <c r="A19" s="66">
        <v>1999</v>
      </c>
      <c r="B19" s="30">
        <v>5835180</v>
      </c>
      <c r="C19" s="56">
        <f t="shared" si="10"/>
        <v>180843</v>
      </c>
      <c r="D19" s="30">
        <v>33309</v>
      </c>
      <c r="E19" s="30">
        <v>79679</v>
      </c>
      <c r="F19" s="56">
        <f t="shared" si="11"/>
        <v>67855</v>
      </c>
      <c r="G19" s="30">
        <v>41642</v>
      </c>
      <c r="H19" s="30">
        <v>26213</v>
      </c>
      <c r="J19" s="32">
        <f t="shared" si="1"/>
        <v>5950115.6000000006</v>
      </c>
      <c r="K19" s="32">
        <f t="shared" si="2"/>
        <v>43128.799999999996</v>
      </c>
      <c r="L19" s="32">
        <f t="shared" si="3"/>
        <v>99252.400000000009</v>
      </c>
      <c r="M19" s="32">
        <f t="shared" si="4"/>
        <v>53253.2</v>
      </c>
      <c r="N19" s="32">
        <f t="shared" si="5"/>
        <v>13270.4</v>
      </c>
      <c r="O19" s="32">
        <f t="shared" si="6"/>
        <v>32728.799999999999</v>
      </c>
      <c r="P19" s="32">
        <f t="shared" si="7"/>
        <v>70756.400000000009</v>
      </c>
      <c r="Q19" s="32">
        <f t="shared" si="8"/>
        <v>51355.200000000004</v>
      </c>
      <c r="R19" s="32">
        <f t="shared" si="9"/>
        <v>19401.2</v>
      </c>
      <c r="T19" s="64">
        <v>114425.3</v>
      </c>
      <c r="U19" s="64">
        <v>829.4</v>
      </c>
      <c r="V19" s="64">
        <v>1908.7</v>
      </c>
      <c r="W19" s="64">
        <v>1024.0999999999999</v>
      </c>
      <c r="X19" s="64">
        <v>255.2</v>
      </c>
      <c r="Y19" s="64">
        <v>629.4</v>
      </c>
      <c r="Z19" s="64">
        <v>1360.7</v>
      </c>
      <c r="AA19" s="64">
        <v>987.6</v>
      </c>
      <c r="AB19" s="64">
        <v>373.1</v>
      </c>
      <c r="AD19" s="64">
        <v>5802442000</v>
      </c>
      <c r="AE19" s="64">
        <v>34793000</v>
      </c>
      <c r="AF19" s="64">
        <v>79117000</v>
      </c>
      <c r="AG19" s="64">
        <v>68638000</v>
      </c>
      <c r="AH19" s="64">
        <v>42241000</v>
      </c>
      <c r="AI19" s="64">
        <v>26397000</v>
      </c>
    </row>
    <row r="20" spans="1:35">
      <c r="A20" s="66">
        <v>2000</v>
      </c>
      <c r="B20" s="30">
        <v>5905491</v>
      </c>
      <c r="C20" s="56">
        <f t="shared" si="10"/>
        <v>179606</v>
      </c>
      <c r="D20" s="30">
        <v>28969</v>
      </c>
      <c r="E20" s="30">
        <v>84520</v>
      </c>
      <c r="F20" s="56">
        <f t="shared" si="11"/>
        <v>66117</v>
      </c>
      <c r="G20" s="30">
        <v>40312</v>
      </c>
      <c r="H20" s="30">
        <v>25805</v>
      </c>
      <c r="J20" s="32">
        <f t="shared" si="1"/>
        <v>6060636.3999999994</v>
      </c>
      <c r="K20" s="32">
        <f t="shared" si="2"/>
        <v>36821.200000000004</v>
      </c>
      <c r="L20" s="32">
        <f t="shared" si="3"/>
        <v>102590.8</v>
      </c>
      <c r="M20" s="32">
        <f t="shared" si="4"/>
        <v>50788.4</v>
      </c>
      <c r="N20" s="32">
        <f t="shared" si="5"/>
        <v>16161.6</v>
      </c>
      <c r="O20" s="32">
        <f t="shared" si="6"/>
        <v>35640.799999999996</v>
      </c>
      <c r="P20" s="32">
        <f t="shared" si="7"/>
        <v>68458</v>
      </c>
      <c r="Q20" s="32">
        <f t="shared" si="8"/>
        <v>50726</v>
      </c>
      <c r="R20" s="32">
        <f t="shared" si="9"/>
        <v>17732</v>
      </c>
      <c r="T20" s="64">
        <v>116550.7</v>
      </c>
      <c r="U20" s="64">
        <v>708.1</v>
      </c>
      <c r="V20" s="64">
        <v>1972.9</v>
      </c>
      <c r="W20" s="64">
        <v>976.7</v>
      </c>
      <c r="X20" s="64">
        <v>310.8</v>
      </c>
      <c r="Y20" s="64">
        <v>685.4</v>
      </c>
      <c r="Z20" s="64">
        <v>1316.5</v>
      </c>
      <c r="AA20" s="64">
        <v>975.5</v>
      </c>
      <c r="AB20" s="64">
        <v>341</v>
      </c>
      <c r="AD20" s="64">
        <v>5902486000</v>
      </c>
      <c r="AE20" s="64">
        <v>31095000</v>
      </c>
      <c r="AF20" s="64">
        <v>84850000</v>
      </c>
      <c r="AG20" s="64">
        <v>66980000</v>
      </c>
      <c r="AH20" s="64">
        <v>40987000</v>
      </c>
      <c r="AI20" s="64">
        <v>25993000</v>
      </c>
    </row>
    <row r="21" spans="1:35">
      <c r="A21" s="66">
        <v>2001</v>
      </c>
      <c r="B21" s="30">
        <v>5886355</v>
      </c>
      <c r="C21" s="56">
        <f t="shared" si="10"/>
        <v>165363</v>
      </c>
      <c r="D21" s="30">
        <v>27740</v>
      </c>
      <c r="E21" s="30">
        <v>72072</v>
      </c>
      <c r="F21" s="56">
        <f t="shared" si="11"/>
        <v>65551</v>
      </c>
      <c r="G21" s="30">
        <v>41076</v>
      </c>
      <c r="H21" s="30">
        <v>24475</v>
      </c>
      <c r="J21" s="32">
        <f t="shared" si="1"/>
        <v>5926923.6000000006</v>
      </c>
      <c r="K21" s="32">
        <f t="shared" si="2"/>
        <v>36831.599999999999</v>
      </c>
      <c r="L21" s="32">
        <f t="shared" si="3"/>
        <v>96376.8</v>
      </c>
      <c r="M21" s="32">
        <f t="shared" si="4"/>
        <v>47980.4</v>
      </c>
      <c r="N21" s="32">
        <f t="shared" si="5"/>
        <v>13582.4</v>
      </c>
      <c r="O21" s="32">
        <f t="shared" si="6"/>
        <v>34819.200000000004</v>
      </c>
      <c r="P21" s="32">
        <f t="shared" si="7"/>
        <v>63627.199999999997</v>
      </c>
      <c r="Q21" s="32">
        <f t="shared" si="8"/>
        <v>45219.200000000004</v>
      </c>
      <c r="R21" s="32">
        <f t="shared" si="9"/>
        <v>18408</v>
      </c>
      <c r="T21" s="64">
        <v>113979.3</v>
      </c>
      <c r="U21" s="64">
        <v>708.3</v>
      </c>
      <c r="V21" s="64">
        <v>1853.4</v>
      </c>
      <c r="W21" s="64">
        <v>922.7</v>
      </c>
      <c r="X21" s="64">
        <v>261.2</v>
      </c>
      <c r="Y21" s="64">
        <v>669.6</v>
      </c>
      <c r="Z21" s="64">
        <v>1223.5999999999999</v>
      </c>
      <c r="AA21" s="64">
        <v>869.6</v>
      </c>
      <c r="AB21" s="64">
        <v>354</v>
      </c>
      <c r="AD21" s="64">
        <v>5873484000</v>
      </c>
      <c r="AE21" s="64">
        <v>26546000</v>
      </c>
      <c r="AF21" s="64">
        <v>78820000</v>
      </c>
      <c r="AG21" s="64">
        <v>65549000</v>
      </c>
      <c r="AH21" s="64">
        <v>40281000</v>
      </c>
      <c r="AI21" s="64">
        <v>25268000</v>
      </c>
    </row>
    <row r="22" spans="1:35">
      <c r="A22" s="66">
        <v>2002</v>
      </c>
      <c r="B22" s="30">
        <v>6050568</v>
      </c>
      <c r="C22" s="56">
        <f t="shared" si="10"/>
        <v>165582</v>
      </c>
      <c r="D22" s="30">
        <v>30062</v>
      </c>
      <c r="E22" s="30">
        <v>71955</v>
      </c>
      <c r="F22" s="56">
        <f t="shared" si="11"/>
        <v>63565</v>
      </c>
      <c r="G22" s="30">
        <v>40115</v>
      </c>
      <c r="H22" s="30">
        <v>23450</v>
      </c>
      <c r="J22" s="32">
        <f t="shared" si="1"/>
        <v>6152515.2000000002</v>
      </c>
      <c r="K22" s="32">
        <f t="shared" si="2"/>
        <v>36914.799999999996</v>
      </c>
      <c r="L22" s="32">
        <f t="shared" si="3"/>
        <v>120796</v>
      </c>
      <c r="M22" s="32">
        <f t="shared" si="4"/>
        <v>54906.8</v>
      </c>
      <c r="N22" s="32">
        <f t="shared" si="5"/>
        <v>16749.2</v>
      </c>
      <c r="O22" s="32">
        <f t="shared" si="6"/>
        <v>49145.200000000004</v>
      </c>
      <c r="P22" s="32">
        <f t="shared" si="7"/>
        <v>59571.199999999997</v>
      </c>
      <c r="Q22" s="32">
        <f t="shared" si="8"/>
        <v>44470.400000000001</v>
      </c>
      <c r="R22" s="32">
        <f t="shared" si="9"/>
        <v>15100.8</v>
      </c>
      <c r="T22" s="64">
        <v>118317.6</v>
      </c>
      <c r="U22" s="64">
        <v>709.9</v>
      </c>
      <c r="V22" s="64">
        <v>2323</v>
      </c>
      <c r="W22" s="64">
        <v>1055.9000000000001</v>
      </c>
      <c r="X22" s="64">
        <v>322.10000000000002</v>
      </c>
      <c r="Y22" s="64">
        <v>945.1</v>
      </c>
      <c r="Z22" s="64">
        <v>1145.5999999999999</v>
      </c>
      <c r="AA22" s="64">
        <v>855.2</v>
      </c>
      <c r="AB22" s="64">
        <v>290.39999999999998</v>
      </c>
      <c r="AD22" s="64">
        <v>6033468000</v>
      </c>
      <c r="AE22" s="64">
        <v>30025000</v>
      </c>
      <c r="AF22" s="64">
        <v>79047000</v>
      </c>
      <c r="AG22" s="64">
        <v>65537000</v>
      </c>
      <c r="AH22" s="64">
        <v>41364000</v>
      </c>
      <c r="AI22" s="64">
        <v>24174000</v>
      </c>
    </row>
    <row r="23" spans="1:35">
      <c r="A23" s="66">
        <v>2003</v>
      </c>
      <c r="B23" s="30">
        <v>6031035</v>
      </c>
      <c r="C23" s="56">
        <f t="shared" si="10"/>
        <v>164361</v>
      </c>
      <c r="D23" s="30">
        <v>28759</v>
      </c>
      <c r="E23" s="30">
        <v>73134</v>
      </c>
      <c r="F23" s="56">
        <f t="shared" si="11"/>
        <v>62468</v>
      </c>
      <c r="G23" s="30">
        <v>40000</v>
      </c>
      <c r="H23" s="30">
        <v>22468</v>
      </c>
      <c r="J23" s="32">
        <f t="shared" si="1"/>
        <v>6111201.2000000002</v>
      </c>
      <c r="K23" s="32">
        <f t="shared" si="2"/>
        <v>35474.400000000001</v>
      </c>
      <c r="L23" s="32">
        <f t="shared" si="3"/>
        <v>112871.2</v>
      </c>
      <c r="M23" s="32">
        <f t="shared" si="4"/>
        <v>48141.599999999999</v>
      </c>
      <c r="N23" s="32">
        <f t="shared" si="5"/>
        <v>15303.6</v>
      </c>
      <c r="O23" s="32">
        <f t="shared" si="6"/>
        <v>49426</v>
      </c>
      <c r="P23" s="32">
        <f t="shared" si="7"/>
        <v>63845.599999999999</v>
      </c>
      <c r="Q23" s="32">
        <f t="shared" si="8"/>
        <v>50819.6</v>
      </c>
      <c r="R23" s="32">
        <f t="shared" si="9"/>
        <v>13026</v>
      </c>
      <c r="T23" s="64">
        <v>117523.1</v>
      </c>
      <c r="U23" s="64">
        <v>682.2</v>
      </c>
      <c r="V23" s="64">
        <v>2170.6</v>
      </c>
      <c r="W23" s="64">
        <v>925.8</v>
      </c>
      <c r="X23" s="64">
        <v>294.3</v>
      </c>
      <c r="Y23" s="64">
        <v>950.5</v>
      </c>
      <c r="Z23" s="64">
        <v>1227.8</v>
      </c>
      <c r="AA23" s="64">
        <v>977.3</v>
      </c>
      <c r="AB23" s="64">
        <v>250.5</v>
      </c>
      <c r="AD23" s="64">
        <v>6019371000</v>
      </c>
      <c r="AE23" s="64">
        <v>28644000</v>
      </c>
      <c r="AF23" s="64">
        <v>75611000</v>
      </c>
      <c r="AG23" s="64">
        <v>65214000</v>
      </c>
      <c r="AH23" s="64">
        <v>41375000</v>
      </c>
      <c r="AI23" s="64">
        <v>23838000</v>
      </c>
    </row>
    <row r="24" spans="1:35">
      <c r="A24" s="66">
        <v>2004</v>
      </c>
      <c r="B24" s="30">
        <v>6166806</v>
      </c>
      <c r="C24" s="56">
        <f t="shared" si="10"/>
        <v>160029</v>
      </c>
      <c r="D24" s="30">
        <v>26855</v>
      </c>
      <c r="E24" s="30">
        <v>69529</v>
      </c>
      <c r="F24" s="56">
        <f t="shared" si="11"/>
        <v>63645</v>
      </c>
      <c r="G24" s="30">
        <v>40957</v>
      </c>
      <c r="H24" s="30">
        <v>22688</v>
      </c>
      <c r="J24" s="32">
        <f t="shared" si="1"/>
        <v>6261184.7999999998</v>
      </c>
      <c r="K24" s="32">
        <f t="shared" si="2"/>
        <v>32078.799999999999</v>
      </c>
      <c r="L24" s="32">
        <f t="shared" si="3"/>
        <v>113349.6</v>
      </c>
      <c r="M24" s="32">
        <f t="shared" si="4"/>
        <v>52618.799999999996</v>
      </c>
      <c r="N24" s="32">
        <f t="shared" si="5"/>
        <v>16494.399999999998</v>
      </c>
      <c r="O24" s="32">
        <f t="shared" si="6"/>
        <v>44236.4</v>
      </c>
      <c r="P24" s="32">
        <f t="shared" si="7"/>
        <v>67938</v>
      </c>
      <c r="Q24" s="32">
        <f t="shared" si="8"/>
        <v>52774.799999999996</v>
      </c>
      <c r="R24" s="32">
        <f t="shared" si="9"/>
        <v>15163.2</v>
      </c>
      <c r="T24" s="64">
        <v>120407.4</v>
      </c>
      <c r="U24" s="64">
        <v>616.9</v>
      </c>
      <c r="V24" s="64">
        <v>2179.8000000000002</v>
      </c>
      <c r="W24" s="64">
        <v>1011.9</v>
      </c>
      <c r="X24" s="64">
        <v>317.2</v>
      </c>
      <c r="Y24" s="64">
        <v>850.7</v>
      </c>
      <c r="Z24" s="64">
        <v>1306.5</v>
      </c>
      <c r="AA24" s="64">
        <v>1014.9</v>
      </c>
      <c r="AB24" s="64">
        <v>291.60000000000002</v>
      </c>
      <c r="AD24" s="64">
        <v>6169007000</v>
      </c>
      <c r="AE24" s="64">
        <v>26849000</v>
      </c>
      <c r="AF24" s="64">
        <v>70639000</v>
      </c>
      <c r="AG24" s="64">
        <v>66459000</v>
      </c>
      <c r="AH24" s="64">
        <v>42280000</v>
      </c>
      <c r="AI24" s="64">
        <v>24179000</v>
      </c>
    </row>
    <row r="25" spans="1:35">
      <c r="A25" s="66">
        <v>2005</v>
      </c>
      <c r="B25" s="30">
        <v>6161123</v>
      </c>
      <c r="C25" s="56">
        <f t="shared" si="10"/>
        <v>158382</v>
      </c>
      <c r="D25" s="30">
        <v>26239</v>
      </c>
      <c r="E25" s="30">
        <v>66844</v>
      </c>
      <c r="F25" s="56">
        <f t="shared" si="11"/>
        <v>65299</v>
      </c>
      <c r="G25" s="30">
        <v>43434</v>
      </c>
      <c r="H25" s="30">
        <v>21865</v>
      </c>
      <c r="J25" s="32">
        <f t="shared" si="1"/>
        <v>6368128</v>
      </c>
      <c r="K25" s="32">
        <f t="shared" si="2"/>
        <v>27872</v>
      </c>
      <c r="L25" s="32">
        <f t="shared" si="3"/>
        <v>101566.40000000001</v>
      </c>
      <c r="M25" s="32">
        <f t="shared" si="4"/>
        <v>43726.799999999996</v>
      </c>
      <c r="N25" s="32">
        <f t="shared" si="5"/>
        <v>15906.8</v>
      </c>
      <c r="O25" s="32">
        <f t="shared" si="6"/>
        <v>41932.799999999996</v>
      </c>
      <c r="P25" s="32">
        <f t="shared" si="7"/>
        <v>74105.2</v>
      </c>
      <c r="Q25" s="32">
        <f t="shared" si="8"/>
        <v>49608</v>
      </c>
      <c r="R25" s="32">
        <f t="shared" si="9"/>
        <v>24497.200000000001</v>
      </c>
      <c r="T25" s="64">
        <v>122464</v>
      </c>
      <c r="U25" s="64">
        <v>536</v>
      </c>
      <c r="V25" s="64">
        <v>1953.2</v>
      </c>
      <c r="W25" s="64">
        <v>840.9</v>
      </c>
      <c r="X25" s="64">
        <v>305.89999999999998</v>
      </c>
      <c r="Y25" s="64">
        <v>806.4</v>
      </c>
      <c r="Z25" s="64">
        <v>1425.1</v>
      </c>
      <c r="AA25" s="64">
        <v>954</v>
      </c>
      <c r="AB25" s="64">
        <v>471.1</v>
      </c>
      <c r="AD25" s="64">
        <v>6176122000</v>
      </c>
      <c r="AE25" s="64">
        <v>24757000</v>
      </c>
      <c r="AF25" s="64">
        <v>70104000</v>
      </c>
      <c r="AG25" s="64">
        <v>65904000</v>
      </c>
      <c r="AH25" s="64">
        <v>42306000</v>
      </c>
      <c r="AI25" s="64">
        <v>23598000</v>
      </c>
    </row>
    <row r="26" spans="1:35">
      <c r="A26" s="66">
        <v>2006</v>
      </c>
      <c r="B26" s="30">
        <v>6187969</v>
      </c>
      <c r="C26" s="56">
        <f t="shared" si="10"/>
        <v>154512</v>
      </c>
      <c r="D26" s="30">
        <v>26324</v>
      </c>
      <c r="E26" s="30">
        <v>62211</v>
      </c>
      <c r="F26" s="56">
        <f t="shared" si="11"/>
        <v>65977</v>
      </c>
      <c r="G26" s="30">
        <v>45028</v>
      </c>
      <c r="H26" s="30">
        <v>20949</v>
      </c>
      <c r="J26" s="32">
        <f t="shared" si="1"/>
        <v>6369532</v>
      </c>
      <c r="K26" s="32">
        <f t="shared" si="2"/>
        <v>26520</v>
      </c>
      <c r="L26" s="32">
        <f t="shared" si="3"/>
        <v>102788.40000000001</v>
      </c>
      <c r="M26" s="32">
        <f t="shared" si="4"/>
        <v>37460.799999999996</v>
      </c>
      <c r="N26" s="32">
        <f t="shared" si="5"/>
        <v>11315.199999999999</v>
      </c>
      <c r="O26" s="32">
        <f t="shared" si="6"/>
        <v>54012.4</v>
      </c>
      <c r="P26" s="32">
        <f t="shared" si="7"/>
        <v>63117.599999999999</v>
      </c>
      <c r="Q26" s="32">
        <f t="shared" si="8"/>
        <v>46898.799999999996</v>
      </c>
      <c r="R26" s="32">
        <f t="shared" si="9"/>
        <v>16218.8</v>
      </c>
      <c r="T26" s="64">
        <v>122491</v>
      </c>
      <c r="U26" s="64">
        <v>510</v>
      </c>
      <c r="V26" s="64">
        <v>1976.7</v>
      </c>
      <c r="W26" s="64">
        <v>720.4</v>
      </c>
      <c r="X26" s="64">
        <v>217.6</v>
      </c>
      <c r="Y26" s="64">
        <v>1038.7</v>
      </c>
      <c r="Z26" s="64">
        <v>1213.8</v>
      </c>
      <c r="AA26" s="64">
        <v>901.9</v>
      </c>
      <c r="AB26" s="64">
        <v>311.89999999999998</v>
      </c>
      <c r="AD26" s="64">
        <v>6226961000</v>
      </c>
      <c r="AE26" s="64">
        <v>24893000</v>
      </c>
      <c r="AF26" s="64">
        <v>69673000</v>
      </c>
      <c r="AG26" s="64">
        <v>67372000</v>
      </c>
      <c r="AH26" s="64">
        <v>42716000</v>
      </c>
      <c r="AI26" s="64">
        <v>24655000</v>
      </c>
    </row>
    <row r="27" spans="1:35">
      <c r="A27" s="66">
        <v>2007</v>
      </c>
      <c r="B27" s="56">
        <v>6258736</v>
      </c>
      <c r="C27" s="56">
        <f t="shared" si="10"/>
        <v>139863</v>
      </c>
      <c r="D27" s="56">
        <v>23707</v>
      </c>
      <c r="E27" s="56">
        <v>54250</v>
      </c>
      <c r="F27" s="56">
        <f t="shared" si="11"/>
        <v>61906</v>
      </c>
      <c r="G27" s="56">
        <v>39439</v>
      </c>
      <c r="H27" s="56">
        <v>22467</v>
      </c>
      <c r="J27" s="32">
        <f t="shared" si="1"/>
        <v>6416742.7999999998</v>
      </c>
      <c r="K27" s="32">
        <f t="shared" si="2"/>
        <v>21330.399999999998</v>
      </c>
      <c r="L27" s="32">
        <f t="shared" si="3"/>
        <v>75686</v>
      </c>
      <c r="M27" s="32">
        <f t="shared" si="4"/>
        <v>26785.200000000001</v>
      </c>
      <c r="N27" s="32">
        <f t="shared" si="5"/>
        <v>12095.199999999999</v>
      </c>
      <c r="O27" s="32">
        <f t="shared" si="6"/>
        <v>36805.599999999999</v>
      </c>
      <c r="P27" s="32">
        <f t="shared" si="7"/>
        <v>49348</v>
      </c>
      <c r="Q27" s="32">
        <f t="shared" si="8"/>
        <v>31376.799999999999</v>
      </c>
      <c r="R27" s="32">
        <f t="shared" si="9"/>
        <v>17971.2</v>
      </c>
      <c r="T27" s="64">
        <v>123398.9</v>
      </c>
      <c r="U27" s="64">
        <v>410.2</v>
      </c>
      <c r="V27" s="64">
        <v>1455.5</v>
      </c>
      <c r="W27" s="64">
        <v>515.1</v>
      </c>
      <c r="X27" s="64">
        <v>232.6</v>
      </c>
      <c r="Y27" s="64">
        <v>707.8</v>
      </c>
      <c r="Z27" s="64">
        <v>949</v>
      </c>
      <c r="AA27" s="64">
        <v>603.4</v>
      </c>
      <c r="AB27" s="64">
        <v>345.6</v>
      </c>
    </row>
    <row r="28" spans="1:35">
      <c r="A28" s="66">
        <v>2008</v>
      </c>
      <c r="B28" s="56">
        <v>6386079</v>
      </c>
      <c r="C28" s="56">
        <f>IFERROR(D28+E28+F28,"x")</f>
        <v>129382</v>
      </c>
      <c r="D28" s="56">
        <v>20839</v>
      </c>
      <c r="E28" s="56">
        <v>48851</v>
      </c>
      <c r="F28" s="56">
        <f t="shared" si="11"/>
        <v>59692</v>
      </c>
      <c r="G28" s="56">
        <v>37704</v>
      </c>
      <c r="H28" s="56">
        <v>21988</v>
      </c>
      <c r="J28" s="32"/>
      <c r="K28" s="32"/>
      <c r="L28" s="32"/>
      <c r="M28" s="32"/>
      <c r="N28" s="32"/>
      <c r="O28" s="32"/>
      <c r="P28" s="32"/>
      <c r="Q28" s="32"/>
      <c r="R28" s="32"/>
    </row>
    <row r="29" spans="1:35">
      <c r="A29" s="66">
        <v>2009</v>
      </c>
      <c r="B29" s="56">
        <v>6237320</v>
      </c>
      <c r="C29" s="56">
        <f t="shared" ref="C29:C31" si="12">IFERROR(D29+E29+F29,"x")</f>
        <v>113388</v>
      </c>
      <c r="D29" s="56">
        <v>21608</v>
      </c>
      <c r="E29" s="56">
        <v>41089</v>
      </c>
      <c r="F29" s="56">
        <f t="shared" si="11"/>
        <v>50691</v>
      </c>
      <c r="G29" s="56">
        <v>30398</v>
      </c>
      <c r="H29" s="56">
        <v>20293</v>
      </c>
      <c r="J29" s="32"/>
      <c r="K29" s="32"/>
      <c r="L29" s="32"/>
      <c r="M29" s="32"/>
      <c r="N29" s="32"/>
      <c r="O29" s="32"/>
      <c r="P29" s="32"/>
      <c r="Q29" s="32"/>
      <c r="R29" s="32"/>
    </row>
    <row r="30" spans="1:35">
      <c r="A30" s="66">
        <v>2010</v>
      </c>
      <c r="B30" s="56">
        <v>6381146</v>
      </c>
      <c r="C30" s="56">
        <f t="shared" si="12"/>
        <v>110063</v>
      </c>
      <c r="D30" s="56">
        <v>19193</v>
      </c>
      <c r="E30" s="56">
        <v>40626</v>
      </c>
      <c r="F30" s="56">
        <f t="shared" si="11"/>
        <v>50244</v>
      </c>
      <c r="G30" s="56">
        <v>28934</v>
      </c>
      <c r="H30" s="56">
        <v>21310</v>
      </c>
      <c r="J30" s="32"/>
      <c r="K30" s="32"/>
      <c r="L30" s="32"/>
      <c r="M30" s="32"/>
      <c r="N30" s="32"/>
      <c r="O30" s="32"/>
      <c r="P30" s="32"/>
      <c r="Q30" s="32"/>
      <c r="R30" s="32"/>
    </row>
    <row r="31" spans="1:35">
      <c r="A31" s="66">
        <v>2011</v>
      </c>
      <c r="B31" s="57">
        <v>6415845</v>
      </c>
      <c r="C31" s="56">
        <f t="shared" si="12"/>
        <v>109632</v>
      </c>
      <c r="D31" s="57">
        <v>22721</v>
      </c>
      <c r="E31" s="57">
        <v>40954</v>
      </c>
      <c r="F31" s="56">
        <f t="shared" si="11"/>
        <v>45957</v>
      </c>
      <c r="G31" s="57">
        <v>25926</v>
      </c>
      <c r="H31" s="57">
        <v>20031</v>
      </c>
    </row>
    <row r="32" spans="1:35">
      <c r="A32" s="66"/>
      <c r="C32" s="56"/>
    </row>
    <row r="33" spans="1:18">
      <c r="A33" s="64" t="s">
        <v>498</v>
      </c>
      <c r="B33" s="57"/>
      <c r="C33" s="57"/>
      <c r="D33" s="57"/>
      <c r="E33" s="57"/>
      <c r="F33" s="57"/>
      <c r="G33" s="57"/>
      <c r="H33" s="57"/>
    </row>
    <row r="34" spans="1:18">
      <c r="A34" s="64" t="s">
        <v>1780</v>
      </c>
      <c r="B34" s="65">
        <f>IFERROR(((B31/B17)^(1/14)-1)*100,"n.a.")</f>
        <v>1.0813425272005572</v>
      </c>
      <c r="C34" s="65">
        <f t="shared" ref="C34:H34" si="13">IFERROR(((C31/C17)^(1/14)-1)*100,"n.a.")</f>
        <v>-3.1036370646152389</v>
      </c>
      <c r="D34" s="65">
        <f t="shared" si="13"/>
        <v>-1.2202112322609704</v>
      </c>
      <c r="E34" s="65">
        <f t="shared" si="13"/>
        <v>-3.6048807760625245</v>
      </c>
      <c r="F34" s="65">
        <f t="shared" si="13"/>
        <v>-3.438690010097567</v>
      </c>
      <c r="G34" s="65">
        <f t="shared" si="13"/>
        <v>-4.8103945524948895</v>
      </c>
      <c r="H34" s="65">
        <f t="shared" si="13"/>
        <v>-1.0767219619470914</v>
      </c>
      <c r="J34" s="138">
        <f>((J26/J17)^(1/9)-1)*100</f>
        <v>1.4844714013403593</v>
      </c>
      <c r="K34" s="138">
        <f t="shared" ref="K34:R34" si="14">((K26/K17)^(1/9)-1)*100</f>
        <v>-4.9095193411347715</v>
      </c>
      <c r="L34" s="138">
        <f t="shared" si="14"/>
        <v>2.6800149459142775</v>
      </c>
      <c r="M34" s="138">
        <f t="shared" si="14"/>
        <v>-2.1245919393476864</v>
      </c>
      <c r="N34" s="138">
        <f t="shared" si="14"/>
        <v>2.0110821516299504</v>
      </c>
      <c r="O34" s="138">
        <f t="shared" si="14"/>
        <v>8.4145020400773429</v>
      </c>
      <c r="P34" s="138">
        <f t="shared" si="14"/>
        <v>0.20811388580812551</v>
      </c>
      <c r="Q34" s="138">
        <f t="shared" si="14"/>
        <v>-0.92638187769975566</v>
      </c>
      <c r="R34" s="138">
        <f t="shared" si="14"/>
        <v>4.4601821172702838</v>
      </c>
    </row>
    <row r="35" spans="1:18">
      <c r="A35" s="64" t="s">
        <v>663</v>
      </c>
      <c r="B35" s="65">
        <f>IFERROR(((B20/B17)^(1/3)-1)*100,"n.a.")</f>
        <v>2.2818849235567207</v>
      </c>
      <c r="C35" s="65">
        <f t="shared" ref="C35:H35" si="15">IFERROR(((C20/C17)^(1/3)-1)*100,"n.a.")</f>
        <v>1.7566315058950011</v>
      </c>
      <c r="D35" s="65">
        <f t="shared" si="15"/>
        <v>2.3968166331465257</v>
      </c>
      <c r="E35" s="65">
        <f t="shared" si="15"/>
        <v>7.2699133870774313</v>
      </c>
      <c r="F35" s="65">
        <f t="shared" si="15"/>
        <v>-4.1184194171925093</v>
      </c>
      <c r="G35" s="65">
        <f t="shared" si="15"/>
        <v>-7.9584195101104704</v>
      </c>
      <c r="H35" s="65">
        <f t="shared" si="15"/>
        <v>3.4491056753665816</v>
      </c>
      <c r="J35" s="138"/>
      <c r="K35" s="138"/>
      <c r="L35" s="138"/>
      <c r="M35" s="138"/>
      <c r="N35" s="138"/>
      <c r="O35" s="138"/>
      <c r="P35" s="138"/>
      <c r="Q35" s="138"/>
      <c r="R35" s="138"/>
    </row>
    <row r="36" spans="1:18">
      <c r="A36" s="64" t="s">
        <v>1782</v>
      </c>
      <c r="B36" s="65">
        <f>IFERROR(((B31/B20)^(1/11)-1)*100,"n.a.")</f>
        <v>0.75637449502923282</v>
      </c>
      <c r="C36" s="65">
        <f t="shared" ref="C36:H36" si="16">IFERROR(((C31/C20)^(1/11)-1)*100,"n.a.")</f>
        <v>-4.3883989743962015</v>
      </c>
      <c r="D36" s="65">
        <f t="shared" si="16"/>
        <v>-2.184306173747097</v>
      </c>
      <c r="E36" s="65">
        <f t="shared" si="16"/>
        <v>-6.3744767323594687</v>
      </c>
      <c r="F36" s="65">
        <f t="shared" si="16"/>
        <v>-3.2524743787546884</v>
      </c>
      <c r="G36" s="65">
        <f t="shared" si="16"/>
        <v>-3.9333085586265026</v>
      </c>
      <c r="H36" s="65">
        <f t="shared" si="16"/>
        <v>-2.2763031156035285</v>
      </c>
      <c r="J36" s="138"/>
      <c r="K36" s="138"/>
      <c r="L36" s="138"/>
      <c r="M36" s="138"/>
      <c r="N36" s="138"/>
      <c r="O36" s="138"/>
      <c r="P36" s="138"/>
      <c r="Q36" s="138"/>
      <c r="R36" s="138"/>
    </row>
    <row r="37" spans="1:18">
      <c r="B37" s="57"/>
      <c r="C37" s="57"/>
      <c r="D37" s="57"/>
      <c r="E37" s="57"/>
      <c r="F37" s="57"/>
      <c r="G37" s="57"/>
      <c r="H37" s="57"/>
    </row>
    <row r="38" spans="1:18">
      <c r="A38" s="137" t="s">
        <v>494</v>
      </c>
      <c r="B38" s="137"/>
      <c r="C38" s="137"/>
      <c r="D38" s="137"/>
      <c r="E38" s="137"/>
      <c r="F38" s="137"/>
      <c r="G38" s="137"/>
      <c r="H38" s="137"/>
    </row>
    <row r="39" spans="1:18">
      <c r="A39" s="137" t="s">
        <v>495</v>
      </c>
      <c r="B39" s="137"/>
      <c r="C39" s="137"/>
      <c r="D39" s="137"/>
      <c r="E39" s="137"/>
      <c r="F39" s="137"/>
      <c r="G39" s="137"/>
      <c r="H39" s="137"/>
    </row>
    <row r="40" spans="1:18" ht="15" hidden="1" customHeight="1" outlineLevel="1">
      <c r="A40" s="137" t="s">
        <v>496</v>
      </c>
      <c r="B40" s="137"/>
      <c r="C40" s="137"/>
      <c r="D40" s="137"/>
      <c r="E40" s="137"/>
      <c r="F40" s="137"/>
      <c r="G40" s="137"/>
      <c r="H40" s="137"/>
    </row>
    <row r="41" spans="1:18" collapsed="1">
      <c r="A41" s="137" t="s">
        <v>193</v>
      </c>
      <c r="B41" s="137"/>
      <c r="C41" s="137"/>
      <c r="D41" s="137"/>
      <c r="E41" s="137"/>
      <c r="F41" s="137"/>
      <c r="G41" s="137"/>
      <c r="H41" s="137"/>
    </row>
    <row r="42" spans="1:18">
      <c r="A42" s="137" t="s">
        <v>194</v>
      </c>
      <c r="B42" s="137"/>
      <c r="C42" s="137"/>
      <c r="D42" s="137"/>
      <c r="E42" s="137"/>
      <c r="F42" s="137"/>
      <c r="G42" s="137"/>
      <c r="H42" s="137"/>
    </row>
    <row r="43" spans="1:18">
      <c r="A43" s="137" t="s">
        <v>383</v>
      </c>
      <c r="B43" s="137"/>
      <c r="C43" s="137"/>
      <c r="D43" s="137"/>
      <c r="E43" s="137"/>
      <c r="F43" s="137"/>
      <c r="G43" s="137"/>
      <c r="H43" s="137"/>
    </row>
    <row r="44" spans="1:18" hidden="1" outlineLevel="1">
      <c r="A44" s="64" t="s">
        <v>497</v>
      </c>
      <c r="C44" s="142"/>
    </row>
    <row r="45" spans="1:18" collapsed="1">
      <c r="C45" s="142"/>
    </row>
    <row r="46" spans="1:18">
      <c r="C46" s="142"/>
    </row>
  </sheetData>
  <mergeCells count="7">
    <mergeCell ref="A42:H42"/>
    <mergeCell ref="A43:H43"/>
    <mergeCell ref="A1:H1"/>
    <mergeCell ref="A38:H38"/>
    <mergeCell ref="A39:H39"/>
    <mergeCell ref="A40:H40"/>
    <mergeCell ref="A41:H41"/>
  </mergeCells>
  <pageMargins left="0.7" right="0.7" top="0.75" bottom="0.75" header="0.3" footer="0.3"/>
  <pageSetup scale="88" orientation="landscape" horizontalDpi="0" verticalDpi="0" r:id="rId1"/>
</worksheet>
</file>

<file path=xl/worksheets/sheet175.xml><?xml version="1.0" encoding="utf-8"?>
<worksheet xmlns="http://schemas.openxmlformats.org/spreadsheetml/2006/main" xmlns:r="http://schemas.openxmlformats.org/officeDocument/2006/relationships">
  <sheetPr codeName="Sheet169"/>
  <dimension ref="A1:AJ45"/>
  <sheetViews>
    <sheetView view="pageBreakPreview" zoomScaleNormal="85" zoomScaleSheetLayoutView="100"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2.42578125" style="64" customWidth="1"/>
    <col min="2" max="8" width="15.28515625" style="64" customWidth="1"/>
    <col min="9" max="9" width="9.140625" style="64"/>
    <col min="10" max="10" width="10.140625" style="64" hidden="1" customWidth="1" outlineLevel="1"/>
    <col min="11" max="19" width="0" style="64" hidden="1" customWidth="1" outlineLevel="1"/>
    <col min="20" max="35" width="9.140625" style="64" hidden="1" customWidth="1" outlineLevel="1"/>
    <col min="36" max="36" width="9.140625" style="64" collapsed="1"/>
    <col min="37" max="16384" width="9.140625" style="64"/>
  </cols>
  <sheetData>
    <row r="1" spans="1:35">
      <c r="A1" s="108" t="s">
        <v>2099</v>
      </c>
      <c r="B1" s="108"/>
      <c r="C1" s="108"/>
      <c r="D1" s="108"/>
      <c r="E1" s="108"/>
      <c r="F1" s="108"/>
      <c r="G1" s="108"/>
      <c r="H1" s="108"/>
    </row>
    <row r="2" spans="1:35" ht="120">
      <c r="A2" s="66"/>
      <c r="B2" s="73" t="s">
        <v>41</v>
      </c>
      <c r="C2" s="73" t="s">
        <v>37</v>
      </c>
      <c r="D2" s="73" t="s">
        <v>0</v>
      </c>
      <c r="E2" s="73" t="s">
        <v>1</v>
      </c>
      <c r="F2" s="73" t="s">
        <v>2</v>
      </c>
      <c r="G2" s="73" t="s">
        <v>13</v>
      </c>
      <c r="H2" s="73" t="s">
        <v>19</v>
      </c>
      <c r="J2" s="117" t="s">
        <v>493</v>
      </c>
      <c r="K2" s="117" t="s">
        <v>492</v>
      </c>
      <c r="L2" s="117" t="s">
        <v>67</v>
      </c>
      <c r="M2" s="117" t="s">
        <v>68</v>
      </c>
      <c r="N2" s="117" t="s">
        <v>69</v>
      </c>
      <c r="O2" s="117" t="s">
        <v>70</v>
      </c>
      <c r="P2" s="117" t="s">
        <v>71</v>
      </c>
      <c r="Q2" s="117" t="s">
        <v>72</v>
      </c>
      <c r="R2" s="117" t="s">
        <v>73</v>
      </c>
      <c r="T2" s="117" t="s">
        <v>493</v>
      </c>
      <c r="U2" s="117" t="s">
        <v>492</v>
      </c>
      <c r="V2" s="117" t="s">
        <v>67</v>
      </c>
      <c r="W2" s="117" t="s">
        <v>68</v>
      </c>
      <c r="X2" s="117" t="s">
        <v>69</v>
      </c>
      <c r="Y2" s="117" t="s">
        <v>70</v>
      </c>
      <c r="Z2" s="117" t="s">
        <v>71</v>
      </c>
      <c r="AA2" s="117" t="s">
        <v>72</v>
      </c>
      <c r="AB2" s="117" t="s">
        <v>73</v>
      </c>
      <c r="AD2" s="64" t="s">
        <v>432</v>
      </c>
      <c r="AE2" s="64" t="s">
        <v>433</v>
      </c>
      <c r="AF2" s="64" t="s">
        <v>434</v>
      </c>
      <c r="AG2" s="64" t="s">
        <v>435</v>
      </c>
      <c r="AH2" s="64" t="s">
        <v>436</v>
      </c>
      <c r="AI2" s="64" t="s">
        <v>437</v>
      </c>
    </row>
    <row r="3" spans="1:35" hidden="1" outlineLevel="1">
      <c r="C3" s="135"/>
      <c r="AD3" s="64" t="s">
        <v>438</v>
      </c>
      <c r="AE3" s="64" t="s">
        <v>439</v>
      </c>
      <c r="AF3" s="64" t="s">
        <v>440</v>
      </c>
      <c r="AG3" s="64" t="s">
        <v>441</v>
      </c>
      <c r="AH3" s="64" t="s">
        <v>442</v>
      </c>
      <c r="AI3" s="64" t="s">
        <v>443</v>
      </c>
    </row>
    <row r="4" spans="1:35" hidden="1" outlineLevel="1" collapsed="1">
      <c r="A4" s="64">
        <v>1984</v>
      </c>
      <c r="C4" s="57"/>
    </row>
    <row r="5" spans="1:35" hidden="1" outlineLevel="1">
      <c r="A5" s="64">
        <v>1985</v>
      </c>
      <c r="C5" s="57"/>
    </row>
    <row r="6" spans="1:35" hidden="1" outlineLevel="1">
      <c r="A6" s="64">
        <v>1986</v>
      </c>
      <c r="C6" s="57"/>
    </row>
    <row r="7" spans="1:35" hidden="1" outlineLevel="1">
      <c r="A7" s="64">
        <v>1987</v>
      </c>
      <c r="C7" s="57"/>
      <c r="J7" s="32">
        <f>T7*52</f>
        <v>8921972.7999999989</v>
      </c>
      <c r="K7" s="32">
        <f t="shared" ref="K7:R7" si="0">U7*52</f>
        <v>11824.800000000001</v>
      </c>
      <c r="L7" s="32">
        <f t="shared" si="0"/>
        <v>53237.599999999999</v>
      </c>
      <c r="M7" s="32">
        <f t="shared" si="0"/>
        <v>19775.600000000002</v>
      </c>
      <c r="N7" s="32">
        <f t="shared" si="0"/>
        <v>6780.8</v>
      </c>
      <c r="O7" s="32">
        <f t="shared" si="0"/>
        <v>26681.200000000001</v>
      </c>
      <c r="P7" s="32">
        <f t="shared" si="0"/>
        <v>81322.8</v>
      </c>
      <c r="Q7" s="32">
        <f t="shared" si="0"/>
        <v>41033.200000000004</v>
      </c>
      <c r="R7" s="32">
        <f t="shared" si="0"/>
        <v>40289.599999999999</v>
      </c>
      <c r="T7" s="64">
        <v>171576.4</v>
      </c>
      <c r="U7" s="64">
        <v>227.4</v>
      </c>
      <c r="V7" s="64">
        <v>1023.8</v>
      </c>
      <c r="W7" s="64">
        <v>380.3</v>
      </c>
      <c r="X7" s="64">
        <v>130.4</v>
      </c>
      <c r="Y7" s="64">
        <v>513.1</v>
      </c>
      <c r="Z7" s="64">
        <v>1563.9</v>
      </c>
      <c r="AA7" s="64">
        <v>789.1</v>
      </c>
      <c r="AB7" s="64">
        <v>774.8</v>
      </c>
    </row>
    <row r="8" spans="1:35" hidden="1" outlineLevel="1">
      <c r="A8" s="64">
        <v>1988</v>
      </c>
      <c r="C8" s="57"/>
      <c r="J8" s="32">
        <f t="shared" ref="J8:J27" si="1">T8*52</f>
        <v>9384200.7999999989</v>
      </c>
      <c r="K8" s="32">
        <f t="shared" ref="K8:K27" si="2">U8*52</f>
        <v>16598.399999999998</v>
      </c>
      <c r="L8" s="32">
        <f t="shared" ref="L8:L27" si="3">V8*52</f>
        <v>71713.2</v>
      </c>
      <c r="M8" s="32">
        <f t="shared" ref="M8:M27" si="4">W8*52</f>
        <v>20982</v>
      </c>
      <c r="N8" s="32">
        <f t="shared" ref="N8:N27" si="5">X8*52</f>
        <v>9157.1999999999989</v>
      </c>
      <c r="O8" s="32">
        <f t="shared" ref="O8:O27" si="6">Y8*52</f>
        <v>41574</v>
      </c>
      <c r="P8" s="32">
        <f t="shared" ref="P8:P27" si="7">Z8*52</f>
        <v>83428.800000000003</v>
      </c>
      <c r="Q8" s="32">
        <f t="shared" ref="Q8:Q27" si="8">AA8*52</f>
        <v>40960.400000000001</v>
      </c>
      <c r="R8" s="32">
        <f t="shared" ref="R8:R27" si="9">AB8*52</f>
        <v>42468.4</v>
      </c>
      <c r="T8" s="64">
        <v>180465.4</v>
      </c>
      <c r="U8" s="64">
        <v>319.2</v>
      </c>
      <c r="V8" s="64">
        <v>1379.1</v>
      </c>
      <c r="W8" s="64">
        <v>403.5</v>
      </c>
      <c r="X8" s="64">
        <v>176.1</v>
      </c>
      <c r="Y8" s="64">
        <v>799.5</v>
      </c>
      <c r="Z8" s="64">
        <v>1604.4</v>
      </c>
      <c r="AA8" s="64">
        <v>787.7</v>
      </c>
      <c r="AB8" s="64">
        <v>816.7</v>
      </c>
    </row>
    <row r="9" spans="1:35" hidden="1" outlineLevel="1">
      <c r="A9" s="64">
        <v>1989</v>
      </c>
      <c r="C9" s="57"/>
      <c r="J9" s="32">
        <f t="shared" si="1"/>
        <v>9706725.5999999996</v>
      </c>
      <c r="K9" s="32">
        <f t="shared" si="2"/>
        <v>11112.4</v>
      </c>
      <c r="L9" s="32">
        <f t="shared" si="3"/>
        <v>54766.400000000001</v>
      </c>
      <c r="M9" s="32">
        <f t="shared" si="4"/>
        <v>13535.6</v>
      </c>
      <c r="N9" s="32">
        <f t="shared" si="5"/>
        <v>8689.1999999999989</v>
      </c>
      <c r="O9" s="32">
        <f t="shared" si="6"/>
        <v>32541.599999999999</v>
      </c>
      <c r="P9" s="32">
        <f t="shared" si="7"/>
        <v>97562.400000000009</v>
      </c>
      <c r="Q9" s="32">
        <f t="shared" si="8"/>
        <v>49909.599999999999</v>
      </c>
      <c r="R9" s="32">
        <f t="shared" si="9"/>
        <v>47652.799999999996</v>
      </c>
      <c r="T9" s="64">
        <v>186667.8</v>
      </c>
      <c r="U9" s="64">
        <v>213.7</v>
      </c>
      <c r="V9" s="64">
        <v>1053.2</v>
      </c>
      <c r="W9" s="64">
        <v>260.3</v>
      </c>
      <c r="X9" s="64">
        <v>167.1</v>
      </c>
      <c r="Y9" s="64">
        <v>625.79999999999995</v>
      </c>
      <c r="Z9" s="64">
        <v>1876.2</v>
      </c>
      <c r="AA9" s="64">
        <v>959.8</v>
      </c>
      <c r="AB9" s="64">
        <v>916.4</v>
      </c>
    </row>
    <row r="10" spans="1:35" hidden="1" outlineLevel="1">
      <c r="A10" s="64">
        <v>1990</v>
      </c>
      <c r="C10" s="57"/>
      <c r="J10" s="32">
        <f t="shared" si="1"/>
        <v>9514076</v>
      </c>
      <c r="K10" s="32">
        <f t="shared" si="2"/>
        <v>13452.4</v>
      </c>
      <c r="L10" s="32">
        <f t="shared" si="3"/>
        <v>58817.2</v>
      </c>
      <c r="M10" s="32">
        <f t="shared" si="4"/>
        <v>17186</v>
      </c>
      <c r="N10" s="32">
        <f t="shared" si="5"/>
        <v>7144.8</v>
      </c>
      <c r="O10" s="32">
        <f t="shared" si="6"/>
        <v>34486.400000000001</v>
      </c>
      <c r="P10" s="32">
        <f t="shared" si="7"/>
        <v>93220.400000000009</v>
      </c>
      <c r="Q10" s="32">
        <f t="shared" si="8"/>
        <v>51318.799999999996</v>
      </c>
      <c r="R10" s="32">
        <f t="shared" si="9"/>
        <v>41901.599999999999</v>
      </c>
      <c r="T10" s="64">
        <v>182963</v>
      </c>
      <c r="U10" s="64">
        <v>258.7</v>
      </c>
      <c r="V10" s="64">
        <v>1131.0999999999999</v>
      </c>
      <c r="W10" s="64">
        <v>330.5</v>
      </c>
      <c r="X10" s="64">
        <v>137.4</v>
      </c>
      <c r="Y10" s="64">
        <v>663.2</v>
      </c>
      <c r="Z10" s="64">
        <v>1792.7</v>
      </c>
      <c r="AA10" s="64">
        <v>986.9</v>
      </c>
      <c r="AB10" s="64">
        <v>805.8</v>
      </c>
    </row>
    <row r="11" spans="1:35" hidden="1" outlineLevel="1">
      <c r="A11" s="64">
        <v>1991</v>
      </c>
      <c r="B11" s="57"/>
      <c r="C11" s="57"/>
      <c r="D11" s="57"/>
      <c r="E11" s="57"/>
      <c r="F11" s="57"/>
      <c r="G11" s="57"/>
      <c r="H11" s="57"/>
      <c r="J11" s="32">
        <f t="shared" si="1"/>
        <v>9027938.4000000004</v>
      </c>
      <c r="K11" s="32">
        <f t="shared" si="2"/>
        <v>12142</v>
      </c>
      <c r="L11" s="32">
        <f t="shared" si="3"/>
        <v>50206</v>
      </c>
      <c r="M11" s="32">
        <f t="shared" si="4"/>
        <v>15355.6</v>
      </c>
      <c r="N11" s="32">
        <f t="shared" si="5"/>
        <v>8278.4</v>
      </c>
      <c r="O11" s="32">
        <f t="shared" si="6"/>
        <v>26572</v>
      </c>
      <c r="P11" s="32">
        <f t="shared" si="7"/>
        <v>75597.599999999991</v>
      </c>
      <c r="Q11" s="32">
        <f t="shared" si="8"/>
        <v>40435.200000000004</v>
      </c>
      <c r="R11" s="32">
        <f t="shared" si="9"/>
        <v>35162.400000000001</v>
      </c>
      <c r="T11" s="64">
        <v>173614.2</v>
      </c>
      <c r="U11" s="64">
        <v>233.5</v>
      </c>
      <c r="V11" s="64">
        <v>965.5</v>
      </c>
      <c r="W11" s="64">
        <v>295.3</v>
      </c>
      <c r="X11" s="64">
        <v>159.19999999999999</v>
      </c>
      <c r="Y11" s="64">
        <v>511</v>
      </c>
      <c r="Z11" s="64">
        <v>1453.8</v>
      </c>
      <c r="AA11" s="64">
        <v>777.6</v>
      </c>
      <c r="AB11" s="64">
        <v>676.2</v>
      </c>
    </row>
    <row r="12" spans="1:35" hidden="1" outlineLevel="1">
      <c r="A12" s="64">
        <v>1992</v>
      </c>
      <c r="B12" s="57"/>
      <c r="C12" s="57"/>
      <c r="D12" s="57"/>
      <c r="E12" s="57"/>
      <c r="F12" s="57"/>
      <c r="G12" s="57"/>
      <c r="H12" s="57"/>
      <c r="J12" s="32">
        <f t="shared" si="1"/>
        <v>8704072</v>
      </c>
      <c r="K12" s="32">
        <f t="shared" si="2"/>
        <v>13868.4</v>
      </c>
      <c r="L12" s="32">
        <f t="shared" si="3"/>
        <v>40908.400000000001</v>
      </c>
      <c r="M12" s="32">
        <f t="shared" si="4"/>
        <v>12178.4</v>
      </c>
      <c r="N12" s="32">
        <f t="shared" si="5"/>
        <v>7498.4</v>
      </c>
      <c r="O12" s="32">
        <f t="shared" si="6"/>
        <v>21226.399999999998</v>
      </c>
      <c r="P12" s="32">
        <f t="shared" si="7"/>
        <v>73325.2</v>
      </c>
      <c r="Q12" s="32">
        <f t="shared" si="8"/>
        <v>42754.400000000001</v>
      </c>
      <c r="R12" s="32">
        <f t="shared" si="9"/>
        <v>30570.799999999999</v>
      </c>
      <c r="T12" s="64">
        <v>167386</v>
      </c>
      <c r="U12" s="64">
        <v>266.7</v>
      </c>
      <c r="V12" s="64">
        <v>786.7</v>
      </c>
      <c r="W12" s="64">
        <v>234.2</v>
      </c>
      <c r="X12" s="64">
        <v>144.19999999999999</v>
      </c>
      <c r="Y12" s="64">
        <v>408.2</v>
      </c>
      <c r="Z12" s="64">
        <v>1410.1</v>
      </c>
      <c r="AA12" s="64">
        <v>822.2</v>
      </c>
      <c r="AB12" s="64">
        <v>587.9</v>
      </c>
    </row>
    <row r="13" spans="1:35" hidden="1" outlineLevel="1">
      <c r="A13" s="64">
        <v>1993</v>
      </c>
      <c r="B13" s="57"/>
      <c r="C13" s="57"/>
      <c r="D13" s="57"/>
      <c r="E13" s="57"/>
      <c r="F13" s="57"/>
      <c r="G13" s="57"/>
      <c r="H13" s="57"/>
      <c r="J13" s="32">
        <f t="shared" si="1"/>
        <v>8865110.7999999989</v>
      </c>
      <c r="K13" s="32">
        <f t="shared" si="2"/>
        <v>15927.6</v>
      </c>
      <c r="L13" s="32">
        <f t="shared" si="3"/>
        <v>44829.200000000004</v>
      </c>
      <c r="M13" s="32">
        <f t="shared" si="4"/>
        <v>12859.6</v>
      </c>
      <c r="N13" s="32">
        <f t="shared" si="5"/>
        <v>7862.4</v>
      </c>
      <c r="O13" s="32">
        <f t="shared" si="6"/>
        <v>24107.200000000001</v>
      </c>
      <c r="P13" s="32">
        <f t="shared" si="7"/>
        <v>81104.400000000009</v>
      </c>
      <c r="Q13" s="32">
        <f t="shared" si="8"/>
        <v>46524.4</v>
      </c>
      <c r="R13" s="32">
        <f t="shared" si="9"/>
        <v>34580</v>
      </c>
      <c r="T13" s="64">
        <v>170482.9</v>
      </c>
      <c r="U13" s="64">
        <v>306.3</v>
      </c>
      <c r="V13" s="64">
        <v>862.1</v>
      </c>
      <c r="W13" s="64">
        <v>247.3</v>
      </c>
      <c r="X13" s="64">
        <v>151.19999999999999</v>
      </c>
      <c r="Y13" s="64">
        <v>463.6</v>
      </c>
      <c r="Z13" s="64">
        <v>1559.7</v>
      </c>
      <c r="AA13" s="64">
        <v>894.7</v>
      </c>
      <c r="AB13" s="64">
        <v>665</v>
      </c>
    </row>
    <row r="14" spans="1:35" hidden="1" outlineLevel="1">
      <c r="A14" s="64">
        <v>1994</v>
      </c>
      <c r="B14" s="56"/>
      <c r="C14" s="56"/>
      <c r="D14" s="56"/>
      <c r="E14" s="56"/>
      <c r="F14" s="56"/>
      <c r="G14" s="56"/>
      <c r="H14" s="56"/>
      <c r="J14" s="32">
        <f t="shared" si="1"/>
        <v>9089704</v>
      </c>
      <c r="K14" s="32">
        <f t="shared" si="2"/>
        <v>18028.399999999998</v>
      </c>
      <c r="L14" s="32">
        <f t="shared" si="3"/>
        <v>45484.4</v>
      </c>
      <c r="M14" s="32">
        <f t="shared" si="4"/>
        <v>14092</v>
      </c>
      <c r="N14" s="32">
        <f t="shared" si="5"/>
        <v>8860.8000000000011</v>
      </c>
      <c r="O14" s="32">
        <f t="shared" si="6"/>
        <v>22531.600000000002</v>
      </c>
      <c r="P14" s="32">
        <f t="shared" si="7"/>
        <v>83850</v>
      </c>
      <c r="Q14" s="32">
        <f t="shared" si="8"/>
        <v>47450</v>
      </c>
      <c r="R14" s="32">
        <f t="shared" si="9"/>
        <v>36405.200000000004</v>
      </c>
      <c r="T14" s="64">
        <v>174802</v>
      </c>
      <c r="U14" s="64">
        <v>346.7</v>
      </c>
      <c r="V14" s="64">
        <v>874.7</v>
      </c>
      <c r="W14" s="64">
        <v>271</v>
      </c>
      <c r="X14" s="64">
        <v>170.4</v>
      </c>
      <c r="Y14" s="64">
        <v>433.3</v>
      </c>
      <c r="Z14" s="64">
        <v>1612.5</v>
      </c>
      <c r="AA14" s="64">
        <v>912.5</v>
      </c>
      <c r="AB14" s="64">
        <v>700.1</v>
      </c>
    </row>
    <row r="15" spans="1:35" hidden="1" outlineLevel="1">
      <c r="A15" s="64">
        <v>1995</v>
      </c>
      <c r="B15" s="56"/>
      <c r="C15" s="56"/>
      <c r="D15" s="56"/>
      <c r="E15" s="56"/>
      <c r="F15" s="56"/>
      <c r="G15" s="56"/>
      <c r="H15" s="56"/>
      <c r="J15" s="32">
        <f t="shared" si="1"/>
        <v>9178431.5999999996</v>
      </c>
      <c r="K15" s="32">
        <f t="shared" si="2"/>
        <v>15724.8</v>
      </c>
      <c r="L15" s="32">
        <f t="shared" si="3"/>
        <v>57912.4</v>
      </c>
      <c r="M15" s="32">
        <f t="shared" si="4"/>
        <v>16187.6</v>
      </c>
      <c r="N15" s="32">
        <f t="shared" si="5"/>
        <v>9651.1999999999989</v>
      </c>
      <c r="O15" s="32">
        <f t="shared" si="6"/>
        <v>32073.599999999999</v>
      </c>
      <c r="P15" s="32">
        <f t="shared" si="7"/>
        <v>77916.800000000003</v>
      </c>
      <c r="Q15" s="32">
        <f t="shared" si="8"/>
        <v>51724.4</v>
      </c>
      <c r="R15" s="32">
        <f t="shared" si="9"/>
        <v>26192.399999999998</v>
      </c>
      <c r="T15" s="64">
        <v>176508.3</v>
      </c>
      <c r="U15" s="64">
        <v>302.39999999999998</v>
      </c>
      <c r="V15" s="64">
        <v>1113.7</v>
      </c>
      <c r="W15" s="64">
        <v>311.3</v>
      </c>
      <c r="X15" s="64">
        <v>185.6</v>
      </c>
      <c r="Y15" s="64">
        <v>616.79999999999995</v>
      </c>
      <c r="Z15" s="64">
        <v>1498.4</v>
      </c>
      <c r="AA15" s="64">
        <v>994.7</v>
      </c>
      <c r="AB15" s="64">
        <v>503.7</v>
      </c>
    </row>
    <row r="16" spans="1:35" hidden="1" outlineLevel="1">
      <c r="A16" s="64">
        <v>1996</v>
      </c>
      <c r="B16" s="56"/>
      <c r="C16" s="56"/>
      <c r="D16" s="56"/>
      <c r="E16" s="56"/>
      <c r="F16" s="56"/>
      <c r="G16" s="56"/>
      <c r="H16" s="56"/>
      <c r="J16" s="32">
        <f t="shared" si="1"/>
        <v>9405749.5999999996</v>
      </c>
      <c r="K16" s="32">
        <f t="shared" si="2"/>
        <v>13187.199999999999</v>
      </c>
      <c r="L16" s="32">
        <f t="shared" si="3"/>
        <v>58312.800000000003</v>
      </c>
      <c r="M16" s="32">
        <f t="shared" si="4"/>
        <v>16603.600000000002</v>
      </c>
      <c r="N16" s="32">
        <f t="shared" si="5"/>
        <v>12100.4</v>
      </c>
      <c r="O16" s="32">
        <f t="shared" si="6"/>
        <v>29608.799999999999</v>
      </c>
      <c r="P16" s="32">
        <f t="shared" si="7"/>
        <v>78322.400000000009</v>
      </c>
      <c r="Q16" s="32">
        <f t="shared" si="8"/>
        <v>49462.400000000001</v>
      </c>
      <c r="R16" s="32">
        <f t="shared" si="9"/>
        <v>28865.200000000001</v>
      </c>
      <c r="T16" s="64">
        <v>180879.8</v>
      </c>
      <c r="U16" s="64">
        <v>253.6</v>
      </c>
      <c r="V16" s="64">
        <v>1121.4000000000001</v>
      </c>
      <c r="W16" s="64">
        <v>319.3</v>
      </c>
      <c r="X16" s="64">
        <v>232.7</v>
      </c>
      <c r="Y16" s="64">
        <v>569.4</v>
      </c>
      <c r="Z16" s="64">
        <v>1506.2</v>
      </c>
      <c r="AA16" s="64">
        <v>951.2</v>
      </c>
      <c r="AB16" s="64">
        <v>555.1</v>
      </c>
    </row>
    <row r="17" spans="1:35" collapsed="1">
      <c r="A17" s="66">
        <v>1997</v>
      </c>
      <c r="B17" s="56">
        <v>9682288</v>
      </c>
      <c r="C17" s="56">
        <f t="shared" ref="C17:C27" si="10">IFERROR(D17+E17+F17,"x")</f>
        <v>140077</v>
      </c>
      <c r="D17" s="56">
        <v>19598</v>
      </c>
      <c r="E17" s="56">
        <v>53418</v>
      </c>
      <c r="F17" s="56">
        <v>67061</v>
      </c>
      <c r="G17" s="56">
        <v>32188</v>
      </c>
      <c r="H17" s="56">
        <v>34873</v>
      </c>
      <c r="J17" s="32">
        <f t="shared" si="1"/>
        <v>9651262.4000000004</v>
      </c>
      <c r="K17" s="32">
        <f t="shared" si="2"/>
        <v>11003.199999999999</v>
      </c>
      <c r="L17" s="32">
        <f t="shared" si="3"/>
        <v>55172</v>
      </c>
      <c r="M17" s="32">
        <f t="shared" si="4"/>
        <v>13868.4</v>
      </c>
      <c r="N17" s="32">
        <f t="shared" si="5"/>
        <v>8824.4</v>
      </c>
      <c r="O17" s="32">
        <f t="shared" si="6"/>
        <v>32479.200000000001</v>
      </c>
      <c r="P17" s="32">
        <f t="shared" si="7"/>
        <v>78104</v>
      </c>
      <c r="Q17" s="32">
        <f t="shared" si="8"/>
        <v>47928.4</v>
      </c>
      <c r="R17" s="32">
        <f t="shared" si="9"/>
        <v>30170.400000000001</v>
      </c>
      <c r="T17" s="64">
        <v>185601.2</v>
      </c>
      <c r="U17" s="64">
        <v>211.6</v>
      </c>
      <c r="V17" s="64">
        <v>1061</v>
      </c>
      <c r="W17" s="64">
        <v>266.7</v>
      </c>
      <c r="X17" s="64">
        <v>169.7</v>
      </c>
      <c r="Y17" s="64">
        <v>624.6</v>
      </c>
      <c r="Z17" s="64">
        <v>1502</v>
      </c>
      <c r="AA17" s="64">
        <v>921.7</v>
      </c>
      <c r="AB17" s="64">
        <v>580.20000000000005</v>
      </c>
      <c r="AD17" s="64">
        <v>9651835000</v>
      </c>
      <c r="AE17" s="64">
        <v>20633000</v>
      </c>
      <c r="AF17" s="64">
        <v>51191000</v>
      </c>
      <c r="AG17" s="64">
        <v>68784000</v>
      </c>
      <c r="AH17" s="64">
        <v>32448000</v>
      </c>
      <c r="AI17" s="64">
        <v>36336000</v>
      </c>
    </row>
    <row r="18" spans="1:35">
      <c r="A18" s="66">
        <v>1998</v>
      </c>
      <c r="B18" s="56">
        <v>10014262</v>
      </c>
      <c r="C18" s="56">
        <f t="shared" si="10"/>
        <v>133983</v>
      </c>
      <c r="D18" s="56">
        <v>18304</v>
      </c>
      <c r="E18" s="56">
        <v>54194</v>
      </c>
      <c r="F18" s="56">
        <v>61485</v>
      </c>
      <c r="G18" s="56">
        <v>27824</v>
      </c>
      <c r="H18" s="56">
        <v>33661</v>
      </c>
      <c r="J18" s="32">
        <f t="shared" si="1"/>
        <v>9947756</v>
      </c>
      <c r="K18" s="32">
        <f t="shared" si="2"/>
        <v>11991.199999999999</v>
      </c>
      <c r="L18" s="32">
        <f t="shared" si="3"/>
        <v>65343.199999999997</v>
      </c>
      <c r="M18" s="32">
        <f t="shared" si="4"/>
        <v>20186.399999999998</v>
      </c>
      <c r="N18" s="32">
        <f t="shared" si="5"/>
        <v>6484.4000000000005</v>
      </c>
      <c r="O18" s="32">
        <f t="shared" si="6"/>
        <v>38672.400000000001</v>
      </c>
      <c r="P18" s="32">
        <f t="shared" si="7"/>
        <v>80423.199999999997</v>
      </c>
      <c r="Q18" s="32">
        <f t="shared" si="8"/>
        <v>42042</v>
      </c>
      <c r="R18" s="32">
        <f t="shared" si="9"/>
        <v>38381.200000000004</v>
      </c>
      <c r="T18" s="64">
        <v>191303</v>
      </c>
      <c r="U18" s="64">
        <v>230.6</v>
      </c>
      <c r="V18" s="64">
        <v>1256.5999999999999</v>
      </c>
      <c r="W18" s="64">
        <v>388.2</v>
      </c>
      <c r="X18" s="64">
        <v>124.7</v>
      </c>
      <c r="Y18" s="64">
        <v>743.7</v>
      </c>
      <c r="Z18" s="64">
        <v>1546.6</v>
      </c>
      <c r="AA18" s="64">
        <v>808.5</v>
      </c>
      <c r="AB18" s="64">
        <v>738.1</v>
      </c>
      <c r="AD18" s="64">
        <v>9975489000</v>
      </c>
      <c r="AE18" s="64">
        <v>19285000</v>
      </c>
      <c r="AF18" s="64">
        <v>51938000</v>
      </c>
      <c r="AG18" s="64">
        <v>63294000</v>
      </c>
      <c r="AH18" s="64">
        <v>28278000</v>
      </c>
      <c r="AI18" s="64">
        <v>35016000</v>
      </c>
    </row>
    <row r="19" spans="1:35">
      <c r="A19" s="66">
        <v>1999</v>
      </c>
      <c r="B19" s="56">
        <v>10339417</v>
      </c>
      <c r="C19" s="56">
        <f t="shared" si="10"/>
        <v>141812</v>
      </c>
      <c r="D19" s="56">
        <v>19124</v>
      </c>
      <c r="E19" s="56">
        <v>57733</v>
      </c>
      <c r="F19" s="56">
        <v>64955</v>
      </c>
      <c r="G19" s="56">
        <v>29815</v>
      </c>
      <c r="H19" s="56">
        <v>35140</v>
      </c>
      <c r="J19" s="32">
        <f t="shared" si="1"/>
        <v>10313617.6</v>
      </c>
      <c r="K19" s="32">
        <f t="shared" si="2"/>
        <v>10977.199999999999</v>
      </c>
      <c r="L19" s="32">
        <f t="shared" si="3"/>
        <v>59222.8</v>
      </c>
      <c r="M19" s="32">
        <f t="shared" si="4"/>
        <v>13774.8</v>
      </c>
      <c r="N19" s="32">
        <f t="shared" si="5"/>
        <v>7384</v>
      </c>
      <c r="O19" s="32">
        <f t="shared" si="6"/>
        <v>38069.200000000004</v>
      </c>
      <c r="P19" s="32">
        <f t="shared" si="7"/>
        <v>74292.400000000009</v>
      </c>
      <c r="Q19" s="32">
        <f t="shared" si="8"/>
        <v>31834.400000000001</v>
      </c>
      <c r="R19" s="32">
        <f t="shared" si="9"/>
        <v>42458</v>
      </c>
      <c r="T19" s="64">
        <v>198338.8</v>
      </c>
      <c r="U19" s="64">
        <v>211.1</v>
      </c>
      <c r="V19" s="64">
        <v>1138.9000000000001</v>
      </c>
      <c r="W19" s="64">
        <v>264.89999999999998</v>
      </c>
      <c r="X19" s="64">
        <v>142</v>
      </c>
      <c r="Y19" s="64">
        <v>732.1</v>
      </c>
      <c r="Z19" s="64">
        <v>1428.7</v>
      </c>
      <c r="AA19" s="64">
        <v>612.20000000000005</v>
      </c>
      <c r="AB19" s="64">
        <v>816.5</v>
      </c>
      <c r="AD19" s="64">
        <v>10313534000</v>
      </c>
      <c r="AE19" s="64">
        <v>20137000</v>
      </c>
      <c r="AF19" s="64">
        <v>54814000</v>
      </c>
      <c r="AG19" s="64">
        <v>66543000</v>
      </c>
      <c r="AH19" s="64">
        <v>30297000</v>
      </c>
      <c r="AI19" s="64">
        <v>36246000</v>
      </c>
    </row>
    <row r="20" spans="1:35">
      <c r="A20" s="66">
        <v>2000</v>
      </c>
      <c r="B20" s="56">
        <v>10623650</v>
      </c>
      <c r="C20" s="56">
        <f t="shared" si="10"/>
        <v>145273</v>
      </c>
      <c r="D20" s="56">
        <v>20977</v>
      </c>
      <c r="E20" s="56">
        <v>59613</v>
      </c>
      <c r="F20" s="56">
        <v>64683</v>
      </c>
      <c r="G20" s="56">
        <v>28348</v>
      </c>
      <c r="H20" s="56">
        <v>36335</v>
      </c>
      <c r="J20" s="32">
        <f t="shared" si="1"/>
        <v>10687882.4</v>
      </c>
      <c r="K20" s="32">
        <f t="shared" si="2"/>
        <v>12292.800000000001</v>
      </c>
      <c r="L20" s="32">
        <f t="shared" si="3"/>
        <v>71089.2</v>
      </c>
      <c r="M20" s="32">
        <f t="shared" si="4"/>
        <v>15272.4</v>
      </c>
      <c r="N20" s="32">
        <f t="shared" si="5"/>
        <v>14289.6</v>
      </c>
      <c r="O20" s="32">
        <f t="shared" si="6"/>
        <v>41527.200000000004</v>
      </c>
      <c r="P20" s="32">
        <f t="shared" si="7"/>
        <v>82711.199999999997</v>
      </c>
      <c r="Q20" s="32">
        <f t="shared" si="8"/>
        <v>34424</v>
      </c>
      <c r="R20" s="32">
        <f t="shared" si="9"/>
        <v>48287.200000000004</v>
      </c>
      <c r="T20" s="64">
        <v>205536.2</v>
      </c>
      <c r="U20" s="64">
        <v>236.4</v>
      </c>
      <c r="V20" s="64">
        <v>1367.1</v>
      </c>
      <c r="W20" s="64">
        <v>293.7</v>
      </c>
      <c r="X20" s="64">
        <v>274.8</v>
      </c>
      <c r="Y20" s="64">
        <v>798.6</v>
      </c>
      <c r="Z20" s="64">
        <v>1590.6</v>
      </c>
      <c r="AA20" s="64">
        <v>662</v>
      </c>
      <c r="AB20" s="64">
        <v>928.6</v>
      </c>
      <c r="AD20" s="64">
        <v>10595550000</v>
      </c>
      <c r="AE20" s="64">
        <v>21813000</v>
      </c>
      <c r="AF20" s="64">
        <v>56661000</v>
      </c>
      <c r="AG20" s="64">
        <v>65952000</v>
      </c>
      <c r="AH20" s="64">
        <v>28559000</v>
      </c>
      <c r="AI20" s="64">
        <v>37393000</v>
      </c>
    </row>
    <row r="21" spans="1:35">
      <c r="A21" s="66">
        <v>2001</v>
      </c>
      <c r="B21" s="56">
        <v>10770370</v>
      </c>
      <c r="C21" s="56">
        <f t="shared" si="10"/>
        <v>144728</v>
      </c>
      <c r="D21" s="56">
        <v>15957</v>
      </c>
      <c r="E21" s="56">
        <v>59246</v>
      </c>
      <c r="F21" s="56">
        <v>69525</v>
      </c>
      <c r="G21" s="56">
        <v>28698</v>
      </c>
      <c r="H21" s="56">
        <v>40827</v>
      </c>
      <c r="J21" s="32">
        <f t="shared" si="1"/>
        <v>10718687.200000001</v>
      </c>
      <c r="K21" s="32">
        <f t="shared" si="2"/>
        <v>11362</v>
      </c>
      <c r="L21" s="32">
        <f t="shared" si="3"/>
        <v>64807.6</v>
      </c>
      <c r="M21" s="32">
        <f t="shared" si="4"/>
        <v>14601.6</v>
      </c>
      <c r="N21" s="32">
        <f t="shared" si="5"/>
        <v>13130</v>
      </c>
      <c r="O21" s="32">
        <f t="shared" si="6"/>
        <v>37076</v>
      </c>
      <c r="P21" s="32">
        <f t="shared" si="7"/>
        <v>76471.199999999997</v>
      </c>
      <c r="Q21" s="32">
        <f t="shared" si="8"/>
        <v>41246.400000000001</v>
      </c>
      <c r="R21" s="32">
        <f t="shared" si="9"/>
        <v>35224.799999999996</v>
      </c>
      <c r="T21" s="64">
        <v>206128.6</v>
      </c>
      <c r="U21" s="64">
        <v>218.5</v>
      </c>
      <c r="V21" s="64">
        <v>1246.3</v>
      </c>
      <c r="W21" s="64">
        <v>280.8</v>
      </c>
      <c r="X21" s="64">
        <v>252.5</v>
      </c>
      <c r="Y21" s="64">
        <v>713</v>
      </c>
      <c r="Z21" s="64">
        <v>1470.6</v>
      </c>
      <c r="AA21" s="64">
        <v>793.2</v>
      </c>
      <c r="AB21" s="64">
        <v>677.4</v>
      </c>
      <c r="AD21" s="64">
        <v>10767015000</v>
      </c>
      <c r="AE21" s="64">
        <v>17109000</v>
      </c>
      <c r="AF21" s="64">
        <v>58238000</v>
      </c>
      <c r="AG21" s="64">
        <v>70515000</v>
      </c>
      <c r="AH21" s="64">
        <v>27994000</v>
      </c>
      <c r="AI21" s="64">
        <v>42521000</v>
      </c>
    </row>
    <row r="22" spans="1:35">
      <c r="A22" s="66">
        <v>2002</v>
      </c>
      <c r="B22" s="56">
        <v>10849897</v>
      </c>
      <c r="C22" s="56">
        <f t="shared" si="10"/>
        <v>141984</v>
      </c>
      <c r="D22" s="56">
        <v>14904</v>
      </c>
      <c r="E22" s="56">
        <v>57240</v>
      </c>
      <c r="F22" s="56">
        <v>69840</v>
      </c>
      <c r="G22" s="56">
        <v>28196</v>
      </c>
      <c r="H22" s="56">
        <v>41644</v>
      </c>
      <c r="J22" s="32">
        <f t="shared" si="1"/>
        <v>10851833.200000001</v>
      </c>
      <c r="K22" s="32">
        <f t="shared" si="2"/>
        <v>11278.800000000001</v>
      </c>
      <c r="L22" s="32">
        <f t="shared" si="3"/>
        <v>76039.599999999991</v>
      </c>
      <c r="M22" s="32">
        <f t="shared" si="4"/>
        <v>17394</v>
      </c>
      <c r="N22" s="32">
        <f t="shared" si="5"/>
        <v>12672.4</v>
      </c>
      <c r="O22" s="32">
        <f t="shared" si="6"/>
        <v>45973.200000000004</v>
      </c>
      <c r="P22" s="32">
        <f t="shared" si="7"/>
        <v>78733.2</v>
      </c>
      <c r="Q22" s="32">
        <f t="shared" si="8"/>
        <v>43071.6</v>
      </c>
      <c r="R22" s="32">
        <f t="shared" si="9"/>
        <v>35666.799999999996</v>
      </c>
      <c r="T22" s="64">
        <v>208689.1</v>
      </c>
      <c r="U22" s="64">
        <v>216.9</v>
      </c>
      <c r="V22" s="64">
        <v>1462.3</v>
      </c>
      <c r="W22" s="64">
        <v>334.5</v>
      </c>
      <c r="X22" s="64">
        <v>243.7</v>
      </c>
      <c r="Y22" s="64">
        <v>884.1</v>
      </c>
      <c r="Z22" s="64">
        <v>1514.1</v>
      </c>
      <c r="AA22" s="64">
        <v>828.3</v>
      </c>
      <c r="AB22" s="64">
        <v>685.9</v>
      </c>
      <c r="AD22" s="64">
        <v>10866542000</v>
      </c>
      <c r="AE22" s="64">
        <v>16310000</v>
      </c>
      <c r="AF22" s="64">
        <v>57633000</v>
      </c>
      <c r="AG22" s="64">
        <v>73355000</v>
      </c>
      <c r="AH22" s="64">
        <v>28236000</v>
      </c>
      <c r="AI22" s="64">
        <v>45119000</v>
      </c>
    </row>
    <row r="23" spans="1:35">
      <c r="A23" s="66">
        <v>2003</v>
      </c>
      <c r="B23" s="56">
        <v>11058334</v>
      </c>
      <c r="C23" s="56">
        <f t="shared" si="10"/>
        <v>137621</v>
      </c>
      <c r="D23" s="56">
        <v>14821</v>
      </c>
      <c r="E23" s="56">
        <v>54641</v>
      </c>
      <c r="F23" s="56">
        <v>68159</v>
      </c>
      <c r="G23" s="56">
        <v>25733</v>
      </c>
      <c r="H23" s="56">
        <v>42426</v>
      </c>
      <c r="J23" s="32">
        <f t="shared" si="1"/>
        <v>10928803.6</v>
      </c>
      <c r="K23" s="32">
        <f t="shared" si="2"/>
        <v>12568.4</v>
      </c>
      <c r="L23" s="32">
        <f t="shared" si="3"/>
        <v>74464</v>
      </c>
      <c r="M23" s="32">
        <f t="shared" si="4"/>
        <v>12490.4</v>
      </c>
      <c r="N23" s="32">
        <f t="shared" si="5"/>
        <v>19978.399999999998</v>
      </c>
      <c r="O23" s="32">
        <f t="shared" si="6"/>
        <v>41995.200000000004</v>
      </c>
      <c r="P23" s="32">
        <f t="shared" si="7"/>
        <v>79060.800000000003</v>
      </c>
      <c r="Q23" s="32">
        <f t="shared" si="8"/>
        <v>44720</v>
      </c>
      <c r="R23" s="32">
        <f t="shared" si="9"/>
        <v>34340.799999999996</v>
      </c>
      <c r="T23" s="64">
        <v>210169.3</v>
      </c>
      <c r="U23" s="64">
        <v>241.7</v>
      </c>
      <c r="V23" s="64">
        <v>1432</v>
      </c>
      <c r="W23" s="64">
        <v>240.2</v>
      </c>
      <c r="X23" s="64">
        <v>384.2</v>
      </c>
      <c r="Y23" s="64">
        <v>807.6</v>
      </c>
      <c r="Z23" s="64">
        <v>1520.4</v>
      </c>
      <c r="AA23" s="64">
        <v>860</v>
      </c>
      <c r="AB23" s="64">
        <v>660.4</v>
      </c>
      <c r="AD23" s="64">
        <v>11091993000</v>
      </c>
      <c r="AE23" s="64">
        <v>16102000</v>
      </c>
      <c r="AF23" s="64">
        <v>54533000</v>
      </c>
      <c r="AG23" s="64">
        <v>73086000</v>
      </c>
      <c r="AH23" s="64">
        <v>26598000</v>
      </c>
      <c r="AI23" s="64">
        <v>46488000</v>
      </c>
    </row>
    <row r="24" spans="1:35">
      <c r="A24" s="66">
        <v>2004</v>
      </c>
      <c r="B24" s="56">
        <v>11349491</v>
      </c>
      <c r="C24" s="56">
        <f t="shared" si="10"/>
        <v>141754</v>
      </c>
      <c r="D24" s="56">
        <v>15243</v>
      </c>
      <c r="E24" s="56">
        <v>56185</v>
      </c>
      <c r="F24" s="56">
        <v>70326</v>
      </c>
      <c r="G24" s="56">
        <v>26933</v>
      </c>
      <c r="H24" s="56">
        <v>43393</v>
      </c>
      <c r="J24" s="32">
        <f t="shared" si="1"/>
        <v>11270927.200000001</v>
      </c>
      <c r="K24" s="32">
        <f t="shared" si="2"/>
        <v>16853.2</v>
      </c>
      <c r="L24" s="32">
        <f t="shared" si="3"/>
        <v>87833.2</v>
      </c>
      <c r="M24" s="32">
        <f t="shared" si="4"/>
        <v>15745.6</v>
      </c>
      <c r="N24" s="32">
        <f t="shared" si="5"/>
        <v>18798</v>
      </c>
      <c r="O24" s="32">
        <f t="shared" si="6"/>
        <v>53289.599999999999</v>
      </c>
      <c r="P24" s="32">
        <f t="shared" si="7"/>
        <v>77001.599999999991</v>
      </c>
      <c r="Q24" s="32">
        <f t="shared" si="8"/>
        <v>34112</v>
      </c>
      <c r="R24" s="32">
        <f t="shared" si="9"/>
        <v>42889.599999999999</v>
      </c>
      <c r="T24" s="64">
        <v>216748.6</v>
      </c>
      <c r="U24" s="64">
        <v>324.10000000000002</v>
      </c>
      <c r="V24" s="64">
        <v>1689.1</v>
      </c>
      <c r="W24" s="64">
        <v>302.8</v>
      </c>
      <c r="X24" s="64">
        <v>361.5</v>
      </c>
      <c r="Y24" s="64">
        <v>1024.8</v>
      </c>
      <c r="Z24" s="64">
        <v>1480.8</v>
      </c>
      <c r="AA24" s="64">
        <v>656</v>
      </c>
      <c r="AB24" s="64">
        <v>824.8</v>
      </c>
      <c r="AD24" s="64">
        <v>11386042000</v>
      </c>
      <c r="AE24" s="64">
        <v>16606000</v>
      </c>
      <c r="AF24" s="64">
        <v>55213000</v>
      </c>
      <c r="AG24" s="64">
        <v>75123000</v>
      </c>
      <c r="AH24" s="64">
        <v>26817000</v>
      </c>
      <c r="AI24" s="64">
        <v>48306000</v>
      </c>
    </row>
    <row r="25" spans="1:35">
      <c r="A25" s="66">
        <v>2005</v>
      </c>
      <c r="B25" s="56">
        <v>11364601</v>
      </c>
      <c r="C25" s="56">
        <f t="shared" si="10"/>
        <v>135790</v>
      </c>
      <c r="D25" s="56">
        <v>16314</v>
      </c>
      <c r="E25" s="56">
        <v>53172</v>
      </c>
      <c r="F25" s="56">
        <v>66304</v>
      </c>
      <c r="G25" s="56">
        <v>21992</v>
      </c>
      <c r="H25" s="56">
        <v>44312</v>
      </c>
      <c r="J25" s="32">
        <f t="shared" si="1"/>
        <v>11454112.799999999</v>
      </c>
      <c r="K25" s="32">
        <f t="shared" si="2"/>
        <v>15724.8</v>
      </c>
      <c r="L25" s="32">
        <f t="shared" si="3"/>
        <v>77402</v>
      </c>
      <c r="M25" s="32">
        <f t="shared" si="4"/>
        <v>15834</v>
      </c>
      <c r="N25" s="32">
        <f t="shared" si="5"/>
        <v>20254</v>
      </c>
      <c r="O25" s="32">
        <f t="shared" si="6"/>
        <v>41314</v>
      </c>
      <c r="P25" s="32">
        <f t="shared" si="7"/>
        <v>65759.199999999997</v>
      </c>
      <c r="Q25" s="32">
        <f t="shared" si="8"/>
        <v>27976</v>
      </c>
      <c r="R25" s="32">
        <f t="shared" si="9"/>
        <v>37783.200000000004</v>
      </c>
      <c r="T25" s="64">
        <v>220271.4</v>
      </c>
      <c r="U25" s="64">
        <v>302.39999999999998</v>
      </c>
      <c r="V25" s="64">
        <v>1488.5</v>
      </c>
      <c r="W25" s="64">
        <v>304.5</v>
      </c>
      <c r="X25" s="64">
        <v>389.5</v>
      </c>
      <c r="Y25" s="64">
        <v>794.5</v>
      </c>
      <c r="Z25" s="64">
        <v>1264.5999999999999</v>
      </c>
      <c r="AA25" s="64">
        <v>538</v>
      </c>
      <c r="AB25" s="64">
        <v>726.6</v>
      </c>
      <c r="AD25" s="64">
        <v>11448178000</v>
      </c>
      <c r="AE25" s="64">
        <v>16221000</v>
      </c>
      <c r="AF25" s="64">
        <v>52259000</v>
      </c>
      <c r="AG25" s="64">
        <v>68522000</v>
      </c>
      <c r="AH25" s="64">
        <v>23683000</v>
      </c>
      <c r="AI25" s="64">
        <v>44840000</v>
      </c>
    </row>
    <row r="26" spans="1:35">
      <c r="A26" s="66">
        <v>2006</v>
      </c>
      <c r="B26" s="56">
        <v>11477265</v>
      </c>
      <c r="C26" s="56">
        <f t="shared" si="10"/>
        <v>128234</v>
      </c>
      <c r="D26" s="56">
        <v>15014</v>
      </c>
      <c r="E26" s="56">
        <v>50857</v>
      </c>
      <c r="F26" s="56">
        <v>62363</v>
      </c>
      <c r="G26" s="56">
        <v>19300</v>
      </c>
      <c r="H26" s="56">
        <v>43063</v>
      </c>
      <c r="J26" s="32">
        <f t="shared" si="1"/>
        <v>11500320</v>
      </c>
      <c r="K26" s="32">
        <f t="shared" si="2"/>
        <v>12599.6</v>
      </c>
      <c r="L26" s="32">
        <f t="shared" si="3"/>
        <v>80256.800000000003</v>
      </c>
      <c r="M26" s="32">
        <f t="shared" si="4"/>
        <v>14528.8</v>
      </c>
      <c r="N26" s="32">
        <f t="shared" si="5"/>
        <v>15433.6</v>
      </c>
      <c r="O26" s="32">
        <f t="shared" si="6"/>
        <v>50294.400000000001</v>
      </c>
      <c r="P26" s="32">
        <f t="shared" si="7"/>
        <v>58453.2</v>
      </c>
      <c r="Q26" s="32">
        <f t="shared" si="8"/>
        <v>25745.200000000001</v>
      </c>
      <c r="R26" s="32">
        <f t="shared" si="9"/>
        <v>32713.200000000001</v>
      </c>
      <c r="T26" s="64">
        <v>221160</v>
      </c>
      <c r="U26" s="64">
        <v>242.3</v>
      </c>
      <c r="V26" s="64">
        <v>1543.4</v>
      </c>
      <c r="W26" s="64">
        <v>279.39999999999998</v>
      </c>
      <c r="X26" s="64">
        <v>296.8</v>
      </c>
      <c r="Y26" s="64">
        <v>967.2</v>
      </c>
      <c r="Z26" s="64">
        <v>1124.0999999999999</v>
      </c>
      <c r="AA26" s="64">
        <v>495.1</v>
      </c>
      <c r="AB26" s="64">
        <v>629.1</v>
      </c>
      <c r="AD26" s="64">
        <v>11607433000</v>
      </c>
      <c r="AE26" s="64">
        <v>15676000</v>
      </c>
      <c r="AF26" s="64">
        <v>53145000</v>
      </c>
      <c r="AG26" s="64">
        <v>70587000</v>
      </c>
      <c r="AH26" s="64">
        <v>25442000</v>
      </c>
      <c r="AI26" s="64">
        <v>45145000</v>
      </c>
    </row>
    <row r="27" spans="1:35">
      <c r="A27" s="66">
        <v>2007</v>
      </c>
      <c r="B27" s="56">
        <v>11676077</v>
      </c>
      <c r="C27" s="56">
        <f t="shared" si="10"/>
        <v>111873</v>
      </c>
      <c r="D27" s="56">
        <v>13769</v>
      </c>
      <c r="E27" s="56">
        <v>41634</v>
      </c>
      <c r="F27" s="56">
        <v>56470</v>
      </c>
      <c r="G27" s="56">
        <v>17171</v>
      </c>
      <c r="H27" s="56">
        <v>39299</v>
      </c>
      <c r="J27" s="32">
        <f t="shared" si="1"/>
        <v>11738485.200000001</v>
      </c>
      <c r="K27" s="32">
        <f t="shared" si="2"/>
        <v>10467.6</v>
      </c>
      <c r="L27" s="32">
        <f t="shared" si="3"/>
        <v>64282.400000000001</v>
      </c>
      <c r="M27" s="32">
        <f t="shared" si="4"/>
        <v>19229.600000000002</v>
      </c>
      <c r="N27" s="32">
        <f t="shared" si="5"/>
        <v>11408.800000000001</v>
      </c>
      <c r="O27" s="32">
        <f t="shared" si="6"/>
        <v>33638.799999999996</v>
      </c>
      <c r="P27" s="32">
        <f t="shared" si="7"/>
        <v>54095.6</v>
      </c>
      <c r="Q27" s="32">
        <f t="shared" si="8"/>
        <v>20139.600000000002</v>
      </c>
      <c r="R27" s="32">
        <f t="shared" si="9"/>
        <v>33956</v>
      </c>
      <c r="T27" s="64">
        <v>225740.1</v>
      </c>
      <c r="U27" s="64">
        <v>201.3</v>
      </c>
      <c r="V27" s="64">
        <v>1236.2</v>
      </c>
      <c r="W27" s="64">
        <v>369.8</v>
      </c>
      <c r="X27" s="64">
        <v>219.4</v>
      </c>
      <c r="Y27" s="64">
        <v>646.9</v>
      </c>
      <c r="Z27" s="64">
        <v>1040.3</v>
      </c>
      <c r="AA27" s="64">
        <v>387.3</v>
      </c>
      <c r="AB27" s="64">
        <v>653</v>
      </c>
    </row>
    <row r="28" spans="1:35">
      <c r="A28" s="66">
        <v>2008</v>
      </c>
      <c r="B28" s="56">
        <v>11728856</v>
      </c>
      <c r="C28" s="56">
        <f>IFERROR(D28+E28+F28,"x")</f>
        <v>105757</v>
      </c>
      <c r="D28" s="56">
        <v>11359</v>
      </c>
      <c r="E28" s="56">
        <v>39228</v>
      </c>
      <c r="F28" s="56">
        <v>55170</v>
      </c>
      <c r="G28" s="56">
        <v>16720</v>
      </c>
      <c r="H28" s="56">
        <v>38450</v>
      </c>
      <c r="J28" s="32"/>
      <c r="K28" s="32"/>
      <c r="L28" s="32"/>
      <c r="M28" s="32"/>
      <c r="N28" s="32"/>
      <c r="O28" s="32"/>
      <c r="P28" s="32"/>
      <c r="Q28" s="32"/>
      <c r="R28" s="32"/>
    </row>
    <row r="29" spans="1:35">
      <c r="A29" s="66">
        <v>2009</v>
      </c>
      <c r="B29" s="56">
        <v>11269591</v>
      </c>
      <c r="C29" s="56">
        <f t="shared" ref="C29:C31" si="11">IFERROR(D29+E29+F29,"x")</f>
        <v>86934</v>
      </c>
      <c r="D29" s="56">
        <v>10051</v>
      </c>
      <c r="E29" s="56">
        <v>31425</v>
      </c>
      <c r="F29" s="56">
        <v>45458</v>
      </c>
      <c r="G29" s="56">
        <v>13268</v>
      </c>
      <c r="H29" s="56">
        <v>32190</v>
      </c>
      <c r="J29" s="32"/>
      <c r="K29" s="32"/>
      <c r="L29" s="32"/>
      <c r="M29" s="32"/>
      <c r="N29" s="32"/>
      <c r="O29" s="32"/>
      <c r="P29" s="32"/>
      <c r="Q29" s="32"/>
      <c r="R29" s="32"/>
    </row>
    <row r="30" spans="1:35">
      <c r="A30" s="66">
        <v>2010</v>
      </c>
      <c r="B30" s="56">
        <v>11536170</v>
      </c>
      <c r="C30" s="56">
        <f t="shared" si="11"/>
        <v>88392</v>
      </c>
      <c r="D30" s="56">
        <v>11012</v>
      </c>
      <c r="E30" s="56">
        <v>32361</v>
      </c>
      <c r="F30" s="56">
        <v>45019</v>
      </c>
      <c r="G30" s="56">
        <v>13437</v>
      </c>
      <c r="H30" s="56">
        <v>31582</v>
      </c>
      <c r="J30" s="32"/>
      <c r="K30" s="32"/>
      <c r="L30" s="32"/>
      <c r="M30" s="32"/>
      <c r="N30" s="32"/>
      <c r="O30" s="32"/>
      <c r="P30" s="32"/>
      <c r="Q30" s="32"/>
      <c r="R30" s="32"/>
    </row>
    <row r="31" spans="1:35">
      <c r="A31" s="66">
        <v>2011</v>
      </c>
      <c r="B31" s="56">
        <v>11752872</v>
      </c>
      <c r="C31" s="56">
        <f t="shared" si="11"/>
        <v>90171</v>
      </c>
      <c r="D31" s="56">
        <v>10950</v>
      </c>
      <c r="E31" s="56">
        <v>32006</v>
      </c>
      <c r="F31" s="56">
        <v>47215</v>
      </c>
      <c r="G31" s="56">
        <v>13918</v>
      </c>
      <c r="H31" s="56">
        <v>33297</v>
      </c>
      <c r="J31" s="32"/>
      <c r="K31" s="32"/>
      <c r="L31" s="32"/>
      <c r="M31" s="32"/>
      <c r="N31" s="32"/>
      <c r="O31" s="32"/>
      <c r="P31" s="32"/>
      <c r="Q31" s="32"/>
      <c r="R31" s="32"/>
    </row>
    <row r="32" spans="1:35">
      <c r="B32" s="57"/>
      <c r="C32" s="56"/>
      <c r="D32" s="57"/>
      <c r="E32" s="57"/>
      <c r="F32" s="57"/>
      <c r="G32" s="57"/>
      <c r="H32" s="57"/>
    </row>
    <row r="33" spans="1:21">
      <c r="A33" s="64" t="s">
        <v>498</v>
      </c>
      <c r="B33" s="57"/>
      <c r="C33" s="57"/>
      <c r="D33" s="57"/>
      <c r="E33" s="57"/>
      <c r="F33" s="57"/>
      <c r="G33" s="57"/>
      <c r="H33" s="57"/>
    </row>
    <row r="34" spans="1:21">
      <c r="A34" s="64" t="s">
        <v>1780</v>
      </c>
      <c r="B34" s="65">
        <f>IFERROR(((B31/B17)^(1/14)-1)*100,"n.a.")</f>
        <v>1.3939069621435429</v>
      </c>
      <c r="C34" s="65">
        <f t="shared" ref="C34:H34" si="12">IFERROR(((C31/C17)^(1/14)-1)*100,"n.a.")</f>
        <v>-3.0973356599574453</v>
      </c>
      <c r="D34" s="65">
        <f t="shared" si="12"/>
        <v>-4.0725221291855966</v>
      </c>
      <c r="E34" s="65">
        <f t="shared" si="12"/>
        <v>-3.5926223730139428</v>
      </c>
      <c r="F34" s="65">
        <f t="shared" si="12"/>
        <v>-2.475215849724266</v>
      </c>
      <c r="G34" s="65">
        <f t="shared" si="12"/>
        <v>-5.8128552977361858</v>
      </c>
      <c r="H34" s="65">
        <f t="shared" si="12"/>
        <v>-0.32978065361688458</v>
      </c>
      <c r="J34" s="138">
        <f>((J26/J17)^(1/9)-1)*100</f>
        <v>1.9667136519587958</v>
      </c>
      <c r="K34" s="138">
        <f t="shared" ref="K34:R34" si="13">((K26/K17)^(1/9)-1)*100</f>
        <v>1.516708448698556</v>
      </c>
      <c r="L34" s="138">
        <f t="shared" si="13"/>
        <v>4.2520947880216209</v>
      </c>
      <c r="M34" s="138">
        <f t="shared" si="13"/>
        <v>0.51822723876040477</v>
      </c>
      <c r="N34" s="138">
        <f t="shared" si="13"/>
        <v>6.4083683435978811</v>
      </c>
      <c r="O34" s="138">
        <f t="shared" si="13"/>
        <v>4.9787965386560273</v>
      </c>
      <c r="P34" s="138">
        <f t="shared" si="13"/>
        <v>-3.1688696276805595</v>
      </c>
      <c r="Q34" s="138">
        <f t="shared" si="13"/>
        <v>-6.6721025035477837</v>
      </c>
      <c r="R34" s="138">
        <f t="shared" si="13"/>
        <v>0.90313560081314304</v>
      </c>
    </row>
    <row r="35" spans="1:21">
      <c r="A35" s="64" t="s">
        <v>663</v>
      </c>
      <c r="B35" s="65">
        <f>IFERROR(((B20/B17)^(1/3)-1)*100,"n.a.")</f>
        <v>3.1411380879266204</v>
      </c>
      <c r="C35" s="65">
        <f t="shared" ref="C35:H35" si="14">IFERROR(((C20/C17)^(1/3)-1)*100,"n.a.")</f>
        <v>1.2214818738238487</v>
      </c>
      <c r="D35" s="65">
        <f t="shared" si="14"/>
        <v>2.2925193573670954</v>
      </c>
      <c r="E35" s="65">
        <f t="shared" si="14"/>
        <v>3.7252407314717573</v>
      </c>
      <c r="F35" s="65">
        <f t="shared" si="14"/>
        <v>-1.1962617792685482</v>
      </c>
      <c r="G35" s="65">
        <f t="shared" si="14"/>
        <v>-4.1461685384212359</v>
      </c>
      <c r="H35" s="65">
        <f t="shared" si="14"/>
        <v>1.3783654997108874</v>
      </c>
      <c r="J35" s="138"/>
      <c r="K35" s="138"/>
      <c r="L35" s="138"/>
      <c r="M35" s="138"/>
      <c r="N35" s="138"/>
      <c r="O35" s="138"/>
      <c r="P35" s="138"/>
      <c r="Q35" s="138"/>
      <c r="R35" s="138"/>
    </row>
    <row r="36" spans="1:21">
      <c r="A36" s="64" t="s">
        <v>1782</v>
      </c>
      <c r="B36" s="65">
        <f>IFERROR(((B31/B20)^(1/11)-1)*100,"n.a.")</f>
        <v>0.922547553037667</v>
      </c>
      <c r="C36" s="65">
        <f t="shared" ref="C36:H36" si="15">IFERROR(((C31/C20)^(1/11)-1)*100,"n.a.")</f>
        <v>-4.2428770323536424</v>
      </c>
      <c r="D36" s="65">
        <f t="shared" si="15"/>
        <v>-5.7386395076371999</v>
      </c>
      <c r="E36" s="65">
        <f t="shared" si="15"/>
        <v>-5.4972201084165562</v>
      </c>
      <c r="F36" s="65">
        <f t="shared" si="15"/>
        <v>-2.8211392079043884</v>
      </c>
      <c r="G36" s="65">
        <f t="shared" si="15"/>
        <v>-6.2623552824728641</v>
      </c>
      <c r="H36" s="65">
        <f t="shared" si="15"/>
        <v>-0.79062310576318851</v>
      </c>
      <c r="J36" s="138"/>
      <c r="K36" s="138"/>
      <c r="L36" s="138"/>
      <c r="M36" s="138"/>
      <c r="N36" s="138"/>
      <c r="O36" s="138"/>
      <c r="P36" s="138"/>
      <c r="Q36" s="138"/>
      <c r="R36" s="138"/>
    </row>
    <row r="37" spans="1:21">
      <c r="B37" s="57"/>
      <c r="C37" s="57"/>
      <c r="D37" s="57"/>
      <c r="E37" s="57"/>
      <c r="F37" s="57"/>
      <c r="G37" s="57"/>
      <c r="H37" s="57"/>
    </row>
    <row r="38" spans="1:21">
      <c r="A38" s="137" t="s">
        <v>494</v>
      </c>
      <c r="B38" s="137"/>
      <c r="C38" s="137"/>
      <c r="D38" s="137"/>
      <c r="E38" s="137"/>
      <c r="F38" s="137"/>
      <c r="G38" s="137"/>
      <c r="H38" s="137"/>
    </row>
    <row r="39" spans="1:21">
      <c r="A39" s="137" t="s">
        <v>495</v>
      </c>
      <c r="B39" s="137"/>
      <c r="C39" s="137"/>
      <c r="D39" s="137"/>
      <c r="E39" s="137"/>
      <c r="F39" s="137"/>
      <c r="G39" s="137"/>
      <c r="H39" s="137"/>
    </row>
    <row r="40" spans="1:21" ht="15" hidden="1" customHeight="1" outlineLevel="1">
      <c r="A40" s="137" t="s">
        <v>496</v>
      </c>
      <c r="B40" s="137"/>
      <c r="C40" s="137"/>
      <c r="D40" s="137"/>
      <c r="E40" s="137"/>
      <c r="F40" s="137"/>
      <c r="G40" s="137"/>
      <c r="H40" s="137"/>
    </row>
    <row r="41" spans="1:21" collapsed="1">
      <c r="A41" s="137" t="s">
        <v>193</v>
      </c>
      <c r="B41" s="137"/>
      <c r="C41" s="137"/>
      <c r="D41" s="137"/>
      <c r="E41" s="137"/>
      <c r="F41" s="137"/>
      <c r="G41" s="137"/>
      <c r="H41" s="137"/>
    </row>
    <row r="42" spans="1:21">
      <c r="A42" s="137" t="s">
        <v>194</v>
      </c>
      <c r="B42" s="137"/>
      <c r="C42" s="137"/>
      <c r="D42" s="137"/>
      <c r="E42" s="137"/>
      <c r="F42" s="137"/>
      <c r="G42" s="137"/>
      <c r="H42" s="137"/>
    </row>
    <row r="43" spans="1:21">
      <c r="A43" s="137" t="s">
        <v>383</v>
      </c>
      <c r="B43" s="137"/>
      <c r="C43" s="137"/>
      <c r="D43" s="137"/>
      <c r="E43" s="137"/>
      <c r="F43" s="137"/>
      <c r="G43" s="137"/>
      <c r="H43" s="137"/>
    </row>
    <row r="44" spans="1:21" hidden="1" outlineLevel="1">
      <c r="A44" s="64" t="s">
        <v>497</v>
      </c>
      <c r="C44" s="142"/>
    </row>
    <row r="45" spans="1:21" collapsed="1">
      <c r="A45" s="142"/>
      <c r="B45" s="143"/>
      <c r="C45" s="142"/>
      <c r="D45" s="143"/>
      <c r="E45" s="143"/>
      <c r="F45" s="143"/>
      <c r="G45" s="143"/>
      <c r="H45" s="143"/>
      <c r="I45" s="143"/>
      <c r="J45" s="143"/>
      <c r="K45" s="143"/>
      <c r="L45" s="143"/>
      <c r="M45" s="143"/>
      <c r="N45" s="143"/>
      <c r="O45" s="143"/>
      <c r="P45" s="143"/>
      <c r="Q45" s="143"/>
      <c r="R45" s="143"/>
      <c r="S45" s="143"/>
      <c r="T45" s="143"/>
      <c r="U45" s="143"/>
    </row>
  </sheetData>
  <mergeCells count="7">
    <mergeCell ref="A42:H42"/>
    <mergeCell ref="A43:H43"/>
    <mergeCell ref="A1:H1"/>
    <mergeCell ref="A38:H38"/>
    <mergeCell ref="A39:H39"/>
    <mergeCell ref="A40:H40"/>
    <mergeCell ref="A41:H41"/>
  </mergeCells>
  <pageMargins left="0.7" right="0.7" top="0.75" bottom="0.75" header="0.3" footer="0.3"/>
  <pageSetup scale="90" orientation="landscape" horizontalDpi="0" verticalDpi="0" r:id="rId1"/>
</worksheet>
</file>

<file path=xl/worksheets/sheet176.xml><?xml version="1.0" encoding="utf-8"?>
<worksheet xmlns="http://schemas.openxmlformats.org/spreadsheetml/2006/main" xmlns:r="http://schemas.openxmlformats.org/officeDocument/2006/relationships">
  <sheetPr codeName="Sheet170"/>
  <dimension ref="A1:AJ45"/>
  <sheetViews>
    <sheetView view="pageBreakPreview" zoomScaleNormal="85" zoomScaleSheetLayoutView="100"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7109375" style="64" customWidth="1"/>
    <col min="2" max="2" width="15.42578125" style="64" customWidth="1"/>
    <col min="3" max="3" width="15.28515625" style="64" customWidth="1"/>
    <col min="4" max="8" width="15.42578125" style="64" customWidth="1"/>
    <col min="9" max="9" width="9.140625" style="64"/>
    <col min="10" max="19" width="0" style="64" hidden="1" customWidth="1" outlineLevel="1"/>
    <col min="20" max="35" width="9.140625" style="64" hidden="1" customWidth="1" outlineLevel="1"/>
    <col min="36" max="36" width="9.140625" style="64" collapsed="1"/>
    <col min="37" max="16384" width="9.140625" style="64"/>
  </cols>
  <sheetData>
    <row r="1" spans="1:35">
      <c r="A1" s="108" t="s">
        <v>2100</v>
      </c>
      <c r="B1" s="108"/>
      <c r="C1" s="108"/>
      <c r="D1" s="108"/>
      <c r="E1" s="108"/>
      <c r="F1" s="108"/>
      <c r="G1" s="108"/>
      <c r="H1" s="108"/>
    </row>
    <row r="2" spans="1:35" ht="120">
      <c r="A2" s="66"/>
      <c r="B2" s="73" t="s">
        <v>41</v>
      </c>
      <c r="C2" s="73" t="s">
        <v>37</v>
      </c>
      <c r="D2" s="73" t="s">
        <v>0</v>
      </c>
      <c r="E2" s="73" t="s">
        <v>1</v>
      </c>
      <c r="F2" s="73" t="s">
        <v>2</v>
      </c>
      <c r="G2" s="73" t="s">
        <v>13</v>
      </c>
      <c r="H2" s="73" t="s">
        <v>19</v>
      </c>
      <c r="J2" s="117" t="s">
        <v>493</v>
      </c>
      <c r="K2" s="117" t="s">
        <v>492</v>
      </c>
      <c r="L2" s="117" t="s">
        <v>67</v>
      </c>
      <c r="M2" s="117" t="s">
        <v>68</v>
      </c>
      <c r="N2" s="117" t="s">
        <v>69</v>
      </c>
      <c r="O2" s="117" t="s">
        <v>70</v>
      </c>
      <c r="P2" s="117" t="s">
        <v>71</v>
      </c>
      <c r="Q2" s="117" t="s">
        <v>72</v>
      </c>
      <c r="R2" s="117" t="s">
        <v>73</v>
      </c>
      <c r="T2" s="117" t="s">
        <v>493</v>
      </c>
      <c r="U2" s="117" t="s">
        <v>492</v>
      </c>
      <c r="V2" s="117" t="s">
        <v>67</v>
      </c>
      <c r="W2" s="117" t="s">
        <v>68</v>
      </c>
      <c r="X2" s="117" t="s">
        <v>69</v>
      </c>
      <c r="Y2" s="117" t="s">
        <v>70</v>
      </c>
      <c r="Z2" s="117" t="s">
        <v>71</v>
      </c>
      <c r="AA2" s="117" t="s">
        <v>72</v>
      </c>
      <c r="AB2" s="117" t="s">
        <v>73</v>
      </c>
      <c r="AD2" s="64" t="s">
        <v>444</v>
      </c>
      <c r="AE2" s="64" t="s">
        <v>445</v>
      </c>
      <c r="AF2" s="64" t="s">
        <v>446</v>
      </c>
      <c r="AG2" s="64" t="s">
        <v>447</v>
      </c>
      <c r="AH2" s="64" t="s">
        <v>448</v>
      </c>
      <c r="AI2" s="64" t="s">
        <v>449</v>
      </c>
    </row>
    <row r="3" spans="1:35" hidden="1" outlineLevel="1">
      <c r="C3" s="135"/>
      <c r="AD3" s="64" t="s">
        <v>450</v>
      </c>
      <c r="AE3" s="64" t="s">
        <v>451</v>
      </c>
      <c r="AF3" s="64" t="s">
        <v>452</v>
      </c>
      <c r="AG3" s="64" t="s">
        <v>453</v>
      </c>
      <c r="AH3" s="64" t="s">
        <v>454</v>
      </c>
      <c r="AI3" s="64" t="s">
        <v>455</v>
      </c>
    </row>
    <row r="4" spans="1:35" hidden="1" outlineLevel="1" collapsed="1">
      <c r="A4" s="64">
        <v>1984</v>
      </c>
      <c r="C4" s="57"/>
    </row>
    <row r="5" spans="1:35" hidden="1" outlineLevel="1">
      <c r="A5" s="64">
        <v>1985</v>
      </c>
      <c r="C5" s="57"/>
    </row>
    <row r="6" spans="1:35" hidden="1" outlineLevel="1">
      <c r="A6" s="64">
        <v>1986</v>
      </c>
      <c r="C6" s="57"/>
    </row>
    <row r="7" spans="1:35" hidden="1" outlineLevel="1">
      <c r="A7" s="64">
        <v>1987</v>
      </c>
      <c r="C7" s="57"/>
      <c r="J7" s="32">
        <f>T7*52</f>
        <v>910046.8</v>
      </c>
      <c r="K7" s="32">
        <f t="shared" ref="K7:R7" si="0">U7*52</f>
        <v>1170</v>
      </c>
      <c r="L7" s="32">
        <f t="shared" si="0"/>
        <v>3837.6</v>
      </c>
      <c r="M7" s="32">
        <f t="shared" si="0"/>
        <v>0</v>
      </c>
      <c r="N7" s="32">
        <f t="shared" si="0"/>
        <v>0</v>
      </c>
      <c r="O7" s="32">
        <f t="shared" si="0"/>
        <v>2912</v>
      </c>
      <c r="P7" s="32">
        <f t="shared" si="0"/>
        <v>3853.2</v>
      </c>
      <c r="Q7" s="32">
        <f t="shared" si="0"/>
        <v>1404</v>
      </c>
      <c r="R7" s="32">
        <f t="shared" si="0"/>
        <v>2449.2000000000003</v>
      </c>
      <c r="T7" s="64">
        <v>17500.900000000001</v>
      </c>
      <c r="U7" s="64">
        <v>22.5</v>
      </c>
      <c r="V7" s="64">
        <v>73.8</v>
      </c>
      <c r="W7" s="64">
        <v>0</v>
      </c>
      <c r="X7" s="64">
        <v>0</v>
      </c>
      <c r="Y7" s="64">
        <v>56</v>
      </c>
      <c r="Z7" s="64">
        <v>74.099999999999994</v>
      </c>
      <c r="AA7" s="64">
        <v>27</v>
      </c>
      <c r="AB7" s="64">
        <v>47.1</v>
      </c>
    </row>
    <row r="8" spans="1:35" hidden="1" outlineLevel="1">
      <c r="A8" s="64">
        <v>1988</v>
      </c>
      <c r="C8" s="57"/>
      <c r="J8" s="32">
        <f t="shared" ref="J8:J27" si="1">T8*52</f>
        <v>921226.8</v>
      </c>
      <c r="K8" s="32">
        <f t="shared" ref="K8:K27" si="2">U8*52</f>
        <v>1658.8</v>
      </c>
      <c r="L8" s="32">
        <f t="shared" ref="L8:L27" si="3">V8*52</f>
        <v>3047.2000000000003</v>
      </c>
      <c r="M8" s="32">
        <f t="shared" ref="M8:M27" si="4">W8*52</f>
        <v>0</v>
      </c>
      <c r="N8" s="32">
        <f t="shared" ref="N8:N27" si="5">X8*52</f>
        <v>0</v>
      </c>
      <c r="O8" s="32">
        <f t="shared" ref="O8:O27" si="6">Y8*52</f>
        <v>2418</v>
      </c>
      <c r="P8" s="32">
        <f t="shared" ref="P8:P27" si="7">Z8*52</f>
        <v>3764.8</v>
      </c>
      <c r="Q8" s="32">
        <f t="shared" ref="Q8:Q27" si="8">AA8*52</f>
        <v>2116.4</v>
      </c>
      <c r="R8" s="32">
        <f t="shared" ref="R8:R27" si="9">AB8*52</f>
        <v>1643.2</v>
      </c>
      <c r="T8" s="64">
        <v>17715.900000000001</v>
      </c>
      <c r="U8" s="64">
        <v>31.9</v>
      </c>
      <c r="V8" s="64">
        <v>58.6</v>
      </c>
      <c r="W8" s="64">
        <v>0</v>
      </c>
      <c r="X8" s="64">
        <v>0</v>
      </c>
      <c r="Y8" s="64">
        <v>46.5</v>
      </c>
      <c r="Z8" s="64">
        <v>72.400000000000006</v>
      </c>
      <c r="AA8" s="64">
        <v>40.700000000000003</v>
      </c>
      <c r="AB8" s="64">
        <v>31.6</v>
      </c>
    </row>
    <row r="9" spans="1:35" hidden="1" outlineLevel="1">
      <c r="A9" s="64">
        <v>1989</v>
      </c>
      <c r="C9" s="57"/>
      <c r="J9" s="32">
        <f t="shared" si="1"/>
        <v>955520.8</v>
      </c>
      <c r="K9" s="32">
        <f t="shared" si="2"/>
        <v>0</v>
      </c>
      <c r="L9" s="32">
        <f t="shared" si="3"/>
        <v>6229.5999999999995</v>
      </c>
      <c r="M9" s="32">
        <f t="shared" si="4"/>
        <v>1180.3999999999999</v>
      </c>
      <c r="N9" s="32">
        <f t="shared" si="5"/>
        <v>0</v>
      </c>
      <c r="O9" s="32">
        <f t="shared" si="6"/>
        <v>4336.8</v>
      </c>
      <c r="P9" s="32">
        <f t="shared" si="7"/>
        <v>3260.4</v>
      </c>
      <c r="Q9" s="32">
        <f t="shared" si="8"/>
        <v>1924</v>
      </c>
      <c r="R9" s="32">
        <f t="shared" si="9"/>
        <v>1331.2</v>
      </c>
      <c r="T9" s="64">
        <v>18375.400000000001</v>
      </c>
      <c r="U9" s="64">
        <v>0</v>
      </c>
      <c r="V9" s="64">
        <v>119.8</v>
      </c>
      <c r="W9" s="64">
        <v>22.7</v>
      </c>
      <c r="X9" s="64">
        <v>0</v>
      </c>
      <c r="Y9" s="64">
        <v>83.4</v>
      </c>
      <c r="Z9" s="64">
        <v>62.7</v>
      </c>
      <c r="AA9" s="64">
        <v>37</v>
      </c>
      <c r="AB9" s="64">
        <v>25.6</v>
      </c>
    </row>
    <row r="10" spans="1:35" hidden="1" outlineLevel="1">
      <c r="A10" s="64">
        <v>1990</v>
      </c>
      <c r="C10" s="57"/>
      <c r="J10" s="32">
        <f t="shared" si="1"/>
        <v>945947.6</v>
      </c>
      <c r="K10" s="32">
        <f t="shared" si="2"/>
        <v>1752.4</v>
      </c>
      <c r="L10" s="32">
        <f t="shared" si="3"/>
        <v>5132.4000000000005</v>
      </c>
      <c r="M10" s="32">
        <f t="shared" si="4"/>
        <v>0</v>
      </c>
      <c r="N10" s="32">
        <f t="shared" si="5"/>
        <v>0</v>
      </c>
      <c r="O10" s="32">
        <f t="shared" si="6"/>
        <v>4243.2</v>
      </c>
      <c r="P10" s="32">
        <f t="shared" si="7"/>
        <v>4992</v>
      </c>
      <c r="Q10" s="32">
        <f t="shared" si="8"/>
        <v>3120</v>
      </c>
      <c r="R10" s="32">
        <f t="shared" si="9"/>
        <v>1872</v>
      </c>
      <c r="T10" s="64">
        <v>18191.3</v>
      </c>
      <c r="U10" s="64">
        <v>33.700000000000003</v>
      </c>
      <c r="V10" s="64">
        <v>98.7</v>
      </c>
      <c r="W10" s="64">
        <v>0</v>
      </c>
      <c r="X10" s="64">
        <v>0</v>
      </c>
      <c r="Y10" s="64">
        <v>81.599999999999994</v>
      </c>
      <c r="Z10" s="64">
        <v>96</v>
      </c>
      <c r="AA10" s="64">
        <v>60</v>
      </c>
      <c r="AB10" s="64">
        <v>36</v>
      </c>
    </row>
    <row r="11" spans="1:35" hidden="1" outlineLevel="1">
      <c r="A11" s="64">
        <v>1991</v>
      </c>
      <c r="C11" s="57"/>
      <c r="J11" s="32">
        <f t="shared" si="1"/>
        <v>909584</v>
      </c>
      <c r="K11" s="32">
        <f t="shared" si="2"/>
        <v>2028</v>
      </c>
      <c r="L11" s="32">
        <f t="shared" si="3"/>
        <v>5553.5999999999995</v>
      </c>
      <c r="M11" s="32">
        <f t="shared" si="4"/>
        <v>977.6</v>
      </c>
      <c r="N11" s="32">
        <f t="shared" si="5"/>
        <v>0</v>
      </c>
      <c r="O11" s="32">
        <f t="shared" si="6"/>
        <v>4019.6</v>
      </c>
      <c r="P11" s="32">
        <f t="shared" si="7"/>
        <v>3676.4</v>
      </c>
      <c r="Q11" s="32">
        <f t="shared" si="8"/>
        <v>2194.4</v>
      </c>
      <c r="R11" s="32">
        <f t="shared" si="9"/>
        <v>1482</v>
      </c>
      <c r="T11" s="64">
        <v>17492</v>
      </c>
      <c r="U11" s="64">
        <v>39</v>
      </c>
      <c r="V11" s="64">
        <v>106.8</v>
      </c>
      <c r="W11" s="64">
        <v>18.8</v>
      </c>
      <c r="X11" s="64">
        <v>0</v>
      </c>
      <c r="Y11" s="64">
        <v>77.3</v>
      </c>
      <c r="Z11" s="64">
        <v>70.7</v>
      </c>
      <c r="AA11" s="64">
        <v>42.2</v>
      </c>
      <c r="AB11" s="64">
        <v>28.5</v>
      </c>
    </row>
    <row r="12" spans="1:35" hidden="1" outlineLevel="1">
      <c r="A12" s="64">
        <v>1992</v>
      </c>
      <c r="C12" s="57"/>
      <c r="J12" s="32">
        <f t="shared" si="1"/>
        <v>886912</v>
      </c>
      <c r="K12" s="32">
        <f t="shared" si="2"/>
        <v>1596.3999999999999</v>
      </c>
      <c r="L12" s="32">
        <f t="shared" si="3"/>
        <v>3749.2</v>
      </c>
      <c r="M12" s="32">
        <f t="shared" si="4"/>
        <v>0</v>
      </c>
      <c r="N12" s="32">
        <f t="shared" si="5"/>
        <v>0</v>
      </c>
      <c r="O12" s="32">
        <f t="shared" si="6"/>
        <v>2527.2000000000003</v>
      </c>
      <c r="P12" s="32">
        <f t="shared" si="7"/>
        <v>3723.2</v>
      </c>
      <c r="Q12" s="32">
        <f t="shared" si="8"/>
        <v>1242.8</v>
      </c>
      <c r="R12" s="32">
        <f t="shared" si="9"/>
        <v>2480.4</v>
      </c>
      <c r="T12" s="64">
        <v>17056</v>
      </c>
      <c r="U12" s="64">
        <v>30.7</v>
      </c>
      <c r="V12" s="64">
        <v>72.099999999999994</v>
      </c>
      <c r="W12" s="64">
        <v>0</v>
      </c>
      <c r="X12" s="64">
        <v>0</v>
      </c>
      <c r="Y12" s="64">
        <v>48.6</v>
      </c>
      <c r="Z12" s="64">
        <v>71.599999999999994</v>
      </c>
      <c r="AA12" s="64">
        <v>23.9</v>
      </c>
      <c r="AB12" s="64">
        <v>47.7</v>
      </c>
    </row>
    <row r="13" spans="1:35" hidden="1" outlineLevel="1">
      <c r="A13" s="64">
        <v>1993</v>
      </c>
      <c r="C13" s="57"/>
      <c r="J13" s="32">
        <f t="shared" si="1"/>
        <v>909116</v>
      </c>
      <c r="K13" s="32">
        <f t="shared" si="2"/>
        <v>1253.2</v>
      </c>
      <c r="L13" s="32">
        <f t="shared" si="3"/>
        <v>3738.8</v>
      </c>
      <c r="M13" s="32">
        <f t="shared" si="4"/>
        <v>0</v>
      </c>
      <c r="N13" s="32">
        <f t="shared" si="5"/>
        <v>0</v>
      </c>
      <c r="O13" s="32">
        <f t="shared" si="6"/>
        <v>2340</v>
      </c>
      <c r="P13" s="32">
        <f t="shared" si="7"/>
        <v>1996.8</v>
      </c>
      <c r="Q13" s="32">
        <f t="shared" si="8"/>
        <v>1586</v>
      </c>
      <c r="R13" s="32">
        <f t="shared" si="9"/>
        <v>0</v>
      </c>
      <c r="T13" s="64">
        <v>17483</v>
      </c>
      <c r="U13" s="64">
        <v>24.1</v>
      </c>
      <c r="V13" s="64">
        <v>71.900000000000006</v>
      </c>
      <c r="W13" s="64">
        <v>0</v>
      </c>
      <c r="X13" s="64">
        <v>0</v>
      </c>
      <c r="Y13" s="64">
        <v>45</v>
      </c>
      <c r="Z13" s="64">
        <v>38.4</v>
      </c>
      <c r="AA13" s="64">
        <v>30.5</v>
      </c>
      <c r="AB13" s="64">
        <v>0</v>
      </c>
    </row>
    <row r="14" spans="1:35" hidden="1" outlineLevel="1">
      <c r="A14" s="64">
        <v>1994</v>
      </c>
      <c r="B14" s="57"/>
      <c r="C14" s="56"/>
      <c r="D14" s="56"/>
      <c r="E14" s="56"/>
      <c r="F14" s="56"/>
      <c r="G14" s="56"/>
      <c r="H14" s="56"/>
      <c r="I14" s="57"/>
      <c r="J14" s="32">
        <f t="shared" si="1"/>
        <v>928298.8</v>
      </c>
      <c r="K14" s="32">
        <f t="shared" si="2"/>
        <v>1305.2</v>
      </c>
      <c r="L14" s="32">
        <f t="shared" si="3"/>
        <v>5704.4000000000005</v>
      </c>
      <c r="M14" s="32">
        <f t="shared" si="4"/>
        <v>1809.6</v>
      </c>
      <c r="N14" s="32">
        <f t="shared" si="5"/>
        <v>0</v>
      </c>
      <c r="O14" s="32">
        <f t="shared" si="6"/>
        <v>3764.8</v>
      </c>
      <c r="P14" s="32">
        <f t="shared" si="7"/>
        <v>3510</v>
      </c>
      <c r="Q14" s="32">
        <f t="shared" si="8"/>
        <v>1669.2</v>
      </c>
      <c r="R14" s="32">
        <f t="shared" si="9"/>
        <v>1846</v>
      </c>
      <c r="T14" s="64">
        <v>17851.900000000001</v>
      </c>
      <c r="U14" s="64">
        <v>25.1</v>
      </c>
      <c r="V14" s="64">
        <v>109.7</v>
      </c>
      <c r="W14" s="64">
        <v>34.799999999999997</v>
      </c>
      <c r="X14" s="64">
        <v>0</v>
      </c>
      <c r="Y14" s="64">
        <v>72.400000000000006</v>
      </c>
      <c r="Z14" s="64">
        <v>67.5</v>
      </c>
      <c r="AA14" s="64">
        <v>32.1</v>
      </c>
      <c r="AB14" s="64">
        <v>35.5</v>
      </c>
    </row>
    <row r="15" spans="1:35" hidden="1" outlineLevel="1">
      <c r="A15" s="64">
        <v>1995</v>
      </c>
      <c r="B15" s="56"/>
      <c r="C15" s="56"/>
      <c r="D15" s="56"/>
      <c r="E15" s="56"/>
      <c r="F15" s="56"/>
      <c r="G15" s="56"/>
      <c r="H15" s="56"/>
      <c r="I15" s="57"/>
      <c r="J15" s="32">
        <f t="shared" si="1"/>
        <v>937549.6</v>
      </c>
      <c r="K15" s="32">
        <f t="shared" si="2"/>
        <v>1445.6000000000001</v>
      </c>
      <c r="L15" s="32">
        <f t="shared" si="3"/>
        <v>7014.8</v>
      </c>
      <c r="M15" s="32">
        <f t="shared" si="4"/>
        <v>1305.2</v>
      </c>
      <c r="N15" s="32">
        <f t="shared" si="5"/>
        <v>0</v>
      </c>
      <c r="O15" s="32">
        <f t="shared" si="6"/>
        <v>5257.2</v>
      </c>
      <c r="P15" s="32">
        <f t="shared" si="7"/>
        <v>3816.8</v>
      </c>
      <c r="Q15" s="32">
        <f t="shared" si="8"/>
        <v>1747.2</v>
      </c>
      <c r="R15" s="32">
        <f t="shared" si="9"/>
        <v>2069.6</v>
      </c>
      <c r="T15" s="64">
        <v>18029.8</v>
      </c>
      <c r="U15" s="64">
        <v>27.8</v>
      </c>
      <c r="V15" s="64">
        <v>134.9</v>
      </c>
      <c r="W15" s="64">
        <v>25.1</v>
      </c>
      <c r="X15" s="64">
        <v>0</v>
      </c>
      <c r="Y15" s="64">
        <v>101.1</v>
      </c>
      <c r="Z15" s="64">
        <v>73.400000000000006</v>
      </c>
      <c r="AA15" s="64">
        <v>33.6</v>
      </c>
      <c r="AB15" s="64">
        <v>39.799999999999997</v>
      </c>
    </row>
    <row r="16" spans="1:35" hidden="1" outlineLevel="1">
      <c r="A16" s="64">
        <v>1996</v>
      </c>
      <c r="B16" s="56"/>
      <c r="C16" s="56"/>
      <c r="D16" s="56"/>
      <c r="E16" s="56"/>
      <c r="F16" s="56"/>
      <c r="G16" s="56"/>
      <c r="H16" s="56"/>
      <c r="I16" s="57"/>
      <c r="J16" s="32">
        <f t="shared" si="1"/>
        <v>949400.4</v>
      </c>
      <c r="K16" s="32">
        <f t="shared" si="2"/>
        <v>1799.2</v>
      </c>
      <c r="L16" s="32">
        <f t="shared" si="3"/>
        <v>7846.8</v>
      </c>
      <c r="M16" s="32">
        <f t="shared" si="4"/>
        <v>1799.2</v>
      </c>
      <c r="N16" s="32">
        <f t="shared" si="5"/>
        <v>0</v>
      </c>
      <c r="O16" s="32">
        <f t="shared" si="6"/>
        <v>5257.2</v>
      </c>
      <c r="P16" s="32">
        <f t="shared" si="7"/>
        <v>3369.6</v>
      </c>
      <c r="Q16" s="32">
        <f t="shared" si="8"/>
        <v>2470</v>
      </c>
      <c r="R16" s="32">
        <f t="shared" si="9"/>
        <v>899.6</v>
      </c>
      <c r="T16" s="64">
        <v>18257.7</v>
      </c>
      <c r="U16" s="64">
        <v>34.6</v>
      </c>
      <c r="V16" s="64">
        <v>150.9</v>
      </c>
      <c r="W16" s="64">
        <v>34.6</v>
      </c>
      <c r="X16" s="64">
        <v>0</v>
      </c>
      <c r="Y16" s="64">
        <v>101.1</v>
      </c>
      <c r="Z16" s="64">
        <v>64.8</v>
      </c>
      <c r="AA16" s="64">
        <v>47.5</v>
      </c>
      <c r="AB16" s="64">
        <v>17.3</v>
      </c>
    </row>
    <row r="17" spans="1:35" collapsed="1">
      <c r="A17" s="66">
        <v>1997</v>
      </c>
      <c r="B17" s="56">
        <v>979473</v>
      </c>
      <c r="C17" s="56" t="str">
        <f t="shared" ref="C17:C27" si="10">IFERROR(D17+E17+F17,"x")</f>
        <v>x</v>
      </c>
      <c r="D17" s="56">
        <v>1641</v>
      </c>
      <c r="E17" s="56">
        <v>6301</v>
      </c>
      <c r="F17" s="57" t="s">
        <v>188</v>
      </c>
      <c r="G17" s="57" t="s">
        <v>188</v>
      </c>
      <c r="H17" s="57" t="s">
        <v>188</v>
      </c>
      <c r="I17" s="57"/>
      <c r="J17" s="32">
        <f t="shared" si="1"/>
        <v>973284</v>
      </c>
      <c r="K17" s="32">
        <f t="shared" si="2"/>
        <v>1274</v>
      </c>
      <c r="L17" s="32">
        <f t="shared" si="3"/>
        <v>5772</v>
      </c>
      <c r="M17" s="32">
        <f t="shared" si="4"/>
        <v>1372.8</v>
      </c>
      <c r="N17" s="32">
        <f t="shared" si="5"/>
        <v>0</v>
      </c>
      <c r="O17" s="32">
        <f t="shared" si="6"/>
        <v>4030</v>
      </c>
      <c r="P17" s="32">
        <f t="shared" si="7"/>
        <v>3671.2</v>
      </c>
      <c r="Q17" s="32">
        <f t="shared" si="8"/>
        <v>1424.8</v>
      </c>
      <c r="R17" s="32">
        <f t="shared" si="9"/>
        <v>2246.4</v>
      </c>
      <c r="T17" s="64">
        <v>18717</v>
      </c>
      <c r="U17" s="64">
        <v>24.5</v>
      </c>
      <c r="V17" s="64">
        <v>111</v>
      </c>
      <c r="W17" s="64">
        <v>26.4</v>
      </c>
      <c r="X17" s="64">
        <v>0</v>
      </c>
      <c r="Y17" s="64">
        <v>77.5</v>
      </c>
      <c r="Z17" s="64">
        <v>70.599999999999994</v>
      </c>
      <c r="AA17" s="64">
        <v>27.4</v>
      </c>
      <c r="AB17" s="64">
        <v>43.2</v>
      </c>
      <c r="AD17" s="64">
        <v>975515000</v>
      </c>
      <c r="AE17" s="64">
        <v>1684000</v>
      </c>
      <c r="AF17" s="64">
        <v>6451000</v>
      </c>
      <c r="AG17" s="64" t="s">
        <v>188</v>
      </c>
      <c r="AH17" s="64" t="s">
        <v>188</v>
      </c>
      <c r="AI17" s="64" t="s">
        <v>188</v>
      </c>
    </row>
    <row r="18" spans="1:35">
      <c r="A18" s="66">
        <v>1998</v>
      </c>
      <c r="B18" s="56">
        <v>995100</v>
      </c>
      <c r="C18" s="56" t="str">
        <f t="shared" si="10"/>
        <v>x</v>
      </c>
      <c r="D18" s="56">
        <v>1807</v>
      </c>
      <c r="E18" s="56">
        <v>6609</v>
      </c>
      <c r="F18" s="57" t="s">
        <v>188</v>
      </c>
      <c r="G18" s="57" t="s">
        <v>188</v>
      </c>
      <c r="H18" s="57" t="s">
        <v>188</v>
      </c>
      <c r="I18" s="57"/>
      <c r="J18" s="32">
        <f t="shared" si="1"/>
        <v>979836</v>
      </c>
      <c r="K18" s="32">
        <f t="shared" si="2"/>
        <v>1679.6</v>
      </c>
      <c r="L18" s="32">
        <f t="shared" si="3"/>
        <v>6541.5999999999995</v>
      </c>
      <c r="M18" s="32">
        <f t="shared" si="4"/>
        <v>1107.6000000000001</v>
      </c>
      <c r="N18" s="32">
        <f t="shared" si="5"/>
        <v>0</v>
      </c>
      <c r="O18" s="32">
        <f t="shared" si="6"/>
        <v>4664.4000000000005</v>
      </c>
      <c r="P18" s="32">
        <f t="shared" si="7"/>
        <v>3790.8</v>
      </c>
      <c r="Q18" s="32">
        <f t="shared" si="8"/>
        <v>2199.6</v>
      </c>
      <c r="R18" s="32">
        <f t="shared" si="9"/>
        <v>1591.2</v>
      </c>
      <c r="T18" s="64">
        <v>18843</v>
      </c>
      <c r="U18" s="64">
        <v>32.299999999999997</v>
      </c>
      <c r="V18" s="64">
        <v>125.8</v>
      </c>
      <c r="W18" s="64">
        <v>21.3</v>
      </c>
      <c r="X18" s="64">
        <v>0</v>
      </c>
      <c r="Y18" s="64">
        <v>89.7</v>
      </c>
      <c r="Z18" s="64">
        <v>72.900000000000006</v>
      </c>
      <c r="AA18" s="64">
        <v>42.3</v>
      </c>
      <c r="AB18" s="64">
        <v>30.6</v>
      </c>
      <c r="AD18" s="64">
        <v>983611000</v>
      </c>
      <c r="AE18" s="64">
        <v>1851000</v>
      </c>
      <c r="AF18" s="64">
        <v>6512000</v>
      </c>
      <c r="AG18" s="64" t="s">
        <v>188</v>
      </c>
      <c r="AH18" s="64" t="s">
        <v>188</v>
      </c>
      <c r="AI18" s="64" t="s">
        <v>188</v>
      </c>
    </row>
    <row r="19" spans="1:35">
      <c r="A19" s="66">
        <v>1999</v>
      </c>
      <c r="B19" s="56">
        <v>999434</v>
      </c>
      <c r="C19" s="56">
        <f t="shared" si="10"/>
        <v>12715</v>
      </c>
      <c r="D19" s="56">
        <v>1573</v>
      </c>
      <c r="E19" s="56">
        <v>6731</v>
      </c>
      <c r="F19" s="56">
        <v>4411</v>
      </c>
      <c r="G19" s="57" t="s">
        <v>188</v>
      </c>
      <c r="H19" s="57" t="s">
        <v>188</v>
      </c>
      <c r="I19" s="57"/>
      <c r="J19" s="32">
        <f t="shared" si="1"/>
        <v>988592.8</v>
      </c>
      <c r="K19" s="32">
        <f t="shared" si="2"/>
        <v>1508</v>
      </c>
      <c r="L19" s="32">
        <f t="shared" si="3"/>
        <v>6536.4000000000005</v>
      </c>
      <c r="M19" s="32">
        <f t="shared" si="4"/>
        <v>1263.6000000000001</v>
      </c>
      <c r="N19" s="32">
        <f t="shared" si="5"/>
        <v>1159.6000000000001</v>
      </c>
      <c r="O19" s="32">
        <f t="shared" si="6"/>
        <v>4113.2</v>
      </c>
      <c r="P19" s="32">
        <f t="shared" si="7"/>
        <v>4123.5999999999995</v>
      </c>
      <c r="Q19" s="32">
        <f t="shared" si="8"/>
        <v>2319.2000000000003</v>
      </c>
      <c r="R19" s="32">
        <f t="shared" si="9"/>
        <v>1809.6</v>
      </c>
      <c r="T19" s="64">
        <v>19011.400000000001</v>
      </c>
      <c r="U19" s="64">
        <v>29</v>
      </c>
      <c r="V19" s="64">
        <v>125.7</v>
      </c>
      <c r="W19" s="64">
        <v>24.3</v>
      </c>
      <c r="X19" s="64">
        <v>22.3</v>
      </c>
      <c r="Y19" s="64">
        <v>79.099999999999994</v>
      </c>
      <c r="Z19" s="64">
        <v>79.3</v>
      </c>
      <c r="AA19" s="64">
        <v>44.6</v>
      </c>
      <c r="AB19" s="64">
        <v>34.799999999999997</v>
      </c>
      <c r="AD19" s="64">
        <v>987310000</v>
      </c>
      <c r="AE19" s="64">
        <v>1594000</v>
      </c>
      <c r="AF19" s="64">
        <v>6882000</v>
      </c>
      <c r="AG19" s="64">
        <v>4541000</v>
      </c>
      <c r="AH19" s="64" t="s">
        <v>188</v>
      </c>
      <c r="AI19" s="64" t="s">
        <v>188</v>
      </c>
    </row>
    <row r="20" spans="1:35">
      <c r="A20" s="66">
        <v>2000</v>
      </c>
      <c r="B20" s="56">
        <v>1012499</v>
      </c>
      <c r="C20" s="56">
        <f t="shared" si="10"/>
        <v>15797</v>
      </c>
      <c r="D20" s="56">
        <v>1550</v>
      </c>
      <c r="E20" s="56">
        <v>9103</v>
      </c>
      <c r="F20" s="56">
        <v>5144</v>
      </c>
      <c r="G20" s="57" t="s">
        <v>188</v>
      </c>
      <c r="H20" s="57" t="s">
        <v>188</v>
      </c>
      <c r="I20" s="57"/>
      <c r="J20" s="32">
        <f t="shared" si="1"/>
        <v>1015487.2</v>
      </c>
      <c r="K20" s="32">
        <f t="shared" si="2"/>
        <v>920.4</v>
      </c>
      <c r="L20" s="32">
        <f t="shared" si="3"/>
        <v>9661.6</v>
      </c>
      <c r="M20" s="32">
        <f t="shared" si="4"/>
        <v>1794</v>
      </c>
      <c r="N20" s="32">
        <f t="shared" si="5"/>
        <v>1404</v>
      </c>
      <c r="O20" s="32">
        <f t="shared" si="6"/>
        <v>6463.5999999999995</v>
      </c>
      <c r="P20" s="32">
        <f t="shared" si="7"/>
        <v>5335.2</v>
      </c>
      <c r="Q20" s="32">
        <f t="shared" si="8"/>
        <v>3889.6</v>
      </c>
      <c r="R20" s="32">
        <f t="shared" si="9"/>
        <v>1445.6000000000001</v>
      </c>
      <c r="T20" s="64">
        <v>19528.599999999999</v>
      </c>
      <c r="U20" s="64">
        <v>17.7</v>
      </c>
      <c r="V20" s="64">
        <v>185.8</v>
      </c>
      <c r="W20" s="64">
        <v>34.5</v>
      </c>
      <c r="X20" s="64">
        <v>27</v>
      </c>
      <c r="Y20" s="64">
        <v>124.3</v>
      </c>
      <c r="Z20" s="64">
        <v>102.6</v>
      </c>
      <c r="AA20" s="64">
        <v>74.8</v>
      </c>
      <c r="AB20" s="64">
        <v>27.8</v>
      </c>
      <c r="AD20" s="64">
        <v>995995000</v>
      </c>
      <c r="AE20" s="64">
        <v>1589000</v>
      </c>
      <c r="AF20" s="64">
        <v>9102000</v>
      </c>
      <c r="AG20" s="64">
        <v>5270000</v>
      </c>
      <c r="AH20" s="64" t="s">
        <v>188</v>
      </c>
      <c r="AI20" s="64" t="s">
        <v>188</v>
      </c>
    </row>
    <row r="21" spans="1:35">
      <c r="A21" s="66">
        <v>2001</v>
      </c>
      <c r="B21" s="56">
        <v>1009236</v>
      </c>
      <c r="C21" s="56">
        <f t="shared" si="10"/>
        <v>15180</v>
      </c>
      <c r="D21" s="56">
        <v>1311</v>
      </c>
      <c r="E21" s="56">
        <v>8802</v>
      </c>
      <c r="F21" s="56">
        <v>5067</v>
      </c>
      <c r="G21" s="57" t="s">
        <v>188</v>
      </c>
      <c r="H21" s="57" t="s">
        <v>188</v>
      </c>
      <c r="I21" s="57"/>
      <c r="J21" s="32">
        <f t="shared" si="1"/>
        <v>1006085.6</v>
      </c>
      <c r="K21" s="32">
        <f t="shared" si="2"/>
        <v>1866.8</v>
      </c>
      <c r="L21" s="32">
        <f t="shared" si="3"/>
        <v>8564.4</v>
      </c>
      <c r="M21" s="32">
        <f t="shared" si="4"/>
        <v>1565.2</v>
      </c>
      <c r="N21" s="32">
        <f t="shared" si="5"/>
        <v>982.8</v>
      </c>
      <c r="O21" s="32">
        <f t="shared" si="6"/>
        <v>6016.4000000000005</v>
      </c>
      <c r="P21" s="32">
        <f t="shared" si="7"/>
        <v>5704.4000000000005</v>
      </c>
      <c r="Q21" s="32">
        <f t="shared" si="8"/>
        <v>3343.6</v>
      </c>
      <c r="R21" s="32">
        <f t="shared" si="9"/>
        <v>2366</v>
      </c>
      <c r="T21" s="64">
        <v>19347.8</v>
      </c>
      <c r="U21" s="64">
        <v>35.9</v>
      </c>
      <c r="V21" s="64">
        <v>164.7</v>
      </c>
      <c r="W21" s="64">
        <v>30.1</v>
      </c>
      <c r="X21" s="64">
        <v>18.899999999999999</v>
      </c>
      <c r="Y21" s="64">
        <v>115.7</v>
      </c>
      <c r="Z21" s="64">
        <v>109.7</v>
      </c>
      <c r="AA21" s="64">
        <v>64.3</v>
      </c>
      <c r="AB21" s="64">
        <v>45.5</v>
      </c>
      <c r="AD21" s="64">
        <v>998799000</v>
      </c>
      <c r="AE21" s="64">
        <v>1313000</v>
      </c>
      <c r="AF21" s="64">
        <v>8858000</v>
      </c>
      <c r="AG21" s="64">
        <v>5523000</v>
      </c>
      <c r="AH21" s="64" t="s">
        <v>188</v>
      </c>
      <c r="AI21" s="64" t="s">
        <v>188</v>
      </c>
    </row>
    <row r="22" spans="1:35">
      <c r="A22" s="66">
        <v>2002</v>
      </c>
      <c r="B22" s="56">
        <v>1016557</v>
      </c>
      <c r="C22" s="56">
        <f t="shared" si="10"/>
        <v>13994</v>
      </c>
      <c r="D22" s="56">
        <v>1482</v>
      </c>
      <c r="E22" s="56">
        <v>8542</v>
      </c>
      <c r="F22" s="56">
        <v>3970</v>
      </c>
      <c r="G22" s="57" t="s">
        <v>188</v>
      </c>
      <c r="H22" s="57" t="s">
        <v>188</v>
      </c>
      <c r="I22" s="57"/>
      <c r="J22" s="32">
        <f t="shared" si="1"/>
        <v>1011519.6</v>
      </c>
      <c r="K22" s="32">
        <f t="shared" si="2"/>
        <v>972.4</v>
      </c>
      <c r="L22" s="32">
        <f t="shared" si="3"/>
        <v>6676.8</v>
      </c>
      <c r="M22" s="32">
        <f t="shared" si="4"/>
        <v>1274</v>
      </c>
      <c r="N22" s="32">
        <f t="shared" si="5"/>
        <v>0</v>
      </c>
      <c r="O22" s="32">
        <f t="shared" si="6"/>
        <v>4841.2</v>
      </c>
      <c r="P22" s="32">
        <f t="shared" si="7"/>
        <v>4534.4000000000005</v>
      </c>
      <c r="Q22" s="32">
        <f t="shared" si="8"/>
        <v>2745.6</v>
      </c>
      <c r="R22" s="32">
        <f t="shared" si="9"/>
        <v>1788.8</v>
      </c>
      <c r="T22" s="64">
        <v>19452.3</v>
      </c>
      <c r="U22" s="64">
        <v>18.7</v>
      </c>
      <c r="V22" s="64">
        <v>128.4</v>
      </c>
      <c r="W22" s="64">
        <v>24.5</v>
      </c>
      <c r="X22" s="64">
        <v>0</v>
      </c>
      <c r="Y22" s="64">
        <v>93.1</v>
      </c>
      <c r="Z22" s="64">
        <v>87.2</v>
      </c>
      <c r="AA22" s="64">
        <v>52.8</v>
      </c>
      <c r="AB22" s="64">
        <v>34.4</v>
      </c>
      <c r="AD22" s="64">
        <v>1006507000</v>
      </c>
      <c r="AE22" s="64">
        <v>1517000</v>
      </c>
      <c r="AF22" s="64">
        <v>8847000</v>
      </c>
      <c r="AG22" s="64">
        <v>4652000</v>
      </c>
      <c r="AH22" s="64" t="s">
        <v>188</v>
      </c>
      <c r="AI22" s="64" t="s">
        <v>188</v>
      </c>
    </row>
    <row r="23" spans="1:35">
      <c r="A23" s="66">
        <v>2003</v>
      </c>
      <c r="B23" s="56">
        <v>1028806</v>
      </c>
      <c r="C23" s="56">
        <f t="shared" si="10"/>
        <v>14184</v>
      </c>
      <c r="D23" s="56">
        <v>1606</v>
      </c>
      <c r="E23" s="56">
        <v>9073</v>
      </c>
      <c r="F23" s="56">
        <v>3505</v>
      </c>
      <c r="G23" s="57" t="s">
        <v>188</v>
      </c>
      <c r="H23" s="57" t="s">
        <v>188</v>
      </c>
      <c r="I23" s="57"/>
      <c r="J23" s="32">
        <f t="shared" si="1"/>
        <v>1012559.6</v>
      </c>
      <c r="K23" s="32">
        <f t="shared" si="2"/>
        <v>2080</v>
      </c>
      <c r="L23" s="32">
        <f t="shared" si="3"/>
        <v>9963.1999999999989</v>
      </c>
      <c r="M23" s="32">
        <f t="shared" si="4"/>
        <v>1357.2</v>
      </c>
      <c r="N23" s="32">
        <f t="shared" si="5"/>
        <v>1133.6000000000001</v>
      </c>
      <c r="O23" s="32">
        <f t="shared" si="6"/>
        <v>7467.2</v>
      </c>
      <c r="P23" s="32">
        <f t="shared" si="7"/>
        <v>3234.4</v>
      </c>
      <c r="Q23" s="32">
        <f t="shared" si="8"/>
        <v>1435.2</v>
      </c>
      <c r="R23" s="32">
        <f t="shared" si="9"/>
        <v>1799.2</v>
      </c>
      <c r="T23" s="64">
        <v>19472.3</v>
      </c>
      <c r="U23" s="64">
        <v>40</v>
      </c>
      <c r="V23" s="64">
        <v>191.6</v>
      </c>
      <c r="W23" s="64">
        <v>26.1</v>
      </c>
      <c r="X23" s="64">
        <v>21.8</v>
      </c>
      <c r="Y23" s="64">
        <v>143.6</v>
      </c>
      <c r="Z23" s="64">
        <v>62.2</v>
      </c>
      <c r="AA23" s="64">
        <v>27.6</v>
      </c>
      <c r="AB23" s="64">
        <v>34.6</v>
      </c>
      <c r="AD23" s="64">
        <v>1020352000</v>
      </c>
      <c r="AE23" s="64">
        <v>1639000</v>
      </c>
      <c r="AF23" s="64">
        <v>9256000</v>
      </c>
      <c r="AG23" s="64">
        <v>4126000</v>
      </c>
      <c r="AH23" s="64" t="s">
        <v>188</v>
      </c>
      <c r="AI23" s="64" t="s">
        <v>188</v>
      </c>
    </row>
    <row r="24" spans="1:35">
      <c r="A24" s="66">
        <v>2004</v>
      </c>
      <c r="B24" s="56">
        <v>1042636</v>
      </c>
      <c r="C24" s="56">
        <f t="shared" si="10"/>
        <v>15050</v>
      </c>
      <c r="D24" s="56">
        <v>1232</v>
      </c>
      <c r="E24" s="56">
        <v>10345</v>
      </c>
      <c r="F24" s="56">
        <v>3473</v>
      </c>
      <c r="G24" s="57" t="s">
        <v>188</v>
      </c>
      <c r="H24" s="57" t="s">
        <v>188</v>
      </c>
      <c r="I24" s="57"/>
      <c r="J24" s="32">
        <f t="shared" si="1"/>
        <v>1024509.2</v>
      </c>
      <c r="K24" s="32">
        <f t="shared" si="2"/>
        <v>1378</v>
      </c>
      <c r="L24" s="32">
        <f t="shared" si="3"/>
        <v>11325.6</v>
      </c>
      <c r="M24" s="32">
        <f t="shared" si="4"/>
        <v>1705.6</v>
      </c>
      <c r="N24" s="32">
        <f t="shared" si="5"/>
        <v>0</v>
      </c>
      <c r="O24" s="32">
        <f t="shared" si="6"/>
        <v>9042.8000000000011</v>
      </c>
      <c r="P24" s="32">
        <f t="shared" si="7"/>
        <v>2397.2000000000003</v>
      </c>
      <c r="Q24" s="32">
        <f t="shared" si="8"/>
        <v>0</v>
      </c>
      <c r="R24" s="32">
        <f t="shared" si="9"/>
        <v>1882.4</v>
      </c>
      <c r="T24" s="64">
        <v>19702.099999999999</v>
      </c>
      <c r="U24" s="64">
        <v>26.5</v>
      </c>
      <c r="V24" s="64">
        <v>217.8</v>
      </c>
      <c r="W24" s="64">
        <v>32.799999999999997</v>
      </c>
      <c r="X24" s="64">
        <v>0</v>
      </c>
      <c r="Y24" s="64">
        <v>173.9</v>
      </c>
      <c r="Z24" s="64">
        <v>46.1</v>
      </c>
      <c r="AA24" s="64">
        <v>0</v>
      </c>
      <c r="AB24" s="64">
        <v>36.200000000000003</v>
      </c>
      <c r="AD24" s="64">
        <v>1036526000</v>
      </c>
      <c r="AE24" s="64">
        <v>1374000</v>
      </c>
      <c r="AF24" s="64">
        <v>10549000</v>
      </c>
      <c r="AG24" s="64">
        <v>3911000</v>
      </c>
      <c r="AH24" s="64" t="s">
        <v>188</v>
      </c>
      <c r="AI24" s="64" t="s">
        <v>188</v>
      </c>
    </row>
    <row r="25" spans="1:35">
      <c r="A25" s="66">
        <v>2005</v>
      </c>
      <c r="B25" s="56">
        <v>1040276</v>
      </c>
      <c r="C25" s="56" t="str">
        <f t="shared" si="10"/>
        <v>x</v>
      </c>
      <c r="D25" s="56">
        <v>1535</v>
      </c>
      <c r="E25" s="56" t="s">
        <v>188</v>
      </c>
      <c r="F25" s="56">
        <v>3320</v>
      </c>
      <c r="G25" s="57" t="s">
        <v>188</v>
      </c>
      <c r="H25" s="57" t="s">
        <v>188</v>
      </c>
      <c r="I25" s="57"/>
      <c r="J25" s="32">
        <f t="shared" si="1"/>
        <v>1037576.8</v>
      </c>
      <c r="K25" s="32">
        <f t="shared" si="2"/>
        <v>0</v>
      </c>
      <c r="L25" s="32">
        <f t="shared" si="3"/>
        <v>8663.1999999999989</v>
      </c>
      <c r="M25" s="32">
        <f t="shared" si="4"/>
        <v>1471.6000000000001</v>
      </c>
      <c r="N25" s="32">
        <f t="shared" si="5"/>
        <v>1227.2</v>
      </c>
      <c r="O25" s="32">
        <f t="shared" si="6"/>
        <v>5969.5999999999995</v>
      </c>
      <c r="P25" s="32">
        <f t="shared" si="7"/>
        <v>3707.6</v>
      </c>
      <c r="Q25" s="32">
        <f t="shared" si="8"/>
        <v>2152.7999999999997</v>
      </c>
      <c r="R25" s="32">
        <f t="shared" si="9"/>
        <v>1554.8</v>
      </c>
      <c r="T25" s="64">
        <v>19953.400000000001</v>
      </c>
      <c r="U25" s="64">
        <v>0</v>
      </c>
      <c r="V25" s="64">
        <v>166.6</v>
      </c>
      <c r="W25" s="64">
        <v>28.3</v>
      </c>
      <c r="X25" s="64">
        <v>23.6</v>
      </c>
      <c r="Y25" s="64">
        <v>114.8</v>
      </c>
      <c r="Z25" s="64">
        <v>71.3</v>
      </c>
      <c r="AA25" s="64">
        <v>41.4</v>
      </c>
      <c r="AB25" s="64">
        <v>29.9</v>
      </c>
      <c r="AD25" s="64">
        <v>1033987000</v>
      </c>
      <c r="AE25" s="64">
        <v>1673000</v>
      </c>
      <c r="AF25" s="64">
        <v>10313000</v>
      </c>
      <c r="AG25" s="64">
        <v>3900000</v>
      </c>
      <c r="AH25" s="64" t="s">
        <v>188</v>
      </c>
      <c r="AI25" s="64" t="s">
        <v>188</v>
      </c>
    </row>
    <row r="26" spans="1:35">
      <c r="A26" s="66">
        <v>2006</v>
      </c>
      <c r="B26" s="56">
        <v>1054288</v>
      </c>
      <c r="C26" s="56">
        <f t="shared" si="10"/>
        <v>13830</v>
      </c>
      <c r="D26" s="56">
        <v>1329</v>
      </c>
      <c r="E26" s="56">
        <v>9966</v>
      </c>
      <c r="F26" s="56">
        <v>2535</v>
      </c>
      <c r="G26" s="57" t="s">
        <v>188</v>
      </c>
      <c r="H26" s="57" t="s">
        <v>188</v>
      </c>
      <c r="I26" s="57"/>
      <c r="J26" s="32">
        <f t="shared" si="1"/>
        <v>1048886.8</v>
      </c>
      <c r="K26" s="32">
        <f t="shared" si="2"/>
        <v>1216.8</v>
      </c>
      <c r="L26" s="32">
        <f t="shared" si="3"/>
        <v>8070.4</v>
      </c>
      <c r="M26" s="32">
        <f t="shared" si="4"/>
        <v>1258.3999999999999</v>
      </c>
      <c r="N26" s="32">
        <f t="shared" si="5"/>
        <v>0</v>
      </c>
      <c r="O26" s="32">
        <f t="shared" si="6"/>
        <v>6286.8</v>
      </c>
      <c r="P26" s="32">
        <f t="shared" si="7"/>
        <v>4544.8</v>
      </c>
      <c r="Q26" s="32">
        <f t="shared" si="8"/>
        <v>1565.2</v>
      </c>
      <c r="R26" s="32">
        <f t="shared" si="9"/>
        <v>2979.6</v>
      </c>
      <c r="T26" s="64">
        <v>20170.900000000001</v>
      </c>
      <c r="U26" s="64">
        <v>23.4</v>
      </c>
      <c r="V26" s="64">
        <v>155.19999999999999</v>
      </c>
      <c r="W26" s="64">
        <v>24.2</v>
      </c>
      <c r="X26" s="64">
        <v>0</v>
      </c>
      <c r="Y26" s="64">
        <v>120.9</v>
      </c>
      <c r="Z26" s="64">
        <v>87.4</v>
      </c>
      <c r="AA26" s="64">
        <v>30.1</v>
      </c>
      <c r="AB26" s="64">
        <v>57.3</v>
      </c>
      <c r="AD26" s="64">
        <v>1044708000</v>
      </c>
      <c r="AE26" s="64">
        <v>1499000</v>
      </c>
      <c r="AF26" s="64">
        <v>9105000</v>
      </c>
      <c r="AG26" s="64">
        <v>3360000</v>
      </c>
      <c r="AH26" s="64" t="s">
        <v>188</v>
      </c>
      <c r="AI26" s="64" t="s">
        <v>188</v>
      </c>
    </row>
    <row r="27" spans="1:35">
      <c r="A27" s="66">
        <v>2007</v>
      </c>
      <c r="B27" s="56">
        <v>1074519</v>
      </c>
      <c r="C27" s="56">
        <f t="shared" si="10"/>
        <v>13919</v>
      </c>
      <c r="D27" s="56">
        <v>1241</v>
      </c>
      <c r="E27" s="56">
        <v>10028</v>
      </c>
      <c r="F27" s="56">
        <v>2650</v>
      </c>
      <c r="G27" s="56" t="s">
        <v>188</v>
      </c>
      <c r="H27" s="56" t="s">
        <v>188</v>
      </c>
      <c r="I27" s="57"/>
      <c r="J27" s="32">
        <f t="shared" si="1"/>
        <v>1074855.5999999999</v>
      </c>
      <c r="K27" s="32">
        <f t="shared" si="2"/>
        <v>0</v>
      </c>
      <c r="L27" s="32">
        <f t="shared" si="3"/>
        <v>8242</v>
      </c>
      <c r="M27" s="32">
        <f t="shared" si="4"/>
        <v>0</v>
      </c>
      <c r="N27" s="32">
        <f t="shared" si="5"/>
        <v>0</v>
      </c>
      <c r="O27" s="32">
        <f t="shared" si="6"/>
        <v>6910.8</v>
      </c>
      <c r="P27" s="32">
        <f t="shared" si="7"/>
        <v>4128.8</v>
      </c>
      <c r="Q27" s="32">
        <f t="shared" si="8"/>
        <v>1617.2</v>
      </c>
      <c r="R27" s="32">
        <f t="shared" si="9"/>
        <v>2511.6</v>
      </c>
      <c r="T27" s="64">
        <v>20670.3</v>
      </c>
      <c r="U27" s="64">
        <v>0</v>
      </c>
      <c r="V27" s="64">
        <v>158.5</v>
      </c>
      <c r="W27" s="64">
        <v>0</v>
      </c>
      <c r="X27" s="64">
        <v>0</v>
      </c>
      <c r="Y27" s="64">
        <v>132.9</v>
      </c>
      <c r="Z27" s="64">
        <v>79.400000000000006</v>
      </c>
      <c r="AA27" s="64">
        <v>31.1</v>
      </c>
      <c r="AB27" s="64">
        <v>48.3</v>
      </c>
    </row>
    <row r="28" spans="1:35">
      <c r="A28" s="66">
        <v>2008</v>
      </c>
      <c r="B28" s="56">
        <v>1087583</v>
      </c>
      <c r="C28" s="56">
        <f>IFERROR(D28+E28+F28,"x")</f>
        <v>12691</v>
      </c>
      <c r="D28" s="56">
        <v>930</v>
      </c>
      <c r="E28" s="56">
        <v>9243</v>
      </c>
      <c r="F28" s="56">
        <v>2518</v>
      </c>
      <c r="G28" s="56" t="s">
        <v>188</v>
      </c>
      <c r="H28" s="56" t="s">
        <v>188</v>
      </c>
      <c r="I28" s="57"/>
      <c r="J28" s="32"/>
      <c r="K28" s="32"/>
      <c r="L28" s="32"/>
      <c r="M28" s="32"/>
      <c r="N28" s="32"/>
      <c r="O28" s="32"/>
      <c r="P28" s="32"/>
      <c r="Q28" s="32"/>
      <c r="R28" s="32"/>
    </row>
    <row r="29" spans="1:35">
      <c r="A29" s="66">
        <v>2009</v>
      </c>
      <c r="B29" s="56">
        <v>1078910</v>
      </c>
      <c r="C29" s="56">
        <f t="shared" ref="C29:C31" si="11">IFERROR(D29+E29+F29,"x")</f>
        <v>10806</v>
      </c>
      <c r="D29" s="56">
        <v>893</v>
      </c>
      <c r="E29" s="56">
        <v>7423</v>
      </c>
      <c r="F29" s="56">
        <v>2490</v>
      </c>
      <c r="G29" s="56" t="s">
        <v>188</v>
      </c>
      <c r="H29" s="56" t="s">
        <v>188</v>
      </c>
      <c r="I29" s="57"/>
      <c r="J29" s="32"/>
      <c r="K29" s="32"/>
      <c r="L29" s="32"/>
      <c r="M29" s="32"/>
      <c r="N29" s="32"/>
      <c r="O29" s="32"/>
      <c r="P29" s="32"/>
      <c r="Q29" s="32"/>
      <c r="R29" s="32"/>
    </row>
    <row r="30" spans="1:35">
      <c r="A30" s="66">
        <v>2010</v>
      </c>
      <c r="B30" s="56">
        <v>1084405</v>
      </c>
      <c r="C30" s="56">
        <f t="shared" si="11"/>
        <v>10389</v>
      </c>
      <c r="D30" s="56">
        <v>944</v>
      </c>
      <c r="E30" s="56">
        <v>7054</v>
      </c>
      <c r="F30" s="56">
        <v>2391</v>
      </c>
      <c r="G30" s="56" t="s">
        <v>188</v>
      </c>
      <c r="H30" s="56" t="s">
        <v>188</v>
      </c>
      <c r="I30" s="57"/>
      <c r="J30" s="32"/>
      <c r="K30" s="32"/>
      <c r="L30" s="32"/>
      <c r="M30" s="32"/>
      <c r="N30" s="32"/>
      <c r="O30" s="32"/>
      <c r="P30" s="32"/>
      <c r="Q30" s="32"/>
      <c r="R30" s="32"/>
    </row>
    <row r="31" spans="1:35">
      <c r="A31" s="66">
        <v>2011</v>
      </c>
      <c r="B31" s="56">
        <v>1093651</v>
      </c>
      <c r="C31" s="56">
        <f t="shared" si="11"/>
        <v>9914</v>
      </c>
      <c r="D31" s="56">
        <v>981</v>
      </c>
      <c r="E31" s="56">
        <v>7026</v>
      </c>
      <c r="F31" s="56">
        <v>1907</v>
      </c>
      <c r="G31" s="56" t="s">
        <v>188</v>
      </c>
      <c r="H31" s="56" t="s">
        <v>188</v>
      </c>
      <c r="I31" s="57"/>
      <c r="J31" s="32"/>
      <c r="K31" s="32"/>
      <c r="L31" s="32"/>
      <c r="M31" s="32"/>
      <c r="N31" s="32"/>
      <c r="O31" s="32"/>
      <c r="P31" s="32"/>
      <c r="Q31" s="32"/>
      <c r="R31" s="32"/>
    </row>
    <row r="32" spans="1:35">
      <c r="B32" s="57"/>
      <c r="C32" s="56"/>
      <c r="D32" s="57"/>
      <c r="E32" s="57"/>
      <c r="F32" s="57"/>
      <c r="G32" s="57"/>
      <c r="H32" s="57"/>
      <c r="I32" s="57"/>
    </row>
    <row r="33" spans="1:23">
      <c r="A33" s="64" t="s">
        <v>498</v>
      </c>
      <c r="B33" s="57"/>
      <c r="C33" s="57"/>
      <c r="D33" s="57"/>
      <c r="E33" s="57"/>
      <c r="F33" s="57"/>
      <c r="G33" s="57"/>
      <c r="H33" s="57"/>
    </row>
    <row r="34" spans="1:23">
      <c r="A34" s="64" t="s">
        <v>1780</v>
      </c>
      <c r="B34" s="65">
        <f>IFERROR(((B31/B17)^(1/14)-1)*100,"n.a.")</f>
        <v>0.79069710973074248</v>
      </c>
      <c r="C34" s="65" t="str">
        <f t="shared" ref="C34:H34" si="12">IFERROR(((C31/C17)^(1/14)-1)*100,"n.a.")</f>
        <v>n.a.</v>
      </c>
      <c r="D34" s="65">
        <f t="shared" si="12"/>
        <v>-3.6082132766006803</v>
      </c>
      <c r="E34" s="65">
        <f t="shared" si="12"/>
        <v>0.78095655922454377</v>
      </c>
      <c r="F34" s="65" t="str">
        <f t="shared" si="12"/>
        <v>n.a.</v>
      </c>
      <c r="G34" s="65" t="str">
        <f t="shared" si="12"/>
        <v>n.a.</v>
      </c>
      <c r="H34" s="65" t="str">
        <f t="shared" si="12"/>
        <v>n.a.</v>
      </c>
      <c r="J34" s="138">
        <f>((J26/J17)^(1/9)-1)*100</f>
        <v>0.83467268411943074</v>
      </c>
      <c r="K34" s="138">
        <f t="shared" ref="K34:R34" si="13">((K26/K17)^(1/9)-1)*100</f>
        <v>-0.50911177922422501</v>
      </c>
      <c r="L34" s="138">
        <f t="shared" si="13"/>
        <v>3.7944911773611034</v>
      </c>
      <c r="M34" s="138">
        <f t="shared" si="13"/>
        <v>-0.96213465790119246</v>
      </c>
      <c r="N34" s="138" t="e">
        <f t="shared" si="13"/>
        <v>#DIV/0!</v>
      </c>
      <c r="O34" s="138">
        <f t="shared" si="13"/>
        <v>5.06505415452565</v>
      </c>
      <c r="P34" s="138">
        <f t="shared" si="13"/>
        <v>2.4001865798700228</v>
      </c>
      <c r="Q34" s="138">
        <f t="shared" si="13"/>
        <v>1.0497174826374911</v>
      </c>
      <c r="R34" s="138">
        <f t="shared" si="13"/>
        <v>3.1882143722907541</v>
      </c>
    </row>
    <row r="35" spans="1:23">
      <c r="A35" s="64" t="s">
        <v>663</v>
      </c>
      <c r="B35" s="65">
        <f>IFERROR(((B20/B17)^(1/3)-1)*100,"n.a.")</f>
        <v>1.1115368182877949</v>
      </c>
      <c r="C35" s="65" t="str">
        <f t="shared" ref="C35:H35" si="14">IFERROR(((C20/C17)^(1/3)-1)*100,"n.a.")</f>
        <v>n.a.</v>
      </c>
      <c r="D35" s="65">
        <f t="shared" si="14"/>
        <v>-1.8837278802941393</v>
      </c>
      <c r="E35" s="65">
        <f t="shared" si="14"/>
        <v>13.046821092094563</v>
      </c>
      <c r="F35" s="65" t="str">
        <f t="shared" si="14"/>
        <v>n.a.</v>
      </c>
      <c r="G35" s="65" t="str">
        <f t="shared" si="14"/>
        <v>n.a.</v>
      </c>
      <c r="H35" s="65" t="str">
        <f t="shared" si="14"/>
        <v>n.a.</v>
      </c>
      <c r="J35" s="138"/>
      <c r="K35" s="138"/>
      <c r="L35" s="138"/>
      <c r="M35" s="138"/>
      <c r="N35" s="138"/>
      <c r="O35" s="138"/>
      <c r="P35" s="138"/>
      <c r="Q35" s="138"/>
      <c r="R35" s="138"/>
    </row>
    <row r="36" spans="1:23">
      <c r="A36" s="64" t="s">
        <v>1782</v>
      </c>
      <c r="B36" s="65">
        <f>IFERROR(((B31/B20)^(1/11)-1)*100,"n.a.")</f>
        <v>0.70337219610676627</v>
      </c>
      <c r="C36" s="65">
        <f t="shared" ref="C36:H36" si="15">IFERROR(((C31/C20)^(1/11)-1)*100,"n.a.")</f>
        <v>-4.1467695176106272</v>
      </c>
      <c r="D36" s="65">
        <f t="shared" si="15"/>
        <v>-4.0732445733740574</v>
      </c>
      <c r="E36" s="65">
        <f t="shared" si="15"/>
        <v>-2.3269222265324796</v>
      </c>
      <c r="F36" s="65">
        <f t="shared" si="15"/>
        <v>-8.6259861237915292</v>
      </c>
      <c r="G36" s="65" t="str">
        <f t="shared" si="15"/>
        <v>n.a.</v>
      </c>
      <c r="H36" s="65" t="str">
        <f t="shared" si="15"/>
        <v>n.a.</v>
      </c>
      <c r="J36" s="138"/>
      <c r="K36" s="138"/>
      <c r="L36" s="138"/>
      <c r="M36" s="138"/>
      <c r="N36" s="138"/>
      <c r="O36" s="138"/>
      <c r="P36" s="138"/>
      <c r="Q36" s="138"/>
      <c r="R36" s="138"/>
    </row>
    <row r="37" spans="1:23">
      <c r="B37" s="57"/>
      <c r="C37" s="57"/>
      <c r="D37" s="57"/>
      <c r="E37" s="57"/>
      <c r="F37" s="57"/>
      <c r="G37" s="57"/>
      <c r="H37" s="57"/>
    </row>
    <row r="38" spans="1:23">
      <c r="A38" s="137" t="s">
        <v>494</v>
      </c>
      <c r="B38" s="137"/>
      <c r="C38" s="137"/>
      <c r="D38" s="137"/>
      <c r="E38" s="137"/>
      <c r="F38" s="137"/>
      <c r="G38" s="137"/>
      <c r="H38" s="137"/>
    </row>
    <row r="39" spans="1:23">
      <c r="A39" s="137" t="s">
        <v>495</v>
      </c>
      <c r="B39" s="137"/>
      <c r="C39" s="137"/>
      <c r="D39" s="137"/>
      <c r="E39" s="137"/>
      <c r="F39" s="137"/>
      <c r="G39" s="137"/>
      <c r="H39" s="137"/>
    </row>
    <row r="40" spans="1:23" ht="15" hidden="1" customHeight="1" outlineLevel="1">
      <c r="A40" s="137" t="s">
        <v>496</v>
      </c>
      <c r="B40" s="137"/>
      <c r="C40" s="137"/>
      <c r="D40" s="137"/>
      <c r="E40" s="137"/>
      <c r="F40" s="137"/>
      <c r="G40" s="137"/>
      <c r="H40" s="137"/>
    </row>
    <row r="41" spans="1:23" collapsed="1">
      <c r="A41" s="137" t="s">
        <v>193</v>
      </c>
      <c r="B41" s="137"/>
      <c r="C41" s="137"/>
      <c r="D41" s="137"/>
      <c r="E41" s="137"/>
      <c r="F41" s="137"/>
      <c r="G41" s="137"/>
      <c r="H41" s="137"/>
    </row>
    <row r="42" spans="1:23">
      <c r="A42" s="137" t="s">
        <v>194</v>
      </c>
      <c r="B42" s="137"/>
      <c r="C42" s="137"/>
      <c r="D42" s="137"/>
      <c r="E42" s="137"/>
      <c r="F42" s="137"/>
      <c r="G42" s="137"/>
      <c r="H42" s="137"/>
    </row>
    <row r="43" spans="1:23">
      <c r="A43" s="137" t="s">
        <v>383</v>
      </c>
      <c r="B43" s="137"/>
      <c r="C43" s="137"/>
      <c r="D43" s="137"/>
      <c r="E43" s="137"/>
      <c r="F43" s="137"/>
      <c r="G43" s="137"/>
      <c r="H43" s="137"/>
    </row>
    <row r="44" spans="1:23" hidden="1" outlineLevel="1">
      <c r="A44" s="64" t="s">
        <v>497</v>
      </c>
      <c r="C44" s="142"/>
    </row>
    <row r="45" spans="1:23" collapsed="1">
      <c r="A45" s="142"/>
      <c r="B45" s="143"/>
      <c r="C45" s="142"/>
      <c r="D45" s="143"/>
      <c r="E45" s="143"/>
      <c r="F45" s="143"/>
      <c r="G45" s="143"/>
      <c r="H45" s="143"/>
      <c r="I45" s="143"/>
      <c r="J45" s="143"/>
      <c r="K45" s="143"/>
      <c r="L45" s="143"/>
      <c r="M45" s="143"/>
      <c r="N45" s="143"/>
      <c r="O45" s="143"/>
      <c r="P45" s="143"/>
      <c r="Q45" s="143"/>
      <c r="R45" s="143"/>
      <c r="S45" s="143"/>
      <c r="T45" s="143"/>
      <c r="U45" s="143"/>
      <c r="V45" s="143"/>
      <c r="W45" s="143"/>
    </row>
  </sheetData>
  <mergeCells count="7">
    <mergeCell ref="A42:H42"/>
    <mergeCell ref="A43:H43"/>
    <mergeCell ref="A1:H1"/>
    <mergeCell ref="A38:H38"/>
    <mergeCell ref="A39:H39"/>
    <mergeCell ref="A40:H40"/>
    <mergeCell ref="A41:H41"/>
  </mergeCells>
  <pageMargins left="0.7" right="0.7" top="0.75" bottom="0.75" header="0.3" footer="0.3"/>
  <pageSetup scale="88" orientation="landscape" horizontalDpi="0" verticalDpi="0" r:id="rId1"/>
</worksheet>
</file>

<file path=xl/worksheets/sheet177.xml><?xml version="1.0" encoding="utf-8"?>
<worksheet xmlns="http://schemas.openxmlformats.org/spreadsheetml/2006/main" xmlns:r="http://schemas.openxmlformats.org/officeDocument/2006/relationships">
  <sheetPr codeName="Sheet171"/>
  <dimension ref="A1:AJ45"/>
  <sheetViews>
    <sheetView view="pageBreakPreview" zoomScaleNormal="85" zoomScaleSheetLayoutView="100"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0.42578125" style="64" customWidth="1"/>
    <col min="2" max="2" width="15.42578125" style="64" customWidth="1"/>
    <col min="3" max="3" width="15.28515625" style="64" customWidth="1"/>
    <col min="4" max="8" width="15.42578125" style="64" customWidth="1"/>
    <col min="9" max="9" width="9.140625" style="64"/>
    <col min="10" max="35" width="9.140625" style="64" hidden="1" customWidth="1" outlineLevel="1"/>
    <col min="36" max="36" width="9.140625" style="64" collapsed="1"/>
    <col min="37" max="16384" width="9.140625" style="64"/>
  </cols>
  <sheetData>
    <row r="1" spans="1:35">
      <c r="A1" s="108" t="s">
        <v>2101</v>
      </c>
      <c r="B1" s="108"/>
      <c r="C1" s="108"/>
      <c r="D1" s="108"/>
      <c r="E1" s="108"/>
      <c r="F1" s="108"/>
      <c r="G1" s="108"/>
      <c r="H1" s="108"/>
    </row>
    <row r="2" spans="1:35" ht="120">
      <c r="A2" s="66"/>
      <c r="B2" s="73" t="s">
        <v>41</v>
      </c>
      <c r="C2" s="73" t="s">
        <v>37</v>
      </c>
      <c r="D2" s="73" t="s">
        <v>0</v>
      </c>
      <c r="E2" s="73" t="s">
        <v>1</v>
      </c>
      <c r="F2" s="73" t="s">
        <v>2</v>
      </c>
      <c r="G2" s="73" t="s">
        <v>13</v>
      </c>
      <c r="H2" s="73" t="s">
        <v>19</v>
      </c>
      <c r="I2" s="62"/>
      <c r="J2" s="62" t="s">
        <v>493</v>
      </c>
      <c r="K2" s="62" t="s">
        <v>492</v>
      </c>
      <c r="L2" s="62" t="s">
        <v>67</v>
      </c>
      <c r="M2" s="62" t="s">
        <v>68</v>
      </c>
      <c r="N2" s="62" t="s">
        <v>69</v>
      </c>
      <c r="O2" s="62" t="s">
        <v>70</v>
      </c>
      <c r="P2" s="62" t="s">
        <v>71</v>
      </c>
      <c r="Q2" s="62" t="s">
        <v>72</v>
      </c>
      <c r="R2" s="62" t="s">
        <v>73</v>
      </c>
      <c r="S2" s="62"/>
      <c r="T2" s="62" t="s">
        <v>493</v>
      </c>
      <c r="U2" s="62" t="s">
        <v>492</v>
      </c>
      <c r="V2" s="62" t="s">
        <v>67</v>
      </c>
      <c r="W2" s="62" t="s">
        <v>68</v>
      </c>
      <c r="X2" s="62" t="s">
        <v>69</v>
      </c>
      <c r="Y2" s="62" t="s">
        <v>70</v>
      </c>
      <c r="Z2" s="62" t="s">
        <v>71</v>
      </c>
      <c r="AA2" s="62" t="s">
        <v>72</v>
      </c>
      <c r="AB2" s="62" t="s">
        <v>73</v>
      </c>
      <c r="AC2" s="62"/>
      <c r="AD2" s="64" t="s">
        <v>456</v>
      </c>
      <c r="AE2" s="64" t="s">
        <v>457</v>
      </c>
      <c r="AF2" s="64" t="s">
        <v>458</v>
      </c>
      <c r="AG2" s="64" t="s">
        <v>459</v>
      </c>
      <c r="AH2" s="64" t="s">
        <v>460</v>
      </c>
      <c r="AI2" s="64" t="s">
        <v>461</v>
      </c>
    </row>
    <row r="3" spans="1:35" hidden="1" outlineLevel="1">
      <c r="C3" s="135"/>
      <c r="AD3" s="64" t="s">
        <v>462</v>
      </c>
      <c r="AE3" s="64" t="s">
        <v>463</v>
      </c>
      <c r="AF3" s="64" t="s">
        <v>464</v>
      </c>
      <c r="AG3" s="64" t="s">
        <v>465</v>
      </c>
      <c r="AH3" s="64" t="s">
        <v>466</v>
      </c>
      <c r="AI3" s="64" t="s">
        <v>467</v>
      </c>
    </row>
    <row r="4" spans="1:35" hidden="1" outlineLevel="1" collapsed="1">
      <c r="A4" s="64">
        <v>1984</v>
      </c>
      <c r="C4" s="57"/>
    </row>
    <row r="5" spans="1:35" hidden="1" outlineLevel="1">
      <c r="A5" s="64">
        <v>1985</v>
      </c>
      <c r="C5" s="57"/>
    </row>
    <row r="6" spans="1:35" hidden="1" outlineLevel="1">
      <c r="A6" s="64">
        <v>1986</v>
      </c>
      <c r="C6" s="57"/>
    </row>
    <row r="7" spans="1:35" hidden="1" outlineLevel="1">
      <c r="A7" s="64">
        <v>1987</v>
      </c>
      <c r="C7" s="57"/>
      <c r="J7" s="32">
        <f>T7*52</f>
        <v>863116.80000000005</v>
      </c>
      <c r="K7" s="32">
        <f t="shared" ref="K7:R7" si="0">U7*52</f>
        <v>1185.6000000000001</v>
      </c>
      <c r="L7" s="32">
        <f t="shared" si="0"/>
        <v>1924</v>
      </c>
      <c r="M7" s="32">
        <f t="shared" si="0"/>
        <v>1123.2</v>
      </c>
      <c r="N7" s="32">
        <f t="shared" si="0"/>
        <v>0</v>
      </c>
      <c r="O7" s="32">
        <f t="shared" si="0"/>
        <v>0</v>
      </c>
      <c r="P7" s="32">
        <f t="shared" si="0"/>
        <v>1976</v>
      </c>
      <c r="Q7" s="32">
        <f t="shared" si="0"/>
        <v>1435.2</v>
      </c>
      <c r="R7" s="32">
        <f t="shared" si="0"/>
        <v>0</v>
      </c>
      <c r="T7" s="64">
        <v>16598.400000000001</v>
      </c>
      <c r="U7" s="64">
        <v>22.8</v>
      </c>
      <c r="V7" s="64">
        <v>37</v>
      </c>
      <c r="W7" s="64">
        <v>21.6</v>
      </c>
      <c r="X7" s="64">
        <v>0</v>
      </c>
      <c r="Y7" s="64">
        <v>0</v>
      </c>
      <c r="Z7" s="64">
        <v>38</v>
      </c>
      <c r="AA7" s="64">
        <v>27.6</v>
      </c>
      <c r="AB7" s="64">
        <v>0</v>
      </c>
    </row>
    <row r="8" spans="1:35" hidden="1" outlineLevel="1">
      <c r="A8" s="64">
        <v>1988</v>
      </c>
      <c r="C8" s="57"/>
      <c r="J8" s="32">
        <f t="shared" ref="J8:J27" si="1">T8*52</f>
        <v>864598.8</v>
      </c>
      <c r="K8" s="32">
        <f t="shared" ref="K8:K27" si="2">U8*52</f>
        <v>1528.8</v>
      </c>
      <c r="L8" s="32">
        <f t="shared" ref="L8:L27" si="3">V8*52</f>
        <v>2719.6</v>
      </c>
      <c r="M8" s="32">
        <f t="shared" ref="M8:M27" si="4">W8*52</f>
        <v>1820</v>
      </c>
      <c r="N8" s="32">
        <f t="shared" ref="N8:N27" si="5">X8*52</f>
        <v>0</v>
      </c>
      <c r="O8" s="32">
        <f t="shared" ref="O8:O27" si="6">Y8*52</f>
        <v>0</v>
      </c>
      <c r="P8" s="32">
        <f t="shared" ref="P8:P27" si="7">Z8*52</f>
        <v>2532.4</v>
      </c>
      <c r="Q8" s="32">
        <f t="shared" ref="Q8:Q27" si="8">AA8*52</f>
        <v>1996.8</v>
      </c>
      <c r="R8" s="32">
        <f t="shared" ref="R8:R27" si="9">AB8*52</f>
        <v>0</v>
      </c>
      <c r="T8" s="64">
        <v>16626.900000000001</v>
      </c>
      <c r="U8" s="64">
        <v>29.4</v>
      </c>
      <c r="V8" s="64">
        <v>52.3</v>
      </c>
      <c r="W8" s="64">
        <v>35</v>
      </c>
      <c r="X8" s="64">
        <v>0</v>
      </c>
      <c r="Y8" s="64">
        <v>0</v>
      </c>
      <c r="Z8" s="64">
        <v>48.7</v>
      </c>
      <c r="AA8" s="64">
        <v>38.4</v>
      </c>
      <c r="AB8" s="64">
        <v>0</v>
      </c>
    </row>
    <row r="9" spans="1:35" hidden="1" outlineLevel="1">
      <c r="A9" s="64">
        <v>1989</v>
      </c>
      <c r="C9" s="57"/>
      <c r="J9" s="32">
        <f t="shared" si="1"/>
        <v>881592.4</v>
      </c>
      <c r="K9" s="32">
        <f t="shared" si="2"/>
        <v>2860</v>
      </c>
      <c r="L9" s="32">
        <f t="shared" si="3"/>
        <v>3978</v>
      </c>
      <c r="M9" s="32">
        <f t="shared" si="4"/>
        <v>2844.4</v>
      </c>
      <c r="N9" s="32">
        <f t="shared" si="5"/>
        <v>0</v>
      </c>
      <c r="O9" s="32">
        <f t="shared" si="6"/>
        <v>956.8</v>
      </c>
      <c r="P9" s="32">
        <f t="shared" si="7"/>
        <v>2730</v>
      </c>
      <c r="Q9" s="32">
        <f t="shared" si="8"/>
        <v>2438.7999999999997</v>
      </c>
      <c r="R9" s="32">
        <f t="shared" si="9"/>
        <v>0</v>
      </c>
      <c r="T9" s="64">
        <v>16953.7</v>
      </c>
      <c r="U9" s="64">
        <v>55</v>
      </c>
      <c r="V9" s="64">
        <v>76.5</v>
      </c>
      <c r="W9" s="64">
        <v>54.7</v>
      </c>
      <c r="X9" s="64">
        <v>0</v>
      </c>
      <c r="Y9" s="64">
        <v>18.399999999999999</v>
      </c>
      <c r="Z9" s="64">
        <v>52.5</v>
      </c>
      <c r="AA9" s="64">
        <v>46.9</v>
      </c>
      <c r="AB9" s="64">
        <v>0</v>
      </c>
    </row>
    <row r="10" spans="1:35" hidden="1" outlineLevel="1">
      <c r="A10" s="64">
        <v>1990</v>
      </c>
      <c r="C10" s="57"/>
      <c r="J10" s="32">
        <f t="shared" si="1"/>
        <v>874577.6</v>
      </c>
      <c r="K10" s="32">
        <f t="shared" si="2"/>
        <v>1924</v>
      </c>
      <c r="L10" s="32">
        <f t="shared" si="3"/>
        <v>4108</v>
      </c>
      <c r="M10" s="32">
        <f t="shared" si="4"/>
        <v>2464.7999999999997</v>
      </c>
      <c r="N10" s="32">
        <f t="shared" si="5"/>
        <v>0</v>
      </c>
      <c r="O10" s="32">
        <f t="shared" si="6"/>
        <v>1352</v>
      </c>
      <c r="P10" s="32">
        <f t="shared" si="7"/>
        <v>3915.6</v>
      </c>
      <c r="Q10" s="32">
        <f t="shared" si="8"/>
        <v>3281.2000000000003</v>
      </c>
      <c r="R10" s="32">
        <f t="shared" si="9"/>
        <v>0</v>
      </c>
      <c r="T10" s="64">
        <v>16818.8</v>
      </c>
      <c r="U10" s="64">
        <v>37</v>
      </c>
      <c r="V10" s="64">
        <v>79</v>
      </c>
      <c r="W10" s="64">
        <v>47.4</v>
      </c>
      <c r="X10" s="64">
        <v>0</v>
      </c>
      <c r="Y10" s="64">
        <v>26</v>
      </c>
      <c r="Z10" s="64">
        <v>75.3</v>
      </c>
      <c r="AA10" s="64">
        <v>63.1</v>
      </c>
      <c r="AB10" s="64">
        <v>0</v>
      </c>
    </row>
    <row r="11" spans="1:35" hidden="1" outlineLevel="1">
      <c r="A11" s="64">
        <v>1991</v>
      </c>
      <c r="C11" s="57"/>
      <c r="J11" s="32">
        <f t="shared" si="1"/>
        <v>871088.4</v>
      </c>
      <c r="K11" s="32">
        <f t="shared" si="2"/>
        <v>2693.6</v>
      </c>
      <c r="L11" s="32">
        <f t="shared" si="3"/>
        <v>3759.6</v>
      </c>
      <c r="M11" s="32">
        <f t="shared" si="4"/>
        <v>2672.7999999999997</v>
      </c>
      <c r="N11" s="32">
        <f t="shared" si="5"/>
        <v>0</v>
      </c>
      <c r="O11" s="32">
        <f t="shared" si="6"/>
        <v>0</v>
      </c>
      <c r="P11" s="32">
        <f t="shared" si="7"/>
        <v>2870.4</v>
      </c>
      <c r="Q11" s="32">
        <f t="shared" si="8"/>
        <v>2215.2000000000003</v>
      </c>
      <c r="R11" s="32">
        <f t="shared" si="9"/>
        <v>0</v>
      </c>
      <c r="T11" s="64">
        <v>16751.7</v>
      </c>
      <c r="U11" s="64">
        <v>51.8</v>
      </c>
      <c r="V11" s="64">
        <v>72.3</v>
      </c>
      <c r="W11" s="64">
        <v>51.4</v>
      </c>
      <c r="X11" s="64">
        <v>0</v>
      </c>
      <c r="Y11" s="64">
        <v>0</v>
      </c>
      <c r="Z11" s="64">
        <v>55.2</v>
      </c>
      <c r="AA11" s="64">
        <v>42.6</v>
      </c>
      <c r="AB11" s="64">
        <v>0</v>
      </c>
    </row>
    <row r="12" spans="1:35" hidden="1" outlineLevel="1">
      <c r="A12" s="64">
        <v>1992</v>
      </c>
      <c r="C12" s="57"/>
      <c r="J12" s="32">
        <f t="shared" si="1"/>
        <v>844948</v>
      </c>
      <c r="K12" s="32">
        <f t="shared" si="2"/>
        <v>2724.7999999999997</v>
      </c>
      <c r="L12" s="32">
        <f t="shared" si="3"/>
        <v>3510</v>
      </c>
      <c r="M12" s="32">
        <f t="shared" si="4"/>
        <v>1846</v>
      </c>
      <c r="N12" s="32">
        <f t="shared" si="5"/>
        <v>0</v>
      </c>
      <c r="O12" s="32">
        <f t="shared" si="6"/>
        <v>1248</v>
      </c>
      <c r="P12" s="32">
        <f t="shared" si="7"/>
        <v>3213.6</v>
      </c>
      <c r="Q12" s="32">
        <f t="shared" si="8"/>
        <v>2984.7999999999997</v>
      </c>
      <c r="R12" s="32">
        <f t="shared" si="9"/>
        <v>0</v>
      </c>
      <c r="T12" s="64">
        <v>16249</v>
      </c>
      <c r="U12" s="64">
        <v>52.4</v>
      </c>
      <c r="V12" s="64">
        <v>67.5</v>
      </c>
      <c r="W12" s="64">
        <v>35.5</v>
      </c>
      <c r="X12" s="64">
        <v>0</v>
      </c>
      <c r="Y12" s="64">
        <v>24</v>
      </c>
      <c r="Z12" s="64">
        <v>61.8</v>
      </c>
      <c r="AA12" s="64">
        <v>57.4</v>
      </c>
      <c r="AB12" s="64">
        <v>0</v>
      </c>
    </row>
    <row r="13" spans="1:35" hidden="1" outlineLevel="1">
      <c r="A13" s="64">
        <v>1993</v>
      </c>
      <c r="B13" s="57"/>
      <c r="C13" s="57"/>
      <c r="D13" s="57"/>
      <c r="E13" s="57"/>
      <c r="F13" s="57"/>
      <c r="G13" s="57"/>
      <c r="H13" s="57"/>
      <c r="J13" s="32">
        <f t="shared" si="1"/>
        <v>849092.4</v>
      </c>
      <c r="K13" s="32">
        <f t="shared" si="2"/>
        <v>2069.6</v>
      </c>
      <c r="L13" s="32">
        <f t="shared" si="3"/>
        <v>3172</v>
      </c>
      <c r="M13" s="32">
        <f t="shared" si="4"/>
        <v>1882.4</v>
      </c>
      <c r="N13" s="32">
        <f t="shared" si="5"/>
        <v>0</v>
      </c>
      <c r="O13" s="32">
        <f t="shared" si="6"/>
        <v>1222</v>
      </c>
      <c r="P13" s="32">
        <f t="shared" si="7"/>
        <v>4362.8</v>
      </c>
      <c r="Q13" s="32">
        <f t="shared" si="8"/>
        <v>3941.6</v>
      </c>
      <c r="R13" s="32">
        <f t="shared" si="9"/>
        <v>0</v>
      </c>
      <c r="T13" s="64">
        <v>16328.7</v>
      </c>
      <c r="U13" s="64">
        <v>39.799999999999997</v>
      </c>
      <c r="V13" s="64">
        <v>61</v>
      </c>
      <c r="W13" s="64">
        <v>36.200000000000003</v>
      </c>
      <c r="X13" s="64">
        <v>0</v>
      </c>
      <c r="Y13" s="64">
        <v>23.5</v>
      </c>
      <c r="Z13" s="64">
        <v>83.9</v>
      </c>
      <c r="AA13" s="64">
        <v>75.8</v>
      </c>
      <c r="AB13" s="64">
        <v>0</v>
      </c>
    </row>
    <row r="14" spans="1:35" hidden="1" outlineLevel="1">
      <c r="A14" s="64">
        <v>1994</v>
      </c>
      <c r="B14" s="56"/>
      <c r="C14" s="56"/>
      <c r="D14" s="56"/>
      <c r="E14" s="56"/>
      <c r="F14" s="56"/>
      <c r="G14" s="56"/>
      <c r="H14" s="56"/>
      <c r="I14" s="144"/>
      <c r="J14" s="32">
        <f t="shared" si="1"/>
        <v>872008.8</v>
      </c>
      <c r="K14" s="32">
        <f t="shared" si="2"/>
        <v>2386.7999999999997</v>
      </c>
      <c r="L14" s="32">
        <f t="shared" si="3"/>
        <v>3562</v>
      </c>
      <c r="M14" s="32">
        <f t="shared" si="4"/>
        <v>2132</v>
      </c>
      <c r="N14" s="32">
        <f t="shared" si="5"/>
        <v>0</v>
      </c>
      <c r="O14" s="32">
        <f t="shared" si="6"/>
        <v>1263.6000000000001</v>
      </c>
      <c r="P14" s="32">
        <f t="shared" si="7"/>
        <v>3328</v>
      </c>
      <c r="Q14" s="32">
        <f t="shared" si="8"/>
        <v>3109.6</v>
      </c>
      <c r="R14" s="32">
        <f t="shared" si="9"/>
        <v>0</v>
      </c>
      <c r="S14" s="144"/>
      <c r="T14" s="64">
        <v>16769.400000000001</v>
      </c>
      <c r="U14" s="64">
        <v>45.9</v>
      </c>
      <c r="V14" s="64">
        <v>68.5</v>
      </c>
      <c r="W14" s="64">
        <v>41</v>
      </c>
      <c r="X14" s="64">
        <v>0</v>
      </c>
      <c r="Y14" s="64">
        <v>24.3</v>
      </c>
      <c r="Z14" s="64">
        <v>64</v>
      </c>
      <c r="AA14" s="64">
        <v>59.8</v>
      </c>
      <c r="AB14" s="64">
        <v>0</v>
      </c>
      <c r="AC14" s="144"/>
    </row>
    <row r="15" spans="1:35" hidden="1" outlineLevel="1">
      <c r="A15" s="64">
        <v>1995</v>
      </c>
      <c r="B15" s="56"/>
      <c r="C15" s="56"/>
      <c r="D15" s="56"/>
      <c r="E15" s="56"/>
      <c r="F15" s="56"/>
      <c r="G15" s="56"/>
      <c r="H15" s="56"/>
      <c r="I15" s="144"/>
      <c r="J15" s="32">
        <f t="shared" si="1"/>
        <v>870329.2</v>
      </c>
      <c r="K15" s="32">
        <f t="shared" si="2"/>
        <v>2865.2000000000003</v>
      </c>
      <c r="L15" s="32">
        <f t="shared" si="3"/>
        <v>3660.8</v>
      </c>
      <c r="M15" s="32">
        <f t="shared" si="4"/>
        <v>1742</v>
      </c>
      <c r="N15" s="32">
        <f t="shared" si="5"/>
        <v>0</v>
      </c>
      <c r="O15" s="32">
        <f t="shared" si="6"/>
        <v>1591.2</v>
      </c>
      <c r="P15" s="32">
        <f t="shared" si="7"/>
        <v>2984.7999999999997</v>
      </c>
      <c r="Q15" s="32">
        <f t="shared" si="8"/>
        <v>2756</v>
      </c>
      <c r="R15" s="32">
        <f t="shared" si="9"/>
        <v>0</v>
      </c>
      <c r="S15" s="144"/>
      <c r="T15" s="64">
        <v>16737.099999999999</v>
      </c>
      <c r="U15" s="64">
        <v>55.1</v>
      </c>
      <c r="V15" s="64">
        <v>70.400000000000006</v>
      </c>
      <c r="W15" s="64">
        <v>33.5</v>
      </c>
      <c r="X15" s="64">
        <v>0</v>
      </c>
      <c r="Y15" s="64">
        <v>30.6</v>
      </c>
      <c r="Z15" s="64">
        <v>57.4</v>
      </c>
      <c r="AA15" s="64">
        <v>53</v>
      </c>
      <c r="AB15" s="64">
        <v>0</v>
      </c>
      <c r="AC15" s="144"/>
    </row>
    <row r="16" spans="1:35" hidden="1" outlineLevel="1">
      <c r="A16" s="64">
        <v>1996</v>
      </c>
      <c r="B16" s="56"/>
      <c r="C16" s="56"/>
      <c r="D16" s="56"/>
      <c r="E16" s="56"/>
      <c r="F16" s="56"/>
      <c r="G16" s="56"/>
      <c r="H16" s="56"/>
      <c r="I16" s="32"/>
      <c r="J16" s="32">
        <f t="shared" si="1"/>
        <v>882356.8</v>
      </c>
      <c r="K16" s="32">
        <f t="shared" si="2"/>
        <v>2688.4</v>
      </c>
      <c r="L16" s="32">
        <f t="shared" si="3"/>
        <v>3827.2</v>
      </c>
      <c r="M16" s="32">
        <f t="shared" si="4"/>
        <v>2600</v>
      </c>
      <c r="N16" s="32">
        <f t="shared" si="5"/>
        <v>0</v>
      </c>
      <c r="O16" s="32">
        <f t="shared" si="6"/>
        <v>1164.8</v>
      </c>
      <c r="P16" s="32">
        <f t="shared" si="7"/>
        <v>2028</v>
      </c>
      <c r="Q16" s="32">
        <f t="shared" si="8"/>
        <v>1804.4</v>
      </c>
      <c r="R16" s="32">
        <f t="shared" si="9"/>
        <v>0</v>
      </c>
      <c r="S16" s="32"/>
      <c r="T16" s="64">
        <v>16968.400000000001</v>
      </c>
      <c r="U16" s="64">
        <v>51.7</v>
      </c>
      <c r="V16" s="64">
        <v>73.599999999999994</v>
      </c>
      <c r="W16" s="64">
        <v>50</v>
      </c>
      <c r="X16" s="64">
        <v>0</v>
      </c>
      <c r="Y16" s="64">
        <v>22.4</v>
      </c>
      <c r="Z16" s="64">
        <v>39</v>
      </c>
      <c r="AA16" s="64">
        <v>34.700000000000003</v>
      </c>
      <c r="AB16" s="64">
        <v>0</v>
      </c>
      <c r="AC16" s="32"/>
    </row>
    <row r="17" spans="1:35" collapsed="1">
      <c r="A17" s="66">
        <v>1997</v>
      </c>
      <c r="B17" s="56">
        <v>896284</v>
      </c>
      <c r="C17" s="56" t="str">
        <f t="shared" ref="C17:C27" si="10">IFERROR(D17+E17+F17,"x")</f>
        <v>x</v>
      </c>
      <c r="D17" s="56">
        <v>1889</v>
      </c>
      <c r="E17" s="56">
        <v>3153</v>
      </c>
      <c r="F17" s="57" t="s">
        <v>188</v>
      </c>
      <c r="G17" s="57" t="s">
        <v>188</v>
      </c>
      <c r="H17" s="57" t="s">
        <v>188</v>
      </c>
      <c r="I17" s="145"/>
      <c r="J17" s="32">
        <f t="shared" si="1"/>
        <v>899038.4</v>
      </c>
      <c r="K17" s="32">
        <f t="shared" si="2"/>
        <v>1632.8</v>
      </c>
      <c r="L17" s="32">
        <f t="shared" si="3"/>
        <v>4565.5999999999995</v>
      </c>
      <c r="M17" s="32">
        <f t="shared" si="4"/>
        <v>1965.6</v>
      </c>
      <c r="N17" s="32">
        <f t="shared" si="5"/>
        <v>1034.8</v>
      </c>
      <c r="O17" s="32">
        <f t="shared" si="6"/>
        <v>1565.2</v>
      </c>
      <c r="P17" s="32">
        <f t="shared" si="7"/>
        <v>2891.2000000000003</v>
      </c>
      <c r="Q17" s="32">
        <f t="shared" si="8"/>
        <v>2797.6</v>
      </c>
      <c r="R17" s="32">
        <f t="shared" si="9"/>
        <v>0</v>
      </c>
      <c r="S17" s="145"/>
      <c r="T17" s="64">
        <v>17289.2</v>
      </c>
      <c r="U17" s="64">
        <v>31.4</v>
      </c>
      <c r="V17" s="64">
        <v>87.8</v>
      </c>
      <c r="W17" s="64">
        <v>37.799999999999997</v>
      </c>
      <c r="X17" s="64">
        <v>19.899999999999999</v>
      </c>
      <c r="Y17" s="64">
        <v>30.1</v>
      </c>
      <c r="Z17" s="64">
        <v>55.6</v>
      </c>
      <c r="AA17" s="64">
        <v>53.8</v>
      </c>
      <c r="AB17" s="64">
        <v>0</v>
      </c>
      <c r="AC17" s="145"/>
      <c r="AD17" s="64">
        <v>891112000</v>
      </c>
      <c r="AE17" s="64">
        <v>2108000</v>
      </c>
      <c r="AF17" s="64">
        <v>3046000</v>
      </c>
      <c r="AG17" s="64" t="s">
        <v>188</v>
      </c>
      <c r="AH17" s="64" t="s">
        <v>188</v>
      </c>
      <c r="AI17" s="64" t="s">
        <v>188</v>
      </c>
    </row>
    <row r="18" spans="1:35">
      <c r="A18" s="66">
        <v>1998</v>
      </c>
      <c r="B18" s="56">
        <v>896952</v>
      </c>
      <c r="C18" s="56" t="str">
        <f t="shared" si="10"/>
        <v>x</v>
      </c>
      <c r="D18" s="56">
        <v>2168</v>
      </c>
      <c r="E18" s="56">
        <v>3342</v>
      </c>
      <c r="F18" s="57" t="s">
        <v>188</v>
      </c>
      <c r="G18" s="57" t="s">
        <v>188</v>
      </c>
      <c r="H18" s="57" t="s">
        <v>188</v>
      </c>
      <c r="I18" s="145"/>
      <c r="J18" s="32">
        <f t="shared" si="1"/>
        <v>887754.4</v>
      </c>
      <c r="K18" s="32">
        <f t="shared" si="2"/>
        <v>2168.4</v>
      </c>
      <c r="L18" s="32">
        <f t="shared" si="3"/>
        <v>4336.8</v>
      </c>
      <c r="M18" s="32">
        <f t="shared" si="4"/>
        <v>2204.7999999999997</v>
      </c>
      <c r="N18" s="32">
        <f t="shared" si="5"/>
        <v>0</v>
      </c>
      <c r="O18" s="32">
        <f t="shared" si="6"/>
        <v>1528.8</v>
      </c>
      <c r="P18" s="32">
        <f t="shared" si="7"/>
        <v>2012.4</v>
      </c>
      <c r="Q18" s="32">
        <f t="shared" si="8"/>
        <v>1710.8</v>
      </c>
      <c r="R18" s="32">
        <f t="shared" si="9"/>
        <v>0</v>
      </c>
      <c r="S18" s="145"/>
      <c r="T18" s="144">
        <v>17072.2</v>
      </c>
      <c r="U18" s="144">
        <v>41.7</v>
      </c>
      <c r="V18" s="144">
        <v>83.4</v>
      </c>
      <c r="W18" s="144">
        <v>42.4</v>
      </c>
      <c r="X18" s="144">
        <v>0</v>
      </c>
      <c r="Y18" s="144">
        <v>29.4</v>
      </c>
      <c r="Z18" s="144">
        <v>38.700000000000003</v>
      </c>
      <c r="AA18" s="144">
        <v>32.9</v>
      </c>
      <c r="AB18" s="144">
        <v>0</v>
      </c>
      <c r="AC18" s="145"/>
      <c r="AD18" s="64">
        <v>894212000</v>
      </c>
      <c r="AE18" s="64">
        <v>2366000</v>
      </c>
      <c r="AF18" s="64">
        <v>3211000</v>
      </c>
      <c r="AG18" s="64" t="s">
        <v>188</v>
      </c>
      <c r="AH18" s="64" t="s">
        <v>188</v>
      </c>
      <c r="AI18" s="64" t="s">
        <v>188</v>
      </c>
    </row>
    <row r="19" spans="1:35">
      <c r="A19" s="66">
        <v>1999</v>
      </c>
      <c r="B19" s="56">
        <v>888502</v>
      </c>
      <c r="C19" s="56">
        <f t="shared" si="10"/>
        <v>9056</v>
      </c>
      <c r="D19" s="56">
        <v>2582</v>
      </c>
      <c r="E19" s="56">
        <v>3885</v>
      </c>
      <c r="F19" s="56">
        <v>2589</v>
      </c>
      <c r="G19" s="57" t="s">
        <v>188</v>
      </c>
      <c r="H19" s="57" t="s">
        <v>188</v>
      </c>
      <c r="I19" s="145"/>
      <c r="J19" s="32">
        <f t="shared" si="1"/>
        <v>888971.2</v>
      </c>
      <c r="K19" s="32">
        <f t="shared" si="2"/>
        <v>1242.8</v>
      </c>
      <c r="L19" s="32">
        <f t="shared" si="3"/>
        <v>4394</v>
      </c>
      <c r="M19" s="32">
        <f t="shared" si="4"/>
        <v>1768</v>
      </c>
      <c r="N19" s="32">
        <f t="shared" si="5"/>
        <v>1128.3999999999999</v>
      </c>
      <c r="O19" s="32">
        <f t="shared" si="6"/>
        <v>1502.8</v>
      </c>
      <c r="P19" s="32">
        <f t="shared" si="7"/>
        <v>3078.4</v>
      </c>
      <c r="Q19" s="32">
        <f t="shared" si="8"/>
        <v>2584.4</v>
      </c>
      <c r="R19" s="32">
        <f t="shared" si="9"/>
        <v>0</v>
      </c>
      <c r="S19" s="145"/>
      <c r="T19" s="144">
        <v>17095.599999999999</v>
      </c>
      <c r="U19" s="144">
        <v>23.9</v>
      </c>
      <c r="V19" s="144">
        <v>84.5</v>
      </c>
      <c r="W19" s="144">
        <v>34</v>
      </c>
      <c r="X19" s="144">
        <v>21.7</v>
      </c>
      <c r="Y19" s="144">
        <v>28.9</v>
      </c>
      <c r="Z19" s="144">
        <v>59.2</v>
      </c>
      <c r="AA19" s="144">
        <v>49.7</v>
      </c>
      <c r="AB19" s="144">
        <v>0</v>
      </c>
      <c r="AC19" s="145"/>
      <c r="AD19" s="64">
        <v>882364000</v>
      </c>
      <c r="AE19" s="64">
        <v>2633000</v>
      </c>
      <c r="AF19" s="64">
        <v>3598000</v>
      </c>
      <c r="AG19" s="64">
        <v>2585000</v>
      </c>
      <c r="AH19" s="64" t="s">
        <v>188</v>
      </c>
      <c r="AI19" s="64" t="s">
        <v>188</v>
      </c>
    </row>
    <row r="20" spans="1:35">
      <c r="A20" s="66">
        <v>2000</v>
      </c>
      <c r="B20" s="56">
        <v>888608</v>
      </c>
      <c r="C20" s="56">
        <f t="shared" si="10"/>
        <v>9250</v>
      </c>
      <c r="D20" s="56">
        <v>2141</v>
      </c>
      <c r="E20" s="56">
        <v>4216</v>
      </c>
      <c r="F20" s="56">
        <v>2893</v>
      </c>
      <c r="G20" s="57" t="s">
        <v>188</v>
      </c>
      <c r="H20" s="57" t="s">
        <v>188</v>
      </c>
      <c r="I20" s="145"/>
      <c r="J20" s="32">
        <f t="shared" si="1"/>
        <v>898461.2</v>
      </c>
      <c r="K20" s="32">
        <f t="shared" si="2"/>
        <v>2366</v>
      </c>
      <c r="L20" s="32">
        <f t="shared" si="3"/>
        <v>4222.4000000000005</v>
      </c>
      <c r="M20" s="32">
        <f t="shared" si="4"/>
        <v>2189.2000000000003</v>
      </c>
      <c r="N20" s="32">
        <f t="shared" si="5"/>
        <v>0</v>
      </c>
      <c r="O20" s="32">
        <f t="shared" si="6"/>
        <v>1398.8</v>
      </c>
      <c r="P20" s="32">
        <f t="shared" si="7"/>
        <v>3244.7999999999997</v>
      </c>
      <c r="Q20" s="32">
        <f t="shared" si="8"/>
        <v>2865.2000000000003</v>
      </c>
      <c r="R20" s="32">
        <f t="shared" si="9"/>
        <v>0</v>
      </c>
      <c r="S20" s="145"/>
      <c r="T20" s="32">
        <v>17278.099999999999</v>
      </c>
      <c r="U20" s="32">
        <v>45.5</v>
      </c>
      <c r="V20" s="32">
        <v>81.2</v>
      </c>
      <c r="W20" s="32">
        <v>42.1</v>
      </c>
      <c r="X20" s="32">
        <v>0</v>
      </c>
      <c r="Y20" s="32">
        <v>26.9</v>
      </c>
      <c r="Z20" s="32">
        <v>62.4</v>
      </c>
      <c r="AA20" s="32">
        <v>55.1</v>
      </c>
      <c r="AB20" s="32">
        <v>0</v>
      </c>
      <c r="AC20" s="145"/>
      <c r="AD20" s="64">
        <v>879323000</v>
      </c>
      <c r="AE20" s="64">
        <v>2191000</v>
      </c>
      <c r="AF20" s="64">
        <v>3923000</v>
      </c>
      <c r="AG20" s="64">
        <v>2848000</v>
      </c>
      <c r="AH20" s="64" t="s">
        <v>188</v>
      </c>
      <c r="AI20" s="64" t="s">
        <v>188</v>
      </c>
    </row>
    <row r="21" spans="1:35">
      <c r="A21" s="66">
        <v>2001</v>
      </c>
      <c r="B21" s="56">
        <v>860583</v>
      </c>
      <c r="C21" s="56">
        <f t="shared" si="10"/>
        <v>9186</v>
      </c>
      <c r="D21" s="56">
        <v>2084</v>
      </c>
      <c r="E21" s="56">
        <v>4130</v>
      </c>
      <c r="F21" s="56">
        <v>2972</v>
      </c>
      <c r="G21" s="57" t="s">
        <v>188</v>
      </c>
      <c r="H21" s="57" t="s">
        <v>188</v>
      </c>
      <c r="I21" s="145"/>
      <c r="J21" s="32">
        <f t="shared" si="1"/>
        <v>859658.8</v>
      </c>
      <c r="K21" s="32">
        <f t="shared" si="2"/>
        <v>2085.2000000000003</v>
      </c>
      <c r="L21" s="32">
        <f t="shared" si="3"/>
        <v>3624.4</v>
      </c>
      <c r="M21" s="32">
        <f t="shared" si="4"/>
        <v>2064.4</v>
      </c>
      <c r="N21" s="32">
        <f t="shared" si="5"/>
        <v>0</v>
      </c>
      <c r="O21" s="32">
        <f t="shared" si="6"/>
        <v>1284.3999999999999</v>
      </c>
      <c r="P21" s="32">
        <f t="shared" si="7"/>
        <v>3406</v>
      </c>
      <c r="Q21" s="32">
        <f t="shared" si="8"/>
        <v>3099.2000000000003</v>
      </c>
      <c r="R21" s="32">
        <f t="shared" si="9"/>
        <v>0</v>
      </c>
      <c r="S21" s="145"/>
      <c r="T21" s="145">
        <v>16531.900000000001</v>
      </c>
      <c r="U21" s="145">
        <v>40.1</v>
      </c>
      <c r="V21" s="145">
        <v>69.7</v>
      </c>
      <c r="W21" s="145">
        <v>39.700000000000003</v>
      </c>
      <c r="X21" s="145">
        <v>0</v>
      </c>
      <c r="Y21" s="145">
        <v>24.7</v>
      </c>
      <c r="Z21" s="145">
        <v>65.5</v>
      </c>
      <c r="AA21" s="145">
        <v>59.6</v>
      </c>
      <c r="AB21" s="145">
        <v>0</v>
      </c>
      <c r="AC21" s="145"/>
      <c r="AD21" s="64">
        <v>854620000</v>
      </c>
      <c r="AE21" s="64">
        <v>2196000</v>
      </c>
      <c r="AF21" s="64">
        <v>4065000</v>
      </c>
      <c r="AG21" s="64">
        <v>3009000</v>
      </c>
      <c r="AH21" s="64" t="s">
        <v>188</v>
      </c>
      <c r="AI21" s="64" t="s">
        <v>188</v>
      </c>
    </row>
    <row r="22" spans="1:35">
      <c r="A22" s="66">
        <v>2002</v>
      </c>
      <c r="B22" s="56">
        <v>860481</v>
      </c>
      <c r="C22" s="56">
        <f t="shared" si="10"/>
        <v>9230</v>
      </c>
      <c r="D22" s="56">
        <v>1918</v>
      </c>
      <c r="E22" s="56">
        <v>4696</v>
      </c>
      <c r="F22" s="56">
        <v>2616</v>
      </c>
      <c r="G22" s="57" t="s">
        <v>188</v>
      </c>
      <c r="H22" s="57" t="s">
        <v>188</v>
      </c>
      <c r="I22" s="145"/>
      <c r="J22" s="32">
        <f t="shared" si="1"/>
        <v>861218.8</v>
      </c>
      <c r="K22" s="32">
        <f t="shared" si="2"/>
        <v>0</v>
      </c>
      <c r="L22" s="32">
        <f t="shared" si="3"/>
        <v>3806.4</v>
      </c>
      <c r="M22" s="32">
        <f t="shared" si="4"/>
        <v>858</v>
      </c>
      <c r="N22" s="32">
        <f t="shared" si="5"/>
        <v>1419.6000000000001</v>
      </c>
      <c r="O22" s="32">
        <f t="shared" si="6"/>
        <v>1528.8</v>
      </c>
      <c r="P22" s="32">
        <f t="shared" si="7"/>
        <v>2922.4</v>
      </c>
      <c r="Q22" s="32">
        <f t="shared" si="8"/>
        <v>2620.7999999999997</v>
      </c>
      <c r="R22" s="32">
        <f t="shared" si="9"/>
        <v>0</v>
      </c>
      <c r="S22" s="145"/>
      <c r="T22" s="145">
        <v>16561.900000000001</v>
      </c>
      <c r="U22" s="145">
        <v>0</v>
      </c>
      <c r="V22" s="145">
        <v>73.2</v>
      </c>
      <c r="W22" s="145">
        <v>16.5</v>
      </c>
      <c r="X22" s="145">
        <v>27.3</v>
      </c>
      <c r="Y22" s="145">
        <v>29.4</v>
      </c>
      <c r="Z22" s="145">
        <v>56.2</v>
      </c>
      <c r="AA22" s="145">
        <v>50.4</v>
      </c>
      <c r="AB22" s="145">
        <v>0</v>
      </c>
      <c r="AC22" s="145"/>
      <c r="AD22" s="64">
        <v>852646000</v>
      </c>
      <c r="AE22" s="64">
        <v>1739000</v>
      </c>
      <c r="AF22" s="64">
        <v>4391000</v>
      </c>
      <c r="AG22" s="64">
        <v>2455000</v>
      </c>
      <c r="AH22" s="64" t="s">
        <v>188</v>
      </c>
      <c r="AI22" s="64" t="s">
        <v>188</v>
      </c>
    </row>
    <row r="23" spans="1:35">
      <c r="A23" s="66">
        <v>2003</v>
      </c>
      <c r="B23" s="56">
        <v>867736</v>
      </c>
      <c r="C23" s="56">
        <f t="shared" si="10"/>
        <v>9143</v>
      </c>
      <c r="D23" s="56">
        <v>1997</v>
      </c>
      <c r="E23" s="56">
        <v>4145</v>
      </c>
      <c r="F23" s="56">
        <v>3001</v>
      </c>
      <c r="G23" s="57" t="s">
        <v>188</v>
      </c>
      <c r="H23" s="57" t="s">
        <v>188</v>
      </c>
      <c r="I23" s="145"/>
      <c r="J23" s="32">
        <f t="shared" si="1"/>
        <v>862565.6</v>
      </c>
      <c r="K23" s="32">
        <f t="shared" si="2"/>
        <v>1398.8</v>
      </c>
      <c r="L23" s="32">
        <f t="shared" si="3"/>
        <v>5527.5999999999995</v>
      </c>
      <c r="M23" s="32">
        <f t="shared" si="4"/>
        <v>1081.6000000000001</v>
      </c>
      <c r="N23" s="32">
        <f t="shared" si="5"/>
        <v>2860</v>
      </c>
      <c r="O23" s="32">
        <f t="shared" si="6"/>
        <v>1586</v>
      </c>
      <c r="P23" s="32">
        <f t="shared" si="7"/>
        <v>3161.6</v>
      </c>
      <c r="Q23" s="32">
        <f t="shared" si="8"/>
        <v>2787.2000000000003</v>
      </c>
      <c r="R23" s="32">
        <f t="shared" si="9"/>
        <v>0</v>
      </c>
      <c r="S23" s="145"/>
      <c r="T23" s="145">
        <v>16587.8</v>
      </c>
      <c r="U23" s="145">
        <v>26.9</v>
      </c>
      <c r="V23" s="145">
        <v>106.3</v>
      </c>
      <c r="W23" s="145">
        <v>20.8</v>
      </c>
      <c r="X23" s="145">
        <v>55</v>
      </c>
      <c r="Y23" s="145">
        <v>30.5</v>
      </c>
      <c r="Z23" s="145">
        <v>60.8</v>
      </c>
      <c r="AA23" s="145">
        <v>53.6</v>
      </c>
      <c r="AB23" s="145">
        <v>0</v>
      </c>
      <c r="AC23" s="145"/>
      <c r="AD23" s="64">
        <v>866024000</v>
      </c>
      <c r="AE23" s="64">
        <v>1986000</v>
      </c>
      <c r="AF23" s="64">
        <v>3741000</v>
      </c>
      <c r="AG23" s="64">
        <v>2826000</v>
      </c>
      <c r="AH23" s="64" t="s">
        <v>188</v>
      </c>
      <c r="AI23" s="64" t="s">
        <v>188</v>
      </c>
    </row>
    <row r="24" spans="1:35">
      <c r="A24" s="66">
        <v>2004</v>
      </c>
      <c r="B24" s="56">
        <v>880412</v>
      </c>
      <c r="C24" s="56">
        <f t="shared" si="10"/>
        <v>9348</v>
      </c>
      <c r="D24" s="56">
        <v>1640</v>
      </c>
      <c r="E24" s="56">
        <v>4350</v>
      </c>
      <c r="F24" s="56">
        <v>3358</v>
      </c>
      <c r="G24" s="57" t="s">
        <v>188</v>
      </c>
      <c r="H24" s="57" t="s">
        <v>188</v>
      </c>
      <c r="I24" s="145"/>
      <c r="J24" s="32">
        <f t="shared" si="1"/>
        <v>870573.6</v>
      </c>
      <c r="K24" s="32">
        <f t="shared" si="2"/>
        <v>1840.8</v>
      </c>
      <c r="L24" s="32">
        <f t="shared" si="3"/>
        <v>5647.2</v>
      </c>
      <c r="M24" s="32">
        <f t="shared" si="4"/>
        <v>1523.6000000000001</v>
      </c>
      <c r="N24" s="32">
        <f t="shared" si="5"/>
        <v>2059.2000000000003</v>
      </c>
      <c r="O24" s="32">
        <f t="shared" si="6"/>
        <v>2069.6</v>
      </c>
      <c r="P24" s="32">
        <f t="shared" si="7"/>
        <v>3135.6</v>
      </c>
      <c r="Q24" s="32">
        <f t="shared" si="8"/>
        <v>2990</v>
      </c>
      <c r="R24" s="32">
        <f t="shared" si="9"/>
        <v>0</v>
      </c>
      <c r="S24" s="145"/>
      <c r="T24" s="145">
        <v>16741.8</v>
      </c>
      <c r="U24" s="145">
        <v>35.4</v>
      </c>
      <c r="V24" s="145">
        <v>108.6</v>
      </c>
      <c r="W24" s="145">
        <v>29.3</v>
      </c>
      <c r="X24" s="145">
        <v>39.6</v>
      </c>
      <c r="Y24" s="145">
        <v>39.799999999999997</v>
      </c>
      <c r="Z24" s="145">
        <v>60.3</v>
      </c>
      <c r="AA24" s="145">
        <v>57.5</v>
      </c>
      <c r="AB24" s="145">
        <v>0</v>
      </c>
      <c r="AC24" s="145"/>
      <c r="AD24" s="64">
        <v>875176000</v>
      </c>
      <c r="AE24" s="64">
        <v>1969000</v>
      </c>
      <c r="AF24" s="64">
        <v>3946000</v>
      </c>
      <c r="AG24" s="64">
        <v>3158000</v>
      </c>
      <c r="AH24" s="64" t="s">
        <v>188</v>
      </c>
      <c r="AI24" s="64" t="s">
        <v>188</v>
      </c>
    </row>
    <row r="25" spans="1:35">
      <c r="A25" s="66">
        <v>2005</v>
      </c>
      <c r="B25" s="56">
        <v>884697</v>
      </c>
      <c r="C25" s="56">
        <f t="shared" si="10"/>
        <v>8092</v>
      </c>
      <c r="D25" s="56">
        <v>1383</v>
      </c>
      <c r="E25" s="56">
        <v>4156</v>
      </c>
      <c r="F25" s="56">
        <v>2553</v>
      </c>
      <c r="G25" s="57" t="s">
        <v>188</v>
      </c>
      <c r="H25" s="57" t="s">
        <v>188</v>
      </c>
      <c r="I25" s="145"/>
      <c r="J25" s="32">
        <f t="shared" si="1"/>
        <v>896001.6</v>
      </c>
      <c r="K25" s="32">
        <f t="shared" si="2"/>
        <v>1211.6000000000001</v>
      </c>
      <c r="L25" s="32">
        <f t="shared" si="3"/>
        <v>3078.4</v>
      </c>
      <c r="M25" s="32">
        <f t="shared" si="4"/>
        <v>0</v>
      </c>
      <c r="N25" s="32">
        <f t="shared" si="5"/>
        <v>1419.6000000000001</v>
      </c>
      <c r="O25" s="32">
        <f t="shared" si="6"/>
        <v>1268.8</v>
      </c>
      <c r="P25" s="32">
        <f t="shared" si="7"/>
        <v>2054</v>
      </c>
      <c r="Q25" s="32">
        <f t="shared" si="8"/>
        <v>1398.8</v>
      </c>
      <c r="R25" s="32">
        <f t="shared" si="9"/>
        <v>0</v>
      </c>
      <c r="S25" s="145"/>
      <c r="T25" s="145">
        <v>17230.8</v>
      </c>
      <c r="U25" s="145">
        <v>23.3</v>
      </c>
      <c r="V25" s="145">
        <v>59.2</v>
      </c>
      <c r="W25" s="145">
        <v>0</v>
      </c>
      <c r="X25" s="145">
        <v>27.3</v>
      </c>
      <c r="Y25" s="145">
        <v>24.4</v>
      </c>
      <c r="Z25" s="145">
        <v>39.5</v>
      </c>
      <c r="AA25" s="145">
        <v>26.9</v>
      </c>
      <c r="AB25" s="145">
        <v>0</v>
      </c>
      <c r="AC25" s="145"/>
      <c r="AD25" s="64">
        <v>883684000</v>
      </c>
      <c r="AE25" s="64">
        <v>1762000</v>
      </c>
      <c r="AF25" s="64">
        <v>4058000</v>
      </c>
      <c r="AG25" s="64">
        <v>2608000</v>
      </c>
      <c r="AH25" s="64" t="s">
        <v>188</v>
      </c>
      <c r="AI25" s="64" t="s">
        <v>188</v>
      </c>
    </row>
    <row r="26" spans="1:35">
      <c r="A26" s="66">
        <v>2006</v>
      </c>
      <c r="B26" s="56">
        <v>900445</v>
      </c>
      <c r="C26" s="56">
        <f t="shared" si="10"/>
        <v>5659</v>
      </c>
      <c r="D26" s="56">
        <v>1326</v>
      </c>
      <c r="E26" s="56">
        <v>3541</v>
      </c>
      <c r="F26" s="56">
        <v>792</v>
      </c>
      <c r="G26" s="57" t="s">
        <v>188</v>
      </c>
      <c r="H26" s="57" t="s">
        <v>188</v>
      </c>
      <c r="I26" s="145"/>
      <c r="J26" s="32">
        <f t="shared" si="1"/>
        <v>911929.2</v>
      </c>
      <c r="K26" s="32">
        <f t="shared" si="2"/>
        <v>946.4</v>
      </c>
      <c r="L26" s="32">
        <f t="shared" si="3"/>
        <v>3822</v>
      </c>
      <c r="M26" s="32">
        <f t="shared" si="4"/>
        <v>0</v>
      </c>
      <c r="N26" s="32">
        <f t="shared" si="5"/>
        <v>2137.2000000000003</v>
      </c>
      <c r="O26" s="32">
        <f t="shared" si="6"/>
        <v>1081.6000000000001</v>
      </c>
      <c r="P26" s="32">
        <f t="shared" si="7"/>
        <v>1019.2</v>
      </c>
      <c r="Q26" s="32">
        <f t="shared" si="8"/>
        <v>0</v>
      </c>
      <c r="R26" s="32">
        <f t="shared" si="9"/>
        <v>0</v>
      </c>
      <c r="S26" s="145"/>
      <c r="T26" s="145">
        <v>17537.099999999999</v>
      </c>
      <c r="U26" s="145">
        <v>18.2</v>
      </c>
      <c r="V26" s="145">
        <v>73.5</v>
      </c>
      <c r="W26" s="145">
        <v>0</v>
      </c>
      <c r="X26" s="145">
        <v>41.1</v>
      </c>
      <c r="Y26" s="145">
        <v>20.8</v>
      </c>
      <c r="Z26" s="145">
        <v>19.600000000000001</v>
      </c>
      <c r="AA26" s="145">
        <v>0</v>
      </c>
      <c r="AB26" s="145">
        <v>0</v>
      </c>
      <c r="AC26" s="145"/>
      <c r="AD26" s="64">
        <v>899201000</v>
      </c>
      <c r="AE26" s="64">
        <v>2318000</v>
      </c>
      <c r="AF26" s="64">
        <v>4078000</v>
      </c>
      <c r="AG26" s="64">
        <v>1972000</v>
      </c>
      <c r="AH26" s="64" t="s">
        <v>188</v>
      </c>
      <c r="AI26" s="64" t="s">
        <v>188</v>
      </c>
    </row>
    <row r="27" spans="1:35">
      <c r="A27" s="66">
        <v>2007</v>
      </c>
      <c r="B27" s="56">
        <v>921070</v>
      </c>
      <c r="C27" s="56">
        <f t="shared" si="10"/>
        <v>5088</v>
      </c>
      <c r="D27" s="56">
        <v>1094</v>
      </c>
      <c r="E27" s="56">
        <v>2814</v>
      </c>
      <c r="F27" s="56">
        <v>1180</v>
      </c>
      <c r="G27" s="56" t="s">
        <v>188</v>
      </c>
      <c r="H27" s="56" t="s">
        <v>188</v>
      </c>
      <c r="I27" s="32"/>
      <c r="J27" s="32">
        <f t="shared" si="1"/>
        <v>937866.8</v>
      </c>
      <c r="K27" s="32">
        <f t="shared" si="2"/>
        <v>0</v>
      </c>
      <c r="L27" s="32">
        <f t="shared" si="3"/>
        <v>2444</v>
      </c>
      <c r="M27" s="32">
        <f t="shared" si="4"/>
        <v>0</v>
      </c>
      <c r="N27" s="32">
        <f t="shared" si="5"/>
        <v>1076.3999999999999</v>
      </c>
      <c r="O27" s="32">
        <f t="shared" si="6"/>
        <v>1060.8</v>
      </c>
      <c r="P27" s="32">
        <f t="shared" si="7"/>
        <v>894.4</v>
      </c>
      <c r="Q27" s="32">
        <f t="shared" si="8"/>
        <v>0</v>
      </c>
      <c r="R27" s="32">
        <f t="shared" si="9"/>
        <v>0</v>
      </c>
      <c r="S27" s="32"/>
      <c r="T27" s="145">
        <v>18035.900000000001</v>
      </c>
      <c r="U27" s="145">
        <v>0</v>
      </c>
      <c r="V27" s="145">
        <v>47</v>
      </c>
      <c r="W27" s="145">
        <v>0</v>
      </c>
      <c r="X27" s="145">
        <v>20.7</v>
      </c>
      <c r="Y27" s="145">
        <v>20.399999999999999</v>
      </c>
      <c r="Z27" s="145">
        <v>17.2</v>
      </c>
      <c r="AA27" s="145">
        <v>0</v>
      </c>
      <c r="AB27" s="145">
        <v>0</v>
      </c>
      <c r="AC27" s="32"/>
    </row>
    <row r="28" spans="1:35">
      <c r="A28" s="66">
        <v>2008</v>
      </c>
      <c r="B28" s="56">
        <v>938557</v>
      </c>
      <c r="C28" s="56">
        <f>IFERROR(D28+E28+F28,"x")</f>
        <v>4305</v>
      </c>
      <c r="D28" s="56">
        <v>765</v>
      </c>
      <c r="E28" s="56">
        <v>3224</v>
      </c>
      <c r="F28" s="56">
        <v>316</v>
      </c>
      <c r="G28" s="56">
        <v>0</v>
      </c>
      <c r="H28" s="56">
        <v>316</v>
      </c>
      <c r="I28" s="32"/>
      <c r="J28" s="32"/>
      <c r="K28" s="32"/>
      <c r="L28" s="32"/>
      <c r="M28" s="32"/>
      <c r="N28" s="32"/>
      <c r="O28" s="32"/>
      <c r="P28" s="32"/>
      <c r="Q28" s="32"/>
      <c r="R28" s="32"/>
      <c r="S28" s="32"/>
      <c r="T28" s="145"/>
      <c r="U28" s="145"/>
      <c r="V28" s="145"/>
      <c r="W28" s="145"/>
      <c r="X28" s="145"/>
      <c r="Y28" s="145"/>
      <c r="Z28" s="145"/>
      <c r="AA28" s="145"/>
      <c r="AB28" s="145"/>
      <c r="AC28" s="32"/>
    </row>
    <row r="29" spans="1:35">
      <c r="A29" s="66">
        <v>2009</v>
      </c>
      <c r="B29" s="56">
        <v>926723</v>
      </c>
      <c r="C29" s="56" t="str">
        <f t="shared" ref="C29:C31" si="11">IFERROR(D29+E29+F29,"x")</f>
        <v>x</v>
      </c>
      <c r="D29" s="56">
        <v>712</v>
      </c>
      <c r="E29" s="56">
        <v>2281</v>
      </c>
      <c r="F29" s="56" t="s">
        <v>188</v>
      </c>
      <c r="G29" s="56">
        <v>0</v>
      </c>
      <c r="H29" s="56" t="s">
        <v>188</v>
      </c>
      <c r="I29" s="32"/>
      <c r="J29" s="32"/>
      <c r="K29" s="32"/>
      <c r="L29" s="32"/>
      <c r="M29" s="32"/>
      <c r="N29" s="32"/>
      <c r="O29" s="32"/>
      <c r="P29" s="32"/>
      <c r="Q29" s="32"/>
      <c r="R29" s="32"/>
      <c r="S29" s="32"/>
      <c r="T29" s="145"/>
      <c r="U29" s="145"/>
      <c r="V29" s="145"/>
      <c r="W29" s="145"/>
      <c r="X29" s="145"/>
      <c r="Y29" s="145"/>
      <c r="Z29" s="145"/>
      <c r="AA29" s="145"/>
      <c r="AB29" s="145"/>
      <c r="AC29" s="32"/>
    </row>
    <row r="30" spans="1:35">
      <c r="A30" s="66">
        <v>2010</v>
      </c>
      <c r="B30" s="56">
        <v>935549</v>
      </c>
      <c r="C30" s="56" t="str">
        <f t="shared" si="11"/>
        <v>x</v>
      </c>
      <c r="D30" s="56">
        <v>723</v>
      </c>
      <c r="E30" s="56">
        <v>2221</v>
      </c>
      <c r="F30" s="56" t="s">
        <v>188</v>
      </c>
      <c r="G30" s="56">
        <v>0</v>
      </c>
      <c r="H30" s="56" t="s">
        <v>188</v>
      </c>
      <c r="I30" s="32"/>
      <c r="J30" s="32"/>
      <c r="K30" s="32"/>
      <c r="L30" s="32"/>
      <c r="M30" s="32"/>
      <c r="N30" s="32"/>
      <c r="O30" s="32"/>
      <c r="P30" s="32"/>
      <c r="Q30" s="32"/>
      <c r="R30" s="32"/>
      <c r="S30" s="32"/>
      <c r="T30" s="145"/>
      <c r="U30" s="145"/>
      <c r="V30" s="145"/>
      <c r="W30" s="145"/>
      <c r="X30" s="145"/>
      <c r="Y30" s="145"/>
      <c r="Z30" s="145"/>
      <c r="AA30" s="145"/>
      <c r="AB30" s="145"/>
      <c r="AC30" s="32"/>
    </row>
    <row r="31" spans="1:35">
      <c r="A31" s="66">
        <v>2011</v>
      </c>
      <c r="B31" s="56">
        <v>940910</v>
      </c>
      <c r="C31" s="56" t="str">
        <f t="shared" si="11"/>
        <v>x</v>
      </c>
      <c r="D31" s="56">
        <v>878</v>
      </c>
      <c r="E31" s="56">
        <v>2875</v>
      </c>
      <c r="F31" s="56" t="s">
        <v>188</v>
      </c>
      <c r="G31" s="56" t="s">
        <v>188</v>
      </c>
      <c r="H31" s="56" t="s">
        <v>188</v>
      </c>
      <c r="I31" s="32"/>
      <c r="J31" s="32"/>
      <c r="K31" s="32"/>
      <c r="L31" s="32"/>
      <c r="M31" s="32"/>
      <c r="N31" s="32"/>
      <c r="O31" s="32"/>
      <c r="P31" s="32"/>
      <c r="Q31" s="32"/>
      <c r="R31" s="32"/>
      <c r="S31" s="32"/>
      <c r="T31" s="145"/>
      <c r="U31" s="145"/>
      <c r="V31" s="145"/>
      <c r="W31" s="145"/>
      <c r="X31" s="145"/>
      <c r="Y31" s="145"/>
      <c r="Z31" s="145"/>
      <c r="AA31" s="145"/>
      <c r="AB31" s="145"/>
      <c r="AC31" s="32"/>
    </row>
    <row r="32" spans="1:35">
      <c r="B32" s="57"/>
      <c r="C32" s="56"/>
      <c r="D32" s="57"/>
      <c r="E32" s="57"/>
      <c r="F32" s="57"/>
      <c r="G32" s="57"/>
      <c r="H32" s="57"/>
    </row>
    <row r="33" spans="1:18">
      <c r="A33" s="64" t="s">
        <v>498</v>
      </c>
      <c r="B33" s="57"/>
      <c r="C33" s="57"/>
      <c r="D33" s="57"/>
      <c r="E33" s="57"/>
      <c r="F33" s="57"/>
      <c r="G33" s="57"/>
      <c r="H33" s="57"/>
    </row>
    <row r="34" spans="1:18">
      <c r="A34" s="64" t="s">
        <v>1780</v>
      </c>
      <c r="B34" s="65">
        <f>IFERROR(((B31/B17)^(1/14)-1)*100,"n.a.")</f>
        <v>0.34767560181159229</v>
      </c>
      <c r="C34" s="65" t="str">
        <f t="shared" ref="C34:H34" si="12">IFERROR(((C31/C17)^(1/14)-1)*100,"n.a.")</f>
        <v>n.a.</v>
      </c>
      <c r="D34" s="65">
        <f t="shared" si="12"/>
        <v>-5.3254957106666829</v>
      </c>
      <c r="E34" s="65">
        <f t="shared" si="12"/>
        <v>-0.65712930208297049</v>
      </c>
      <c r="F34" s="65" t="str">
        <f t="shared" si="12"/>
        <v>n.a.</v>
      </c>
      <c r="G34" s="65" t="str">
        <f t="shared" si="12"/>
        <v>n.a.</v>
      </c>
      <c r="H34" s="65" t="str">
        <f t="shared" si="12"/>
        <v>n.a.</v>
      </c>
      <c r="J34" s="138">
        <f>((J26/J17)^(1/9)-1)*100</f>
        <v>0.15830970878780715</v>
      </c>
      <c r="K34" s="138">
        <f t="shared" ref="K34:R34" si="13">((K26/K17)^(1/9)-1)*100</f>
        <v>-5.8798922813875993</v>
      </c>
      <c r="L34" s="138">
        <f t="shared" si="13"/>
        <v>-1.9559089066294444</v>
      </c>
      <c r="M34" s="138">
        <f t="shared" si="13"/>
        <v>-100</v>
      </c>
      <c r="N34" s="138">
        <f t="shared" si="13"/>
        <v>8.392379297600904</v>
      </c>
      <c r="O34" s="138">
        <f t="shared" si="13"/>
        <v>-4.0231890320949866</v>
      </c>
      <c r="P34" s="138">
        <f t="shared" si="13"/>
        <v>-10.939155510959909</v>
      </c>
      <c r="Q34" s="138">
        <f t="shared" si="13"/>
        <v>-100</v>
      </c>
      <c r="R34" s="138" t="e">
        <f t="shared" si="13"/>
        <v>#DIV/0!</v>
      </c>
    </row>
    <row r="35" spans="1:18">
      <c r="A35" s="64" t="s">
        <v>663</v>
      </c>
      <c r="B35" s="65">
        <f>IFERROR(((B20/B17)^(1/3)-1)*100,"n.a.")</f>
        <v>-0.28629385030657373</v>
      </c>
      <c r="C35" s="65" t="str">
        <f t="shared" ref="C35:H35" si="14">IFERROR(((C20/C17)^(1/3)-1)*100,"n.a.")</f>
        <v>n.a.</v>
      </c>
      <c r="D35" s="65">
        <f t="shared" si="14"/>
        <v>4.2625245485826913</v>
      </c>
      <c r="E35" s="65">
        <f t="shared" si="14"/>
        <v>10.168865496645907</v>
      </c>
      <c r="F35" s="65" t="str">
        <f t="shared" si="14"/>
        <v>n.a.</v>
      </c>
      <c r="G35" s="65" t="str">
        <f t="shared" si="14"/>
        <v>n.a.</v>
      </c>
      <c r="H35" s="65" t="str">
        <f t="shared" si="14"/>
        <v>n.a.</v>
      </c>
      <c r="J35" s="138"/>
      <c r="K35" s="138"/>
      <c r="L35" s="138"/>
      <c r="M35" s="138"/>
      <c r="N35" s="138"/>
      <c r="O35" s="138"/>
      <c r="P35" s="138"/>
      <c r="Q35" s="138"/>
      <c r="R35" s="138"/>
    </row>
    <row r="36" spans="1:18">
      <c r="A36" s="64" t="s">
        <v>1782</v>
      </c>
      <c r="B36" s="65">
        <f>IFERROR(((B31/B20)^(1/11)-1)*100,"n.a.")</f>
        <v>0.52127483133295183</v>
      </c>
      <c r="C36" s="65" t="str">
        <f t="shared" ref="C36:H36" si="15">IFERROR(((C31/C20)^(1/11)-1)*100,"n.a.")</f>
        <v>n.a.</v>
      </c>
      <c r="D36" s="65">
        <f t="shared" si="15"/>
        <v>-7.7838307698316118</v>
      </c>
      <c r="E36" s="65">
        <f t="shared" si="15"/>
        <v>-3.4204440564356009</v>
      </c>
      <c r="F36" s="65" t="str">
        <f t="shared" si="15"/>
        <v>n.a.</v>
      </c>
      <c r="G36" s="65" t="str">
        <f t="shared" si="15"/>
        <v>n.a.</v>
      </c>
      <c r="H36" s="65" t="str">
        <f t="shared" si="15"/>
        <v>n.a.</v>
      </c>
      <c r="J36" s="138"/>
      <c r="K36" s="138"/>
      <c r="L36" s="138"/>
      <c r="M36" s="138"/>
      <c r="N36" s="138"/>
      <c r="O36" s="138"/>
      <c r="P36" s="138"/>
      <c r="Q36" s="138"/>
      <c r="R36" s="138"/>
    </row>
    <row r="37" spans="1:18">
      <c r="B37" s="57"/>
      <c r="C37" s="57"/>
      <c r="D37" s="57"/>
      <c r="E37" s="57"/>
      <c r="F37" s="57"/>
      <c r="G37" s="57"/>
      <c r="H37" s="57"/>
    </row>
    <row r="38" spans="1:18">
      <c r="A38" s="137" t="s">
        <v>494</v>
      </c>
      <c r="B38" s="137"/>
      <c r="C38" s="137"/>
      <c r="D38" s="137"/>
      <c r="E38" s="137"/>
      <c r="F38" s="137"/>
      <c r="G38" s="137"/>
      <c r="H38" s="137"/>
    </row>
    <row r="39" spans="1:18">
      <c r="A39" s="137" t="s">
        <v>495</v>
      </c>
      <c r="B39" s="137"/>
      <c r="C39" s="137"/>
      <c r="D39" s="137"/>
      <c r="E39" s="137"/>
      <c r="F39" s="137"/>
      <c r="G39" s="137"/>
      <c r="H39" s="137"/>
    </row>
    <row r="40" spans="1:18" ht="15" hidden="1" customHeight="1" outlineLevel="1">
      <c r="A40" s="137" t="s">
        <v>496</v>
      </c>
      <c r="B40" s="137"/>
      <c r="C40" s="137"/>
      <c r="D40" s="137"/>
      <c r="E40" s="137"/>
      <c r="F40" s="137"/>
      <c r="G40" s="137"/>
      <c r="H40" s="137"/>
    </row>
    <row r="41" spans="1:18" collapsed="1">
      <c r="A41" s="137" t="s">
        <v>193</v>
      </c>
      <c r="B41" s="137"/>
      <c r="C41" s="137"/>
      <c r="D41" s="137"/>
      <c r="E41" s="137"/>
      <c r="F41" s="137"/>
      <c r="G41" s="137"/>
      <c r="H41" s="137"/>
    </row>
    <row r="42" spans="1:18">
      <c r="A42" s="137" t="s">
        <v>194</v>
      </c>
      <c r="B42" s="137"/>
      <c r="C42" s="137"/>
      <c r="D42" s="137"/>
      <c r="E42" s="137"/>
      <c r="F42" s="137"/>
      <c r="G42" s="137"/>
      <c r="H42" s="137"/>
    </row>
    <row r="43" spans="1:18">
      <c r="A43" s="137" t="s">
        <v>383</v>
      </c>
      <c r="B43" s="137"/>
      <c r="C43" s="137"/>
      <c r="D43" s="137"/>
      <c r="E43" s="137"/>
      <c r="F43" s="137"/>
      <c r="G43" s="137"/>
      <c r="H43" s="137"/>
    </row>
    <row r="44" spans="1:18" hidden="1" outlineLevel="1">
      <c r="A44" s="64" t="s">
        <v>497</v>
      </c>
      <c r="C44" s="142"/>
    </row>
    <row r="45" spans="1:18" collapsed="1">
      <c r="C45" s="142"/>
    </row>
  </sheetData>
  <mergeCells count="7">
    <mergeCell ref="A42:H42"/>
    <mergeCell ref="A43:H43"/>
    <mergeCell ref="A1:H1"/>
    <mergeCell ref="A38:H38"/>
    <mergeCell ref="A39:H39"/>
    <mergeCell ref="A40:H40"/>
    <mergeCell ref="A41:H41"/>
  </mergeCells>
  <pageMargins left="0.7" right="0.7" top="0.75" bottom="0.75" header="0.3" footer="0.3"/>
  <pageSetup scale="88" orientation="landscape" horizontalDpi="0" verticalDpi="0" r:id="rId1"/>
</worksheet>
</file>

<file path=xl/worksheets/sheet178.xml><?xml version="1.0" encoding="utf-8"?>
<worksheet xmlns="http://schemas.openxmlformats.org/spreadsheetml/2006/main" xmlns:r="http://schemas.openxmlformats.org/officeDocument/2006/relationships">
  <sheetPr codeName="Sheet172"/>
  <dimension ref="A1:AJ45"/>
  <sheetViews>
    <sheetView view="pageBreakPreview" zoomScaleNormal="85" zoomScaleSheetLayoutView="100"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28515625" style="64" customWidth="1"/>
    <col min="2" max="2" width="15.42578125" style="64" customWidth="1"/>
    <col min="3" max="3" width="15.28515625" style="64" customWidth="1"/>
    <col min="4" max="8" width="15.42578125" style="64" customWidth="1"/>
    <col min="9" max="9" width="9.140625" style="64"/>
    <col min="10" max="35" width="9.140625" style="64" hidden="1" customWidth="1" outlineLevel="1"/>
    <col min="36" max="36" width="9.140625" style="64" collapsed="1"/>
    <col min="37" max="16384" width="9.140625" style="64"/>
  </cols>
  <sheetData>
    <row r="1" spans="1:35">
      <c r="A1" s="108" t="s">
        <v>2102</v>
      </c>
      <c r="B1" s="108"/>
      <c r="C1" s="108"/>
      <c r="D1" s="108"/>
      <c r="E1" s="108"/>
      <c r="F1" s="108"/>
      <c r="G1" s="108"/>
      <c r="H1" s="108"/>
    </row>
    <row r="2" spans="1:35" ht="120">
      <c r="A2" s="66"/>
      <c r="B2" s="73" t="s">
        <v>41</v>
      </c>
      <c r="C2" s="73" t="s">
        <v>37</v>
      </c>
      <c r="D2" s="73" t="s">
        <v>0</v>
      </c>
      <c r="E2" s="73" t="s">
        <v>1</v>
      </c>
      <c r="F2" s="73" t="s">
        <v>2</v>
      </c>
      <c r="G2" s="73" t="s">
        <v>13</v>
      </c>
      <c r="H2" s="73" t="s">
        <v>19</v>
      </c>
      <c r="J2" s="117" t="s">
        <v>493</v>
      </c>
      <c r="K2" s="117" t="s">
        <v>492</v>
      </c>
      <c r="L2" s="117" t="s">
        <v>67</v>
      </c>
      <c r="M2" s="117" t="s">
        <v>68</v>
      </c>
      <c r="N2" s="117" t="s">
        <v>69</v>
      </c>
      <c r="O2" s="117" t="s">
        <v>70</v>
      </c>
      <c r="P2" s="117" t="s">
        <v>71</v>
      </c>
      <c r="Q2" s="117" t="s">
        <v>72</v>
      </c>
      <c r="R2" s="117" t="s">
        <v>73</v>
      </c>
      <c r="T2" s="117" t="s">
        <v>493</v>
      </c>
      <c r="U2" s="117" t="s">
        <v>492</v>
      </c>
      <c r="V2" s="117" t="s">
        <v>67</v>
      </c>
      <c r="W2" s="117" t="s">
        <v>68</v>
      </c>
      <c r="X2" s="117" t="s">
        <v>69</v>
      </c>
      <c r="Y2" s="117" t="s">
        <v>70</v>
      </c>
      <c r="Z2" s="117" t="s">
        <v>71</v>
      </c>
      <c r="AA2" s="117" t="s">
        <v>72</v>
      </c>
      <c r="AB2" s="117" t="s">
        <v>73</v>
      </c>
      <c r="AD2" s="64" t="s">
        <v>468</v>
      </c>
      <c r="AE2" s="64" t="s">
        <v>469</v>
      </c>
      <c r="AF2" s="64" t="s">
        <v>470</v>
      </c>
      <c r="AG2" s="64" t="s">
        <v>471</v>
      </c>
      <c r="AH2" s="64" t="s">
        <v>472</v>
      </c>
      <c r="AI2" s="64" t="s">
        <v>473</v>
      </c>
    </row>
    <row r="3" spans="1:35" hidden="1" outlineLevel="1">
      <c r="C3" s="135"/>
      <c r="AD3" s="64" t="s">
        <v>474</v>
      </c>
      <c r="AE3" s="64" t="s">
        <v>475</v>
      </c>
      <c r="AF3" s="64" t="s">
        <v>476</v>
      </c>
      <c r="AG3" s="64" t="s">
        <v>477</v>
      </c>
      <c r="AH3" s="64" t="s">
        <v>478</v>
      </c>
      <c r="AI3" s="64" t="s">
        <v>479</v>
      </c>
    </row>
    <row r="4" spans="1:35" hidden="1" outlineLevel="1" collapsed="1">
      <c r="A4" s="64">
        <v>1984</v>
      </c>
      <c r="C4" s="57"/>
    </row>
    <row r="5" spans="1:35" hidden="1" outlineLevel="1">
      <c r="A5" s="64">
        <v>1985</v>
      </c>
      <c r="C5" s="57"/>
    </row>
    <row r="6" spans="1:35" hidden="1" outlineLevel="1">
      <c r="A6" s="64">
        <v>1986</v>
      </c>
      <c r="C6" s="57"/>
    </row>
    <row r="7" spans="1:35" hidden="1" outlineLevel="1">
      <c r="A7" s="64">
        <v>1987</v>
      </c>
      <c r="C7" s="57"/>
      <c r="J7" s="32">
        <f>T7*52</f>
        <v>2210192.4</v>
      </c>
      <c r="K7" s="32">
        <f t="shared" ref="K7:R7" si="0">U7*52</f>
        <v>4565.5999999999995</v>
      </c>
      <c r="L7" s="32">
        <f t="shared" si="0"/>
        <v>14835.6</v>
      </c>
      <c r="M7" s="32">
        <f t="shared" si="0"/>
        <v>9224.8000000000011</v>
      </c>
      <c r="N7" s="32">
        <f t="shared" si="0"/>
        <v>0</v>
      </c>
      <c r="O7" s="32">
        <f t="shared" si="0"/>
        <v>4305.5999999999995</v>
      </c>
      <c r="P7" s="32">
        <f t="shared" si="0"/>
        <v>4758</v>
      </c>
      <c r="Q7" s="32">
        <f t="shared" si="0"/>
        <v>3993.6</v>
      </c>
      <c r="R7" s="32">
        <f t="shared" si="0"/>
        <v>0</v>
      </c>
      <c r="T7" s="64">
        <v>42503.7</v>
      </c>
      <c r="U7" s="64">
        <v>87.8</v>
      </c>
      <c r="V7" s="64">
        <v>285.3</v>
      </c>
      <c r="W7" s="64">
        <v>177.4</v>
      </c>
      <c r="X7" s="64">
        <v>0</v>
      </c>
      <c r="Y7" s="64">
        <v>82.8</v>
      </c>
      <c r="Z7" s="64">
        <v>91.5</v>
      </c>
      <c r="AA7" s="64">
        <v>76.8</v>
      </c>
      <c r="AB7" s="64">
        <v>0</v>
      </c>
    </row>
    <row r="8" spans="1:35" hidden="1" outlineLevel="1">
      <c r="A8" s="64">
        <v>1988</v>
      </c>
      <c r="C8" s="57"/>
      <c r="J8" s="32">
        <f t="shared" ref="J8:J27" si="1">T8*52</f>
        <v>2302721.1999999997</v>
      </c>
      <c r="K8" s="32">
        <f t="shared" ref="K8:K27" si="2">U8*52</f>
        <v>4503.2</v>
      </c>
      <c r="L8" s="32">
        <f t="shared" ref="L8:L27" si="3">V8*52</f>
        <v>13941.2</v>
      </c>
      <c r="M8" s="32">
        <f t="shared" ref="M8:M27" si="4">W8*52</f>
        <v>8455.1999999999989</v>
      </c>
      <c r="N8" s="32">
        <f t="shared" ref="N8:N27" si="5">X8*52</f>
        <v>0</v>
      </c>
      <c r="O8" s="32">
        <f t="shared" ref="O8:O27" si="6">Y8*52</f>
        <v>4180.8</v>
      </c>
      <c r="P8" s="32">
        <f t="shared" ref="P8:P27" si="7">Z8*52</f>
        <v>4815.2</v>
      </c>
      <c r="Q8" s="32">
        <f t="shared" ref="Q8:Q27" si="8">AA8*52</f>
        <v>4066.4</v>
      </c>
      <c r="R8" s="32">
        <f t="shared" ref="R8:R27" si="9">AB8*52</f>
        <v>0</v>
      </c>
      <c r="T8" s="64">
        <v>44283.1</v>
      </c>
      <c r="U8" s="64">
        <v>86.6</v>
      </c>
      <c r="V8" s="64">
        <v>268.10000000000002</v>
      </c>
      <c r="W8" s="64">
        <v>162.6</v>
      </c>
      <c r="X8" s="64">
        <v>0</v>
      </c>
      <c r="Y8" s="64">
        <v>80.400000000000006</v>
      </c>
      <c r="Z8" s="64">
        <v>92.6</v>
      </c>
      <c r="AA8" s="64">
        <v>78.2</v>
      </c>
      <c r="AB8" s="64">
        <v>0</v>
      </c>
    </row>
    <row r="9" spans="1:35" hidden="1" outlineLevel="1">
      <c r="A9" s="64">
        <v>1989</v>
      </c>
      <c r="C9" s="57"/>
      <c r="J9" s="32">
        <f t="shared" si="1"/>
        <v>2415862.8000000003</v>
      </c>
      <c r="K9" s="32">
        <f t="shared" si="2"/>
        <v>3983.2</v>
      </c>
      <c r="L9" s="32">
        <f t="shared" si="3"/>
        <v>11830</v>
      </c>
      <c r="M9" s="32">
        <f t="shared" si="4"/>
        <v>6359.5999999999995</v>
      </c>
      <c r="N9" s="32">
        <f t="shared" si="5"/>
        <v>0</v>
      </c>
      <c r="O9" s="32">
        <f t="shared" si="6"/>
        <v>4726.8</v>
      </c>
      <c r="P9" s="32">
        <f t="shared" si="7"/>
        <v>4669.5999999999995</v>
      </c>
      <c r="Q9" s="32">
        <f t="shared" si="8"/>
        <v>3551.6</v>
      </c>
      <c r="R9" s="32">
        <f t="shared" si="9"/>
        <v>0</v>
      </c>
      <c r="T9" s="64">
        <v>46458.9</v>
      </c>
      <c r="U9" s="64">
        <v>76.599999999999994</v>
      </c>
      <c r="V9" s="64">
        <v>227.5</v>
      </c>
      <c r="W9" s="64">
        <v>122.3</v>
      </c>
      <c r="X9" s="64">
        <v>0</v>
      </c>
      <c r="Y9" s="64">
        <v>90.9</v>
      </c>
      <c r="Z9" s="64">
        <v>89.8</v>
      </c>
      <c r="AA9" s="64">
        <v>68.3</v>
      </c>
      <c r="AB9" s="64">
        <v>0</v>
      </c>
    </row>
    <row r="10" spans="1:35" hidden="1" outlineLevel="1">
      <c r="A10" s="64">
        <v>1990</v>
      </c>
      <c r="C10" s="57"/>
      <c r="J10" s="32">
        <f t="shared" si="1"/>
        <v>2477893.6</v>
      </c>
      <c r="K10" s="32">
        <f t="shared" si="2"/>
        <v>4898.4000000000005</v>
      </c>
      <c r="L10" s="32">
        <f t="shared" si="3"/>
        <v>14232.4</v>
      </c>
      <c r="M10" s="32">
        <f t="shared" si="4"/>
        <v>7222.8</v>
      </c>
      <c r="N10" s="32">
        <f t="shared" si="5"/>
        <v>0</v>
      </c>
      <c r="O10" s="32">
        <f t="shared" si="6"/>
        <v>6011.2</v>
      </c>
      <c r="P10" s="32">
        <f t="shared" si="7"/>
        <v>6749.6</v>
      </c>
      <c r="Q10" s="32">
        <f t="shared" si="8"/>
        <v>5428.8</v>
      </c>
      <c r="R10" s="32">
        <f t="shared" si="9"/>
        <v>0</v>
      </c>
      <c r="T10" s="64">
        <v>47651.8</v>
      </c>
      <c r="U10" s="64">
        <v>94.2</v>
      </c>
      <c r="V10" s="64">
        <v>273.7</v>
      </c>
      <c r="W10" s="64">
        <v>138.9</v>
      </c>
      <c r="X10" s="64">
        <v>0</v>
      </c>
      <c r="Y10" s="64">
        <v>115.6</v>
      </c>
      <c r="Z10" s="64">
        <v>129.80000000000001</v>
      </c>
      <c r="AA10" s="64">
        <v>104.4</v>
      </c>
      <c r="AB10" s="64">
        <v>0</v>
      </c>
    </row>
    <row r="11" spans="1:35" hidden="1" outlineLevel="1">
      <c r="A11" s="64">
        <v>1991</v>
      </c>
      <c r="C11" s="57"/>
      <c r="J11" s="32">
        <f t="shared" si="1"/>
        <v>2435602</v>
      </c>
      <c r="K11" s="32">
        <f t="shared" si="2"/>
        <v>4186</v>
      </c>
      <c r="L11" s="32">
        <f t="shared" si="3"/>
        <v>12984.4</v>
      </c>
      <c r="M11" s="32">
        <f t="shared" si="4"/>
        <v>7867.6</v>
      </c>
      <c r="N11" s="32">
        <f t="shared" si="5"/>
        <v>0</v>
      </c>
      <c r="O11" s="32">
        <f t="shared" si="6"/>
        <v>4357.5999999999995</v>
      </c>
      <c r="P11" s="32">
        <f t="shared" si="7"/>
        <v>6240</v>
      </c>
      <c r="Q11" s="32">
        <f t="shared" si="8"/>
        <v>4721.5999999999995</v>
      </c>
      <c r="R11" s="32">
        <f t="shared" si="9"/>
        <v>0</v>
      </c>
      <c r="T11" s="64">
        <v>46838.5</v>
      </c>
      <c r="U11" s="64">
        <v>80.5</v>
      </c>
      <c r="V11" s="64">
        <v>249.7</v>
      </c>
      <c r="W11" s="64">
        <v>151.30000000000001</v>
      </c>
      <c r="X11" s="64">
        <v>0</v>
      </c>
      <c r="Y11" s="64">
        <v>83.8</v>
      </c>
      <c r="Z11" s="64">
        <v>120</v>
      </c>
      <c r="AA11" s="64">
        <v>90.8</v>
      </c>
      <c r="AB11" s="64">
        <v>0</v>
      </c>
    </row>
    <row r="12" spans="1:35" hidden="1" outlineLevel="1">
      <c r="A12" s="64">
        <v>1992</v>
      </c>
      <c r="C12" s="57"/>
      <c r="J12" s="32">
        <f t="shared" si="1"/>
        <v>2371616</v>
      </c>
      <c r="K12" s="32">
        <f t="shared" si="2"/>
        <v>4685.2</v>
      </c>
      <c r="L12" s="32">
        <f t="shared" si="3"/>
        <v>19687.2</v>
      </c>
      <c r="M12" s="32">
        <f t="shared" si="4"/>
        <v>11034.4</v>
      </c>
      <c r="N12" s="32">
        <f t="shared" si="5"/>
        <v>0</v>
      </c>
      <c r="O12" s="32">
        <f t="shared" si="6"/>
        <v>5647.2</v>
      </c>
      <c r="P12" s="32">
        <f t="shared" si="7"/>
        <v>6879.6</v>
      </c>
      <c r="Q12" s="32">
        <f t="shared" si="8"/>
        <v>5938.4000000000005</v>
      </c>
      <c r="R12" s="32">
        <f t="shared" si="9"/>
        <v>0</v>
      </c>
      <c r="T12" s="64">
        <v>45608</v>
      </c>
      <c r="U12" s="64">
        <v>90.1</v>
      </c>
      <c r="V12" s="64">
        <v>378.6</v>
      </c>
      <c r="W12" s="64">
        <v>212.2</v>
      </c>
      <c r="X12" s="64">
        <v>0</v>
      </c>
      <c r="Y12" s="64">
        <v>108.6</v>
      </c>
      <c r="Z12" s="64">
        <v>132.30000000000001</v>
      </c>
      <c r="AA12" s="64">
        <v>114.2</v>
      </c>
      <c r="AB12" s="64">
        <v>0</v>
      </c>
    </row>
    <row r="13" spans="1:35" hidden="1" outlineLevel="1">
      <c r="A13" s="64">
        <v>1993</v>
      </c>
      <c r="C13" s="57"/>
      <c r="J13" s="32">
        <f t="shared" si="1"/>
        <v>2406092</v>
      </c>
      <c r="K13" s="32">
        <f t="shared" si="2"/>
        <v>5153.2</v>
      </c>
      <c r="L13" s="32">
        <f t="shared" si="3"/>
        <v>16806.399999999998</v>
      </c>
      <c r="M13" s="32">
        <f t="shared" si="4"/>
        <v>9167.6</v>
      </c>
      <c r="N13" s="32">
        <f t="shared" si="5"/>
        <v>0</v>
      </c>
      <c r="O13" s="32">
        <f t="shared" si="6"/>
        <v>5532.8</v>
      </c>
      <c r="P13" s="32">
        <f t="shared" si="7"/>
        <v>6973.2</v>
      </c>
      <c r="Q13" s="32">
        <f t="shared" si="8"/>
        <v>5740.8</v>
      </c>
      <c r="R13" s="32">
        <f t="shared" si="9"/>
        <v>0</v>
      </c>
      <c r="T13" s="64">
        <v>46271</v>
      </c>
      <c r="U13" s="64">
        <v>99.1</v>
      </c>
      <c r="V13" s="64">
        <v>323.2</v>
      </c>
      <c r="W13" s="64">
        <v>176.3</v>
      </c>
      <c r="X13" s="64">
        <v>0</v>
      </c>
      <c r="Y13" s="64">
        <v>106.4</v>
      </c>
      <c r="Z13" s="64">
        <v>134.1</v>
      </c>
      <c r="AA13" s="64">
        <v>110.4</v>
      </c>
      <c r="AB13" s="64">
        <v>0</v>
      </c>
    </row>
    <row r="14" spans="1:35" hidden="1" outlineLevel="1">
      <c r="A14" s="64">
        <v>1994</v>
      </c>
      <c r="B14" s="32"/>
      <c r="C14" s="56"/>
      <c r="D14" s="32"/>
      <c r="E14" s="32"/>
      <c r="F14" s="32"/>
      <c r="G14" s="144"/>
      <c r="H14" s="144"/>
      <c r="J14" s="32">
        <f t="shared" si="1"/>
        <v>2525593.1999999997</v>
      </c>
      <c r="K14" s="32">
        <f t="shared" si="2"/>
        <v>6962.8</v>
      </c>
      <c r="L14" s="32">
        <f t="shared" si="3"/>
        <v>18704.399999999998</v>
      </c>
      <c r="M14" s="32">
        <f t="shared" si="4"/>
        <v>9526.4</v>
      </c>
      <c r="N14" s="32">
        <f t="shared" si="5"/>
        <v>0</v>
      </c>
      <c r="O14" s="32">
        <f t="shared" si="6"/>
        <v>7628.4</v>
      </c>
      <c r="P14" s="32">
        <f t="shared" si="7"/>
        <v>10462.4</v>
      </c>
      <c r="Q14" s="32">
        <f t="shared" si="8"/>
        <v>8673.6</v>
      </c>
      <c r="R14" s="32">
        <f t="shared" si="9"/>
        <v>0</v>
      </c>
      <c r="T14" s="64">
        <v>48569.1</v>
      </c>
      <c r="U14" s="64">
        <v>133.9</v>
      </c>
      <c r="V14" s="64">
        <v>359.7</v>
      </c>
      <c r="W14" s="64">
        <v>183.2</v>
      </c>
      <c r="X14" s="64">
        <v>0</v>
      </c>
      <c r="Y14" s="64">
        <v>146.69999999999999</v>
      </c>
      <c r="Z14" s="64">
        <v>201.2</v>
      </c>
      <c r="AA14" s="64">
        <v>166.8</v>
      </c>
      <c r="AB14" s="64">
        <v>0</v>
      </c>
    </row>
    <row r="15" spans="1:35" hidden="1" outlineLevel="1">
      <c r="A15" s="64">
        <v>1995</v>
      </c>
      <c r="B15" s="56"/>
      <c r="C15" s="56"/>
      <c r="D15" s="56"/>
      <c r="E15" s="56"/>
      <c r="F15" s="56"/>
      <c r="G15" s="56"/>
      <c r="H15" s="56"/>
      <c r="J15" s="32">
        <f t="shared" si="1"/>
        <v>2588133.6</v>
      </c>
      <c r="K15" s="32">
        <f t="shared" si="2"/>
        <v>9063.6</v>
      </c>
      <c r="L15" s="32">
        <f t="shared" si="3"/>
        <v>22490</v>
      </c>
      <c r="M15" s="32">
        <f t="shared" si="4"/>
        <v>11949.6</v>
      </c>
      <c r="N15" s="32">
        <f t="shared" si="5"/>
        <v>0</v>
      </c>
      <c r="O15" s="32">
        <f t="shared" si="6"/>
        <v>7342.4</v>
      </c>
      <c r="P15" s="32">
        <f t="shared" si="7"/>
        <v>9921.6</v>
      </c>
      <c r="Q15" s="32">
        <f t="shared" si="8"/>
        <v>7514</v>
      </c>
      <c r="R15" s="32">
        <f t="shared" si="9"/>
        <v>0</v>
      </c>
      <c r="T15" s="64">
        <v>49771.8</v>
      </c>
      <c r="U15" s="64">
        <v>174.3</v>
      </c>
      <c r="V15" s="64">
        <v>432.5</v>
      </c>
      <c r="W15" s="64">
        <v>229.8</v>
      </c>
      <c r="X15" s="64">
        <v>0</v>
      </c>
      <c r="Y15" s="64">
        <v>141.19999999999999</v>
      </c>
      <c r="Z15" s="64">
        <v>190.8</v>
      </c>
      <c r="AA15" s="64">
        <v>144.5</v>
      </c>
      <c r="AB15" s="64">
        <v>0</v>
      </c>
    </row>
    <row r="16" spans="1:35" hidden="1" outlineLevel="1">
      <c r="A16" s="64">
        <v>1996</v>
      </c>
      <c r="B16" s="56"/>
      <c r="C16" s="56"/>
      <c r="D16" s="56"/>
      <c r="E16" s="56"/>
      <c r="F16" s="56"/>
      <c r="G16" s="56"/>
      <c r="H16" s="56"/>
      <c r="J16" s="32">
        <f t="shared" si="1"/>
        <v>2693693.6</v>
      </c>
      <c r="K16" s="32">
        <f t="shared" si="2"/>
        <v>5168.8</v>
      </c>
      <c r="L16" s="32">
        <f t="shared" si="3"/>
        <v>22635.600000000002</v>
      </c>
      <c r="M16" s="32">
        <f t="shared" si="4"/>
        <v>10613.199999999999</v>
      </c>
      <c r="N16" s="32">
        <f t="shared" si="5"/>
        <v>3130.4</v>
      </c>
      <c r="O16" s="32">
        <f t="shared" si="6"/>
        <v>8892</v>
      </c>
      <c r="P16" s="32">
        <f t="shared" si="7"/>
        <v>9786.4</v>
      </c>
      <c r="Q16" s="32">
        <f t="shared" si="8"/>
        <v>8834.8000000000011</v>
      </c>
      <c r="R16" s="32">
        <f t="shared" si="9"/>
        <v>0</v>
      </c>
      <c r="T16" s="64">
        <v>51801.8</v>
      </c>
      <c r="U16" s="64">
        <v>99.4</v>
      </c>
      <c r="V16" s="64">
        <v>435.3</v>
      </c>
      <c r="W16" s="64">
        <v>204.1</v>
      </c>
      <c r="X16" s="64">
        <v>60.2</v>
      </c>
      <c r="Y16" s="64">
        <v>171</v>
      </c>
      <c r="Z16" s="64">
        <v>188.2</v>
      </c>
      <c r="AA16" s="64">
        <v>169.9</v>
      </c>
      <c r="AB16" s="64">
        <v>0</v>
      </c>
    </row>
    <row r="17" spans="1:35" collapsed="1">
      <c r="A17" s="66">
        <v>1997</v>
      </c>
      <c r="B17" s="56">
        <v>2791594</v>
      </c>
      <c r="C17" s="56">
        <f t="shared" ref="C17:C27" si="10">IFERROR(D17+E17+F17,"x")</f>
        <v>36278</v>
      </c>
      <c r="D17" s="56">
        <v>7062</v>
      </c>
      <c r="E17" s="56">
        <v>22440</v>
      </c>
      <c r="F17" s="56">
        <v>6776</v>
      </c>
      <c r="G17" s="57" t="s">
        <v>188</v>
      </c>
      <c r="H17" s="57" t="s">
        <v>188</v>
      </c>
      <c r="J17" s="32">
        <f t="shared" si="1"/>
        <v>2777814</v>
      </c>
      <c r="K17" s="32">
        <f t="shared" si="2"/>
        <v>4706</v>
      </c>
      <c r="L17" s="32">
        <f t="shared" si="3"/>
        <v>24694.799999999999</v>
      </c>
      <c r="M17" s="32">
        <f t="shared" si="4"/>
        <v>10020.4</v>
      </c>
      <c r="N17" s="32">
        <f t="shared" si="5"/>
        <v>4440.8</v>
      </c>
      <c r="O17" s="32">
        <f t="shared" si="6"/>
        <v>10233.6</v>
      </c>
      <c r="P17" s="32">
        <f t="shared" si="7"/>
        <v>8819.1999999999989</v>
      </c>
      <c r="Q17" s="32">
        <f t="shared" si="8"/>
        <v>6957.6</v>
      </c>
      <c r="R17" s="32">
        <f t="shared" si="9"/>
        <v>0</v>
      </c>
      <c r="T17" s="64">
        <v>53419.5</v>
      </c>
      <c r="U17" s="64">
        <v>90.5</v>
      </c>
      <c r="V17" s="64">
        <v>474.9</v>
      </c>
      <c r="W17" s="64">
        <v>192.7</v>
      </c>
      <c r="X17" s="64">
        <v>85.4</v>
      </c>
      <c r="Y17" s="64">
        <v>196.8</v>
      </c>
      <c r="Z17" s="64">
        <v>169.6</v>
      </c>
      <c r="AA17" s="64">
        <v>133.80000000000001</v>
      </c>
      <c r="AB17" s="64">
        <v>0</v>
      </c>
      <c r="AD17" s="64">
        <v>2779280000</v>
      </c>
      <c r="AE17" s="64">
        <v>7755000</v>
      </c>
      <c r="AF17" s="64">
        <v>21330000</v>
      </c>
      <c r="AG17" s="64">
        <v>7056000</v>
      </c>
      <c r="AH17" s="64" t="s">
        <v>188</v>
      </c>
      <c r="AI17" s="64" t="s">
        <v>188</v>
      </c>
    </row>
    <row r="18" spans="1:35">
      <c r="A18" s="66">
        <v>1998</v>
      </c>
      <c r="B18" s="56">
        <v>2850067</v>
      </c>
      <c r="C18" s="56">
        <f t="shared" si="10"/>
        <v>37033</v>
      </c>
      <c r="D18" s="56">
        <v>6601</v>
      </c>
      <c r="E18" s="56">
        <v>23102</v>
      </c>
      <c r="F18" s="56">
        <v>7330</v>
      </c>
      <c r="G18" s="57" t="s">
        <v>188</v>
      </c>
      <c r="H18" s="57" t="s">
        <v>188</v>
      </c>
      <c r="J18" s="32">
        <f t="shared" si="1"/>
        <v>2802493.1999999997</v>
      </c>
      <c r="K18" s="32">
        <f t="shared" si="2"/>
        <v>6817.2</v>
      </c>
      <c r="L18" s="32">
        <f t="shared" si="3"/>
        <v>24923.600000000002</v>
      </c>
      <c r="M18" s="32">
        <f t="shared" si="4"/>
        <v>10093.199999999999</v>
      </c>
      <c r="N18" s="32">
        <f t="shared" si="5"/>
        <v>4867.2</v>
      </c>
      <c r="O18" s="32">
        <f t="shared" si="6"/>
        <v>9963.1999999999989</v>
      </c>
      <c r="P18" s="32">
        <f t="shared" si="7"/>
        <v>11533.6</v>
      </c>
      <c r="Q18" s="32">
        <f t="shared" si="8"/>
        <v>9063.6</v>
      </c>
      <c r="R18" s="32">
        <f t="shared" si="9"/>
        <v>0</v>
      </c>
      <c r="T18" s="64">
        <v>53894.1</v>
      </c>
      <c r="U18" s="64">
        <v>131.1</v>
      </c>
      <c r="V18" s="64">
        <v>479.3</v>
      </c>
      <c r="W18" s="64">
        <v>194.1</v>
      </c>
      <c r="X18" s="64">
        <v>93.6</v>
      </c>
      <c r="Y18" s="64">
        <v>191.6</v>
      </c>
      <c r="Z18" s="64">
        <v>221.8</v>
      </c>
      <c r="AA18" s="64">
        <v>174.3</v>
      </c>
      <c r="AB18" s="64">
        <v>0</v>
      </c>
      <c r="AD18" s="64">
        <v>2847365000</v>
      </c>
      <c r="AE18" s="64">
        <v>7381000</v>
      </c>
      <c r="AF18" s="64">
        <v>22190000</v>
      </c>
      <c r="AG18" s="64">
        <v>7634000</v>
      </c>
      <c r="AH18" s="64" t="s">
        <v>188</v>
      </c>
      <c r="AI18" s="64" t="s">
        <v>188</v>
      </c>
    </row>
    <row r="19" spans="1:35">
      <c r="A19" s="66">
        <v>1999</v>
      </c>
      <c r="B19" s="56">
        <v>2901902</v>
      </c>
      <c r="C19" s="56">
        <f t="shared" si="10"/>
        <v>39874</v>
      </c>
      <c r="D19" s="56">
        <v>5728</v>
      </c>
      <c r="E19" s="56">
        <v>26525</v>
      </c>
      <c r="F19" s="56">
        <v>7621</v>
      </c>
      <c r="G19" s="56">
        <v>5527</v>
      </c>
      <c r="H19" s="56">
        <v>2094</v>
      </c>
      <c r="J19" s="32">
        <f t="shared" si="1"/>
        <v>2880758.4</v>
      </c>
      <c r="K19" s="32">
        <f t="shared" si="2"/>
        <v>4586.4000000000005</v>
      </c>
      <c r="L19" s="32">
        <f t="shared" si="3"/>
        <v>30305.599999999999</v>
      </c>
      <c r="M19" s="32">
        <f t="shared" si="4"/>
        <v>12573.6</v>
      </c>
      <c r="N19" s="32">
        <f t="shared" si="5"/>
        <v>4565.5999999999995</v>
      </c>
      <c r="O19" s="32">
        <f t="shared" si="6"/>
        <v>13161.199999999999</v>
      </c>
      <c r="P19" s="32">
        <f t="shared" si="7"/>
        <v>9786.4</v>
      </c>
      <c r="Q19" s="32">
        <f t="shared" si="8"/>
        <v>7347.6</v>
      </c>
      <c r="R19" s="32">
        <f t="shared" si="9"/>
        <v>0</v>
      </c>
      <c r="T19" s="64">
        <v>55399.199999999997</v>
      </c>
      <c r="U19" s="64">
        <v>88.2</v>
      </c>
      <c r="V19" s="64">
        <v>582.79999999999995</v>
      </c>
      <c r="W19" s="64">
        <v>241.8</v>
      </c>
      <c r="X19" s="64">
        <v>87.8</v>
      </c>
      <c r="Y19" s="64">
        <v>253.1</v>
      </c>
      <c r="Z19" s="64">
        <v>188.2</v>
      </c>
      <c r="AA19" s="64">
        <v>141.30000000000001</v>
      </c>
      <c r="AB19" s="64">
        <v>0</v>
      </c>
      <c r="AD19" s="64">
        <v>2893512000</v>
      </c>
      <c r="AE19" s="64">
        <v>6318000</v>
      </c>
      <c r="AF19" s="64">
        <v>25399000</v>
      </c>
      <c r="AG19" s="64">
        <v>7859000</v>
      </c>
      <c r="AH19" s="64">
        <v>5760000</v>
      </c>
      <c r="AI19" s="64">
        <v>2099000</v>
      </c>
    </row>
    <row r="20" spans="1:35">
      <c r="A20" s="66">
        <v>2000</v>
      </c>
      <c r="B20" s="56">
        <v>2987658</v>
      </c>
      <c r="C20" s="56">
        <f t="shared" si="10"/>
        <v>37407</v>
      </c>
      <c r="D20" s="56">
        <v>5654</v>
      </c>
      <c r="E20" s="56">
        <v>23894</v>
      </c>
      <c r="F20" s="56">
        <v>7859</v>
      </c>
      <c r="G20" s="56">
        <v>5735</v>
      </c>
      <c r="H20" s="56">
        <v>2124</v>
      </c>
      <c r="J20" s="32">
        <f t="shared" si="1"/>
        <v>3015422.8000000003</v>
      </c>
      <c r="K20" s="32">
        <f t="shared" si="2"/>
        <v>6879.6</v>
      </c>
      <c r="L20" s="32">
        <f t="shared" si="3"/>
        <v>29354</v>
      </c>
      <c r="M20" s="32">
        <f t="shared" si="4"/>
        <v>12339.6</v>
      </c>
      <c r="N20" s="32">
        <f t="shared" si="5"/>
        <v>4856.8</v>
      </c>
      <c r="O20" s="32">
        <f t="shared" si="6"/>
        <v>12157.6</v>
      </c>
      <c r="P20" s="32">
        <f t="shared" si="7"/>
        <v>8574.8000000000011</v>
      </c>
      <c r="Q20" s="32">
        <f t="shared" si="8"/>
        <v>6640.4000000000005</v>
      </c>
      <c r="R20" s="32">
        <f t="shared" si="9"/>
        <v>0</v>
      </c>
      <c r="T20" s="64">
        <v>57988.9</v>
      </c>
      <c r="U20" s="64">
        <v>132.30000000000001</v>
      </c>
      <c r="V20" s="64">
        <v>564.5</v>
      </c>
      <c r="W20" s="64">
        <v>237.3</v>
      </c>
      <c r="X20" s="64">
        <v>93.4</v>
      </c>
      <c r="Y20" s="64">
        <v>233.8</v>
      </c>
      <c r="Z20" s="64">
        <v>164.9</v>
      </c>
      <c r="AA20" s="64">
        <v>127.7</v>
      </c>
      <c r="AB20" s="64">
        <v>0</v>
      </c>
      <c r="AD20" s="64">
        <v>2989786000</v>
      </c>
      <c r="AE20" s="64">
        <v>6226000</v>
      </c>
      <c r="AF20" s="64">
        <v>23121000</v>
      </c>
      <c r="AG20" s="64">
        <v>7974000</v>
      </c>
      <c r="AH20" s="64">
        <v>5848000</v>
      </c>
      <c r="AI20" s="64">
        <v>2126000</v>
      </c>
    </row>
    <row r="21" spans="1:35">
      <c r="A21" s="66">
        <v>2001</v>
      </c>
      <c r="B21" s="56">
        <v>3105066</v>
      </c>
      <c r="C21" s="56">
        <f t="shared" si="10"/>
        <v>32369</v>
      </c>
      <c r="D21" s="56">
        <v>5753</v>
      </c>
      <c r="E21" s="56">
        <v>19865</v>
      </c>
      <c r="F21" s="56">
        <v>6751</v>
      </c>
      <c r="G21" s="56">
        <v>4927</v>
      </c>
      <c r="H21" s="56">
        <v>1824</v>
      </c>
      <c r="J21" s="32">
        <f t="shared" si="1"/>
        <v>3098399.1999999997</v>
      </c>
      <c r="K21" s="32">
        <f t="shared" si="2"/>
        <v>5907.2</v>
      </c>
      <c r="L21" s="32">
        <f t="shared" si="3"/>
        <v>23379.200000000001</v>
      </c>
      <c r="M21" s="32">
        <f t="shared" si="4"/>
        <v>8590.4</v>
      </c>
      <c r="N21" s="32">
        <f t="shared" si="5"/>
        <v>4565.5999999999995</v>
      </c>
      <c r="O21" s="32">
        <f t="shared" si="6"/>
        <v>10223.199999999999</v>
      </c>
      <c r="P21" s="32">
        <f t="shared" si="7"/>
        <v>10296</v>
      </c>
      <c r="Q21" s="32">
        <f t="shared" si="8"/>
        <v>6240</v>
      </c>
      <c r="R21" s="32">
        <f t="shared" si="9"/>
        <v>4050.8</v>
      </c>
      <c r="T21" s="64">
        <v>59584.6</v>
      </c>
      <c r="U21" s="64">
        <v>113.6</v>
      </c>
      <c r="V21" s="64">
        <v>449.6</v>
      </c>
      <c r="W21" s="64">
        <v>165.2</v>
      </c>
      <c r="X21" s="64">
        <v>87.8</v>
      </c>
      <c r="Y21" s="64">
        <v>196.6</v>
      </c>
      <c r="Z21" s="64">
        <v>198</v>
      </c>
      <c r="AA21" s="64">
        <v>120</v>
      </c>
      <c r="AB21" s="64">
        <v>77.900000000000006</v>
      </c>
      <c r="AD21" s="64">
        <v>3114287000</v>
      </c>
      <c r="AE21" s="64">
        <v>6283000</v>
      </c>
      <c r="AF21" s="64">
        <v>22167000</v>
      </c>
      <c r="AG21" s="64">
        <v>6935000</v>
      </c>
      <c r="AH21" s="64">
        <v>4982000</v>
      </c>
      <c r="AI21" s="64">
        <v>1953000</v>
      </c>
    </row>
    <row r="22" spans="1:35">
      <c r="A22" s="66">
        <v>2002</v>
      </c>
      <c r="B22" s="56">
        <v>3128958</v>
      </c>
      <c r="C22" s="56">
        <f t="shared" si="10"/>
        <v>34660</v>
      </c>
      <c r="D22" s="56">
        <v>5149</v>
      </c>
      <c r="E22" s="56">
        <v>22638</v>
      </c>
      <c r="F22" s="56">
        <v>6873</v>
      </c>
      <c r="G22" s="56">
        <v>4727</v>
      </c>
      <c r="H22" s="56">
        <v>2146</v>
      </c>
      <c r="J22" s="32">
        <f t="shared" si="1"/>
        <v>3109059.1999999997</v>
      </c>
      <c r="K22" s="32">
        <f t="shared" si="2"/>
        <v>5023.2</v>
      </c>
      <c r="L22" s="32">
        <f t="shared" si="3"/>
        <v>25079.600000000002</v>
      </c>
      <c r="M22" s="32">
        <f t="shared" si="4"/>
        <v>10348</v>
      </c>
      <c r="N22" s="32">
        <f t="shared" si="5"/>
        <v>0</v>
      </c>
      <c r="O22" s="32">
        <f t="shared" si="6"/>
        <v>11986</v>
      </c>
      <c r="P22" s="32">
        <f t="shared" si="7"/>
        <v>8054.8</v>
      </c>
      <c r="Q22" s="32">
        <f t="shared" si="8"/>
        <v>6900.4</v>
      </c>
      <c r="R22" s="32">
        <f t="shared" si="9"/>
        <v>0</v>
      </c>
      <c r="T22" s="64">
        <v>59789.599999999999</v>
      </c>
      <c r="U22" s="64">
        <v>96.6</v>
      </c>
      <c r="V22" s="64">
        <v>482.3</v>
      </c>
      <c r="W22" s="64">
        <v>199</v>
      </c>
      <c r="X22" s="64">
        <v>0</v>
      </c>
      <c r="Y22" s="64">
        <v>230.5</v>
      </c>
      <c r="Z22" s="64">
        <v>154.9</v>
      </c>
      <c r="AA22" s="64">
        <v>132.69999999999999</v>
      </c>
      <c r="AB22" s="64">
        <v>0</v>
      </c>
      <c r="AD22" s="64">
        <v>3123915000</v>
      </c>
      <c r="AE22" s="64">
        <v>5699000</v>
      </c>
      <c r="AF22" s="64">
        <v>24225000</v>
      </c>
      <c r="AG22" s="64">
        <v>6891000</v>
      </c>
      <c r="AH22" s="64">
        <v>4666000</v>
      </c>
      <c r="AI22" s="64">
        <v>2225000</v>
      </c>
    </row>
    <row r="23" spans="1:35">
      <c r="A23" s="66">
        <v>2003</v>
      </c>
      <c r="B23" s="56">
        <v>3234486</v>
      </c>
      <c r="C23" s="56">
        <f t="shared" si="10"/>
        <v>33808</v>
      </c>
      <c r="D23" s="56">
        <v>5617</v>
      </c>
      <c r="E23" s="56">
        <v>21769</v>
      </c>
      <c r="F23" s="56">
        <v>6422</v>
      </c>
      <c r="G23" s="56">
        <v>4199</v>
      </c>
      <c r="H23" s="56">
        <v>2223</v>
      </c>
      <c r="J23" s="32">
        <f t="shared" si="1"/>
        <v>3171963.6</v>
      </c>
      <c r="K23" s="32">
        <f t="shared" si="2"/>
        <v>8247.1999999999989</v>
      </c>
      <c r="L23" s="32">
        <f t="shared" si="3"/>
        <v>34013.200000000004</v>
      </c>
      <c r="M23" s="32">
        <f t="shared" si="4"/>
        <v>16265.6</v>
      </c>
      <c r="N23" s="32">
        <f t="shared" si="5"/>
        <v>5418.4000000000005</v>
      </c>
      <c r="O23" s="32">
        <f t="shared" si="6"/>
        <v>12329.199999999999</v>
      </c>
      <c r="P23" s="32">
        <f t="shared" si="7"/>
        <v>6281.5999999999995</v>
      </c>
      <c r="Q23" s="32">
        <f t="shared" si="8"/>
        <v>4570.8</v>
      </c>
      <c r="R23" s="32">
        <f t="shared" si="9"/>
        <v>0</v>
      </c>
      <c r="T23" s="64">
        <v>60999.3</v>
      </c>
      <c r="U23" s="64">
        <v>158.6</v>
      </c>
      <c r="V23" s="64">
        <v>654.1</v>
      </c>
      <c r="W23" s="64">
        <v>312.8</v>
      </c>
      <c r="X23" s="64">
        <v>104.2</v>
      </c>
      <c r="Y23" s="64">
        <v>237.1</v>
      </c>
      <c r="Z23" s="64">
        <v>120.8</v>
      </c>
      <c r="AA23" s="64">
        <v>87.9</v>
      </c>
      <c r="AB23" s="64">
        <v>0</v>
      </c>
      <c r="AD23" s="64">
        <v>3212156000</v>
      </c>
      <c r="AE23" s="64">
        <v>6093000</v>
      </c>
      <c r="AF23" s="64">
        <v>22486000</v>
      </c>
      <c r="AG23" s="64">
        <v>6256000</v>
      </c>
      <c r="AH23" s="64">
        <v>3982000</v>
      </c>
      <c r="AI23" s="64">
        <v>2274000</v>
      </c>
    </row>
    <row r="24" spans="1:35">
      <c r="A24" s="66">
        <v>2004</v>
      </c>
      <c r="B24" s="56">
        <v>3360369</v>
      </c>
      <c r="C24" s="56">
        <f t="shared" si="10"/>
        <v>34749</v>
      </c>
      <c r="D24" s="56">
        <v>5742</v>
      </c>
      <c r="E24" s="56">
        <v>22533</v>
      </c>
      <c r="F24" s="56">
        <v>6474</v>
      </c>
      <c r="G24" s="56">
        <v>4461</v>
      </c>
      <c r="H24" s="56">
        <v>2013</v>
      </c>
      <c r="J24" s="32">
        <f t="shared" si="1"/>
        <v>3265927.6</v>
      </c>
      <c r="K24" s="32">
        <f t="shared" si="2"/>
        <v>8886.8000000000011</v>
      </c>
      <c r="L24" s="32">
        <f t="shared" si="3"/>
        <v>30128.799999999999</v>
      </c>
      <c r="M24" s="32">
        <f t="shared" si="4"/>
        <v>14144</v>
      </c>
      <c r="N24" s="32">
        <f t="shared" si="5"/>
        <v>5267.5999999999995</v>
      </c>
      <c r="O24" s="32">
        <f t="shared" si="6"/>
        <v>10717.199999999999</v>
      </c>
      <c r="P24" s="32">
        <f t="shared" si="7"/>
        <v>7701.2</v>
      </c>
      <c r="Q24" s="32">
        <f t="shared" si="8"/>
        <v>4981.5999999999995</v>
      </c>
      <c r="R24" s="32">
        <f t="shared" si="9"/>
        <v>0</v>
      </c>
      <c r="T24" s="64">
        <v>62806.3</v>
      </c>
      <c r="U24" s="64">
        <v>170.9</v>
      </c>
      <c r="V24" s="64">
        <v>579.4</v>
      </c>
      <c r="W24" s="64">
        <v>272</v>
      </c>
      <c r="X24" s="64">
        <v>101.3</v>
      </c>
      <c r="Y24" s="64">
        <v>206.1</v>
      </c>
      <c r="Z24" s="64">
        <v>148.1</v>
      </c>
      <c r="AA24" s="64">
        <v>95.8</v>
      </c>
      <c r="AB24" s="64">
        <v>0</v>
      </c>
      <c r="AD24" s="64">
        <v>3342854000</v>
      </c>
      <c r="AE24" s="64">
        <v>6230000</v>
      </c>
      <c r="AF24" s="64">
        <v>22241000</v>
      </c>
      <c r="AG24" s="64">
        <v>6368000</v>
      </c>
      <c r="AH24" s="64">
        <v>4078000</v>
      </c>
      <c r="AI24" s="64">
        <v>2290000</v>
      </c>
    </row>
    <row r="25" spans="1:35">
      <c r="A25" s="66">
        <v>2005</v>
      </c>
      <c r="B25" s="56">
        <v>3453023</v>
      </c>
      <c r="C25" s="56">
        <f t="shared" si="10"/>
        <v>33680</v>
      </c>
      <c r="D25" s="56">
        <v>5578</v>
      </c>
      <c r="E25" s="56">
        <v>21642</v>
      </c>
      <c r="F25" s="56">
        <v>6460</v>
      </c>
      <c r="G25" s="56">
        <v>4259</v>
      </c>
      <c r="H25" s="56">
        <v>2201</v>
      </c>
      <c r="J25" s="32">
        <f t="shared" si="1"/>
        <v>3368346.8000000003</v>
      </c>
      <c r="K25" s="32">
        <f t="shared" si="2"/>
        <v>4966</v>
      </c>
      <c r="L25" s="32">
        <f t="shared" si="3"/>
        <v>23654.799999999999</v>
      </c>
      <c r="M25" s="32">
        <f t="shared" si="4"/>
        <v>11918.4</v>
      </c>
      <c r="N25" s="32">
        <f t="shared" si="5"/>
        <v>4503.2</v>
      </c>
      <c r="O25" s="32">
        <f t="shared" si="6"/>
        <v>7233.2</v>
      </c>
      <c r="P25" s="32">
        <f t="shared" si="7"/>
        <v>6718.4</v>
      </c>
      <c r="Q25" s="32">
        <f t="shared" si="8"/>
        <v>6333.5999999999995</v>
      </c>
      <c r="R25" s="32">
        <f t="shared" si="9"/>
        <v>0</v>
      </c>
      <c r="T25" s="64">
        <v>64775.9</v>
      </c>
      <c r="U25" s="64">
        <v>95.5</v>
      </c>
      <c r="V25" s="64">
        <v>454.9</v>
      </c>
      <c r="W25" s="64">
        <v>229.2</v>
      </c>
      <c r="X25" s="64">
        <v>86.6</v>
      </c>
      <c r="Y25" s="64">
        <v>139.1</v>
      </c>
      <c r="Z25" s="64">
        <v>129.19999999999999</v>
      </c>
      <c r="AA25" s="64">
        <v>121.8</v>
      </c>
      <c r="AB25" s="64">
        <v>0</v>
      </c>
      <c r="AD25" s="64">
        <v>3391708000</v>
      </c>
      <c r="AE25" s="64">
        <v>6121000</v>
      </c>
      <c r="AF25" s="64">
        <v>22594000</v>
      </c>
      <c r="AG25" s="64">
        <v>6679000</v>
      </c>
      <c r="AH25" s="64">
        <v>4123000</v>
      </c>
      <c r="AI25" s="64">
        <v>2557000</v>
      </c>
    </row>
    <row r="26" spans="1:35">
      <c r="A26" s="66">
        <v>2006</v>
      </c>
      <c r="B26" s="56">
        <v>3622089</v>
      </c>
      <c r="C26" s="56">
        <f t="shared" si="10"/>
        <v>35450</v>
      </c>
      <c r="D26" s="56">
        <v>5984</v>
      </c>
      <c r="E26" s="56">
        <v>23053</v>
      </c>
      <c r="F26" s="56">
        <v>6413</v>
      </c>
      <c r="G26" s="56" t="s">
        <v>188</v>
      </c>
      <c r="H26" s="56" t="s">
        <v>188</v>
      </c>
      <c r="J26" s="32">
        <f t="shared" si="1"/>
        <v>3520680.8</v>
      </c>
      <c r="K26" s="32">
        <f t="shared" si="2"/>
        <v>4773.5999999999995</v>
      </c>
      <c r="L26" s="32">
        <f t="shared" si="3"/>
        <v>24289.200000000001</v>
      </c>
      <c r="M26" s="32">
        <f t="shared" si="4"/>
        <v>11180</v>
      </c>
      <c r="N26" s="32">
        <f t="shared" si="5"/>
        <v>4097.5999999999995</v>
      </c>
      <c r="O26" s="32">
        <f t="shared" si="6"/>
        <v>9011.6</v>
      </c>
      <c r="P26" s="32">
        <f t="shared" si="7"/>
        <v>7222.8</v>
      </c>
      <c r="Q26" s="32">
        <f t="shared" si="8"/>
        <v>5356</v>
      </c>
      <c r="R26" s="32">
        <f t="shared" si="9"/>
        <v>0</v>
      </c>
      <c r="T26" s="64">
        <v>67705.399999999994</v>
      </c>
      <c r="U26" s="64">
        <v>91.8</v>
      </c>
      <c r="V26" s="64">
        <v>467.1</v>
      </c>
      <c r="W26" s="64">
        <v>215</v>
      </c>
      <c r="X26" s="64">
        <v>78.8</v>
      </c>
      <c r="Y26" s="64">
        <v>173.3</v>
      </c>
      <c r="Z26" s="64">
        <v>138.9</v>
      </c>
      <c r="AA26" s="64">
        <v>103</v>
      </c>
      <c r="AB26" s="64">
        <v>0</v>
      </c>
      <c r="AD26" s="64">
        <v>3553194000</v>
      </c>
      <c r="AE26" s="64">
        <v>5917000</v>
      </c>
      <c r="AF26" s="64">
        <v>24996000</v>
      </c>
      <c r="AG26" s="64">
        <v>7508000</v>
      </c>
      <c r="AH26" s="64">
        <v>4762000</v>
      </c>
      <c r="AI26" s="64">
        <v>2746000</v>
      </c>
    </row>
    <row r="27" spans="1:35">
      <c r="A27" s="66">
        <v>2007</v>
      </c>
      <c r="B27" s="56">
        <v>3788383</v>
      </c>
      <c r="C27" s="56">
        <f t="shared" si="10"/>
        <v>32856</v>
      </c>
      <c r="D27" s="56">
        <v>5362</v>
      </c>
      <c r="E27" s="56">
        <v>21408</v>
      </c>
      <c r="F27" s="56">
        <v>6086</v>
      </c>
      <c r="G27" s="56">
        <v>4001</v>
      </c>
      <c r="H27" s="56">
        <v>2085</v>
      </c>
      <c r="J27" s="32">
        <f t="shared" si="1"/>
        <v>3731660.4</v>
      </c>
      <c r="K27" s="32">
        <f t="shared" si="2"/>
        <v>4544.8</v>
      </c>
      <c r="L27" s="32">
        <f t="shared" si="3"/>
        <v>28298.400000000001</v>
      </c>
      <c r="M27" s="32">
        <f t="shared" si="4"/>
        <v>7768.8</v>
      </c>
      <c r="N27" s="32">
        <f t="shared" si="5"/>
        <v>7820.8</v>
      </c>
      <c r="O27" s="32">
        <f t="shared" si="6"/>
        <v>12714</v>
      </c>
      <c r="P27" s="32">
        <f t="shared" si="7"/>
        <v>8127.6</v>
      </c>
      <c r="Q27" s="32">
        <f t="shared" si="8"/>
        <v>6120.4000000000005</v>
      </c>
      <c r="R27" s="32">
        <f t="shared" si="9"/>
        <v>0</v>
      </c>
      <c r="T27" s="64">
        <v>71762.7</v>
      </c>
      <c r="U27" s="64">
        <v>87.4</v>
      </c>
      <c r="V27" s="64">
        <v>544.20000000000005</v>
      </c>
      <c r="W27" s="64">
        <v>149.4</v>
      </c>
      <c r="X27" s="64">
        <v>150.4</v>
      </c>
      <c r="Y27" s="64">
        <v>244.5</v>
      </c>
      <c r="Z27" s="64">
        <v>156.30000000000001</v>
      </c>
      <c r="AA27" s="64">
        <v>117.7</v>
      </c>
      <c r="AB27" s="64">
        <v>0</v>
      </c>
    </row>
    <row r="28" spans="1:35">
      <c r="A28" s="66">
        <v>2008</v>
      </c>
      <c r="B28" s="56">
        <v>3852477</v>
      </c>
      <c r="C28" s="56">
        <f>IFERROR(D28+E28+F28,"x")</f>
        <v>28311</v>
      </c>
      <c r="D28" s="56">
        <v>4727</v>
      </c>
      <c r="E28" s="56">
        <v>18026</v>
      </c>
      <c r="F28" s="56">
        <v>5558</v>
      </c>
      <c r="G28" s="56" t="s">
        <v>188</v>
      </c>
      <c r="H28" s="56" t="s">
        <v>188</v>
      </c>
      <c r="J28" s="32"/>
      <c r="K28" s="32"/>
      <c r="L28" s="32"/>
      <c r="M28" s="32"/>
      <c r="N28" s="32"/>
      <c r="O28" s="32"/>
      <c r="P28" s="32"/>
      <c r="Q28" s="32"/>
      <c r="R28" s="32"/>
    </row>
    <row r="29" spans="1:35">
      <c r="A29" s="66">
        <v>2009</v>
      </c>
      <c r="B29" s="56">
        <v>3669616</v>
      </c>
      <c r="C29" s="56">
        <f t="shared" ref="C29:C31" si="11">IFERROR(D29+E29+F29,"x")</f>
        <v>23205</v>
      </c>
      <c r="D29" s="56">
        <v>4999</v>
      </c>
      <c r="E29" s="56">
        <v>13221</v>
      </c>
      <c r="F29" s="56">
        <v>4985</v>
      </c>
      <c r="G29" s="56" t="s">
        <v>188</v>
      </c>
      <c r="H29" s="56" t="s">
        <v>188</v>
      </c>
      <c r="J29" s="32"/>
      <c r="K29" s="32"/>
      <c r="L29" s="32"/>
      <c r="M29" s="32"/>
      <c r="N29" s="32"/>
      <c r="O29" s="32"/>
      <c r="P29" s="32"/>
      <c r="Q29" s="32"/>
      <c r="R29" s="32"/>
    </row>
    <row r="30" spans="1:35">
      <c r="A30" s="66">
        <v>2010</v>
      </c>
      <c r="B30" s="56">
        <v>3702869</v>
      </c>
      <c r="C30" s="56">
        <f t="shared" si="11"/>
        <v>24155</v>
      </c>
      <c r="D30" s="56">
        <v>4929</v>
      </c>
      <c r="E30" s="56">
        <v>13872</v>
      </c>
      <c r="F30" s="56">
        <v>5354</v>
      </c>
      <c r="G30" s="56" t="s">
        <v>188</v>
      </c>
      <c r="H30" s="56" t="s">
        <v>188</v>
      </c>
      <c r="J30" s="32"/>
      <c r="K30" s="32"/>
      <c r="L30" s="32"/>
      <c r="M30" s="32"/>
      <c r="N30" s="32"/>
      <c r="O30" s="32"/>
      <c r="P30" s="32"/>
      <c r="Q30" s="32"/>
      <c r="R30" s="32"/>
    </row>
    <row r="31" spans="1:35">
      <c r="A31" s="66">
        <v>2011</v>
      </c>
      <c r="B31" s="56">
        <v>3887746</v>
      </c>
      <c r="C31" s="56">
        <f t="shared" si="11"/>
        <v>26852</v>
      </c>
      <c r="D31" s="56">
        <v>5496</v>
      </c>
      <c r="E31" s="56">
        <v>15693</v>
      </c>
      <c r="F31" s="56">
        <v>5663</v>
      </c>
      <c r="G31" s="56" t="s">
        <v>188</v>
      </c>
      <c r="H31" s="56" t="s">
        <v>188</v>
      </c>
      <c r="J31" s="32"/>
      <c r="K31" s="32"/>
      <c r="L31" s="32"/>
      <c r="M31" s="32"/>
      <c r="N31" s="32"/>
      <c r="O31" s="32"/>
      <c r="P31" s="32"/>
      <c r="Q31" s="32"/>
      <c r="R31" s="32"/>
    </row>
    <row r="32" spans="1:35">
      <c r="C32" s="56"/>
    </row>
    <row r="33" spans="1:18">
      <c r="A33" s="64" t="s">
        <v>498</v>
      </c>
      <c r="B33" s="57"/>
      <c r="C33" s="57"/>
      <c r="D33" s="57"/>
      <c r="E33" s="57"/>
      <c r="F33" s="57"/>
      <c r="G33" s="57"/>
      <c r="H33" s="57"/>
    </row>
    <row r="34" spans="1:18">
      <c r="A34" s="64" t="s">
        <v>1780</v>
      </c>
      <c r="B34" s="65">
        <f>IFERROR(((B31/B17)^(1/14)-1)*100,"n.a.")</f>
        <v>2.39404212990042</v>
      </c>
      <c r="C34" s="65">
        <f t="shared" ref="C34:H34" si="12">IFERROR(((C31/C17)^(1/14)-1)*100,"n.a.")</f>
        <v>-2.126151753921246</v>
      </c>
      <c r="D34" s="65">
        <f t="shared" si="12"/>
        <v>-1.7748305966422628</v>
      </c>
      <c r="E34" s="65">
        <f t="shared" si="12"/>
        <v>-2.5221509863991076</v>
      </c>
      <c r="F34" s="65">
        <f t="shared" si="12"/>
        <v>-1.2734871462733666</v>
      </c>
      <c r="G34" s="65" t="str">
        <f t="shared" si="12"/>
        <v>n.a.</v>
      </c>
      <c r="H34" s="65" t="str">
        <f t="shared" si="12"/>
        <v>n.a.</v>
      </c>
      <c r="J34" s="138">
        <f>((J26/J17)^(1/9)-1)*100</f>
        <v>2.6681988947858892</v>
      </c>
      <c r="K34" s="138">
        <f t="shared" ref="K34:R34" si="13">((K26/K17)^(1/9)-1)*100</f>
        <v>0.15859726509743766</v>
      </c>
      <c r="L34" s="138">
        <f t="shared" si="13"/>
        <v>-0.18384067282695149</v>
      </c>
      <c r="M34" s="138">
        <f t="shared" si="13"/>
        <v>1.2241369968511551</v>
      </c>
      <c r="N34" s="138">
        <f t="shared" si="13"/>
        <v>-0.88971951616038103</v>
      </c>
      <c r="O34" s="138">
        <f t="shared" si="13"/>
        <v>-1.4029959536203118</v>
      </c>
      <c r="P34" s="138">
        <f t="shared" si="13"/>
        <v>-2.1943273602045288</v>
      </c>
      <c r="Q34" s="138">
        <f t="shared" si="13"/>
        <v>-2.865014645672781</v>
      </c>
      <c r="R34" s="138" t="e">
        <f t="shared" si="13"/>
        <v>#DIV/0!</v>
      </c>
    </row>
    <row r="35" spans="1:18">
      <c r="A35" s="64" t="s">
        <v>663</v>
      </c>
      <c r="B35" s="65">
        <f>IFERROR(((B20/B17)^(1/3)-1)*100,"n.a.")</f>
        <v>2.2883583470685975</v>
      </c>
      <c r="C35" s="65">
        <f t="shared" ref="C35:H35" si="14">IFERROR(((C20/C17)^(1/3)-1)*100,"n.a.")</f>
        <v>1.0267807772221804</v>
      </c>
      <c r="D35" s="65">
        <f t="shared" si="14"/>
        <v>-7.1441299509366178</v>
      </c>
      <c r="E35" s="65">
        <f t="shared" si="14"/>
        <v>2.1147947898152886</v>
      </c>
      <c r="F35" s="65">
        <f t="shared" si="14"/>
        <v>5.0665883763292507</v>
      </c>
      <c r="G35" s="65" t="str">
        <f t="shared" si="14"/>
        <v>n.a.</v>
      </c>
      <c r="H35" s="65" t="str">
        <f t="shared" si="14"/>
        <v>n.a.</v>
      </c>
      <c r="J35" s="138"/>
      <c r="K35" s="138"/>
      <c r="L35" s="138"/>
      <c r="M35" s="138"/>
      <c r="N35" s="138"/>
      <c r="O35" s="138"/>
      <c r="P35" s="138"/>
      <c r="Q35" s="138"/>
      <c r="R35" s="138"/>
    </row>
    <row r="36" spans="1:18">
      <c r="A36" s="64" t="s">
        <v>1782</v>
      </c>
      <c r="B36" s="65">
        <f>IFERROR(((B31/B20)^(1/11)-1)*100,"n.a.")</f>
        <v>2.4228839256824619</v>
      </c>
      <c r="C36" s="65">
        <f t="shared" ref="C36:H36" si="15">IFERROR(((C31/C20)^(1/11)-1)*100,"n.a.")</f>
        <v>-2.9688338701016503</v>
      </c>
      <c r="D36" s="65">
        <f t="shared" si="15"/>
        <v>-0.25732928774104824</v>
      </c>
      <c r="E36" s="65">
        <f t="shared" si="15"/>
        <v>-3.7498187638467573</v>
      </c>
      <c r="F36" s="65">
        <f t="shared" si="15"/>
        <v>-2.9352026700444567</v>
      </c>
      <c r="G36" s="65" t="str">
        <f t="shared" si="15"/>
        <v>n.a.</v>
      </c>
      <c r="H36" s="65" t="str">
        <f t="shared" si="15"/>
        <v>n.a.</v>
      </c>
      <c r="J36" s="138"/>
      <c r="K36" s="138"/>
      <c r="L36" s="138"/>
      <c r="M36" s="138"/>
      <c r="N36" s="138"/>
      <c r="O36" s="138"/>
      <c r="P36" s="138"/>
      <c r="Q36" s="138"/>
      <c r="R36" s="138"/>
    </row>
    <row r="37" spans="1:18">
      <c r="B37" s="57"/>
      <c r="C37" s="57"/>
      <c r="D37" s="57"/>
      <c r="E37" s="57"/>
      <c r="F37" s="57"/>
      <c r="G37" s="57"/>
      <c r="H37" s="57"/>
    </row>
    <row r="38" spans="1:18">
      <c r="A38" s="137" t="s">
        <v>494</v>
      </c>
      <c r="B38" s="137"/>
      <c r="C38" s="137"/>
      <c r="D38" s="137"/>
      <c r="E38" s="137"/>
      <c r="F38" s="137"/>
      <c r="G38" s="137"/>
      <c r="H38" s="137"/>
    </row>
    <row r="39" spans="1:18">
      <c r="A39" s="137" t="s">
        <v>495</v>
      </c>
      <c r="B39" s="137"/>
      <c r="C39" s="137"/>
      <c r="D39" s="137"/>
      <c r="E39" s="137"/>
      <c r="F39" s="137"/>
      <c r="G39" s="137"/>
      <c r="H39" s="137"/>
    </row>
    <row r="40" spans="1:18" ht="15" hidden="1" customHeight="1" outlineLevel="1">
      <c r="A40" s="137" t="s">
        <v>496</v>
      </c>
      <c r="B40" s="137"/>
      <c r="C40" s="137"/>
      <c r="D40" s="137"/>
      <c r="E40" s="137"/>
      <c r="F40" s="137"/>
      <c r="G40" s="137"/>
      <c r="H40" s="137"/>
    </row>
    <row r="41" spans="1:18" collapsed="1">
      <c r="A41" s="137" t="s">
        <v>193</v>
      </c>
      <c r="B41" s="137"/>
      <c r="C41" s="137"/>
      <c r="D41" s="137"/>
      <c r="E41" s="137"/>
      <c r="F41" s="137"/>
      <c r="G41" s="137"/>
      <c r="H41" s="137"/>
    </row>
    <row r="42" spans="1:18">
      <c r="A42" s="137" t="s">
        <v>194</v>
      </c>
      <c r="B42" s="137"/>
      <c r="C42" s="137"/>
      <c r="D42" s="137"/>
      <c r="E42" s="137"/>
      <c r="F42" s="137"/>
      <c r="G42" s="137"/>
      <c r="H42" s="137"/>
    </row>
    <row r="43" spans="1:18">
      <c r="A43" s="137" t="s">
        <v>383</v>
      </c>
      <c r="B43" s="137"/>
      <c r="C43" s="137"/>
      <c r="D43" s="137"/>
      <c r="E43" s="137"/>
      <c r="F43" s="137"/>
      <c r="G43" s="137"/>
      <c r="H43" s="137"/>
    </row>
    <row r="44" spans="1:18" hidden="1" outlineLevel="1">
      <c r="A44" s="64" t="s">
        <v>497</v>
      </c>
      <c r="C44" s="142"/>
    </row>
    <row r="45" spans="1:18" collapsed="1">
      <c r="C45" s="142"/>
    </row>
  </sheetData>
  <mergeCells count="7">
    <mergeCell ref="A42:H42"/>
    <mergeCell ref="A43:H43"/>
    <mergeCell ref="A1:H1"/>
    <mergeCell ref="A38:H38"/>
    <mergeCell ref="A39:H39"/>
    <mergeCell ref="A40:H40"/>
    <mergeCell ref="A41:H41"/>
  </mergeCells>
  <pageMargins left="0.7" right="0.7" top="0.75" bottom="0.75" header="0.3" footer="0.3"/>
  <pageSetup scale="88" orientation="landscape" horizontalDpi="0" verticalDpi="0" r:id="rId1"/>
</worksheet>
</file>

<file path=xl/worksheets/sheet179.xml><?xml version="1.0" encoding="utf-8"?>
<worksheet xmlns="http://schemas.openxmlformats.org/spreadsheetml/2006/main" xmlns:r="http://schemas.openxmlformats.org/officeDocument/2006/relationships">
  <sheetPr codeName="Sheet173">
    <pageSetUpPr fitToPage="1"/>
  </sheetPr>
  <dimension ref="A1:AJ45"/>
  <sheetViews>
    <sheetView view="pageBreakPreview" zoomScaleNormal="85" zoomScaleSheetLayoutView="100"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9.140625" style="64"/>
    <col min="2" max="8" width="15.28515625" style="64" customWidth="1"/>
    <col min="9" max="9" width="9.140625" style="64"/>
    <col min="10" max="10" width="10.85546875" style="64" hidden="1" customWidth="1" outlineLevel="1"/>
    <col min="11" max="18" width="9.28515625" style="64" hidden="1" customWidth="1" outlineLevel="1"/>
    <col min="19" max="35" width="9.140625" style="64" hidden="1" customWidth="1" outlineLevel="1"/>
    <col min="36" max="36" width="9.140625" style="64" collapsed="1"/>
    <col min="37" max="16384" width="9.140625" style="64"/>
  </cols>
  <sheetData>
    <row r="1" spans="1:35">
      <c r="A1" s="93" t="s">
        <v>2103</v>
      </c>
      <c r="B1" s="93"/>
      <c r="C1" s="93"/>
      <c r="D1" s="93"/>
      <c r="E1" s="93"/>
      <c r="F1" s="93"/>
      <c r="G1" s="93"/>
      <c r="H1" s="93"/>
    </row>
    <row r="2" spans="1:35" ht="120">
      <c r="A2" s="66"/>
      <c r="B2" s="73" t="s">
        <v>41</v>
      </c>
      <c r="C2" s="73" t="s">
        <v>37</v>
      </c>
      <c r="D2" s="73" t="s">
        <v>0</v>
      </c>
      <c r="E2" s="73" t="s">
        <v>1</v>
      </c>
      <c r="F2" s="73" t="s">
        <v>2</v>
      </c>
      <c r="G2" s="73" t="s">
        <v>13</v>
      </c>
      <c r="H2" s="73" t="s">
        <v>19</v>
      </c>
      <c r="J2" s="73" t="s">
        <v>493</v>
      </c>
      <c r="K2" s="73" t="s">
        <v>492</v>
      </c>
      <c r="L2" s="73" t="s">
        <v>67</v>
      </c>
      <c r="M2" s="73" t="s">
        <v>68</v>
      </c>
      <c r="N2" s="73" t="s">
        <v>69</v>
      </c>
      <c r="O2" s="73" t="s">
        <v>70</v>
      </c>
      <c r="P2" s="73" t="s">
        <v>71</v>
      </c>
      <c r="Q2" s="73" t="s">
        <v>72</v>
      </c>
      <c r="R2" s="73" t="s">
        <v>73</v>
      </c>
      <c r="T2" s="117" t="s">
        <v>493</v>
      </c>
      <c r="U2" s="117" t="s">
        <v>492</v>
      </c>
      <c r="V2" s="117" t="s">
        <v>67</v>
      </c>
      <c r="W2" s="117" t="s">
        <v>68</v>
      </c>
      <c r="X2" s="117" t="s">
        <v>69</v>
      </c>
      <c r="Y2" s="117" t="s">
        <v>70</v>
      </c>
      <c r="Z2" s="117" t="s">
        <v>71</v>
      </c>
      <c r="AA2" s="117" t="s">
        <v>72</v>
      </c>
      <c r="AB2" s="117" t="s">
        <v>73</v>
      </c>
      <c r="AD2" s="64" t="s">
        <v>480</v>
      </c>
      <c r="AE2" s="64" t="s">
        <v>481</v>
      </c>
      <c r="AF2" s="64" t="s">
        <v>482</v>
      </c>
      <c r="AG2" s="64" t="s">
        <v>483</v>
      </c>
      <c r="AH2" s="64" t="s">
        <v>484</v>
      </c>
      <c r="AI2" s="64" t="s">
        <v>485</v>
      </c>
    </row>
    <row r="3" spans="1:35" hidden="1" outlineLevel="1">
      <c r="C3" s="135"/>
      <c r="AD3" s="64" t="s">
        <v>486</v>
      </c>
      <c r="AE3" s="64" t="s">
        <v>487</v>
      </c>
      <c r="AF3" s="64" t="s">
        <v>488</v>
      </c>
      <c r="AG3" s="64" t="s">
        <v>489</v>
      </c>
      <c r="AH3" s="64" t="s">
        <v>490</v>
      </c>
      <c r="AI3" s="64" t="s">
        <v>491</v>
      </c>
    </row>
    <row r="4" spans="1:35" hidden="1" outlineLevel="1" collapsed="1">
      <c r="A4" s="66">
        <v>1984</v>
      </c>
      <c r="C4" s="57"/>
    </row>
    <row r="5" spans="1:35" hidden="1" outlineLevel="1">
      <c r="A5" s="66">
        <v>1985</v>
      </c>
      <c r="C5" s="57"/>
    </row>
    <row r="6" spans="1:35" hidden="1" outlineLevel="1">
      <c r="A6" s="66">
        <v>1986</v>
      </c>
      <c r="C6" s="57"/>
    </row>
    <row r="7" spans="1:35" hidden="1" outlineLevel="1">
      <c r="A7" s="66">
        <v>1987</v>
      </c>
      <c r="C7" s="57"/>
      <c r="J7" s="32">
        <f>T7*52</f>
        <v>2412529.6</v>
      </c>
      <c r="K7" s="32">
        <f t="shared" ref="K7:R7" si="0">U7*52</f>
        <v>39587.599999999999</v>
      </c>
      <c r="L7" s="32">
        <f t="shared" si="0"/>
        <v>84848.400000000009</v>
      </c>
      <c r="M7" s="32">
        <f t="shared" si="0"/>
        <v>68697.2</v>
      </c>
      <c r="N7" s="32">
        <f t="shared" si="0"/>
        <v>7545.2</v>
      </c>
      <c r="O7" s="32">
        <f t="shared" si="0"/>
        <v>8606</v>
      </c>
      <c r="P7" s="32">
        <f t="shared" si="0"/>
        <v>33898.799999999996</v>
      </c>
      <c r="Q7" s="32">
        <f t="shared" si="0"/>
        <v>28168.400000000001</v>
      </c>
      <c r="R7" s="32">
        <f t="shared" si="0"/>
        <v>5730.4000000000005</v>
      </c>
      <c r="T7" s="64">
        <v>46394.8</v>
      </c>
      <c r="U7" s="64">
        <v>761.3</v>
      </c>
      <c r="V7" s="64">
        <v>1631.7</v>
      </c>
      <c r="W7" s="64">
        <v>1321.1</v>
      </c>
      <c r="X7" s="64">
        <v>145.1</v>
      </c>
      <c r="Y7" s="64">
        <v>165.5</v>
      </c>
      <c r="Z7" s="64">
        <v>651.9</v>
      </c>
      <c r="AA7" s="64">
        <v>541.70000000000005</v>
      </c>
      <c r="AB7" s="64">
        <v>110.2</v>
      </c>
    </row>
    <row r="8" spans="1:35" hidden="1" outlineLevel="1">
      <c r="A8" s="66">
        <v>1988</v>
      </c>
      <c r="C8" s="57"/>
      <c r="J8" s="32">
        <f t="shared" ref="J8:J27" si="1">T8*52</f>
        <v>2580333.6</v>
      </c>
      <c r="K8" s="32">
        <f t="shared" ref="K8:K27" si="2">U8*52</f>
        <v>45115.200000000004</v>
      </c>
      <c r="L8" s="32">
        <f t="shared" ref="L8:L27" si="3">V8*52</f>
        <v>79435.199999999997</v>
      </c>
      <c r="M8" s="32">
        <f t="shared" ref="M8:M27" si="4">W8*52</f>
        <v>60814</v>
      </c>
      <c r="N8" s="32">
        <f t="shared" ref="N8:N27" si="5">X8*52</f>
        <v>9651.1999999999989</v>
      </c>
      <c r="O8" s="32">
        <f t="shared" ref="O8:O27" si="6">Y8*52</f>
        <v>8975.1999999999989</v>
      </c>
      <c r="P8" s="32">
        <f t="shared" ref="P8:P27" si="7">Z8*52</f>
        <v>39655.200000000004</v>
      </c>
      <c r="Q8" s="32">
        <f t="shared" ref="Q8:Q27" si="8">AA8*52</f>
        <v>35620</v>
      </c>
      <c r="R8" s="32">
        <f t="shared" ref="R8:R27" si="9">AB8*52</f>
        <v>4035.2</v>
      </c>
      <c r="T8" s="64">
        <v>49621.8</v>
      </c>
      <c r="U8" s="64">
        <v>867.6</v>
      </c>
      <c r="V8" s="64">
        <v>1527.6</v>
      </c>
      <c r="W8" s="64">
        <v>1169.5</v>
      </c>
      <c r="X8" s="64">
        <v>185.6</v>
      </c>
      <c r="Y8" s="64">
        <v>172.6</v>
      </c>
      <c r="Z8" s="64">
        <v>762.6</v>
      </c>
      <c r="AA8" s="64">
        <v>685</v>
      </c>
      <c r="AB8" s="64">
        <v>77.599999999999994</v>
      </c>
    </row>
    <row r="9" spans="1:35" hidden="1" outlineLevel="1">
      <c r="A9" s="66">
        <v>1989</v>
      </c>
      <c r="C9" s="57"/>
      <c r="J9" s="32">
        <f t="shared" si="1"/>
        <v>2778219.6</v>
      </c>
      <c r="K9" s="32">
        <f t="shared" si="2"/>
        <v>43680</v>
      </c>
      <c r="L9" s="32">
        <f t="shared" si="3"/>
        <v>92326</v>
      </c>
      <c r="M9" s="32">
        <f t="shared" si="4"/>
        <v>64677.599999999999</v>
      </c>
      <c r="N9" s="32">
        <f t="shared" si="5"/>
        <v>12812.800000000001</v>
      </c>
      <c r="O9" s="32">
        <f t="shared" si="6"/>
        <v>14835.6</v>
      </c>
      <c r="P9" s="32">
        <f t="shared" si="7"/>
        <v>48417.200000000004</v>
      </c>
      <c r="Q9" s="32">
        <f t="shared" si="8"/>
        <v>44449.599999999999</v>
      </c>
      <c r="R9" s="32">
        <f t="shared" si="9"/>
        <v>3967.6</v>
      </c>
      <c r="T9" s="64">
        <v>53427.3</v>
      </c>
      <c r="U9" s="64">
        <v>840</v>
      </c>
      <c r="V9" s="64">
        <v>1775.5</v>
      </c>
      <c r="W9" s="64">
        <v>1243.8</v>
      </c>
      <c r="X9" s="64">
        <v>246.4</v>
      </c>
      <c r="Y9" s="64">
        <v>285.3</v>
      </c>
      <c r="Z9" s="64">
        <v>931.1</v>
      </c>
      <c r="AA9" s="64">
        <v>854.8</v>
      </c>
      <c r="AB9" s="64">
        <v>76.3</v>
      </c>
    </row>
    <row r="10" spans="1:35" hidden="1" outlineLevel="1">
      <c r="A10" s="66">
        <v>1990</v>
      </c>
      <c r="C10" s="57"/>
      <c r="J10" s="32">
        <f t="shared" si="1"/>
        <v>2830734.4</v>
      </c>
      <c r="K10" s="32">
        <f t="shared" si="2"/>
        <v>41386.799999999996</v>
      </c>
      <c r="L10" s="32">
        <f t="shared" si="3"/>
        <v>89684.400000000009</v>
      </c>
      <c r="M10" s="32">
        <f t="shared" si="4"/>
        <v>60938.8</v>
      </c>
      <c r="N10" s="32">
        <f t="shared" si="5"/>
        <v>14430</v>
      </c>
      <c r="O10" s="32">
        <f t="shared" si="6"/>
        <v>14315.6</v>
      </c>
      <c r="P10" s="32">
        <f t="shared" si="7"/>
        <v>36634</v>
      </c>
      <c r="Q10" s="32">
        <f t="shared" si="8"/>
        <v>33451.599999999999</v>
      </c>
      <c r="R10" s="32">
        <f t="shared" si="9"/>
        <v>3182.4</v>
      </c>
      <c r="T10" s="64">
        <v>54437.2</v>
      </c>
      <c r="U10" s="64">
        <v>795.9</v>
      </c>
      <c r="V10" s="64">
        <v>1724.7</v>
      </c>
      <c r="W10" s="64">
        <v>1171.9000000000001</v>
      </c>
      <c r="X10" s="64">
        <v>277.5</v>
      </c>
      <c r="Y10" s="64">
        <v>275.3</v>
      </c>
      <c r="Z10" s="64">
        <v>704.5</v>
      </c>
      <c r="AA10" s="64">
        <v>643.29999999999995</v>
      </c>
      <c r="AB10" s="64">
        <v>61.2</v>
      </c>
    </row>
    <row r="11" spans="1:35" hidden="1" outlineLevel="1">
      <c r="A11" s="66">
        <v>1991</v>
      </c>
      <c r="C11" s="57"/>
      <c r="J11" s="32">
        <f t="shared" si="1"/>
        <v>2797938</v>
      </c>
      <c r="K11" s="32">
        <f t="shared" si="2"/>
        <v>44298.799999999996</v>
      </c>
      <c r="L11" s="32">
        <f t="shared" si="3"/>
        <v>79679.599999999991</v>
      </c>
      <c r="M11" s="32">
        <f t="shared" si="4"/>
        <v>59186.400000000001</v>
      </c>
      <c r="N11" s="32">
        <f t="shared" si="5"/>
        <v>8788</v>
      </c>
      <c r="O11" s="32">
        <f t="shared" si="6"/>
        <v>11705.199999999999</v>
      </c>
      <c r="P11" s="32">
        <f t="shared" si="7"/>
        <v>37694.799999999996</v>
      </c>
      <c r="Q11" s="32">
        <f t="shared" si="8"/>
        <v>35089.599999999999</v>
      </c>
      <c r="R11" s="32">
        <f t="shared" si="9"/>
        <v>0</v>
      </c>
      <c r="T11" s="64">
        <v>53806.5</v>
      </c>
      <c r="U11" s="64">
        <v>851.9</v>
      </c>
      <c r="V11" s="64">
        <v>1532.3</v>
      </c>
      <c r="W11" s="64">
        <v>1138.2</v>
      </c>
      <c r="X11" s="64">
        <v>169</v>
      </c>
      <c r="Y11" s="64">
        <v>225.1</v>
      </c>
      <c r="Z11" s="64">
        <v>724.9</v>
      </c>
      <c r="AA11" s="64">
        <v>674.8</v>
      </c>
      <c r="AB11" s="64">
        <v>0</v>
      </c>
    </row>
    <row r="12" spans="1:35" hidden="1" outlineLevel="1">
      <c r="A12" s="66">
        <v>1992</v>
      </c>
      <c r="C12" s="57"/>
      <c r="J12" s="32">
        <f t="shared" si="1"/>
        <v>2831098.4</v>
      </c>
      <c r="K12" s="32">
        <f t="shared" si="2"/>
        <v>41844.400000000001</v>
      </c>
      <c r="L12" s="32">
        <f t="shared" si="3"/>
        <v>82638.400000000009</v>
      </c>
      <c r="M12" s="32">
        <f t="shared" si="4"/>
        <v>58682</v>
      </c>
      <c r="N12" s="32">
        <f t="shared" si="5"/>
        <v>10145.199999999999</v>
      </c>
      <c r="O12" s="32">
        <f t="shared" si="6"/>
        <v>13811.2</v>
      </c>
      <c r="P12" s="32">
        <f t="shared" si="7"/>
        <v>34335.599999999999</v>
      </c>
      <c r="Q12" s="32">
        <f t="shared" si="8"/>
        <v>32505.200000000001</v>
      </c>
      <c r="R12" s="32">
        <f t="shared" si="9"/>
        <v>0</v>
      </c>
      <c r="T12" s="64">
        <v>54444.2</v>
      </c>
      <c r="U12" s="64">
        <v>804.7</v>
      </c>
      <c r="V12" s="64">
        <v>1589.2</v>
      </c>
      <c r="W12" s="64">
        <v>1128.5</v>
      </c>
      <c r="X12" s="64">
        <v>195.1</v>
      </c>
      <c r="Y12" s="64">
        <v>265.60000000000002</v>
      </c>
      <c r="Z12" s="64">
        <v>660.3</v>
      </c>
      <c r="AA12" s="64">
        <v>625.1</v>
      </c>
      <c r="AB12" s="64">
        <v>0</v>
      </c>
    </row>
    <row r="13" spans="1:35" hidden="1" outlineLevel="1">
      <c r="A13" s="66">
        <v>1993</v>
      </c>
      <c r="B13" s="57"/>
      <c r="C13" s="57"/>
      <c r="D13" s="57"/>
      <c r="E13" s="57"/>
      <c r="F13" s="57"/>
      <c r="G13" s="57"/>
      <c r="H13" s="57"/>
      <c r="J13" s="32">
        <f t="shared" si="1"/>
        <v>2938639.6</v>
      </c>
      <c r="K13" s="32">
        <f t="shared" si="2"/>
        <v>43508.4</v>
      </c>
      <c r="L13" s="32">
        <f t="shared" si="3"/>
        <v>92383.2</v>
      </c>
      <c r="M13" s="32">
        <f t="shared" si="4"/>
        <v>69550</v>
      </c>
      <c r="N13" s="32">
        <f t="shared" si="5"/>
        <v>7794.8</v>
      </c>
      <c r="O13" s="32">
        <f t="shared" si="6"/>
        <v>15038.4</v>
      </c>
      <c r="P13" s="32">
        <f t="shared" si="7"/>
        <v>39665.599999999999</v>
      </c>
      <c r="Q13" s="32">
        <f t="shared" si="8"/>
        <v>35958</v>
      </c>
      <c r="R13" s="32">
        <f t="shared" si="9"/>
        <v>3712.8</v>
      </c>
      <c r="T13" s="64">
        <v>56512.3</v>
      </c>
      <c r="U13" s="64">
        <v>836.7</v>
      </c>
      <c r="V13" s="64">
        <v>1776.6</v>
      </c>
      <c r="W13" s="64">
        <v>1337.5</v>
      </c>
      <c r="X13" s="64">
        <v>149.9</v>
      </c>
      <c r="Y13" s="64">
        <v>289.2</v>
      </c>
      <c r="Z13" s="64">
        <v>762.8</v>
      </c>
      <c r="AA13" s="64">
        <v>691.5</v>
      </c>
      <c r="AB13" s="64">
        <v>71.400000000000006</v>
      </c>
    </row>
    <row r="14" spans="1:35" hidden="1" outlineLevel="1">
      <c r="A14" s="66">
        <v>1994</v>
      </c>
      <c r="B14" s="56"/>
      <c r="C14" s="56"/>
      <c r="D14" s="56"/>
      <c r="E14" s="56"/>
      <c r="F14" s="56"/>
      <c r="G14" s="56"/>
      <c r="H14" s="56"/>
      <c r="J14" s="32">
        <f t="shared" si="1"/>
        <v>3073642</v>
      </c>
      <c r="K14" s="32">
        <f t="shared" si="2"/>
        <v>48594</v>
      </c>
      <c r="L14" s="32">
        <f t="shared" si="3"/>
        <v>92950</v>
      </c>
      <c r="M14" s="32">
        <f t="shared" si="4"/>
        <v>61261.2</v>
      </c>
      <c r="N14" s="32">
        <f t="shared" si="5"/>
        <v>14658.8</v>
      </c>
      <c r="O14" s="32">
        <f t="shared" si="6"/>
        <v>17030</v>
      </c>
      <c r="P14" s="32">
        <f t="shared" si="7"/>
        <v>41470</v>
      </c>
      <c r="Q14" s="32">
        <f t="shared" si="8"/>
        <v>38838.799999999996</v>
      </c>
      <c r="R14" s="32">
        <f t="shared" si="9"/>
        <v>0</v>
      </c>
      <c r="T14" s="64">
        <v>59108.5</v>
      </c>
      <c r="U14" s="64">
        <v>934.5</v>
      </c>
      <c r="V14" s="64">
        <v>1787.5</v>
      </c>
      <c r="W14" s="64">
        <v>1178.0999999999999</v>
      </c>
      <c r="X14" s="64">
        <v>281.89999999999998</v>
      </c>
      <c r="Y14" s="64">
        <v>327.5</v>
      </c>
      <c r="Z14" s="64">
        <v>797.5</v>
      </c>
      <c r="AA14" s="64">
        <v>746.9</v>
      </c>
      <c r="AB14" s="64">
        <v>0</v>
      </c>
    </row>
    <row r="15" spans="1:35" hidden="1" outlineLevel="1">
      <c r="A15" s="66">
        <v>1995</v>
      </c>
      <c r="B15" s="56"/>
      <c r="C15" s="56"/>
      <c r="D15" s="56"/>
      <c r="E15" s="56"/>
      <c r="F15" s="56"/>
      <c r="G15" s="56"/>
      <c r="H15" s="56"/>
      <c r="J15" s="32">
        <f t="shared" si="1"/>
        <v>3138168.8000000003</v>
      </c>
      <c r="K15" s="32">
        <f t="shared" si="2"/>
        <v>59758.400000000001</v>
      </c>
      <c r="L15" s="32">
        <f t="shared" si="3"/>
        <v>81666</v>
      </c>
      <c r="M15" s="32">
        <f t="shared" si="4"/>
        <v>57527.6</v>
      </c>
      <c r="N15" s="32">
        <f t="shared" si="5"/>
        <v>10296</v>
      </c>
      <c r="O15" s="32">
        <f t="shared" si="6"/>
        <v>13847.6</v>
      </c>
      <c r="P15" s="32">
        <f t="shared" si="7"/>
        <v>45775.6</v>
      </c>
      <c r="Q15" s="32">
        <f t="shared" si="8"/>
        <v>42140.799999999996</v>
      </c>
      <c r="R15" s="32">
        <f t="shared" si="9"/>
        <v>3634.8</v>
      </c>
      <c r="T15" s="64">
        <v>60349.4</v>
      </c>
      <c r="U15" s="64">
        <v>1149.2</v>
      </c>
      <c r="V15" s="64">
        <v>1570.5</v>
      </c>
      <c r="W15" s="64">
        <v>1106.3</v>
      </c>
      <c r="X15" s="64">
        <v>198</v>
      </c>
      <c r="Y15" s="64">
        <v>266.3</v>
      </c>
      <c r="Z15" s="64">
        <v>880.3</v>
      </c>
      <c r="AA15" s="64">
        <v>810.4</v>
      </c>
      <c r="AB15" s="64">
        <v>69.900000000000006</v>
      </c>
    </row>
    <row r="16" spans="1:35" hidden="1" outlineLevel="1">
      <c r="A16" s="66">
        <v>1996</v>
      </c>
      <c r="B16" s="56"/>
      <c r="C16" s="56"/>
      <c r="D16" s="56"/>
      <c r="E16" s="56"/>
      <c r="F16" s="56"/>
      <c r="G16" s="56"/>
      <c r="H16" s="56"/>
      <c r="J16" s="32">
        <f t="shared" si="1"/>
        <v>3200210</v>
      </c>
      <c r="K16" s="32">
        <f t="shared" si="2"/>
        <v>48282</v>
      </c>
      <c r="L16" s="32">
        <f t="shared" si="3"/>
        <v>83236.400000000009</v>
      </c>
      <c r="M16" s="32">
        <f t="shared" si="4"/>
        <v>55525.599999999999</v>
      </c>
      <c r="N16" s="32">
        <f t="shared" si="5"/>
        <v>13769.6</v>
      </c>
      <c r="O16" s="32">
        <f t="shared" si="6"/>
        <v>13941.2</v>
      </c>
      <c r="P16" s="32">
        <f t="shared" si="7"/>
        <v>44418.400000000001</v>
      </c>
      <c r="Q16" s="32">
        <f t="shared" si="8"/>
        <v>42286.400000000001</v>
      </c>
      <c r="R16" s="32">
        <f t="shared" si="9"/>
        <v>0</v>
      </c>
      <c r="T16" s="64">
        <v>61542.5</v>
      </c>
      <c r="U16" s="64">
        <v>928.5</v>
      </c>
      <c r="V16" s="64">
        <v>1600.7</v>
      </c>
      <c r="W16" s="64">
        <v>1067.8</v>
      </c>
      <c r="X16" s="64">
        <v>264.8</v>
      </c>
      <c r="Y16" s="64">
        <v>268.10000000000002</v>
      </c>
      <c r="Z16" s="64">
        <v>854.2</v>
      </c>
      <c r="AA16" s="64">
        <v>813.2</v>
      </c>
      <c r="AB16" s="64">
        <v>0</v>
      </c>
    </row>
    <row r="17" spans="1:35" collapsed="1">
      <c r="A17" s="66">
        <v>1997</v>
      </c>
      <c r="B17" s="56">
        <v>3255200</v>
      </c>
      <c r="C17" s="56">
        <f t="shared" ref="C17:C27" si="10">IFERROR(D17+E17+F17,"x")</f>
        <v>207488</v>
      </c>
      <c r="D17" s="56">
        <v>62382</v>
      </c>
      <c r="E17" s="56">
        <v>103784</v>
      </c>
      <c r="F17" s="56">
        <v>41322</v>
      </c>
      <c r="G17" s="56">
        <v>38026</v>
      </c>
      <c r="H17" s="56">
        <v>3296</v>
      </c>
      <c r="J17" s="32">
        <f t="shared" si="1"/>
        <v>3261975.6</v>
      </c>
      <c r="K17" s="32">
        <f t="shared" si="2"/>
        <v>41979.6</v>
      </c>
      <c r="L17" s="32">
        <f t="shared" si="3"/>
        <v>87167.599999999991</v>
      </c>
      <c r="M17" s="32">
        <f t="shared" si="4"/>
        <v>62150.400000000001</v>
      </c>
      <c r="N17" s="32">
        <f t="shared" si="5"/>
        <v>10160.800000000001</v>
      </c>
      <c r="O17" s="32">
        <f t="shared" si="6"/>
        <v>14861.6</v>
      </c>
      <c r="P17" s="32">
        <f t="shared" si="7"/>
        <v>41735.200000000004</v>
      </c>
      <c r="Q17" s="32">
        <f t="shared" si="8"/>
        <v>34964.799999999996</v>
      </c>
      <c r="R17" s="32">
        <f t="shared" si="9"/>
        <v>6770.4</v>
      </c>
      <c r="T17" s="64">
        <v>62730.3</v>
      </c>
      <c r="U17" s="64">
        <v>807.3</v>
      </c>
      <c r="V17" s="64">
        <v>1676.3</v>
      </c>
      <c r="W17" s="64">
        <v>1195.2</v>
      </c>
      <c r="X17" s="64">
        <v>195.4</v>
      </c>
      <c r="Y17" s="64">
        <v>285.8</v>
      </c>
      <c r="Z17" s="64">
        <v>802.6</v>
      </c>
      <c r="AA17" s="64">
        <v>672.4</v>
      </c>
      <c r="AB17" s="64">
        <v>130.19999999999999</v>
      </c>
      <c r="AD17" s="64">
        <v>3223467000</v>
      </c>
      <c r="AE17" s="64">
        <v>60807000</v>
      </c>
      <c r="AF17" s="64">
        <v>91454000</v>
      </c>
      <c r="AG17" s="64">
        <v>41422000</v>
      </c>
      <c r="AH17" s="64">
        <v>38155000</v>
      </c>
      <c r="AI17" s="64">
        <v>3268000</v>
      </c>
    </row>
    <row r="18" spans="1:35">
      <c r="A18" s="66">
        <v>1998</v>
      </c>
      <c r="B18" s="56">
        <v>3229553</v>
      </c>
      <c r="C18" s="56">
        <f t="shared" si="10"/>
        <v>175637</v>
      </c>
      <c r="D18" s="56">
        <v>52214</v>
      </c>
      <c r="E18" s="56">
        <v>87598</v>
      </c>
      <c r="F18" s="56">
        <v>35825</v>
      </c>
      <c r="G18" s="56">
        <v>33093</v>
      </c>
      <c r="H18" s="56">
        <v>2732</v>
      </c>
      <c r="J18" s="32">
        <f t="shared" si="1"/>
        <v>3204276.4</v>
      </c>
      <c r="K18" s="32">
        <f t="shared" si="2"/>
        <v>42686.799999999996</v>
      </c>
      <c r="L18" s="32">
        <f t="shared" si="3"/>
        <v>78962</v>
      </c>
      <c r="M18" s="32">
        <f t="shared" si="4"/>
        <v>53913.599999999999</v>
      </c>
      <c r="N18" s="32">
        <f t="shared" si="5"/>
        <v>11268.4</v>
      </c>
      <c r="O18" s="32">
        <f t="shared" si="6"/>
        <v>13780</v>
      </c>
      <c r="P18" s="32">
        <f t="shared" si="7"/>
        <v>42442.400000000001</v>
      </c>
      <c r="Q18" s="32">
        <f t="shared" si="8"/>
        <v>38994.799999999996</v>
      </c>
      <c r="R18" s="32">
        <f t="shared" si="9"/>
        <v>3447.6</v>
      </c>
      <c r="T18" s="64">
        <v>61620.7</v>
      </c>
      <c r="U18" s="64">
        <v>820.9</v>
      </c>
      <c r="V18" s="64">
        <v>1518.5</v>
      </c>
      <c r="W18" s="64">
        <v>1036.8</v>
      </c>
      <c r="X18" s="64">
        <v>216.7</v>
      </c>
      <c r="Y18" s="64">
        <v>265</v>
      </c>
      <c r="Z18" s="64">
        <v>816.2</v>
      </c>
      <c r="AA18" s="64">
        <v>749.9</v>
      </c>
      <c r="AB18" s="64">
        <v>66.3</v>
      </c>
      <c r="AD18" s="64">
        <v>3187399000</v>
      </c>
      <c r="AE18" s="64">
        <v>50609000</v>
      </c>
      <c r="AF18" s="64">
        <v>76232000</v>
      </c>
      <c r="AG18" s="64">
        <v>35863000</v>
      </c>
      <c r="AH18" s="64">
        <v>33164000</v>
      </c>
      <c r="AI18" s="64">
        <v>2699000</v>
      </c>
    </row>
    <row r="19" spans="1:35">
      <c r="A19" s="66">
        <v>1999</v>
      </c>
      <c r="B19" s="56">
        <v>3272790</v>
      </c>
      <c r="C19" s="56">
        <f t="shared" si="10"/>
        <v>194370</v>
      </c>
      <c r="D19" s="56">
        <v>59454</v>
      </c>
      <c r="E19" s="56">
        <v>94586</v>
      </c>
      <c r="F19" s="56">
        <v>40330</v>
      </c>
      <c r="G19" s="56">
        <v>37063</v>
      </c>
      <c r="H19" s="56">
        <v>3267</v>
      </c>
      <c r="J19" s="32">
        <f t="shared" si="1"/>
        <v>3268200</v>
      </c>
      <c r="K19" s="32">
        <f t="shared" si="2"/>
        <v>47060</v>
      </c>
      <c r="L19" s="32">
        <f t="shared" si="3"/>
        <v>79591.199999999997</v>
      </c>
      <c r="M19" s="32">
        <f t="shared" si="4"/>
        <v>57330</v>
      </c>
      <c r="N19" s="32">
        <f t="shared" si="5"/>
        <v>7930</v>
      </c>
      <c r="O19" s="32">
        <f t="shared" si="6"/>
        <v>14336.4</v>
      </c>
      <c r="P19" s="32">
        <f t="shared" si="7"/>
        <v>43716.4</v>
      </c>
      <c r="Q19" s="32">
        <f t="shared" si="8"/>
        <v>36410.400000000001</v>
      </c>
      <c r="R19" s="32">
        <f t="shared" si="9"/>
        <v>7300.8</v>
      </c>
      <c r="T19" s="64">
        <v>62850</v>
      </c>
      <c r="U19" s="64">
        <v>905</v>
      </c>
      <c r="V19" s="64">
        <v>1530.6</v>
      </c>
      <c r="W19" s="64">
        <v>1102.5</v>
      </c>
      <c r="X19" s="64">
        <v>152.5</v>
      </c>
      <c r="Y19" s="64">
        <v>275.7</v>
      </c>
      <c r="Z19" s="64">
        <v>840.7</v>
      </c>
      <c r="AA19" s="64">
        <v>700.2</v>
      </c>
      <c r="AB19" s="64">
        <v>140.4</v>
      </c>
      <c r="AD19" s="64">
        <v>3244706000</v>
      </c>
      <c r="AE19" s="64">
        <v>57540000</v>
      </c>
      <c r="AF19" s="64">
        <v>83370000</v>
      </c>
      <c r="AG19" s="64">
        <v>40882000</v>
      </c>
      <c r="AH19" s="64">
        <v>37609000</v>
      </c>
      <c r="AI19" s="64">
        <v>3273000</v>
      </c>
    </row>
    <row r="20" spans="1:35">
      <c r="A20" s="66">
        <v>2000</v>
      </c>
      <c r="B20" s="56">
        <v>3344135</v>
      </c>
      <c r="C20" s="56">
        <f t="shared" si="10"/>
        <v>183990</v>
      </c>
      <c r="D20" s="56">
        <v>55572</v>
      </c>
      <c r="E20" s="56">
        <v>90043</v>
      </c>
      <c r="F20" s="56">
        <v>38375</v>
      </c>
      <c r="G20" s="56">
        <v>35283</v>
      </c>
      <c r="H20" s="56">
        <v>3092</v>
      </c>
      <c r="J20" s="32">
        <f t="shared" si="1"/>
        <v>3403727.6</v>
      </c>
      <c r="K20" s="32">
        <f t="shared" si="2"/>
        <v>42322.799999999996</v>
      </c>
      <c r="L20" s="32">
        <f t="shared" si="3"/>
        <v>87822.8</v>
      </c>
      <c r="M20" s="32">
        <f t="shared" si="4"/>
        <v>64308.4</v>
      </c>
      <c r="N20" s="32">
        <f t="shared" si="5"/>
        <v>8080.8</v>
      </c>
      <c r="O20" s="32">
        <f t="shared" si="6"/>
        <v>15433.6</v>
      </c>
      <c r="P20" s="32">
        <f t="shared" si="7"/>
        <v>35334</v>
      </c>
      <c r="Q20" s="32">
        <f t="shared" si="8"/>
        <v>30737.200000000001</v>
      </c>
      <c r="R20" s="32">
        <f t="shared" si="9"/>
        <v>4596.8</v>
      </c>
      <c r="T20" s="64">
        <v>65456.3</v>
      </c>
      <c r="U20" s="64">
        <v>813.9</v>
      </c>
      <c r="V20" s="64">
        <v>1688.9</v>
      </c>
      <c r="W20" s="64">
        <v>1236.7</v>
      </c>
      <c r="X20" s="64">
        <v>155.4</v>
      </c>
      <c r="Y20" s="64">
        <v>296.8</v>
      </c>
      <c r="Z20" s="64">
        <v>679.5</v>
      </c>
      <c r="AA20" s="64">
        <v>591.1</v>
      </c>
      <c r="AB20" s="64">
        <v>88.4</v>
      </c>
      <c r="AD20" s="64">
        <v>3324645000</v>
      </c>
      <c r="AE20" s="64">
        <v>53304000</v>
      </c>
      <c r="AF20" s="64">
        <v>78992000</v>
      </c>
      <c r="AG20" s="64">
        <v>38720000</v>
      </c>
      <c r="AH20" s="64">
        <v>35710000</v>
      </c>
      <c r="AI20" s="64">
        <v>3010000</v>
      </c>
    </row>
    <row r="21" spans="1:35">
      <c r="A21" s="66">
        <v>2001</v>
      </c>
      <c r="B21" s="56">
        <v>3277961</v>
      </c>
      <c r="C21" s="56">
        <f t="shared" si="10"/>
        <v>159121</v>
      </c>
      <c r="D21" s="56">
        <v>50844</v>
      </c>
      <c r="E21" s="56">
        <v>72985</v>
      </c>
      <c r="F21" s="56">
        <v>35292</v>
      </c>
      <c r="G21" s="56">
        <v>32231</v>
      </c>
      <c r="H21" s="56">
        <v>3061</v>
      </c>
      <c r="J21" s="32">
        <f t="shared" si="1"/>
        <v>3288828.4</v>
      </c>
      <c r="K21" s="32">
        <f t="shared" si="2"/>
        <v>32760</v>
      </c>
      <c r="L21" s="32">
        <f t="shared" si="3"/>
        <v>92034.8</v>
      </c>
      <c r="M21" s="32">
        <f t="shared" si="4"/>
        <v>64214.8</v>
      </c>
      <c r="N21" s="32">
        <f t="shared" si="5"/>
        <v>12339.6</v>
      </c>
      <c r="O21" s="32">
        <f t="shared" si="6"/>
        <v>15475.2</v>
      </c>
      <c r="P21" s="32">
        <f t="shared" si="7"/>
        <v>28683.200000000001</v>
      </c>
      <c r="Q21" s="32">
        <f t="shared" si="8"/>
        <v>25116</v>
      </c>
      <c r="R21" s="32">
        <f t="shared" si="9"/>
        <v>3562</v>
      </c>
      <c r="T21" s="64">
        <v>63246.7</v>
      </c>
      <c r="U21" s="64">
        <v>630</v>
      </c>
      <c r="V21" s="64">
        <v>1769.9</v>
      </c>
      <c r="W21" s="64">
        <v>1234.9000000000001</v>
      </c>
      <c r="X21" s="64">
        <v>237.3</v>
      </c>
      <c r="Y21" s="64">
        <v>297.60000000000002</v>
      </c>
      <c r="Z21" s="64">
        <v>551.6</v>
      </c>
      <c r="AA21" s="64">
        <v>483</v>
      </c>
      <c r="AB21" s="64">
        <v>68.5</v>
      </c>
      <c r="AD21" s="64">
        <v>3251263000</v>
      </c>
      <c r="AE21" s="64">
        <v>50011000</v>
      </c>
      <c r="AF21" s="64">
        <v>73615000</v>
      </c>
      <c r="AG21" s="64">
        <v>35286000</v>
      </c>
      <c r="AH21" s="64">
        <v>32389000</v>
      </c>
      <c r="AI21" s="64">
        <v>2898000</v>
      </c>
    </row>
    <row r="22" spans="1:35">
      <c r="A22" s="66">
        <v>2002</v>
      </c>
      <c r="B22" s="56">
        <v>3311067</v>
      </c>
      <c r="C22" s="56">
        <f t="shared" si="10"/>
        <v>148325</v>
      </c>
      <c r="D22" s="56">
        <v>51819</v>
      </c>
      <c r="E22" s="56">
        <v>69912</v>
      </c>
      <c r="F22" s="56">
        <v>26594</v>
      </c>
      <c r="G22" s="56">
        <v>23821</v>
      </c>
      <c r="H22" s="56">
        <v>2773</v>
      </c>
      <c r="J22" s="32">
        <f t="shared" si="1"/>
        <v>3337438</v>
      </c>
      <c r="K22" s="32">
        <f t="shared" si="2"/>
        <v>38667.200000000004</v>
      </c>
      <c r="L22" s="32">
        <f t="shared" si="3"/>
        <v>83818.8</v>
      </c>
      <c r="M22" s="32">
        <f t="shared" si="4"/>
        <v>60444.800000000003</v>
      </c>
      <c r="N22" s="32">
        <f t="shared" si="5"/>
        <v>12324</v>
      </c>
      <c r="O22" s="32">
        <f t="shared" si="6"/>
        <v>11050</v>
      </c>
      <c r="P22" s="32">
        <f t="shared" si="7"/>
        <v>31876</v>
      </c>
      <c r="Q22" s="32">
        <f t="shared" si="8"/>
        <v>28366</v>
      </c>
      <c r="R22" s="32">
        <f t="shared" si="9"/>
        <v>3510</v>
      </c>
      <c r="T22" s="64">
        <v>64181.5</v>
      </c>
      <c r="U22" s="64">
        <v>743.6</v>
      </c>
      <c r="V22" s="64">
        <v>1611.9</v>
      </c>
      <c r="W22" s="64">
        <v>1162.4000000000001</v>
      </c>
      <c r="X22" s="64">
        <v>237</v>
      </c>
      <c r="Y22" s="64">
        <v>212.5</v>
      </c>
      <c r="Z22" s="64">
        <v>613</v>
      </c>
      <c r="AA22" s="64">
        <v>545.5</v>
      </c>
      <c r="AB22" s="64">
        <v>67.5</v>
      </c>
      <c r="AD22" s="64">
        <v>3330495000</v>
      </c>
      <c r="AE22" s="64">
        <v>50399000</v>
      </c>
      <c r="AF22" s="64">
        <v>71607000</v>
      </c>
      <c r="AG22" s="64">
        <v>30385000</v>
      </c>
      <c r="AH22" s="64">
        <v>27721000</v>
      </c>
      <c r="AI22" s="64">
        <v>2664000</v>
      </c>
    </row>
    <row r="23" spans="1:35">
      <c r="A23" s="66">
        <v>2003</v>
      </c>
      <c r="B23" s="56">
        <v>3399100</v>
      </c>
      <c r="C23" s="56">
        <f t="shared" si="10"/>
        <v>155869</v>
      </c>
      <c r="D23" s="56">
        <v>54560</v>
      </c>
      <c r="E23" s="56">
        <v>70646</v>
      </c>
      <c r="F23" s="56">
        <v>30663</v>
      </c>
      <c r="G23" s="56">
        <v>27180</v>
      </c>
      <c r="H23" s="56">
        <v>3483</v>
      </c>
      <c r="J23" s="32">
        <f t="shared" si="1"/>
        <v>3402380.8000000003</v>
      </c>
      <c r="K23" s="32">
        <f t="shared" si="2"/>
        <v>41672.799999999996</v>
      </c>
      <c r="L23" s="32">
        <f t="shared" si="3"/>
        <v>91119.599999999991</v>
      </c>
      <c r="M23" s="32">
        <f t="shared" si="4"/>
        <v>65520</v>
      </c>
      <c r="N23" s="32">
        <f t="shared" si="5"/>
        <v>10696.4</v>
      </c>
      <c r="O23" s="32">
        <f t="shared" si="6"/>
        <v>14898</v>
      </c>
      <c r="P23" s="32">
        <f t="shared" si="7"/>
        <v>26941.200000000001</v>
      </c>
      <c r="Q23" s="32">
        <f t="shared" si="8"/>
        <v>21429.200000000001</v>
      </c>
      <c r="R23" s="32">
        <f t="shared" si="9"/>
        <v>5512</v>
      </c>
      <c r="T23" s="64">
        <v>65430.400000000001</v>
      </c>
      <c r="U23" s="64">
        <v>801.4</v>
      </c>
      <c r="V23" s="64">
        <v>1752.3</v>
      </c>
      <c r="W23" s="64">
        <v>1260</v>
      </c>
      <c r="X23" s="64">
        <v>205.7</v>
      </c>
      <c r="Y23" s="64">
        <v>286.5</v>
      </c>
      <c r="Z23" s="64">
        <v>518.1</v>
      </c>
      <c r="AA23" s="64">
        <v>412.1</v>
      </c>
      <c r="AB23" s="64">
        <v>106</v>
      </c>
      <c r="AD23" s="64">
        <v>3406313000</v>
      </c>
      <c r="AE23" s="64">
        <v>53549000</v>
      </c>
      <c r="AF23" s="64">
        <v>71629000</v>
      </c>
      <c r="AG23" s="64">
        <v>33555000</v>
      </c>
      <c r="AH23" s="64">
        <v>30191000</v>
      </c>
      <c r="AI23" s="64">
        <v>3364000</v>
      </c>
    </row>
    <row r="24" spans="1:35">
      <c r="A24" s="66">
        <v>2004</v>
      </c>
      <c r="B24" s="56">
        <v>3544333</v>
      </c>
      <c r="C24" s="56">
        <f t="shared" si="10"/>
        <v>160060</v>
      </c>
      <c r="D24" s="56">
        <v>52909</v>
      </c>
      <c r="E24" s="56">
        <v>75093</v>
      </c>
      <c r="F24" s="56">
        <v>32058</v>
      </c>
      <c r="G24" s="56">
        <v>28015</v>
      </c>
      <c r="H24" s="56">
        <v>4043</v>
      </c>
      <c r="J24" s="32">
        <f t="shared" si="1"/>
        <v>3544257.6</v>
      </c>
      <c r="K24" s="32">
        <f t="shared" si="2"/>
        <v>31798</v>
      </c>
      <c r="L24" s="32">
        <f t="shared" si="3"/>
        <v>85560.8</v>
      </c>
      <c r="M24" s="32">
        <f t="shared" si="4"/>
        <v>62176.4</v>
      </c>
      <c r="N24" s="32">
        <f t="shared" si="5"/>
        <v>10446.800000000001</v>
      </c>
      <c r="O24" s="32">
        <f t="shared" si="6"/>
        <v>12937.6</v>
      </c>
      <c r="P24" s="32">
        <f t="shared" si="7"/>
        <v>22703.200000000001</v>
      </c>
      <c r="Q24" s="32">
        <f t="shared" si="8"/>
        <v>20196.8</v>
      </c>
      <c r="R24" s="32">
        <f t="shared" si="9"/>
        <v>0</v>
      </c>
      <c r="T24" s="64">
        <v>68158.8</v>
      </c>
      <c r="U24" s="64">
        <v>611.5</v>
      </c>
      <c r="V24" s="64">
        <v>1645.4</v>
      </c>
      <c r="W24" s="64">
        <v>1195.7</v>
      </c>
      <c r="X24" s="64">
        <v>200.9</v>
      </c>
      <c r="Y24" s="64">
        <v>248.8</v>
      </c>
      <c r="Z24" s="64">
        <v>436.6</v>
      </c>
      <c r="AA24" s="64">
        <v>388.4</v>
      </c>
      <c r="AB24" s="64">
        <v>0</v>
      </c>
      <c r="AD24" s="64">
        <v>3572658000</v>
      </c>
      <c r="AE24" s="64">
        <v>54616000</v>
      </c>
      <c r="AF24" s="64">
        <v>75132000</v>
      </c>
      <c r="AG24" s="64">
        <v>36436000</v>
      </c>
      <c r="AH24" s="64">
        <v>32571000</v>
      </c>
      <c r="AI24" s="64">
        <v>3865000</v>
      </c>
    </row>
    <row r="25" spans="1:35">
      <c r="A25" s="66">
        <v>2005</v>
      </c>
      <c r="B25" s="56">
        <v>3617888</v>
      </c>
      <c r="C25" s="56">
        <f t="shared" si="10"/>
        <v>156573</v>
      </c>
      <c r="D25" s="56">
        <v>49298</v>
      </c>
      <c r="E25" s="56">
        <v>76005</v>
      </c>
      <c r="F25" s="56">
        <v>31270</v>
      </c>
      <c r="G25" s="56">
        <v>27313</v>
      </c>
      <c r="H25" s="56">
        <v>3957</v>
      </c>
      <c r="J25" s="32">
        <f t="shared" si="1"/>
        <v>3699410</v>
      </c>
      <c r="K25" s="32">
        <f t="shared" si="2"/>
        <v>29525.599999999999</v>
      </c>
      <c r="L25" s="32">
        <f t="shared" si="3"/>
        <v>88956.400000000009</v>
      </c>
      <c r="M25" s="32">
        <f t="shared" si="4"/>
        <v>63445.2</v>
      </c>
      <c r="N25" s="32">
        <f t="shared" si="5"/>
        <v>9999.6</v>
      </c>
      <c r="O25" s="32">
        <f t="shared" si="6"/>
        <v>15511.6</v>
      </c>
      <c r="P25" s="32">
        <f t="shared" si="7"/>
        <v>23207.600000000002</v>
      </c>
      <c r="Q25" s="32">
        <f t="shared" si="8"/>
        <v>20810.399999999998</v>
      </c>
      <c r="R25" s="32">
        <f t="shared" si="9"/>
        <v>0</v>
      </c>
      <c r="T25" s="64">
        <v>71142.5</v>
      </c>
      <c r="U25" s="64">
        <v>567.79999999999995</v>
      </c>
      <c r="V25" s="64">
        <v>1710.7</v>
      </c>
      <c r="W25" s="64">
        <v>1220.0999999999999</v>
      </c>
      <c r="X25" s="64">
        <v>192.3</v>
      </c>
      <c r="Y25" s="64">
        <v>298.3</v>
      </c>
      <c r="Z25" s="64">
        <v>446.3</v>
      </c>
      <c r="AA25" s="64">
        <v>400.2</v>
      </c>
      <c r="AB25" s="64">
        <v>0</v>
      </c>
      <c r="AD25" s="64">
        <v>3665881000</v>
      </c>
      <c r="AE25" s="64">
        <v>50867000</v>
      </c>
      <c r="AF25" s="64">
        <v>79411000</v>
      </c>
      <c r="AG25" s="64">
        <v>35633000</v>
      </c>
      <c r="AH25" s="64">
        <v>32012000</v>
      </c>
      <c r="AI25" s="64">
        <v>3621000</v>
      </c>
    </row>
    <row r="26" spans="1:35">
      <c r="A26" s="66">
        <v>2006</v>
      </c>
      <c r="B26" s="56">
        <v>3710948</v>
      </c>
      <c r="C26" s="56">
        <f t="shared" si="10"/>
        <v>140582</v>
      </c>
      <c r="D26" s="56">
        <v>44746</v>
      </c>
      <c r="E26" s="56">
        <v>66050</v>
      </c>
      <c r="F26" s="56">
        <v>29786</v>
      </c>
      <c r="G26" s="56">
        <v>26294</v>
      </c>
      <c r="H26" s="56">
        <v>3492</v>
      </c>
      <c r="J26" s="32">
        <f t="shared" si="1"/>
        <v>3794388</v>
      </c>
      <c r="K26" s="32">
        <f t="shared" si="2"/>
        <v>28657.200000000001</v>
      </c>
      <c r="L26" s="32">
        <f t="shared" si="3"/>
        <v>86221.2</v>
      </c>
      <c r="M26" s="32">
        <f t="shared" si="4"/>
        <v>54464.800000000003</v>
      </c>
      <c r="N26" s="32">
        <f t="shared" si="5"/>
        <v>11216.4</v>
      </c>
      <c r="O26" s="32">
        <f t="shared" si="6"/>
        <v>20534.8</v>
      </c>
      <c r="P26" s="32">
        <f t="shared" si="7"/>
        <v>28652</v>
      </c>
      <c r="Q26" s="32">
        <f t="shared" si="8"/>
        <v>25802.399999999998</v>
      </c>
      <c r="R26" s="32">
        <f t="shared" si="9"/>
        <v>2854.7999999999997</v>
      </c>
      <c r="T26" s="64">
        <v>72969</v>
      </c>
      <c r="U26" s="64">
        <v>551.1</v>
      </c>
      <c r="V26" s="64">
        <v>1658.1</v>
      </c>
      <c r="W26" s="64">
        <v>1047.4000000000001</v>
      </c>
      <c r="X26" s="64">
        <v>215.7</v>
      </c>
      <c r="Y26" s="64">
        <v>394.9</v>
      </c>
      <c r="Z26" s="64">
        <v>551</v>
      </c>
      <c r="AA26" s="64">
        <v>496.2</v>
      </c>
      <c r="AB26" s="64">
        <v>54.9</v>
      </c>
      <c r="AD26" s="64">
        <v>3761158000</v>
      </c>
      <c r="AE26" s="64">
        <v>54722000</v>
      </c>
      <c r="AF26" s="64">
        <v>77585000</v>
      </c>
      <c r="AG26" s="64">
        <v>35760000</v>
      </c>
      <c r="AH26" s="64">
        <v>32252000</v>
      </c>
      <c r="AI26" s="64">
        <v>3508000</v>
      </c>
    </row>
    <row r="27" spans="1:35">
      <c r="A27" s="66">
        <v>2007</v>
      </c>
      <c r="B27" s="56">
        <v>3845288</v>
      </c>
      <c r="C27" s="56">
        <f t="shared" si="10"/>
        <v>136437</v>
      </c>
      <c r="D27" s="56">
        <v>44081</v>
      </c>
      <c r="E27" s="56">
        <v>59443</v>
      </c>
      <c r="F27" s="56">
        <v>32913</v>
      </c>
      <c r="G27" s="56">
        <v>29598</v>
      </c>
      <c r="H27" s="56">
        <v>3315</v>
      </c>
      <c r="J27" s="32">
        <f t="shared" si="1"/>
        <v>3964599.6</v>
      </c>
      <c r="K27" s="32">
        <f t="shared" si="2"/>
        <v>35126</v>
      </c>
      <c r="L27" s="32">
        <f t="shared" si="3"/>
        <v>86184.8</v>
      </c>
      <c r="M27" s="32">
        <f t="shared" si="4"/>
        <v>56336.800000000003</v>
      </c>
      <c r="N27" s="32">
        <f t="shared" si="5"/>
        <v>11289.199999999999</v>
      </c>
      <c r="O27" s="32">
        <f t="shared" si="6"/>
        <v>18558.8</v>
      </c>
      <c r="P27" s="32">
        <f t="shared" si="7"/>
        <v>30508.400000000001</v>
      </c>
      <c r="Q27" s="32">
        <f t="shared" si="8"/>
        <v>25589.200000000001</v>
      </c>
      <c r="R27" s="32">
        <f t="shared" si="9"/>
        <v>4919.2</v>
      </c>
      <c r="T27" s="64">
        <v>76242.3</v>
      </c>
      <c r="U27" s="64">
        <v>675.5</v>
      </c>
      <c r="V27" s="64">
        <v>1657.4</v>
      </c>
      <c r="W27" s="64">
        <v>1083.4000000000001</v>
      </c>
      <c r="X27" s="64">
        <v>217.1</v>
      </c>
      <c r="Y27" s="64">
        <v>356.9</v>
      </c>
      <c r="Z27" s="64">
        <v>586.70000000000005</v>
      </c>
      <c r="AA27" s="64">
        <v>492.1</v>
      </c>
      <c r="AB27" s="64">
        <v>94.6</v>
      </c>
    </row>
    <row r="28" spans="1:35">
      <c r="A28" s="66">
        <v>2008</v>
      </c>
      <c r="B28" s="56">
        <v>3887959</v>
      </c>
      <c r="C28" s="56">
        <f>IFERROR(D28+E28+F28,"x")</f>
        <v>102405</v>
      </c>
      <c r="D28" s="56">
        <v>26898</v>
      </c>
      <c r="E28" s="56">
        <v>47398</v>
      </c>
      <c r="F28" s="56">
        <v>28109</v>
      </c>
      <c r="G28" s="56">
        <v>25135</v>
      </c>
      <c r="H28" s="56">
        <v>2974</v>
      </c>
      <c r="J28" s="32"/>
      <c r="K28" s="32"/>
      <c r="L28" s="32"/>
      <c r="M28" s="32"/>
      <c r="N28" s="32"/>
      <c r="O28" s="32"/>
      <c r="P28" s="32"/>
      <c r="Q28" s="32"/>
      <c r="R28" s="32"/>
    </row>
    <row r="29" spans="1:35">
      <c r="A29" s="66">
        <v>2009</v>
      </c>
      <c r="B29" s="56">
        <v>3730462</v>
      </c>
      <c r="C29" s="56">
        <f t="shared" ref="C29:C31" si="11">IFERROR(D29+E29+F29,"x")</f>
        <v>90795</v>
      </c>
      <c r="D29" s="56">
        <v>21740</v>
      </c>
      <c r="E29" s="56">
        <v>44557</v>
      </c>
      <c r="F29" s="56">
        <v>24498</v>
      </c>
      <c r="G29" s="56">
        <v>22011</v>
      </c>
      <c r="H29" s="56">
        <v>2487</v>
      </c>
      <c r="J29" s="32"/>
      <c r="K29" s="32"/>
      <c r="L29" s="32"/>
      <c r="M29" s="32"/>
      <c r="N29" s="32"/>
      <c r="O29" s="32"/>
      <c r="P29" s="32"/>
      <c r="Q29" s="32"/>
      <c r="R29" s="32"/>
    </row>
    <row r="30" spans="1:35">
      <c r="A30" s="66">
        <v>2010</v>
      </c>
      <c r="B30" s="56">
        <v>3806350</v>
      </c>
      <c r="C30" s="56">
        <f t="shared" si="11"/>
        <v>96438</v>
      </c>
      <c r="D30" s="56">
        <v>28140</v>
      </c>
      <c r="E30" s="56">
        <v>45587</v>
      </c>
      <c r="F30" s="56">
        <v>22711</v>
      </c>
      <c r="G30" s="56">
        <v>20396</v>
      </c>
      <c r="H30" s="56">
        <v>2315</v>
      </c>
      <c r="J30" s="32"/>
      <c r="K30" s="32"/>
      <c r="L30" s="32"/>
      <c r="M30" s="32"/>
      <c r="N30" s="32"/>
      <c r="O30" s="32"/>
      <c r="P30" s="32"/>
      <c r="Q30" s="32"/>
      <c r="R30" s="32"/>
    </row>
    <row r="31" spans="1:35">
      <c r="A31" s="66">
        <v>2011</v>
      </c>
      <c r="B31" s="56">
        <v>3803826</v>
      </c>
      <c r="C31" s="56">
        <f t="shared" si="11"/>
        <v>95046</v>
      </c>
      <c r="D31" s="57">
        <v>29267</v>
      </c>
      <c r="E31" s="57">
        <v>43807</v>
      </c>
      <c r="F31" s="57">
        <v>21972</v>
      </c>
      <c r="G31" s="57">
        <v>19639</v>
      </c>
      <c r="H31" s="57">
        <v>2333</v>
      </c>
    </row>
    <row r="32" spans="1:35">
      <c r="A32" s="66"/>
      <c r="B32" s="56"/>
      <c r="C32" s="56"/>
      <c r="D32" s="57"/>
      <c r="E32" s="57"/>
      <c r="F32" s="57"/>
      <c r="G32" s="57"/>
      <c r="H32" s="57"/>
    </row>
    <row r="33" spans="1:23">
      <c r="A33" s="64" t="s">
        <v>498</v>
      </c>
      <c r="B33" s="57"/>
      <c r="C33" s="57"/>
      <c r="D33" s="57"/>
      <c r="E33" s="57"/>
      <c r="F33" s="57"/>
      <c r="G33" s="57"/>
      <c r="H33" s="57"/>
    </row>
    <row r="34" spans="1:23">
      <c r="A34" s="64" t="s">
        <v>1780</v>
      </c>
      <c r="B34" s="65">
        <f>IFERROR(((B31/B17)^(1/14)-1)*100,"n.a.")</f>
        <v>1.1187379064788727</v>
      </c>
      <c r="C34" s="65">
        <f t="shared" ref="C34:H34" si="12">IFERROR(((C31/C17)^(1/14)-1)*100,"n.a.")</f>
        <v>-5.4238806656390581</v>
      </c>
      <c r="D34" s="65">
        <f t="shared" si="12"/>
        <v>-5.2623125203579697</v>
      </c>
      <c r="E34" s="65">
        <f t="shared" si="12"/>
        <v>-5.974902290918549</v>
      </c>
      <c r="F34" s="65">
        <f t="shared" si="12"/>
        <v>-4.4113552895579167</v>
      </c>
      <c r="G34" s="65">
        <f t="shared" si="12"/>
        <v>-4.6100181480865583</v>
      </c>
      <c r="H34" s="65">
        <f t="shared" si="12"/>
        <v>-2.4380351360489216</v>
      </c>
      <c r="J34" s="138">
        <f>((J26/J17)^(1/9)-1)*100</f>
        <v>1.6940795975146417</v>
      </c>
      <c r="K34" s="138">
        <f t="shared" ref="K34:R34" si="13">((K26/K17)^(1/9)-1)*100</f>
        <v>-4.153276065529143</v>
      </c>
      <c r="L34" s="138">
        <f t="shared" si="13"/>
        <v>-0.12122219013672719</v>
      </c>
      <c r="M34" s="138">
        <f t="shared" si="13"/>
        <v>-1.4559923260776486</v>
      </c>
      <c r="N34" s="138">
        <f t="shared" si="13"/>
        <v>1.1042727272772224</v>
      </c>
      <c r="O34" s="138">
        <f t="shared" si="13"/>
        <v>3.6579862724354095</v>
      </c>
      <c r="P34" s="138">
        <f t="shared" si="13"/>
        <v>-4.093007695189943</v>
      </c>
      <c r="Q34" s="138">
        <f t="shared" si="13"/>
        <v>-3.3200178202866804</v>
      </c>
      <c r="R34" s="138">
        <f t="shared" si="13"/>
        <v>-9.1491405644820727</v>
      </c>
    </row>
    <row r="35" spans="1:23">
      <c r="A35" s="64" t="s">
        <v>663</v>
      </c>
      <c r="B35" s="65">
        <f>IFERROR(((B20/B17)^(1/3)-1)*100,"n.a.")</f>
        <v>0.90252668202952524</v>
      </c>
      <c r="C35" s="65">
        <f t="shared" ref="C35:H35" si="14">IFERROR(((C20/C17)^(1/3)-1)*100,"n.a.")</f>
        <v>-3.9272080905485396</v>
      </c>
      <c r="D35" s="65">
        <f t="shared" si="14"/>
        <v>-3.7799501511929567</v>
      </c>
      <c r="E35" s="65">
        <f t="shared" si="14"/>
        <v>-4.6238361988459653</v>
      </c>
      <c r="F35" s="65">
        <f t="shared" si="14"/>
        <v>-2.4361301070576769</v>
      </c>
      <c r="G35" s="65">
        <f t="shared" si="14"/>
        <v>-2.4647457788136373</v>
      </c>
      <c r="H35" s="65">
        <f t="shared" si="14"/>
        <v>-2.1071977339223391</v>
      </c>
      <c r="J35" s="138"/>
      <c r="K35" s="138"/>
      <c r="L35" s="138"/>
      <c r="M35" s="138"/>
      <c r="N35" s="138"/>
      <c r="O35" s="138"/>
      <c r="P35" s="138"/>
      <c r="Q35" s="138"/>
      <c r="R35" s="138"/>
    </row>
    <row r="36" spans="1:23">
      <c r="A36" s="64" t="s">
        <v>1782</v>
      </c>
      <c r="B36" s="65">
        <f>IFERROR(((B31/B20)^(1/11)-1)*100,"n.a.")</f>
        <v>1.17778496830796</v>
      </c>
      <c r="C36" s="65">
        <f t="shared" ref="C36:H36" si="15">IFERROR(((C31/C20)^(1/11)-1)*100,"n.a.")</f>
        <v>-5.8280021386629466</v>
      </c>
      <c r="D36" s="65">
        <f t="shared" si="15"/>
        <v>-5.6626147804412437</v>
      </c>
      <c r="E36" s="65">
        <f t="shared" si="15"/>
        <v>-6.3400417849893582</v>
      </c>
      <c r="F36" s="65">
        <f t="shared" si="15"/>
        <v>-4.9430784043256732</v>
      </c>
      <c r="G36" s="65">
        <f t="shared" si="15"/>
        <v>-5.1868592267847236</v>
      </c>
      <c r="H36" s="65">
        <f t="shared" si="15"/>
        <v>-2.528069309802794</v>
      </c>
      <c r="J36" s="138"/>
      <c r="K36" s="138"/>
      <c r="L36" s="138"/>
      <c r="M36" s="138"/>
      <c r="N36" s="138"/>
      <c r="O36" s="138"/>
      <c r="P36" s="138"/>
      <c r="Q36" s="138"/>
      <c r="R36" s="138"/>
    </row>
    <row r="37" spans="1:23">
      <c r="B37" s="57"/>
      <c r="C37" s="57"/>
      <c r="D37" s="57"/>
      <c r="E37" s="57"/>
      <c r="F37" s="57"/>
      <c r="G37" s="57"/>
      <c r="H37" s="57"/>
    </row>
    <row r="38" spans="1:23">
      <c r="A38" s="137" t="s">
        <v>494</v>
      </c>
      <c r="B38" s="137"/>
      <c r="C38" s="137"/>
      <c r="D38" s="137"/>
      <c r="E38" s="137"/>
      <c r="F38" s="137"/>
      <c r="G38" s="137"/>
      <c r="H38" s="137"/>
    </row>
    <row r="39" spans="1:23">
      <c r="A39" s="137" t="s">
        <v>495</v>
      </c>
      <c r="B39" s="137"/>
      <c r="C39" s="137"/>
      <c r="D39" s="137"/>
      <c r="E39" s="137"/>
      <c r="F39" s="137"/>
      <c r="G39" s="137"/>
      <c r="H39" s="137"/>
    </row>
    <row r="40" spans="1:23" ht="15" hidden="1" customHeight="1" outlineLevel="1">
      <c r="A40" s="137" t="s">
        <v>496</v>
      </c>
      <c r="B40" s="137"/>
      <c r="C40" s="137"/>
      <c r="D40" s="137"/>
      <c r="E40" s="137"/>
      <c r="F40" s="137"/>
      <c r="G40" s="137"/>
      <c r="H40" s="137"/>
    </row>
    <row r="41" spans="1:23" collapsed="1">
      <c r="A41" s="137" t="s">
        <v>193</v>
      </c>
      <c r="B41" s="137"/>
      <c r="C41" s="137"/>
      <c r="D41" s="137"/>
      <c r="E41" s="137"/>
      <c r="F41" s="137"/>
      <c r="G41" s="137"/>
      <c r="H41" s="137"/>
    </row>
    <row r="42" spans="1:23">
      <c r="A42" s="137" t="s">
        <v>194</v>
      </c>
      <c r="B42" s="137"/>
      <c r="C42" s="137"/>
      <c r="D42" s="137"/>
      <c r="E42" s="137"/>
      <c r="F42" s="137"/>
      <c r="G42" s="137"/>
      <c r="H42" s="137"/>
    </row>
    <row r="43" spans="1:23">
      <c r="A43" s="137" t="s">
        <v>383</v>
      </c>
      <c r="B43" s="137"/>
      <c r="C43" s="137"/>
      <c r="D43" s="137"/>
      <c r="E43" s="137"/>
      <c r="F43" s="137"/>
      <c r="G43" s="137"/>
      <c r="H43" s="137"/>
    </row>
    <row r="44" spans="1:23" ht="35.25" hidden="1" customHeight="1" outlineLevel="1">
      <c r="A44" s="131" t="s">
        <v>497</v>
      </c>
      <c r="B44" s="131"/>
      <c r="C44" s="131"/>
      <c r="D44" s="131"/>
      <c r="E44" s="131"/>
      <c r="F44" s="131"/>
      <c r="G44" s="131"/>
      <c r="H44" s="131"/>
      <c r="I44" s="131"/>
      <c r="J44" s="131"/>
      <c r="K44" s="131"/>
      <c r="L44" s="131"/>
      <c r="M44" s="131"/>
      <c r="N44" s="131"/>
      <c r="O44" s="131"/>
      <c r="P44" s="131"/>
      <c r="Q44" s="131"/>
      <c r="R44" s="131"/>
    </row>
    <row r="45" spans="1:23" collapsed="1">
      <c r="A45" s="142"/>
      <c r="B45" s="143"/>
      <c r="C45" s="142"/>
      <c r="D45" s="143"/>
      <c r="E45" s="143"/>
      <c r="F45" s="143"/>
      <c r="G45" s="143"/>
      <c r="H45" s="143"/>
      <c r="I45" s="143"/>
      <c r="J45" s="143"/>
      <c r="K45" s="143"/>
      <c r="L45" s="143"/>
      <c r="M45" s="143"/>
      <c r="N45" s="143"/>
      <c r="O45" s="143"/>
      <c r="P45" s="143"/>
      <c r="Q45" s="143"/>
      <c r="R45" s="143"/>
      <c r="S45" s="143"/>
      <c r="T45" s="143"/>
      <c r="U45" s="143"/>
      <c r="V45" s="143"/>
      <c r="W45" s="143"/>
    </row>
  </sheetData>
  <mergeCells count="8">
    <mergeCell ref="A1:H1"/>
    <mergeCell ref="A44:R44"/>
    <mergeCell ref="A38:H38"/>
    <mergeCell ref="A39:H39"/>
    <mergeCell ref="A40:H40"/>
    <mergeCell ref="A41:H41"/>
    <mergeCell ref="A42:H42"/>
    <mergeCell ref="A43:H43"/>
  </mergeCells>
  <pageMargins left="0.70866141732283472" right="0.70866141732283472" top="0.74803149606299213" bottom="0.74803149606299213" header="0.31496062992125984" footer="0.31496062992125984"/>
  <pageSetup scale="99" orientation="landscape" horizontalDpi="0" verticalDpi="0" r:id="rId1"/>
  <colBreaks count="1" manualBreakCount="1">
    <brk id="18" max="1048575" man="1"/>
  </colBreaks>
</worksheet>
</file>

<file path=xl/worksheets/sheet18.xml><?xml version="1.0" encoding="utf-8"?>
<worksheet xmlns="http://schemas.openxmlformats.org/spreadsheetml/2006/main" xmlns:r="http://schemas.openxmlformats.org/officeDocument/2006/relationships">
  <sheetPr codeName="Sheet18"/>
  <dimension ref="A1:H21"/>
  <sheetViews>
    <sheetView view="pageBreakPreview" zoomScale="85" zoomScaleNormal="100" zoomScaleSheetLayoutView="85" workbookViewId="0">
      <selection activeCell="AC38" sqref="AC38"/>
    </sheetView>
  </sheetViews>
  <sheetFormatPr defaultRowHeight="15"/>
  <cols>
    <col min="1" max="1" width="12.85546875" style="64" customWidth="1"/>
    <col min="2" max="2" width="15.42578125" style="64" customWidth="1"/>
    <col min="3" max="4" width="17.28515625" style="64" customWidth="1"/>
    <col min="5" max="5" width="18" style="64" customWidth="1"/>
    <col min="6" max="6" width="19.7109375" style="64" customWidth="1"/>
    <col min="7" max="8" width="18.5703125" style="64" customWidth="1"/>
    <col min="9" max="16384" width="9.140625" style="64"/>
  </cols>
  <sheetData>
    <row r="1" spans="1:8" ht="30" customHeight="1">
      <c r="A1" s="93" t="s">
        <v>1956</v>
      </c>
      <c r="B1" s="93"/>
      <c r="C1" s="93"/>
      <c r="D1" s="93"/>
      <c r="E1" s="93"/>
      <c r="F1" s="93"/>
      <c r="G1" s="93"/>
      <c r="H1" s="93"/>
    </row>
    <row r="2" spans="1:8">
      <c r="B2" s="94" t="s">
        <v>41</v>
      </c>
      <c r="C2" s="111" t="s">
        <v>37</v>
      </c>
      <c r="D2" s="111"/>
      <c r="E2" s="111"/>
      <c r="F2" s="111"/>
      <c r="G2" s="111"/>
      <c r="H2" s="111"/>
    </row>
    <row r="3" spans="1:8">
      <c r="B3" s="94"/>
      <c r="C3" s="94" t="s">
        <v>50</v>
      </c>
      <c r="D3" s="94" t="s">
        <v>0</v>
      </c>
      <c r="E3" s="94" t="s">
        <v>1</v>
      </c>
      <c r="F3" s="94" t="s">
        <v>2</v>
      </c>
      <c r="G3" s="94"/>
      <c r="H3" s="94"/>
    </row>
    <row r="4" spans="1:8" ht="60">
      <c r="B4" s="94"/>
      <c r="C4" s="94"/>
      <c r="D4" s="94"/>
      <c r="E4" s="94"/>
      <c r="F4" s="72" t="s">
        <v>48</v>
      </c>
      <c r="G4" s="72" t="s">
        <v>13</v>
      </c>
      <c r="H4" s="72" t="s">
        <v>19</v>
      </c>
    </row>
    <row r="5" spans="1:8">
      <c r="A5" s="66">
        <v>1997</v>
      </c>
      <c r="B5" s="58">
        <f>'3'!B42/'3'!$B42*100</f>
        <v>100</v>
      </c>
      <c r="C5" s="147">
        <f>'3'!C42/'3'!$B42*100</f>
        <v>2.25835794540362</v>
      </c>
      <c r="D5" s="147">
        <f>'3'!D42/'3'!$B42*100</f>
        <v>0.46668477373647943</v>
      </c>
      <c r="E5" s="147">
        <f>'3'!E42/'3'!$B42*100</f>
        <v>1.0009502647267865</v>
      </c>
      <c r="F5" s="147">
        <f>'3'!F42/'3'!$B42*100</f>
        <v>0.79072290694035441</v>
      </c>
      <c r="G5" s="147">
        <f>'3'!G42/'3'!$B42*100</f>
        <v>0.5407883133834771</v>
      </c>
      <c r="H5" s="147">
        <f>'3'!H42/'3'!$B42*100</f>
        <v>0.24993459355687722</v>
      </c>
    </row>
    <row r="6" spans="1:8">
      <c r="A6" s="66">
        <v>1998</v>
      </c>
      <c r="B6" s="58">
        <f>'3'!B43/'3'!$B43*100</f>
        <v>100</v>
      </c>
      <c r="C6" s="147">
        <f>'3'!C43/'3'!$B43*100</f>
        <v>2.0903194505003864</v>
      </c>
      <c r="D6" s="147">
        <f>'3'!D43/'3'!$B43*100</f>
        <v>0.42546695233285342</v>
      </c>
      <c r="E6" s="147">
        <f>'3'!E43/'3'!$B43*100</f>
        <v>0.94378587165306826</v>
      </c>
      <c r="F6" s="147">
        <f>'3'!F43/'3'!$B43*100</f>
        <v>0.72106662651446474</v>
      </c>
      <c r="G6" s="147">
        <f>'3'!G43/'3'!$B43*100</f>
        <v>0.47415846805407863</v>
      </c>
      <c r="H6" s="147">
        <f>'3'!H43/'3'!$B43*100</f>
        <v>0.24690815846038611</v>
      </c>
    </row>
    <row r="7" spans="1:8">
      <c r="A7" s="66">
        <v>1999</v>
      </c>
      <c r="B7" s="58">
        <f>'3'!B44/'3'!$B44*100</f>
        <v>100</v>
      </c>
      <c r="C7" s="147">
        <f>'3'!C44/'3'!$B44*100</f>
        <v>2.1678320490632501</v>
      </c>
      <c r="D7" s="147">
        <f>'3'!D44/'3'!$B44*100</f>
        <v>0.44661008745038561</v>
      </c>
      <c r="E7" s="147">
        <f>'3'!E44/'3'!$B44*100</f>
        <v>0.99026649524194488</v>
      </c>
      <c r="F7" s="147">
        <f>'3'!F44/'3'!$B44*100</f>
        <v>0.73095546637091935</v>
      </c>
      <c r="G7" s="147">
        <f>'3'!G44/'3'!$B44*100</f>
        <v>0.4865223823054361</v>
      </c>
      <c r="H7" s="147">
        <f>'3'!H44/'3'!$B44*100</f>
        <v>0.24443308406548334</v>
      </c>
    </row>
    <row r="8" spans="1:8">
      <c r="A8" s="66">
        <v>2000</v>
      </c>
      <c r="B8" s="58">
        <f>'3'!B45/'3'!$B45*100</f>
        <v>100</v>
      </c>
      <c r="C8" s="147">
        <f>'3'!C45/'3'!$B45*100</f>
        <v>2.1159079355269585</v>
      </c>
      <c r="D8" s="147">
        <f>'3'!D45/'3'!$B45*100</f>
        <v>0.41659605998079496</v>
      </c>
      <c r="E8" s="147">
        <f>'3'!E45/'3'!$B45*100</f>
        <v>0.99208208317965985</v>
      </c>
      <c r="F8" s="147">
        <f>'3'!F45/'3'!$B45*100</f>
        <v>0.70722979236650352</v>
      </c>
      <c r="G8" s="147">
        <f>'3'!G45/'3'!$B45*100</f>
        <v>0.45819585796260676</v>
      </c>
      <c r="H8" s="147">
        <f>'3'!H45/'3'!$B45*100</f>
        <v>0.24903393440389682</v>
      </c>
    </row>
    <row r="9" spans="1:8">
      <c r="A9" s="66">
        <v>2001</v>
      </c>
      <c r="B9" s="58">
        <f>'3'!B46/'3'!$B46*100</f>
        <v>100</v>
      </c>
      <c r="C9" s="147">
        <f>'3'!C46/'3'!$B46*100</f>
        <v>1.9532993774982885</v>
      </c>
      <c r="D9" s="147">
        <f>'3'!D46/'3'!$B46*100</f>
        <v>0.39943009989700085</v>
      </c>
      <c r="E9" s="147">
        <f>'3'!E46/'3'!$B46*100</f>
        <v>0.86274533025026723</v>
      </c>
      <c r="F9" s="147">
        <f>'3'!F46/'3'!$B46*100</f>
        <v>0.69112394735102045</v>
      </c>
      <c r="G9" s="147">
        <f>'3'!G46/'3'!$B46*100</f>
        <v>0.43357673502244043</v>
      </c>
      <c r="H9" s="147">
        <f>'3'!H46/'3'!$B46*100</f>
        <v>0.25754721232858008</v>
      </c>
    </row>
    <row r="10" spans="1:8">
      <c r="A10" s="66">
        <v>2002</v>
      </c>
      <c r="B10" s="58">
        <f>'3'!B47/'3'!$B47*100</f>
        <v>100</v>
      </c>
      <c r="C10" s="147">
        <f>'3'!C47/'3'!$B47*100</f>
        <v>1.8727277398800117</v>
      </c>
      <c r="D10" s="147">
        <f>'3'!D47/'3'!$B47*100</f>
        <v>0.40377179121542633</v>
      </c>
      <c r="E10" s="147">
        <f>'3'!E47/'3'!$B47*100</f>
        <v>0.82902968872445115</v>
      </c>
      <c r="F10" s="147">
        <f>'3'!F47/'3'!$B47*100</f>
        <v>0.63992625994013441</v>
      </c>
      <c r="G10" s="147">
        <f>'3'!G47/'3'!$B47*100</f>
        <v>0.39224187767371949</v>
      </c>
      <c r="H10" s="147">
        <f>'3'!H47/'3'!$B47*100</f>
        <v>0.2476843822664149</v>
      </c>
    </row>
    <row r="11" spans="1:8">
      <c r="A11" s="66">
        <v>2003</v>
      </c>
      <c r="B11" s="58">
        <f>'3'!B48/'3'!$B48*100</f>
        <v>100</v>
      </c>
      <c r="C11" s="147">
        <f>'3'!C48/'3'!$B48*100</f>
        <v>1.8323824556383719</v>
      </c>
      <c r="D11" s="147">
        <f>'3'!D48/'3'!$B48*100</f>
        <v>0.38004713251026995</v>
      </c>
      <c r="E11" s="147">
        <f>'3'!E48/'3'!$B48*100</f>
        <v>0.812414810110065</v>
      </c>
      <c r="F11" s="147">
        <f>'3'!F48/'3'!$B48*100</f>
        <v>0.6399205130180371</v>
      </c>
      <c r="G11" s="147">
        <f>'3'!G48/'3'!$B48*100</f>
        <v>0.39218398972454677</v>
      </c>
      <c r="H11" s="147">
        <f>'3'!H48/'3'!$B48*100</f>
        <v>0.24773652329349027</v>
      </c>
    </row>
    <row r="12" spans="1:8">
      <c r="A12" s="66">
        <v>2004</v>
      </c>
      <c r="B12" s="58">
        <f>'3'!B49/'3'!$B49*100</f>
        <v>100</v>
      </c>
      <c r="C12" s="147">
        <f>'3'!C49/'3'!$B49*100</f>
        <v>1.8027065496224477</v>
      </c>
      <c r="D12" s="147">
        <f>'3'!D49/'3'!$B49*100</f>
        <v>0.36799523938248058</v>
      </c>
      <c r="E12" s="147">
        <f>'3'!E49/'3'!$B49*100</f>
        <v>0.806168760674429</v>
      </c>
      <c r="F12" s="147">
        <f>'3'!F49/'3'!$B49*100</f>
        <v>0.6285425495655379</v>
      </c>
      <c r="G12" s="147">
        <f>'3'!G49/'3'!$B49*100</f>
        <v>0.38831570267667204</v>
      </c>
      <c r="H12" s="147">
        <f>'3'!H49/'3'!$B49*100</f>
        <v>0.24022684688886592</v>
      </c>
    </row>
    <row r="13" spans="1:8">
      <c r="A13" s="66">
        <v>2005</v>
      </c>
      <c r="B13" s="58">
        <f>'3'!B50/'3'!$B50*100</f>
        <v>100</v>
      </c>
      <c r="C13" s="147">
        <f>'3'!C50/'3'!$B50*100</f>
        <v>1.751616768000078</v>
      </c>
      <c r="D13" s="147">
        <f>'3'!D50/'3'!$B50*100</f>
        <v>0.35180457184411362</v>
      </c>
      <c r="E13" s="147">
        <f>'3'!E50/'3'!$B50*100</f>
        <v>0.77614616881072496</v>
      </c>
      <c r="F13" s="147">
        <f>'3'!F50/'3'!$B50*100</f>
        <v>0.62366602734523935</v>
      </c>
      <c r="G13" s="147">
        <f>'3'!G50/'3'!$B50*100</f>
        <v>0.37609533193765593</v>
      </c>
      <c r="H13" s="147">
        <f>'3'!H50/'3'!$B50*100</f>
        <v>0.24757069540758342</v>
      </c>
    </row>
    <row r="14" spans="1:8">
      <c r="A14" s="66">
        <v>2006</v>
      </c>
      <c r="B14" s="58">
        <f>'3'!B51/'3'!$B51*100</f>
        <v>100</v>
      </c>
      <c r="C14" s="147">
        <f>'3'!C51/'3'!$B51*100</f>
        <v>1.5975834620054867</v>
      </c>
      <c r="D14" s="147">
        <f>'3'!D51/'3'!$B51*100</f>
        <v>0.31525926814277361</v>
      </c>
      <c r="E14" s="147">
        <f>'3'!E51/'3'!$B51*100</f>
        <v>0.7065225538549178</v>
      </c>
      <c r="F14" s="147">
        <f>'3'!F51/'3'!$B51*100</f>
        <v>0.57580164000779532</v>
      </c>
      <c r="G14" s="147">
        <f>'3'!G51/'3'!$B51*100</f>
        <v>0.34680018588753808</v>
      </c>
      <c r="H14" s="147">
        <f>'3'!H51/'3'!$B51*100</f>
        <v>0.22900145412025724</v>
      </c>
    </row>
    <row r="15" spans="1:8">
      <c r="A15" s="66">
        <v>2007</v>
      </c>
      <c r="B15" s="58">
        <f>'3'!B52/'3'!$B52*100</f>
        <v>100</v>
      </c>
      <c r="C15" s="147">
        <f>'3'!C52/'3'!$B52*100</f>
        <v>1.4443137588469424</v>
      </c>
      <c r="D15" s="147">
        <f>'3'!D52/'3'!$B52*100</f>
        <v>0.2859765880499916</v>
      </c>
      <c r="E15" s="147">
        <f>'3'!E52/'3'!$B52*100</f>
        <v>0.60858751030248981</v>
      </c>
      <c r="F15" s="147">
        <f>'3'!F52/'3'!$B52*100</f>
        <v>0.54974966049446083</v>
      </c>
      <c r="G15" s="147">
        <f>'3'!G52/'3'!$B52*100</f>
        <v>0.33557519424409787</v>
      </c>
      <c r="H15" s="147">
        <f>'3'!H52/'3'!$B52*100</f>
        <v>0.21417446625036299</v>
      </c>
    </row>
    <row r="16" spans="1:8">
      <c r="A16" s="66">
        <v>2008</v>
      </c>
      <c r="B16" s="58">
        <f>'3'!B53/'3'!$B53*100</f>
        <v>100</v>
      </c>
      <c r="C16" s="147">
        <f>'3'!C53/'3'!$B53*100</f>
        <v>1.2677850850239154</v>
      </c>
      <c r="D16" s="147">
        <f>'3'!D53/'3'!$B53*100</f>
        <v>0.23052736235727642</v>
      </c>
      <c r="E16" s="147">
        <f>'3'!E53/'3'!$B53*100</f>
        <v>0.53130930886223349</v>
      </c>
      <c r="F16" s="147">
        <f>'3'!F53/'3'!$B53*100</f>
        <v>0.50594841380440547</v>
      </c>
      <c r="G16" s="147">
        <f>'3'!G53/'3'!$B53*100</f>
        <v>0.30727364319211442</v>
      </c>
      <c r="H16" s="147">
        <f>'3'!H53/'3'!$B53*100</f>
        <v>0.19867477061229105</v>
      </c>
    </row>
    <row r="17" spans="1:8">
      <c r="A17" s="66">
        <v>2009</v>
      </c>
      <c r="B17" s="58">
        <f>'3'!B54/'3'!$B54*100</f>
        <v>100</v>
      </c>
      <c r="C17" s="147">
        <f>'3'!C54/'3'!$B54*100</f>
        <v>1.1171242986421752</v>
      </c>
      <c r="D17" s="147">
        <f>'3'!D54/'3'!$B54*100</f>
        <v>0.20163533003183606</v>
      </c>
      <c r="E17" s="147">
        <f>'3'!E54/'3'!$B54*100</f>
        <v>0.46672562127602002</v>
      </c>
      <c r="F17" s="147">
        <f>'3'!F54/'3'!$B54*100</f>
        <v>0.44876334733431933</v>
      </c>
      <c r="G17" s="147">
        <f>'3'!G54/'3'!$B54*100</f>
        <v>0.26059972275875876</v>
      </c>
      <c r="H17" s="147">
        <f>'3'!H54/'3'!$B54*100</f>
        <v>0.18816362457556057</v>
      </c>
    </row>
    <row r="18" spans="1:8">
      <c r="A18" s="66">
        <v>2010</v>
      </c>
      <c r="B18" s="58">
        <f>'3'!B55/'3'!$B55*100</f>
        <v>100</v>
      </c>
      <c r="C18" s="147">
        <f>'3'!C55/'3'!$B55*100</f>
        <v>1.09567480244979</v>
      </c>
      <c r="D18" s="147">
        <f>'3'!D55/'3'!$B55*100</f>
        <v>0.21256004655500466</v>
      </c>
      <c r="E18" s="147">
        <f>'3'!E55/'3'!$B55*100</f>
        <v>0.45963839126851425</v>
      </c>
      <c r="F18" s="147">
        <f>'3'!F55/'3'!$B55*100</f>
        <v>0.42347636462627092</v>
      </c>
      <c r="G18" s="147">
        <f>'3'!G55/'3'!$B55*100</f>
        <v>0.23906156368755779</v>
      </c>
      <c r="H18" s="147">
        <f>'3'!H55/'3'!$B55*100</f>
        <v>0.18441480093871315</v>
      </c>
    </row>
    <row r="19" spans="1:8">
      <c r="A19" s="66">
        <v>2011</v>
      </c>
      <c r="B19" s="58">
        <f>'3'!B56/'3'!$B56*100</f>
        <v>100</v>
      </c>
      <c r="C19" s="147">
        <f>'3'!C56/'3'!$B56*100</f>
        <v>1.0599950864160965</v>
      </c>
      <c r="D19" s="147">
        <f>'3'!D56/'3'!$B56*100</f>
        <v>0.20908264069389335</v>
      </c>
      <c r="E19" s="147">
        <f>'3'!E56/'3'!$B56*100</f>
        <v>0.44903121260555556</v>
      </c>
      <c r="F19" s="147">
        <f>'3'!F56/'3'!$B56*100</f>
        <v>0.4018812331166477</v>
      </c>
      <c r="G19" s="147">
        <f>'3'!G56/'3'!$B56*100</f>
        <v>0.22321061288732061</v>
      </c>
      <c r="H19" s="147">
        <f>'3'!H56/'3'!$B56*100</f>
        <v>0.17867062022932706</v>
      </c>
    </row>
    <row r="20" spans="1:8">
      <c r="A20" s="66"/>
      <c r="B20" s="32"/>
      <c r="C20" s="32"/>
      <c r="D20" s="32"/>
      <c r="E20" s="32"/>
      <c r="F20" s="32"/>
      <c r="G20" s="32"/>
      <c r="H20" s="32"/>
    </row>
    <row r="21" spans="1:8">
      <c r="A21" s="137" t="s">
        <v>1021</v>
      </c>
      <c r="B21" s="137"/>
      <c r="C21" s="137"/>
      <c r="D21" s="137"/>
      <c r="E21" s="137"/>
      <c r="F21" s="137"/>
      <c r="G21" s="137"/>
      <c r="H21" s="137"/>
    </row>
  </sheetData>
  <mergeCells count="8">
    <mergeCell ref="A1:H1"/>
    <mergeCell ref="A21:H21"/>
    <mergeCell ref="B2:B4"/>
    <mergeCell ref="C2:H2"/>
    <mergeCell ref="C3:C4"/>
    <mergeCell ref="D3:D4"/>
    <mergeCell ref="E3:E4"/>
    <mergeCell ref="F3:H3"/>
  </mergeCells>
  <pageMargins left="0.7" right="0.7" top="0.75" bottom="0.75" header="0.3" footer="0.3"/>
  <pageSetup scale="88" orientation="landscape" horizontalDpi="0" verticalDpi="0" r:id="rId1"/>
</worksheet>
</file>

<file path=xl/worksheets/sheet180.xml><?xml version="1.0" encoding="utf-8"?>
<worksheet xmlns="http://schemas.openxmlformats.org/spreadsheetml/2006/main" xmlns:r="http://schemas.openxmlformats.org/officeDocument/2006/relationships">
  <sheetPr codeName="Sheet174"/>
  <dimension ref="A1:H29"/>
  <sheetViews>
    <sheetView view="pageBreakPreview" zoomScaleNormal="85" zoomScaleSheetLayoutView="100" workbookViewId="0">
      <selection activeCell="AC38" sqref="AC38"/>
    </sheetView>
  </sheetViews>
  <sheetFormatPr defaultRowHeight="15"/>
  <cols>
    <col min="1" max="1" width="12" style="64" customWidth="1"/>
    <col min="2" max="8" width="17" style="64" customWidth="1"/>
    <col min="9" max="16384" width="9.140625" style="64"/>
  </cols>
  <sheetData>
    <row r="1" spans="1:8">
      <c r="A1" s="93" t="s">
        <v>2104</v>
      </c>
      <c r="B1" s="93"/>
      <c r="C1" s="93"/>
      <c r="D1" s="93"/>
      <c r="E1" s="93"/>
      <c r="F1" s="93"/>
      <c r="G1" s="93"/>
      <c r="H1" s="93"/>
    </row>
    <row r="2" spans="1:8" ht="60">
      <c r="B2" s="73" t="s">
        <v>7</v>
      </c>
      <c r="C2" s="73" t="s">
        <v>37</v>
      </c>
      <c r="D2" s="73" t="s">
        <v>192</v>
      </c>
      <c r="E2" s="73" t="s">
        <v>1</v>
      </c>
      <c r="F2" s="73" t="s">
        <v>678</v>
      </c>
      <c r="G2" s="73" t="s">
        <v>13</v>
      </c>
      <c r="H2" s="73" t="s">
        <v>19</v>
      </c>
    </row>
    <row r="4" spans="1:8">
      <c r="A4" s="66">
        <v>1997</v>
      </c>
      <c r="B4" s="65">
        <f>'801'!H18*1000/'811'!B17</f>
        <v>49.31053058332342</v>
      </c>
      <c r="C4" s="65" t="s">
        <v>22</v>
      </c>
      <c r="D4" s="65">
        <f>'801'!J18*1000/'811'!D17</f>
        <v>34.263608241571113</v>
      </c>
      <c r="E4" s="57" t="s">
        <v>188</v>
      </c>
      <c r="F4" s="65" t="s">
        <v>22</v>
      </c>
      <c r="G4" s="57" t="s">
        <v>188</v>
      </c>
      <c r="H4" s="65">
        <f>'801'!N18*1000/'811'!H17</f>
        <v>46.783625730994153</v>
      </c>
    </row>
    <row r="5" spans="1:8">
      <c r="A5" s="66">
        <v>1998</v>
      </c>
      <c r="B5" s="65">
        <f>'801'!H19*1000/'811'!B18</f>
        <v>50.557318546477703</v>
      </c>
      <c r="C5" s="65" t="s">
        <v>22</v>
      </c>
      <c r="D5" s="65">
        <f>'801'!J19*1000/'811'!D18</f>
        <v>29.993898143516709</v>
      </c>
      <c r="E5" s="65">
        <f>'801'!K19*1000/'811'!E18</f>
        <v>9.8290410316186101</v>
      </c>
      <c r="F5" s="65" t="s">
        <v>22</v>
      </c>
      <c r="G5" s="57" t="s">
        <v>188</v>
      </c>
      <c r="H5" s="57" t="s">
        <v>188</v>
      </c>
    </row>
    <row r="6" spans="1:8">
      <c r="A6" s="66">
        <v>1999</v>
      </c>
      <c r="B6" s="65">
        <f>'801'!H20*1000/'811'!B19</f>
        <v>51.136012934690896</v>
      </c>
      <c r="C6" s="65" t="s">
        <v>22</v>
      </c>
      <c r="D6" s="65">
        <f>'801'!J20*1000/'811'!D19</f>
        <v>41.75966968243366</v>
      </c>
      <c r="E6" s="65">
        <f>'801'!K20*1000/'811'!E19</f>
        <v>8.4040173502293687</v>
      </c>
      <c r="F6" s="65" t="s">
        <v>22</v>
      </c>
      <c r="G6" s="57" t="s">
        <v>188</v>
      </c>
      <c r="H6" s="57" t="s">
        <v>188</v>
      </c>
    </row>
    <row r="7" spans="1:8">
      <c r="A7" s="66">
        <v>2000</v>
      </c>
      <c r="B7" s="65">
        <f>'801'!H21*1000/'811'!B20</f>
        <v>55.375278801848452</v>
      </c>
      <c r="C7" s="65" t="s">
        <v>22</v>
      </c>
      <c r="D7" s="65">
        <f>'801'!J21*1000/'811'!D20</f>
        <v>45.100911872379498</v>
      </c>
      <c r="E7" s="65">
        <f>'801'!K21*1000/'811'!E20</f>
        <v>14.6819528823484</v>
      </c>
      <c r="F7" s="65" t="s">
        <v>22</v>
      </c>
      <c r="G7" s="57" t="s">
        <v>188</v>
      </c>
      <c r="H7" s="57" t="s">
        <v>188</v>
      </c>
    </row>
    <row r="8" spans="1:8">
      <c r="A8" s="66">
        <v>2001</v>
      </c>
      <c r="B8" s="65">
        <f>'801'!H22*1000/'811'!B21</f>
        <v>54.215457811103981</v>
      </c>
      <c r="C8" s="65" t="s">
        <v>22</v>
      </c>
      <c r="D8" s="65">
        <f>'801'!J22*1000/'811'!D21</f>
        <v>44.629464348596628</v>
      </c>
      <c r="E8" s="65" t="s">
        <v>188</v>
      </c>
      <c r="F8" s="65" t="s">
        <v>22</v>
      </c>
      <c r="G8" s="57" t="s">
        <v>188</v>
      </c>
      <c r="H8" s="57" t="s">
        <v>188</v>
      </c>
    </row>
    <row r="9" spans="1:8">
      <c r="A9" s="66">
        <v>2002</v>
      </c>
      <c r="B9" s="65">
        <f>'801'!H23*1000/'811'!B22</f>
        <v>62.692462142292641</v>
      </c>
      <c r="C9" s="65" t="s">
        <v>22</v>
      </c>
      <c r="D9" s="65">
        <f>'801'!J23*1000/'811'!D22</f>
        <v>48.48375224134135</v>
      </c>
      <c r="E9" s="65">
        <f>'801'!K23*1000/'811'!E22</f>
        <v>15.042966668982926</v>
      </c>
      <c r="F9" s="65" t="s">
        <v>22</v>
      </c>
      <c r="G9" s="57" t="s">
        <v>188</v>
      </c>
      <c r="H9" s="57" t="s">
        <v>188</v>
      </c>
    </row>
    <row r="10" spans="1:8">
      <c r="A10" s="66">
        <v>2003</v>
      </c>
      <c r="B10" s="65">
        <f>'801'!H24*1000/'811'!B23</f>
        <v>66.668353098060962</v>
      </c>
      <c r="C10" s="65" t="s">
        <v>22</v>
      </c>
      <c r="D10" s="65">
        <f>'801'!J24*1000/'811'!D23</f>
        <v>60.974741037498426</v>
      </c>
      <c r="E10" s="65">
        <f>'801'!K24*1000/'811'!E23</f>
        <v>23.434976530661331</v>
      </c>
      <c r="F10" s="65" t="s">
        <v>22</v>
      </c>
      <c r="G10" s="57" t="s">
        <v>188</v>
      </c>
      <c r="H10" s="57" t="s">
        <v>188</v>
      </c>
    </row>
    <row r="11" spans="1:8">
      <c r="A11" s="66">
        <v>2004</v>
      </c>
      <c r="B11" s="65">
        <f>'801'!H25*1000/'811'!B24</f>
        <v>64.444823859814306</v>
      </c>
      <c r="C11" s="65" t="s">
        <v>22</v>
      </c>
      <c r="D11" s="65">
        <f>'801'!J25*1000/'811'!D24</f>
        <v>55.907704827209301</v>
      </c>
      <c r="E11" s="65">
        <f>'801'!K25*1000/'811'!E24</f>
        <v>12.888026607538803</v>
      </c>
      <c r="F11" s="65" t="s">
        <v>22</v>
      </c>
      <c r="G11" s="57" t="s">
        <v>188</v>
      </c>
      <c r="H11" s="57" t="s">
        <v>188</v>
      </c>
    </row>
    <row r="12" spans="1:8">
      <c r="A12" s="66">
        <v>2005</v>
      </c>
      <c r="B12" s="65">
        <f>'801'!H26*1000/'811'!B25</f>
        <v>66.558885511462137</v>
      </c>
      <c r="C12" s="65" t="s">
        <v>22</v>
      </c>
      <c r="D12" s="65">
        <f>'801'!J26*1000/'811'!D25</f>
        <v>55.029324080375922</v>
      </c>
      <c r="E12" s="65">
        <f>'801'!K26*1000/'811'!E25</f>
        <v>13.586275982970196</v>
      </c>
      <c r="F12" s="65" t="s">
        <v>22</v>
      </c>
      <c r="G12" s="57" t="s">
        <v>188</v>
      </c>
      <c r="H12" s="57" t="s">
        <v>188</v>
      </c>
    </row>
    <row r="13" spans="1:8">
      <c r="A13" s="66">
        <v>2006</v>
      </c>
      <c r="B13" s="65">
        <f>'801'!H27*1000/'811'!B26</f>
        <v>66.777456765863931</v>
      </c>
      <c r="C13" s="65" t="s">
        <v>22</v>
      </c>
      <c r="D13" s="65">
        <f>'801'!J27*1000/'811'!D26</f>
        <v>71.309196902854069</v>
      </c>
      <c r="E13" s="65">
        <f>'801'!K27*1000/'811'!E26</f>
        <v>14.063414634146341</v>
      </c>
      <c r="F13" s="65" t="s">
        <v>22</v>
      </c>
      <c r="G13" s="57" t="s">
        <v>188</v>
      </c>
      <c r="H13" s="57" t="s">
        <v>188</v>
      </c>
    </row>
    <row r="14" spans="1:8">
      <c r="A14" s="66">
        <v>2007</v>
      </c>
      <c r="B14" s="65">
        <f>'801'!H28*1000/'811'!B27</f>
        <v>72.89827095485127</v>
      </c>
      <c r="C14" s="65" t="s">
        <v>22</v>
      </c>
      <c r="D14" s="65">
        <f>'801'!J28*1000/'811'!D27</f>
        <v>61.758076634109692</v>
      </c>
      <c r="E14" s="65">
        <f>'801'!K28*1000/'811'!E27</f>
        <v>13.478260869565217</v>
      </c>
      <c r="F14" s="65" t="s">
        <v>22</v>
      </c>
      <c r="G14" s="57" t="s">
        <v>188</v>
      </c>
      <c r="H14" s="57" t="s">
        <v>188</v>
      </c>
    </row>
    <row r="15" spans="1:8">
      <c r="A15" s="66">
        <v>2008</v>
      </c>
      <c r="B15" s="65">
        <f>'801'!H29*1000/'811'!B28</f>
        <v>71.74250211672954</v>
      </c>
      <c r="C15" s="65" t="s">
        <v>22</v>
      </c>
      <c r="D15" s="65">
        <f>'801'!J29*1000/'811'!D28</f>
        <v>77.933450087565674</v>
      </c>
      <c r="E15" s="65">
        <f>'801'!K29*1000/'811'!E28</f>
        <v>15.233644859813085</v>
      </c>
      <c r="F15" s="65" t="s">
        <v>22</v>
      </c>
      <c r="G15" s="57" t="s">
        <v>188</v>
      </c>
      <c r="H15" s="57" t="s">
        <v>188</v>
      </c>
    </row>
    <row r="16" spans="1:8">
      <c r="A16" s="66">
        <v>2009</v>
      </c>
      <c r="B16" s="65">
        <f>'801'!H30*1000/'811'!B29</f>
        <v>67.719335419654882</v>
      </c>
      <c r="C16" s="65" t="s">
        <v>22</v>
      </c>
      <c r="D16" s="65">
        <f>'801'!J30*1000/'811'!D29</f>
        <v>69.750231267345058</v>
      </c>
      <c r="E16" s="65">
        <f>'801'!K30*1000/'811'!E29</f>
        <v>20.730270906949354</v>
      </c>
      <c r="F16" s="65" t="s">
        <v>22</v>
      </c>
      <c r="G16" s="57" t="s">
        <v>188</v>
      </c>
      <c r="H16" s="57" t="s">
        <v>188</v>
      </c>
    </row>
    <row r="17" spans="1:8">
      <c r="A17" s="66">
        <v>2010</v>
      </c>
      <c r="B17" s="65">
        <f>'801'!H31*1000/'811'!B30</f>
        <v>70.26874498239367</v>
      </c>
      <c r="C17" s="65" t="s">
        <v>22</v>
      </c>
      <c r="D17" s="65">
        <f>'801'!J31*1000/'811'!D30</f>
        <v>72.663316582914575</v>
      </c>
      <c r="E17" s="65">
        <f>'801'!K31*1000/'811'!E30</f>
        <v>24.909310761789602</v>
      </c>
      <c r="F17" s="65" t="s">
        <v>22</v>
      </c>
      <c r="G17" s="57" t="s">
        <v>188</v>
      </c>
      <c r="H17" s="57" t="s">
        <v>188</v>
      </c>
    </row>
    <row r="18" spans="1:8">
      <c r="A18" s="66">
        <v>2011</v>
      </c>
      <c r="B18" s="65">
        <f>'801'!H32*1000/'811'!B31</f>
        <v>68.882546097499372</v>
      </c>
      <c r="C18" s="65" t="s">
        <v>22</v>
      </c>
      <c r="D18" s="65">
        <f>'801'!J32*1000/'811'!D31</f>
        <v>76.089159067882477</v>
      </c>
      <c r="E18" s="65">
        <f>'801'!K32*1000/'811'!E31</f>
        <v>24.354243542435423</v>
      </c>
      <c r="F18" s="65" t="s">
        <v>22</v>
      </c>
      <c r="G18" s="57" t="s">
        <v>188</v>
      </c>
      <c r="H18" s="57" t="s">
        <v>188</v>
      </c>
    </row>
    <row r="19" spans="1:8">
      <c r="B19" s="57"/>
      <c r="C19" s="57"/>
      <c r="D19" s="57"/>
      <c r="E19" s="57"/>
      <c r="F19" s="57"/>
      <c r="G19" s="57"/>
      <c r="H19" s="57"/>
    </row>
    <row r="20" spans="1:8">
      <c r="A20" s="64" t="s">
        <v>23</v>
      </c>
      <c r="B20" s="57"/>
      <c r="C20" s="57"/>
      <c r="D20" s="57"/>
      <c r="E20" s="57"/>
      <c r="F20" s="57"/>
      <c r="G20" s="65"/>
      <c r="H20" s="65"/>
    </row>
    <row r="21" spans="1:8">
      <c r="A21" s="64" t="s">
        <v>1780</v>
      </c>
      <c r="B21" s="65">
        <f>IFERROR(((B18/B4)^(1/14)-1)*100,"n.a.")</f>
        <v>2.416339887000829</v>
      </c>
      <c r="C21" s="65" t="str">
        <f t="shared" ref="C21:H21" si="0">IFERROR(((C18/C4)^(1/14)-1)*100,"n.a.")</f>
        <v>n.a.</v>
      </c>
      <c r="D21" s="65">
        <f t="shared" si="0"/>
        <v>5.8642349793418758</v>
      </c>
      <c r="E21" s="65" t="str">
        <f t="shared" si="0"/>
        <v>n.a.</v>
      </c>
      <c r="F21" s="65" t="str">
        <f t="shared" si="0"/>
        <v>n.a.</v>
      </c>
      <c r="G21" s="65" t="str">
        <f t="shared" si="0"/>
        <v>n.a.</v>
      </c>
      <c r="H21" s="65" t="str">
        <f t="shared" si="0"/>
        <v>n.a.</v>
      </c>
    </row>
    <row r="22" spans="1:8">
      <c r="A22" s="64" t="s">
        <v>663</v>
      </c>
      <c r="B22" s="65">
        <f>IFERROR(((B7/B4)^(1/3)-1)*100,"n.a.")</f>
        <v>3.9422427735257504</v>
      </c>
      <c r="C22" s="65" t="str">
        <f t="shared" ref="C22:H22" si="1">IFERROR(((C7/C4)^(1/3)-1)*100,"n.a.")</f>
        <v>n.a.</v>
      </c>
      <c r="D22" s="65">
        <f t="shared" si="1"/>
        <v>9.5933179979227781</v>
      </c>
      <c r="E22" s="65" t="str">
        <f t="shared" si="1"/>
        <v>n.a.</v>
      </c>
      <c r="F22" s="65" t="str">
        <f t="shared" si="1"/>
        <v>n.a.</v>
      </c>
      <c r="G22" s="65" t="str">
        <f t="shared" si="1"/>
        <v>n.a.</v>
      </c>
      <c r="H22" s="65" t="str">
        <f t="shared" si="1"/>
        <v>n.a.</v>
      </c>
    </row>
    <row r="23" spans="1:8">
      <c r="A23" s="64" t="s">
        <v>1782</v>
      </c>
      <c r="B23" s="65">
        <f>IFERROR(((B18/B7)^(1/11)-1)*100,"n.a.")</f>
        <v>2.0040862044310659</v>
      </c>
      <c r="C23" s="65" t="str">
        <f t="shared" ref="C23:H23" si="2">IFERROR(((C18/C7)^(1/11)-1)*100,"n.a.")</f>
        <v>n.a.</v>
      </c>
      <c r="D23" s="65">
        <f t="shared" si="2"/>
        <v>4.869418570625772</v>
      </c>
      <c r="E23" s="65">
        <f t="shared" si="2"/>
        <v>4.7082698361283093</v>
      </c>
      <c r="F23" s="65" t="str">
        <f t="shared" si="2"/>
        <v>n.a.</v>
      </c>
      <c r="G23" s="65" t="str">
        <f t="shared" si="2"/>
        <v>n.a.</v>
      </c>
      <c r="H23" s="65" t="str">
        <f t="shared" si="2"/>
        <v>n.a.</v>
      </c>
    </row>
    <row r="25" spans="1:8">
      <c r="A25" s="137" t="s">
        <v>500</v>
      </c>
      <c r="B25" s="137"/>
      <c r="C25" s="137"/>
      <c r="D25" s="137"/>
      <c r="E25" s="137"/>
      <c r="F25" s="137"/>
      <c r="G25" s="137"/>
      <c r="H25" s="137"/>
    </row>
    <row r="26" spans="1:8">
      <c r="A26" s="137" t="s">
        <v>501</v>
      </c>
      <c r="B26" s="137"/>
      <c r="C26" s="137"/>
      <c r="D26" s="137"/>
      <c r="E26" s="137"/>
      <c r="F26" s="137"/>
      <c r="G26" s="137"/>
      <c r="H26" s="137"/>
    </row>
    <row r="27" spans="1:8" ht="30" customHeight="1">
      <c r="A27" s="104" t="s">
        <v>195</v>
      </c>
      <c r="B27" s="104"/>
      <c r="C27" s="104"/>
      <c r="D27" s="104"/>
      <c r="E27" s="104"/>
      <c r="F27" s="104"/>
      <c r="G27" s="104"/>
      <c r="H27" s="104"/>
    </row>
    <row r="28" spans="1:8">
      <c r="A28" s="137" t="s">
        <v>193</v>
      </c>
      <c r="B28" s="137"/>
      <c r="C28" s="137"/>
      <c r="D28" s="137"/>
      <c r="E28" s="137"/>
      <c r="F28" s="137"/>
      <c r="G28" s="137"/>
      <c r="H28" s="137"/>
    </row>
    <row r="29" spans="1:8">
      <c r="A29" s="137" t="s">
        <v>194</v>
      </c>
      <c r="B29" s="137"/>
      <c r="C29" s="137"/>
      <c r="D29" s="137"/>
      <c r="E29" s="137"/>
      <c r="F29" s="137"/>
      <c r="G29" s="137"/>
      <c r="H29" s="137"/>
    </row>
  </sheetData>
  <mergeCells count="6">
    <mergeCell ref="A29:H29"/>
    <mergeCell ref="A1:H1"/>
    <mergeCell ref="A25:H25"/>
    <mergeCell ref="A26:H26"/>
    <mergeCell ref="A27:H27"/>
    <mergeCell ref="A28:H28"/>
  </mergeCells>
  <pageMargins left="0.7" right="0.7" top="0.75" bottom="0.75" header="0.3" footer="0.3"/>
  <pageSetup scale="93" orientation="landscape" horizontalDpi="0" verticalDpi="0" r:id="rId1"/>
</worksheet>
</file>

<file path=xl/worksheets/sheet181.xml><?xml version="1.0" encoding="utf-8"?>
<worksheet xmlns="http://schemas.openxmlformats.org/spreadsheetml/2006/main" xmlns:r="http://schemas.openxmlformats.org/officeDocument/2006/relationships">
  <sheetPr codeName="Sheet175"/>
  <dimension ref="A1:H30"/>
  <sheetViews>
    <sheetView view="pageBreakPreview" zoomScaleNormal="85" zoomScaleSheetLayoutView="100" workbookViewId="0">
      <selection activeCell="AC38" sqref="AC38"/>
    </sheetView>
  </sheetViews>
  <sheetFormatPr defaultRowHeight="15"/>
  <cols>
    <col min="1" max="1" width="12" style="64" customWidth="1"/>
    <col min="2" max="5" width="17.140625" style="64" customWidth="1"/>
    <col min="6" max="6" width="17" style="64" customWidth="1"/>
    <col min="7" max="8" width="17.140625" style="64" customWidth="1"/>
    <col min="9" max="16384" width="9.140625" style="64"/>
  </cols>
  <sheetData>
    <row r="1" spans="1:8">
      <c r="A1" s="93" t="s">
        <v>2105</v>
      </c>
      <c r="B1" s="93"/>
      <c r="C1" s="93"/>
      <c r="D1" s="93"/>
      <c r="E1" s="93"/>
      <c r="F1" s="93"/>
      <c r="G1" s="93"/>
      <c r="H1" s="93"/>
    </row>
    <row r="2" spans="1:8" ht="60">
      <c r="B2" s="73" t="s">
        <v>7</v>
      </c>
      <c r="C2" s="73" t="s">
        <v>37</v>
      </c>
      <c r="D2" s="73" t="s">
        <v>192</v>
      </c>
      <c r="E2" s="73" t="s">
        <v>1</v>
      </c>
      <c r="F2" s="73" t="s">
        <v>678</v>
      </c>
      <c r="G2" s="73" t="s">
        <v>13</v>
      </c>
      <c r="H2" s="73" t="s">
        <v>19</v>
      </c>
    </row>
    <row r="4" spans="1:8">
      <c r="A4" s="66">
        <v>1997</v>
      </c>
      <c r="B4" s="65">
        <f>'802'!H18*1000/'812'!B17</f>
        <v>29.563920840482304</v>
      </c>
      <c r="C4" s="65" t="s">
        <v>22</v>
      </c>
      <c r="D4" s="65">
        <f>'802'!J18*1000/'812'!D17</f>
        <v>35.877775234607462</v>
      </c>
      <c r="E4" s="57" t="s">
        <v>188</v>
      </c>
      <c r="F4" s="65" t="s">
        <v>22</v>
      </c>
      <c r="G4" s="65" t="s">
        <v>22</v>
      </c>
      <c r="H4" s="65" t="s">
        <v>22</v>
      </c>
    </row>
    <row r="5" spans="1:8">
      <c r="A5" s="66">
        <v>1998</v>
      </c>
      <c r="B5" s="65">
        <f>'802'!H19*1000/'812'!B18</f>
        <v>30.862615040420113</v>
      </c>
      <c r="C5" s="65" t="s">
        <v>22</v>
      </c>
      <c r="D5" s="65">
        <f>'802'!J19*1000/'812'!D18</f>
        <v>25.770071542130367</v>
      </c>
      <c r="E5" s="65" t="s">
        <v>188</v>
      </c>
      <c r="F5" s="65" t="s">
        <v>22</v>
      </c>
      <c r="G5" s="65" t="s">
        <v>22</v>
      </c>
      <c r="H5" s="65" t="s">
        <v>22</v>
      </c>
    </row>
    <row r="6" spans="1:8">
      <c r="A6" s="66">
        <v>1999</v>
      </c>
      <c r="B6" s="65">
        <f>'802'!H20*1000/'812'!B19</f>
        <v>31.795243416492717</v>
      </c>
      <c r="C6" s="65" t="s">
        <v>22</v>
      </c>
      <c r="D6" s="65">
        <f>'802'!J20*1000/'812'!D19</f>
        <v>20.884360570166635</v>
      </c>
      <c r="E6" s="65" t="s">
        <v>188</v>
      </c>
      <c r="F6" s="65" t="s">
        <v>22</v>
      </c>
      <c r="G6" s="65" t="s">
        <v>22</v>
      </c>
      <c r="H6" s="65" t="s">
        <v>22</v>
      </c>
    </row>
    <row r="7" spans="1:8">
      <c r="A7" s="66">
        <v>2000</v>
      </c>
      <c r="B7" s="65">
        <f>'802'!H21*1000/'812'!B20</f>
        <v>31.21441119082241</v>
      </c>
      <c r="C7" s="65" t="s">
        <v>22</v>
      </c>
      <c r="D7" s="65">
        <f>'802'!J21*1000/'812'!D20</f>
        <v>29.015837104072403</v>
      </c>
      <c r="E7" s="65" t="s">
        <v>188</v>
      </c>
      <c r="F7" s="65" t="s">
        <v>22</v>
      </c>
      <c r="G7" s="65" t="s">
        <v>22</v>
      </c>
      <c r="H7" s="65" t="s">
        <v>22</v>
      </c>
    </row>
    <row r="8" spans="1:8">
      <c r="A8" s="66">
        <v>2001</v>
      </c>
      <c r="B8" s="65">
        <f>'802'!H22*1000/'812'!B21</f>
        <v>30.775212896739838</v>
      </c>
      <c r="C8" s="65" t="s">
        <v>22</v>
      </c>
      <c r="D8" s="65">
        <f>'802'!J22*1000/'812'!D21</f>
        <v>43.536251709986324</v>
      </c>
      <c r="E8" s="65" t="s">
        <v>188</v>
      </c>
      <c r="F8" s="65" t="s">
        <v>22</v>
      </c>
      <c r="G8" s="65" t="s">
        <v>22</v>
      </c>
      <c r="H8" s="65" t="s">
        <v>22</v>
      </c>
    </row>
    <row r="9" spans="1:8">
      <c r="A9" s="66">
        <v>2002</v>
      </c>
      <c r="B9" s="65">
        <f>'802'!H23*1000/'812'!B22</f>
        <v>32.064972744522933</v>
      </c>
      <c r="C9" s="65" t="s">
        <v>22</v>
      </c>
      <c r="D9" s="65">
        <f>'802'!J23*1000/'812'!D22</f>
        <v>40.235294117647065</v>
      </c>
      <c r="E9" s="65" t="s">
        <v>188</v>
      </c>
      <c r="F9" s="65" t="s">
        <v>22</v>
      </c>
      <c r="G9" s="65" t="s">
        <v>22</v>
      </c>
      <c r="H9" s="65" t="s">
        <v>22</v>
      </c>
    </row>
    <row r="10" spans="1:8">
      <c r="A10" s="66">
        <v>2003</v>
      </c>
      <c r="B10" s="65">
        <f>'802'!H24*1000/'812'!B23</f>
        <v>32.528828476577658</v>
      </c>
      <c r="C10" s="65" t="s">
        <v>22</v>
      </c>
      <c r="D10" s="65">
        <f>'802'!J24*1000/'812'!D23</f>
        <v>37.910138929943841</v>
      </c>
      <c r="E10" s="65" t="s">
        <v>188</v>
      </c>
      <c r="F10" s="65" t="s">
        <v>22</v>
      </c>
      <c r="G10" s="65" t="s">
        <v>22</v>
      </c>
      <c r="H10" s="65" t="s">
        <v>22</v>
      </c>
    </row>
    <row r="11" spans="1:8">
      <c r="A11" s="66">
        <v>2004</v>
      </c>
      <c r="B11" s="65">
        <f>'802'!H25*1000/'812'!B24</f>
        <v>33.871834489205185</v>
      </c>
      <c r="C11" s="65" t="s">
        <v>22</v>
      </c>
      <c r="D11" s="65">
        <f>'802'!J25*1000/'812'!D24</f>
        <v>54.693366708385483</v>
      </c>
      <c r="E11" s="65" t="s">
        <v>188</v>
      </c>
      <c r="F11" s="65" t="s">
        <v>22</v>
      </c>
      <c r="G11" s="65" t="s">
        <v>22</v>
      </c>
      <c r="H11" s="65" t="s">
        <v>22</v>
      </c>
    </row>
    <row r="12" spans="1:8">
      <c r="A12" s="66">
        <v>2005</v>
      </c>
      <c r="B12" s="65">
        <f>'802'!H26*1000/'812'!B25</f>
        <v>33.460152447791444</v>
      </c>
      <c r="C12" s="65" t="s">
        <v>22</v>
      </c>
      <c r="D12" s="65">
        <f>'802'!J26*1000/'812'!D25</f>
        <v>65.278500780843316</v>
      </c>
      <c r="E12" s="57" t="s">
        <v>188</v>
      </c>
      <c r="F12" s="65" t="s">
        <v>22</v>
      </c>
      <c r="G12" s="65" t="s">
        <v>22</v>
      </c>
      <c r="H12" s="65" t="s">
        <v>22</v>
      </c>
    </row>
    <row r="13" spans="1:8">
      <c r="A13" s="66">
        <v>2006</v>
      </c>
      <c r="B13" s="65">
        <f>'802'!H27*1000/'812'!B26</f>
        <v>33.486307966008759</v>
      </c>
      <c r="C13" s="65" t="s">
        <v>22</v>
      </c>
      <c r="D13" s="65">
        <f>'802'!J27*1000/'812'!D26</f>
        <v>83.82352941176471</v>
      </c>
      <c r="E13" s="57" t="s">
        <v>188</v>
      </c>
      <c r="F13" s="65" t="s">
        <v>22</v>
      </c>
      <c r="G13" s="65" t="s">
        <v>22</v>
      </c>
      <c r="H13" s="65" t="s">
        <v>22</v>
      </c>
    </row>
    <row r="14" spans="1:8">
      <c r="A14" s="66">
        <v>2007</v>
      </c>
      <c r="B14" s="65">
        <f>'802'!H28*1000/'812'!B27</f>
        <v>34.759710878326587</v>
      </c>
      <c r="C14" s="65" t="s">
        <v>22</v>
      </c>
      <c r="D14" s="65">
        <f>'802'!J28*1000/'812'!D27</f>
        <v>271.42857142857144</v>
      </c>
      <c r="E14" s="57" t="s">
        <v>188</v>
      </c>
      <c r="F14" s="65" t="s">
        <v>22</v>
      </c>
      <c r="G14" s="65" t="s">
        <v>22</v>
      </c>
      <c r="H14" s="65" t="s">
        <v>22</v>
      </c>
    </row>
    <row r="15" spans="1:8">
      <c r="A15" s="66">
        <v>2008</v>
      </c>
      <c r="B15" s="65">
        <f>'802'!H29*1000/'812'!B28</f>
        <v>34.804863490298366</v>
      </c>
      <c r="C15" s="65" t="s">
        <v>22</v>
      </c>
      <c r="D15" s="65">
        <f>'802'!J29*1000/'812'!D28</f>
        <v>190.47619047619048</v>
      </c>
      <c r="E15" s="57" t="s">
        <v>188</v>
      </c>
      <c r="F15" s="65" t="s">
        <v>22</v>
      </c>
      <c r="G15" s="65" t="s">
        <v>22</v>
      </c>
      <c r="H15" s="65" t="s">
        <v>22</v>
      </c>
    </row>
    <row r="16" spans="1:8">
      <c r="A16" s="66">
        <v>2009</v>
      </c>
      <c r="B16" s="65">
        <f>'802'!H30*1000/'812'!B29</f>
        <v>35.359015498618852</v>
      </c>
      <c r="C16" s="65" t="s">
        <v>22</v>
      </c>
      <c r="D16" s="65">
        <f>'802'!J30*1000/'812'!D29</f>
        <v>129.16666666666666</v>
      </c>
      <c r="E16" s="57" t="s">
        <v>188</v>
      </c>
      <c r="F16" s="65" t="s">
        <v>22</v>
      </c>
      <c r="G16" s="65" t="s">
        <v>22</v>
      </c>
      <c r="H16" s="65" t="s">
        <v>22</v>
      </c>
    </row>
    <row r="17" spans="1:8">
      <c r="A17" s="66">
        <v>2010</v>
      </c>
      <c r="B17" s="65">
        <f>'802'!H31*1000/'812'!B30</f>
        <v>36.222815782097577</v>
      </c>
      <c r="C17" s="65" t="s">
        <v>22</v>
      </c>
      <c r="D17" s="65">
        <f>'802'!J31*1000/'812'!D30</f>
        <v>42.25352112676056</v>
      </c>
      <c r="E17" s="57" t="s">
        <v>188</v>
      </c>
      <c r="F17" s="65" t="s">
        <v>22</v>
      </c>
      <c r="G17" s="65" t="s">
        <v>22</v>
      </c>
      <c r="H17" s="65" t="s">
        <v>22</v>
      </c>
    </row>
    <row r="18" spans="1:8">
      <c r="A18" s="66">
        <v>2011</v>
      </c>
      <c r="B18" s="65">
        <f>'802'!H32*1000/'812'!B31</f>
        <v>35.417921806132476</v>
      </c>
      <c r="C18" s="65" t="s">
        <v>22</v>
      </c>
      <c r="D18" s="65">
        <f>'802'!J32*1000/'812'!D31</f>
        <v>130.76923076923077</v>
      </c>
      <c r="E18" s="57" t="s">
        <v>188</v>
      </c>
      <c r="F18" s="65" t="s">
        <v>22</v>
      </c>
      <c r="G18" s="65" t="s">
        <v>22</v>
      </c>
      <c r="H18" s="65" t="s">
        <v>22</v>
      </c>
    </row>
    <row r="19" spans="1:8">
      <c r="B19" s="57"/>
      <c r="C19" s="65"/>
      <c r="D19" s="57"/>
      <c r="E19" s="57"/>
      <c r="F19" s="57"/>
      <c r="G19" s="57"/>
      <c r="H19" s="57"/>
    </row>
    <row r="20" spans="1:8">
      <c r="A20" s="64" t="s">
        <v>23</v>
      </c>
      <c r="B20" s="57"/>
      <c r="C20" s="57"/>
      <c r="D20" s="57"/>
      <c r="E20" s="57"/>
      <c r="F20" s="57"/>
      <c r="G20" s="65"/>
      <c r="H20" s="65"/>
    </row>
    <row r="21" spans="1:8">
      <c r="A21" s="64" t="s">
        <v>1780</v>
      </c>
      <c r="B21" s="65">
        <f>IFERROR(((B18/B4)^(1/14)-1)*100,"n.a.")</f>
        <v>1.2988139044493696</v>
      </c>
      <c r="C21" s="65" t="str">
        <f t="shared" ref="C21:H21" si="0">IFERROR(((C18/C4)^(1/14)-1)*100,"n.a.")</f>
        <v>n.a.</v>
      </c>
      <c r="D21" s="65">
        <f t="shared" si="0"/>
        <v>9.6781217720566701</v>
      </c>
      <c r="E21" s="65" t="str">
        <f t="shared" si="0"/>
        <v>n.a.</v>
      </c>
      <c r="F21" s="65" t="str">
        <f t="shared" si="0"/>
        <v>n.a.</v>
      </c>
      <c r="G21" s="65" t="str">
        <f t="shared" si="0"/>
        <v>n.a.</v>
      </c>
      <c r="H21" s="65" t="str">
        <f t="shared" si="0"/>
        <v>n.a.</v>
      </c>
    </row>
    <row r="22" spans="1:8">
      <c r="A22" s="64" t="s">
        <v>663</v>
      </c>
      <c r="B22" s="65">
        <f>IFERROR(((B7/B4)^(1/3)-1)*100,"n.a.")</f>
        <v>1.8273336969580445</v>
      </c>
      <c r="C22" s="65" t="str">
        <f t="shared" ref="C22:H22" si="1">IFERROR(((C7/C4)^(1/3)-1)*100,"n.a.")</f>
        <v>n.a.</v>
      </c>
      <c r="D22" s="65">
        <f t="shared" si="1"/>
        <v>-6.8313362968313251</v>
      </c>
      <c r="E22" s="65" t="str">
        <f t="shared" si="1"/>
        <v>n.a.</v>
      </c>
      <c r="F22" s="65" t="str">
        <f t="shared" si="1"/>
        <v>n.a.</v>
      </c>
      <c r="G22" s="65" t="str">
        <f t="shared" si="1"/>
        <v>n.a.</v>
      </c>
      <c r="H22" s="65" t="str">
        <f t="shared" si="1"/>
        <v>n.a.</v>
      </c>
    </row>
    <row r="23" spans="1:8">
      <c r="A23" s="64" t="s">
        <v>1782</v>
      </c>
      <c r="B23" s="65">
        <f>IFERROR(((B18/B7)^(1/11)-1)*100,"n.a.")</f>
        <v>1.1551488365488582</v>
      </c>
      <c r="C23" s="65" t="str">
        <f t="shared" ref="C23:H23" si="2">IFERROR(((C18/C7)^(1/11)-1)*100,"n.a.")</f>
        <v>n.a.</v>
      </c>
      <c r="D23" s="65">
        <f t="shared" si="2"/>
        <v>14.6681404006195</v>
      </c>
      <c r="E23" s="65" t="str">
        <f t="shared" si="2"/>
        <v>n.a.</v>
      </c>
      <c r="F23" s="65" t="str">
        <f t="shared" si="2"/>
        <v>n.a.</v>
      </c>
      <c r="G23" s="65" t="str">
        <f t="shared" si="2"/>
        <v>n.a.</v>
      </c>
      <c r="H23" s="65" t="str">
        <f t="shared" si="2"/>
        <v>n.a.</v>
      </c>
    </row>
    <row r="25" spans="1:8">
      <c r="A25" s="137" t="s">
        <v>500</v>
      </c>
      <c r="B25" s="137"/>
      <c r="C25" s="137"/>
      <c r="D25" s="137"/>
      <c r="E25" s="137"/>
      <c r="F25" s="137"/>
      <c r="G25" s="137"/>
      <c r="H25" s="137"/>
    </row>
    <row r="26" spans="1:8">
      <c r="A26" s="137" t="s">
        <v>506</v>
      </c>
      <c r="B26" s="137"/>
      <c r="C26" s="137"/>
      <c r="D26" s="137"/>
      <c r="E26" s="137"/>
      <c r="F26" s="137"/>
      <c r="G26" s="137"/>
      <c r="H26" s="137"/>
    </row>
    <row r="27" spans="1:8" ht="30" customHeight="1">
      <c r="A27" s="104" t="s">
        <v>195</v>
      </c>
      <c r="B27" s="104"/>
      <c r="C27" s="104"/>
      <c r="D27" s="104"/>
      <c r="E27" s="104"/>
      <c r="F27" s="104"/>
      <c r="G27" s="104"/>
      <c r="H27" s="104"/>
    </row>
    <row r="28" spans="1:8">
      <c r="A28" s="137" t="s">
        <v>193</v>
      </c>
      <c r="B28" s="137"/>
      <c r="C28" s="137"/>
      <c r="D28" s="137"/>
      <c r="E28" s="137"/>
      <c r="F28" s="137"/>
      <c r="G28" s="137"/>
      <c r="H28" s="137"/>
    </row>
    <row r="29" spans="1:8">
      <c r="A29" s="137" t="s">
        <v>194</v>
      </c>
      <c r="B29" s="137"/>
      <c r="C29" s="137"/>
      <c r="D29" s="137"/>
      <c r="E29" s="137"/>
      <c r="F29" s="137"/>
      <c r="G29" s="137"/>
      <c r="H29" s="137"/>
    </row>
    <row r="30" spans="1:8">
      <c r="A30" s="137" t="s">
        <v>502</v>
      </c>
      <c r="B30" s="137"/>
      <c r="C30" s="137"/>
      <c r="D30" s="137"/>
      <c r="E30" s="137"/>
      <c r="F30" s="137"/>
      <c r="G30" s="137"/>
      <c r="H30" s="137"/>
    </row>
  </sheetData>
  <mergeCells count="7">
    <mergeCell ref="A29:H29"/>
    <mergeCell ref="A30:H30"/>
    <mergeCell ref="A1:H1"/>
    <mergeCell ref="A25:H25"/>
    <mergeCell ref="A26:H26"/>
    <mergeCell ref="A27:H27"/>
    <mergeCell ref="A28:H28"/>
  </mergeCells>
  <pageMargins left="0.7" right="0.7" top="0.75" bottom="0.75" header="0.3" footer="0.3"/>
  <pageSetup scale="93" orientation="landscape" horizontalDpi="0" verticalDpi="0" r:id="rId1"/>
</worksheet>
</file>

<file path=xl/worksheets/sheet182.xml><?xml version="1.0" encoding="utf-8"?>
<worksheet xmlns="http://schemas.openxmlformats.org/spreadsheetml/2006/main" xmlns:r="http://schemas.openxmlformats.org/officeDocument/2006/relationships">
  <sheetPr codeName="Sheet176"/>
  <dimension ref="A1:H29"/>
  <sheetViews>
    <sheetView view="pageBreakPreview" zoomScaleNormal="85" zoomScaleSheetLayoutView="100" workbookViewId="0">
      <selection activeCell="AC38" sqref="AC38"/>
    </sheetView>
  </sheetViews>
  <sheetFormatPr defaultRowHeight="15"/>
  <cols>
    <col min="1" max="1" width="12" style="64" customWidth="1"/>
    <col min="2" max="5" width="17.7109375" style="64" customWidth="1"/>
    <col min="6" max="6" width="17" style="64" customWidth="1"/>
    <col min="7" max="8" width="17.7109375" style="64" customWidth="1"/>
    <col min="9" max="16384" width="9.140625" style="64"/>
  </cols>
  <sheetData>
    <row r="1" spans="1:8">
      <c r="A1" s="108" t="s">
        <v>2107</v>
      </c>
      <c r="B1" s="108"/>
      <c r="C1" s="108"/>
      <c r="D1" s="108"/>
      <c r="E1" s="108"/>
      <c r="F1" s="108"/>
      <c r="G1" s="108"/>
      <c r="H1" s="108"/>
    </row>
    <row r="2" spans="1:8" ht="60">
      <c r="B2" s="73" t="s">
        <v>7</v>
      </c>
      <c r="C2" s="73" t="s">
        <v>37</v>
      </c>
      <c r="D2" s="73" t="s">
        <v>192</v>
      </c>
      <c r="E2" s="73" t="s">
        <v>1</v>
      </c>
      <c r="F2" s="73" t="s">
        <v>678</v>
      </c>
      <c r="G2" s="73" t="s">
        <v>13</v>
      </c>
      <c r="H2" s="73" t="s">
        <v>19</v>
      </c>
    </row>
    <row r="4" spans="1:8">
      <c r="A4" s="66">
        <v>1997</v>
      </c>
      <c r="B4" s="65">
        <f>'803'!H18*1000/'813'!B17</f>
        <v>33.335730537987637</v>
      </c>
      <c r="C4" s="65" t="s">
        <v>22</v>
      </c>
      <c r="D4" s="65">
        <f>'803'!J18*1000/'813'!D17</f>
        <v>12.265798012453576</v>
      </c>
      <c r="E4" s="65">
        <f>'803'!K18*1000/'813'!E17</f>
        <v>19.949280159507815</v>
      </c>
      <c r="F4" s="65" t="s">
        <v>22</v>
      </c>
      <c r="G4" s="65" t="s">
        <v>188</v>
      </c>
      <c r="H4" s="65" t="s">
        <v>188</v>
      </c>
    </row>
    <row r="5" spans="1:8">
      <c r="A5" s="66">
        <v>1998</v>
      </c>
      <c r="B5" s="65">
        <f>'803'!H19*1000/'813'!B18</f>
        <v>33.503628437342279</v>
      </c>
      <c r="C5" s="65" t="s">
        <v>22</v>
      </c>
      <c r="D5" s="65">
        <f>'803'!J19*1000/'813'!D18</f>
        <v>7.5748784876584541</v>
      </c>
      <c r="E5" s="65">
        <f>'803'!K19*1000/'813'!E18</f>
        <v>26.331343668774977</v>
      </c>
      <c r="F5" s="65" t="s">
        <v>22</v>
      </c>
      <c r="G5" s="65" t="s">
        <v>188</v>
      </c>
      <c r="H5" s="65" t="s">
        <v>188</v>
      </c>
    </row>
    <row r="6" spans="1:8">
      <c r="A6" s="66">
        <v>1999</v>
      </c>
      <c r="B6" s="65">
        <f>'803'!H20*1000/'813'!B19</f>
        <v>34.920527871730911</v>
      </c>
      <c r="C6" s="65" t="s">
        <v>22</v>
      </c>
      <c r="D6" s="65">
        <f>'803'!J20*1000/'813'!D19</f>
        <v>17.325703504418783</v>
      </c>
      <c r="E6" s="65">
        <f>'803'!K20*1000/'813'!E19</f>
        <v>22.176060959467982</v>
      </c>
      <c r="F6" s="65" t="s">
        <v>22</v>
      </c>
      <c r="G6" s="65" t="s">
        <v>188</v>
      </c>
      <c r="H6" s="65" t="s">
        <v>188</v>
      </c>
    </row>
    <row r="7" spans="1:8">
      <c r="A7" s="66">
        <v>2000</v>
      </c>
      <c r="B7" s="65">
        <f>'803'!H21*1000/'813'!B20</f>
        <v>35.778659717091578</v>
      </c>
      <c r="C7" s="65" t="s">
        <v>22</v>
      </c>
      <c r="D7" s="65">
        <f>'803'!J21*1000/'813'!D20</f>
        <v>18.434435542207659</v>
      </c>
      <c r="E7" s="65">
        <f>'803'!K21*1000/'813'!E20</f>
        <v>18.864034064770777</v>
      </c>
      <c r="F7" s="65" t="s">
        <v>22</v>
      </c>
      <c r="G7" s="65" t="s">
        <v>188</v>
      </c>
      <c r="H7" s="65" t="s">
        <v>188</v>
      </c>
    </row>
    <row r="8" spans="1:8">
      <c r="A8" s="66">
        <v>2001</v>
      </c>
      <c r="B8" s="65">
        <f>'803'!H22*1000/'813'!B21</f>
        <v>36.752466286500734</v>
      </c>
      <c r="C8" s="65" t="s">
        <v>22</v>
      </c>
      <c r="D8" s="65">
        <f>'803'!J22*1000/'813'!D21</f>
        <v>24.146532081226443</v>
      </c>
      <c r="E8" s="65">
        <f>'803'!K22*1000/'813'!E21</f>
        <v>19.644842695488755</v>
      </c>
      <c r="F8" s="65" t="s">
        <v>22</v>
      </c>
      <c r="G8" s="65" t="s">
        <v>188</v>
      </c>
      <c r="H8" s="65" t="s">
        <v>188</v>
      </c>
    </row>
    <row r="9" spans="1:8">
      <c r="A9" s="66">
        <v>2002</v>
      </c>
      <c r="B9" s="65">
        <f>'803'!H23*1000/'813'!B22</f>
        <v>37.955996659780922</v>
      </c>
      <c r="C9" s="65" t="s">
        <v>22</v>
      </c>
      <c r="D9" s="65">
        <f>'803'!J23*1000/'813'!D22</f>
        <v>27.552510780358876</v>
      </c>
      <c r="E9" s="65">
        <f>'803'!K23*1000/'813'!E22</f>
        <v>31.625602347282825</v>
      </c>
      <c r="F9" s="65" t="s">
        <v>22</v>
      </c>
      <c r="G9" s="65" t="s">
        <v>188</v>
      </c>
      <c r="H9" s="65" t="s">
        <v>188</v>
      </c>
    </row>
    <row r="10" spans="1:8">
      <c r="A10" s="66">
        <v>2003</v>
      </c>
      <c r="B10" s="65">
        <f>'803'!H24*1000/'813'!B23</f>
        <v>38.269351041392987</v>
      </c>
      <c r="C10" s="65" t="s">
        <v>22</v>
      </c>
      <c r="D10" s="65">
        <f>'803'!J24*1000/'813'!D23</f>
        <v>21.549275550908867</v>
      </c>
      <c r="E10" s="65">
        <f>'803'!K24*1000/'813'!E23</f>
        <v>33.062237581188</v>
      </c>
      <c r="F10" s="65" t="s">
        <v>22</v>
      </c>
      <c r="G10" s="65" t="s">
        <v>188</v>
      </c>
      <c r="H10" s="65" t="s">
        <v>188</v>
      </c>
    </row>
    <row r="11" spans="1:8">
      <c r="A11" s="66">
        <v>2004</v>
      </c>
      <c r="B11" s="65">
        <f>'803'!H25*1000/'813'!B24</f>
        <v>38.763162089833806</v>
      </c>
      <c r="C11" s="65" t="s">
        <v>22</v>
      </c>
      <c r="D11" s="65">
        <f>'803'!J25*1000/'813'!D24</f>
        <v>20.577657816623919</v>
      </c>
      <c r="E11" s="65">
        <f>'803'!K25*1000/'813'!E24</f>
        <v>35.745251525604594</v>
      </c>
      <c r="F11" s="65" t="s">
        <v>22</v>
      </c>
      <c r="G11" s="65" t="s">
        <v>188</v>
      </c>
      <c r="H11" s="65" t="s">
        <v>188</v>
      </c>
    </row>
    <row r="12" spans="1:8">
      <c r="A12" s="66">
        <v>2005</v>
      </c>
      <c r="B12" s="65">
        <f>'803'!H26*1000/'813'!B25</f>
        <v>38.728299559226379</v>
      </c>
      <c r="C12" s="65" t="s">
        <v>22</v>
      </c>
      <c r="D12" s="65">
        <f>'803'!J26*1000/'813'!D25</f>
        <v>22.315730116462628</v>
      </c>
      <c r="E12" s="65">
        <f>'803'!K26*1000/'813'!E25</f>
        <v>32.574558901992518</v>
      </c>
      <c r="F12" s="65" t="s">
        <v>22</v>
      </c>
      <c r="G12" s="65" t="s">
        <v>188</v>
      </c>
      <c r="H12" s="65" t="s">
        <v>188</v>
      </c>
    </row>
    <row r="13" spans="1:8">
      <c r="A13" s="66">
        <v>2006</v>
      </c>
      <c r="B13" s="65">
        <f>'803'!H27*1000/'813'!B26</f>
        <v>39.120650522835547</v>
      </c>
      <c r="C13" s="65" t="s">
        <v>22</v>
      </c>
      <c r="D13" s="65">
        <f>'803'!J27*1000/'813'!D26</f>
        <v>22.074631232019154</v>
      </c>
      <c r="E13" s="65">
        <f>'803'!K27*1000/'813'!E26</f>
        <v>29.437487695932059</v>
      </c>
      <c r="F13" s="65" t="s">
        <v>22</v>
      </c>
      <c r="G13" s="65" t="s">
        <v>188</v>
      </c>
      <c r="H13" s="65" t="s">
        <v>188</v>
      </c>
    </row>
    <row r="14" spans="1:8">
      <c r="A14" s="66">
        <v>2007</v>
      </c>
      <c r="B14" s="65">
        <f>'803'!H28*1000/'813'!B27</f>
        <v>38.984872126727161</v>
      </c>
      <c r="C14" s="65" t="s">
        <v>22</v>
      </c>
      <c r="D14" s="65">
        <f>'803'!J28*1000/'813'!D27</f>
        <v>19.067215363511661</v>
      </c>
      <c r="E14" s="65">
        <f>'803'!K28*1000/'813'!E27</f>
        <v>29.901960784313726</v>
      </c>
      <c r="F14" s="65" t="s">
        <v>22</v>
      </c>
      <c r="G14" s="65" t="s">
        <v>188</v>
      </c>
      <c r="H14" s="65" t="s">
        <v>188</v>
      </c>
    </row>
    <row r="15" spans="1:8">
      <c r="A15" s="66">
        <v>2008</v>
      </c>
      <c r="B15" s="65">
        <f>'803'!H29*1000/'813'!B28</f>
        <v>39.684588709425476</v>
      </c>
      <c r="C15" s="65" t="s">
        <v>22</v>
      </c>
      <c r="D15" s="65">
        <f>'803'!J29*1000/'813'!D28</f>
        <v>23.007438894792774</v>
      </c>
      <c r="E15" s="65">
        <f>'803'!K29*1000/'813'!E28</f>
        <v>30.620587142326272</v>
      </c>
      <c r="F15" s="65" t="s">
        <v>22</v>
      </c>
      <c r="G15" s="65" t="s">
        <v>188</v>
      </c>
      <c r="H15" s="65" t="s">
        <v>188</v>
      </c>
    </row>
    <row r="16" spans="1:8">
      <c r="A16" s="66">
        <v>2009</v>
      </c>
      <c r="B16" s="65">
        <f>'803'!H30*1000/'813'!B29</f>
        <v>39.781031542783793</v>
      </c>
      <c r="C16" s="65" t="s">
        <v>22</v>
      </c>
      <c r="D16" s="65">
        <f>'803'!J30*1000/'813'!D29</f>
        <v>17.818084822619365</v>
      </c>
      <c r="E16" s="65">
        <f>'803'!K30*1000/'813'!E29</f>
        <v>29.376100136905926</v>
      </c>
      <c r="F16" s="65" t="s">
        <v>22</v>
      </c>
      <c r="G16" s="65" t="s">
        <v>188</v>
      </c>
      <c r="H16" s="65" t="s">
        <v>188</v>
      </c>
    </row>
    <row r="17" spans="1:8">
      <c r="A17" s="66">
        <v>2010</v>
      </c>
      <c r="B17" s="65">
        <f>'803'!H31*1000/'813'!B30</f>
        <v>40.34465819791285</v>
      </c>
      <c r="C17" s="65" t="s">
        <v>22</v>
      </c>
      <c r="D17" s="65">
        <f>'803'!J31*1000/'813'!D30</f>
        <v>22.048095109429884</v>
      </c>
      <c r="E17" s="65">
        <f>'803'!K31*1000/'813'!E30</f>
        <v>31.345454545454544</v>
      </c>
      <c r="F17" s="65" t="s">
        <v>22</v>
      </c>
      <c r="G17" s="65" t="s">
        <v>188</v>
      </c>
      <c r="H17" s="65" t="s">
        <v>188</v>
      </c>
    </row>
    <row r="18" spans="1:8">
      <c r="A18" s="66">
        <v>2011</v>
      </c>
      <c r="B18" s="65">
        <f>'803'!H32*1000/'813'!B31</f>
        <v>41.084464698249946</v>
      </c>
      <c r="C18" s="65" t="s">
        <v>22</v>
      </c>
      <c r="D18" s="65">
        <f>'803'!J32*1000/'813'!D31</f>
        <v>22.419307938354173</v>
      </c>
      <c r="E18" s="65">
        <f>'803'!K32*1000/'813'!E31</f>
        <v>32.679870654810024</v>
      </c>
      <c r="F18" s="65" t="s">
        <v>22</v>
      </c>
      <c r="G18" s="65" t="s">
        <v>188</v>
      </c>
      <c r="H18" s="65" t="s">
        <v>188</v>
      </c>
    </row>
    <row r="19" spans="1:8">
      <c r="B19" s="57"/>
      <c r="C19" s="65"/>
      <c r="D19" s="57"/>
      <c r="E19" s="57"/>
      <c r="F19" s="57"/>
      <c r="G19" s="57"/>
      <c r="H19" s="57"/>
    </row>
    <row r="20" spans="1:8">
      <c r="A20" s="64" t="s">
        <v>23</v>
      </c>
      <c r="B20" s="57"/>
      <c r="C20" s="57"/>
      <c r="D20" s="57"/>
      <c r="E20" s="57"/>
      <c r="F20" s="57"/>
      <c r="G20" s="65"/>
      <c r="H20" s="65"/>
    </row>
    <row r="21" spans="1:8">
      <c r="A21" s="64" t="s">
        <v>1780</v>
      </c>
      <c r="B21" s="65">
        <f>IFERROR(((B18/B4)^(1/14)-1)*100,"n.a.")</f>
        <v>1.5040577348865991</v>
      </c>
      <c r="C21" s="65" t="str">
        <f t="shared" ref="C21:H21" si="0">IFERROR(((C18/C4)^(1/14)-1)*100,"n.a.")</f>
        <v>n.a.</v>
      </c>
      <c r="D21" s="65">
        <f t="shared" si="0"/>
        <v>4.4020504128365445</v>
      </c>
      <c r="E21" s="65">
        <f t="shared" si="0"/>
        <v>3.588354814821737</v>
      </c>
      <c r="F21" s="65" t="str">
        <f t="shared" si="0"/>
        <v>n.a.</v>
      </c>
      <c r="G21" s="65" t="str">
        <f t="shared" si="0"/>
        <v>n.a.</v>
      </c>
      <c r="H21" s="65" t="str">
        <f t="shared" si="0"/>
        <v>n.a.</v>
      </c>
    </row>
    <row r="22" spans="1:8">
      <c r="A22" s="64" t="s">
        <v>663</v>
      </c>
      <c r="B22" s="65">
        <f>IFERROR(((B7/B4)^(1/3)-1)*100,"n.a.")</f>
        <v>2.385399744959682</v>
      </c>
      <c r="C22" s="65" t="str">
        <f t="shared" ref="C22:H22" si="1">IFERROR(((C7/C4)^(1/3)-1)*100,"n.a.")</f>
        <v>n.a.</v>
      </c>
      <c r="D22" s="65">
        <f t="shared" si="1"/>
        <v>14.545494603204112</v>
      </c>
      <c r="E22" s="65">
        <f t="shared" si="1"/>
        <v>-1.847255525878988</v>
      </c>
      <c r="F22" s="65" t="str">
        <f t="shared" si="1"/>
        <v>n.a.</v>
      </c>
      <c r="G22" s="65" t="str">
        <f t="shared" si="1"/>
        <v>n.a.</v>
      </c>
      <c r="H22" s="65" t="str">
        <f t="shared" si="1"/>
        <v>n.a.</v>
      </c>
    </row>
    <row r="23" spans="1:8">
      <c r="A23" s="64" t="s">
        <v>1782</v>
      </c>
      <c r="B23" s="65">
        <f>IFERROR(((B18/B7)^(1/11)-1)*100,"n.a.")</f>
        <v>1.2650111840310396</v>
      </c>
      <c r="C23" s="65" t="str">
        <f t="shared" ref="C23:H23" si="2">IFERROR(((C18/C7)^(1/11)-1)*100,"n.a.")</f>
        <v>n.a.</v>
      </c>
      <c r="D23" s="65">
        <f t="shared" si="2"/>
        <v>1.7950307755889128</v>
      </c>
      <c r="E23" s="65">
        <f t="shared" si="2"/>
        <v>5.1223519068477996</v>
      </c>
      <c r="F23" s="65" t="str">
        <f t="shared" si="2"/>
        <v>n.a.</v>
      </c>
      <c r="G23" s="65" t="str">
        <f t="shared" si="2"/>
        <v>n.a.</v>
      </c>
      <c r="H23" s="65" t="str">
        <f t="shared" si="2"/>
        <v>n.a.</v>
      </c>
    </row>
    <row r="25" spans="1:8">
      <c r="A25" s="137" t="s">
        <v>500</v>
      </c>
      <c r="B25" s="137"/>
      <c r="C25" s="137"/>
      <c r="D25" s="137"/>
      <c r="E25" s="137"/>
      <c r="F25" s="137"/>
      <c r="G25" s="137"/>
      <c r="H25" s="137"/>
    </row>
    <row r="26" spans="1:8">
      <c r="A26" s="137" t="s">
        <v>505</v>
      </c>
      <c r="B26" s="137"/>
      <c r="C26" s="137"/>
      <c r="D26" s="137"/>
      <c r="E26" s="137"/>
      <c r="F26" s="137"/>
      <c r="G26" s="137"/>
      <c r="H26" s="137"/>
    </row>
    <row r="27" spans="1:8" ht="45" customHeight="1">
      <c r="A27" s="104" t="s">
        <v>195</v>
      </c>
      <c r="B27" s="104"/>
      <c r="C27" s="104"/>
      <c r="D27" s="104"/>
      <c r="E27" s="104"/>
      <c r="F27" s="104"/>
      <c r="G27" s="104"/>
      <c r="H27" s="104"/>
    </row>
    <row r="28" spans="1:8">
      <c r="A28" s="137" t="s">
        <v>193</v>
      </c>
      <c r="B28" s="137"/>
      <c r="C28" s="137"/>
      <c r="D28" s="137"/>
      <c r="E28" s="137"/>
      <c r="F28" s="137"/>
      <c r="G28" s="137"/>
      <c r="H28" s="137"/>
    </row>
    <row r="29" spans="1:8">
      <c r="A29" s="137" t="s">
        <v>194</v>
      </c>
      <c r="B29" s="137"/>
      <c r="C29" s="137"/>
      <c r="D29" s="137"/>
      <c r="E29" s="137"/>
      <c r="F29" s="137"/>
      <c r="G29" s="137"/>
      <c r="H29" s="137"/>
    </row>
  </sheetData>
  <mergeCells count="6">
    <mergeCell ref="A29:H29"/>
    <mergeCell ref="A1:H1"/>
    <mergeCell ref="A25:H25"/>
    <mergeCell ref="A26:H26"/>
    <mergeCell ref="A27:H27"/>
    <mergeCell ref="A28:H28"/>
  </mergeCells>
  <pageMargins left="0.7" right="0.7" top="0.75" bottom="0.75" header="0.3" footer="0.3"/>
  <pageSetup scale="90" orientation="landscape" horizontalDpi="0" verticalDpi="0" r:id="rId1"/>
</worksheet>
</file>

<file path=xl/worksheets/sheet183.xml><?xml version="1.0" encoding="utf-8"?>
<worksheet xmlns="http://schemas.openxmlformats.org/spreadsheetml/2006/main" xmlns:r="http://schemas.openxmlformats.org/officeDocument/2006/relationships">
  <sheetPr codeName="Sheet177"/>
  <dimension ref="A1:H29"/>
  <sheetViews>
    <sheetView view="pageBreakPreview" zoomScaleNormal="85" zoomScaleSheetLayoutView="100" workbookViewId="0">
      <selection activeCell="AC38" sqref="AC38"/>
    </sheetView>
  </sheetViews>
  <sheetFormatPr defaultRowHeight="15"/>
  <cols>
    <col min="1" max="1" width="12" style="64" customWidth="1"/>
    <col min="2" max="5" width="16.5703125" style="64" customWidth="1"/>
    <col min="6" max="6" width="17" style="64" customWidth="1"/>
    <col min="7" max="8" width="16.5703125" style="64" customWidth="1"/>
    <col min="9" max="16384" width="9.140625" style="64"/>
  </cols>
  <sheetData>
    <row r="1" spans="1:8">
      <c r="A1" s="140" t="s">
        <v>2108</v>
      </c>
      <c r="B1" s="140"/>
      <c r="C1" s="140"/>
      <c r="D1" s="140"/>
      <c r="E1" s="140"/>
      <c r="F1" s="140"/>
      <c r="G1" s="140"/>
      <c r="H1" s="140"/>
    </row>
    <row r="2" spans="1:8" ht="60">
      <c r="B2" s="73" t="s">
        <v>7</v>
      </c>
      <c r="C2" s="73" t="s">
        <v>37</v>
      </c>
      <c r="D2" s="73" t="s">
        <v>192</v>
      </c>
      <c r="E2" s="73" t="s">
        <v>1</v>
      </c>
      <c r="F2" s="73" t="s">
        <v>678</v>
      </c>
      <c r="G2" s="73" t="s">
        <v>13</v>
      </c>
      <c r="H2" s="73" t="s">
        <v>19</v>
      </c>
    </row>
    <row r="3" spans="1:8">
      <c r="F3" s="65" t="s">
        <v>22</v>
      </c>
    </row>
    <row r="4" spans="1:8">
      <c r="A4" s="66">
        <v>1997</v>
      </c>
      <c r="B4" s="65">
        <f>'804'!H18*1000/'814'!B17</f>
        <v>33.387578732465379</v>
      </c>
      <c r="C4" s="65" t="s">
        <v>22</v>
      </c>
      <c r="D4" s="65">
        <f>'804'!J18*1000/'814'!D17</f>
        <v>19.185051038337782</v>
      </c>
      <c r="E4" s="65">
        <f>'804'!K18*1000/'814'!E17</f>
        <v>22.236302412848502</v>
      </c>
      <c r="F4" s="65" t="s">
        <v>22</v>
      </c>
      <c r="G4" s="65" t="s">
        <v>22</v>
      </c>
      <c r="H4" s="65" t="s">
        <v>22</v>
      </c>
    </row>
    <row r="5" spans="1:8">
      <c r="A5" s="66">
        <v>1998</v>
      </c>
      <c r="B5" s="65">
        <f>'804'!H19*1000/'814'!B18</f>
        <v>34.127091282039167</v>
      </c>
      <c r="C5" s="65" t="s">
        <v>22</v>
      </c>
      <c r="D5" s="65">
        <f>'804'!J19*1000/'814'!D18</f>
        <v>19.233531774922728</v>
      </c>
      <c r="E5" s="65">
        <f>'804'!K19*1000/'814'!E18</f>
        <v>23.890161042708261</v>
      </c>
      <c r="F5" s="65" t="s">
        <v>22</v>
      </c>
      <c r="G5" s="65" t="s">
        <v>22</v>
      </c>
      <c r="H5" s="65" t="s">
        <v>22</v>
      </c>
    </row>
    <row r="6" spans="1:8">
      <c r="A6" s="66">
        <v>1999</v>
      </c>
      <c r="B6" s="65">
        <f>'804'!H20*1000/'814'!B19</f>
        <v>35.275728041180251</v>
      </c>
      <c r="C6" s="65" t="s">
        <v>22</v>
      </c>
      <c r="D6" s="65">
        <f>'804'!J20*1000/'814'!D19</f>
        <v>21.344691182806741</v>
      </c>
      <c r="E6" s="65">
        <f>'804'!K20*1000/'814'!E19</f>
        <v>24.117551858387252</v>
      </c>
      <c r="F6" s="65" t="s">
        <v>22</v>
      </c>
      <c r="G6" s="65" t="s">
        <v>22</v>
      </c>
      <c r="H6" s="65" t="s">
        <v>22</v>
      </c>
    </row>
    <row r="7" spans="1:8">
      <c r="A7" s="66">
        <v>2000</v>
      </c>
      <c r="B7" s="65">
        <f>'804'!H21*1000/'814'!B20</f>
        <v>35.453867698574577</v>
      </c>
      <c r="C7" s="65" t="s">
        <v>22</v>
      </c>
      <c r="D7" s="65">
        <f>'804'!J21*1000/'814'!D20</f>
        <v>19.7201583290502</v>
      </c>
      <c r="E7" s="65">
        <f>'804'!K21*1000/'814'!E20</f>
        <v>25.665083464794705</v>
      </c>
      <c r="F7" s="65" t="s">
        <v>22</v>
      </c>
      <c r="G7" s="65" t="s">
        <v>22</v>
      </c>
      <c r="H7" s="65" t="s">
        <v>22</v>
      </c>
    </row>
    <row r="8" spans="1:8">
      <c r="A8" s="66">
        <v>2001</v>
      </c>
      <c r="B8" s="65">
        <f>'804'!H22*1000/'814'!B21</f>
        <v>36.584498044310678</v>
      </c>
      <c r="C8" s="65" t="s">
        <v>22</v>
      </c>
      <c r="D8" s="65">
        <f>'804'!J22*1000/'814'!D21</f>
        <v>27.471290604878885</v>
      </c>
      <c r="E8" s="65">
        <f>'804'!K22*1000/'814'!E21</f>
        <v>24.54409808892996</v>
      </c>
      <c r="F8" s="65" t="s">
        <v>22</v>
      </c>
      <c r="G8" s="65" t="s">
        <v>22</v>
      </c>
      <c r="H8" s="65" t="s">
        <v>22</v>
      </c>
    </row>
    <row r="9" spans="1:8">
      <c r="A9" s="66">
        <v>2002</v>
      </c>
      <c r="B9" s="65">
        <f>'804'!H23*1000/'814'!B22</f>
        <v>36.93265912965947</v>
      </c>
      <c r="C9" s="65" t="s">
        <v>22</v>
      </c>
      <c r="D9" s="65">
        <f>'804'!J23*1000/'814'!D22</f>
        <v>29.938931420003144</v>
      </c>
      <c r="E9" s="65">
        <f>'804'!K23*1000/'814'!E22</f>
        <v>28.246226631293343</v>
      </c>
      <c r="F9" s="65" t="s">
        <v>22</v>
      </c>
      <c r="G9" s="65" t="s">
        <v>22</v>
      </c>
      <c r="H9" s="65" t="s">
        <v>22</v>
      </c>
    </row>
    <row r="10" spans="1:8">
      <c r="A10" s="66">
        <v>2003</v>
      </c>
      <c r="B10" s="65">
        <f>'804'!H24*1000/'814'!B23</f>
        <v>38.112056127818491</v>
      </c>
      <c r="C10" s="65" t="s">
        <v>22</v>
      </c>
      <c r="D10" s="65">
        <f>'804'!J24*1000/'814'!D23</f>
        <v>29.258653064399748</v>
      </c>
      <c r="E10" s="65">
        <f>'804'!K24*1000/'814'!E23</f>
        <v>29.072080529911865</v>
      </c>
      <c r="F10" s="65" t="s">
        <v>22</v>
      </c>
      <c r="G10" s="65" t="s">
        <v>22</v>
      </c>
      <c r="H10" s="65" t="s">
        <v>22</v>
      </c>
    </row>
    <row r="11" spans="1:8">
      <c r="A11" s="66">
        <v>2004</v>
      </c>
      <c r="B11" s="65">
        <f>'804'!H25*1000/'814'!B24</f>
        <v>38.804183842796085</v>
      </c>
      <c r="C11" s="65" t="s">
        <v>22</v>
      </c>
      <c r="D11" s="65">
        <f>'804'!J25*1000/'814'!D24</f>
        <v>40.437544860050984</v>
      </c>
      <c r="E11" s="65">
        <f>'804'!K25*1000/'814'!E24</f>
        <v>30.328454918460377</v>
      </c>
      <c r="F11" s="65" t="s">
        <v>22</v>
      </c>
      <c r="G11" s="65" t="s">
        <v>188</v>
      </c>
      <c r="H11" s="65" t="s">
        <v>188</v>
      </c>
    </row>
    <row r="12" spans="1:8">
      <c r="A12" s="66">
        <v>2005</v>
      </c>
      <c r="B12" s="65">
        <f>'804'!H26*1000/'814'!B25</f>
        <v>39.732859138236194</v>
      </c>
      <c r="C12" s="65" t="s">
        <v>22</v>
      </c>
      <c r="D12" s="65">
        <f>'804'!J26*1000/'814'!D25</f>
        <v>35.573330734643356</v>
      </c>
      <c r="E12" s="65">
        <f>'804'!K26*1000/'814'!E25</f>
        <v>36.088384514108789</v>
      </c>
      <c r="F12" s="65" t="s">
        <v>22</v>
      </c>
      <c r="G12" s="65" t="s">
        <v>188</v>
      </c>
      <c r="H12" s="65" t="s">
        <v>188</v>
      </c>
    </row>
    <row r="13" spans="1:8">
      <c r="A13" s="66">
        <v>2006</v>
      </c>
      <c r="B13" s="65">
        <f>'804'!H27*1000/'814'!B26</f>
        <v>40.217553747842985</v>
      </c>
      <c r="C13" s="65" t="s">
        <v>22</v>
      </c>
      <c r="D13" s="65">
        <f>'804'!J27*1000/'814'!D26</f>
        <v>36.682101379448163</v>
      </c>
      <c r="E13" s="65">
        <f>'804'!K27*1000/'814'!E26</f>
        <v>33.028365321987302</v>
      </c>
      <c r="F13" s="65" t="s">
        <v>22</v>
      </c>
      <c r="G13" s="65" t="s">
        <v>188</v>
      </c>
      <c r="H13" s="65" t="s">
        <v>188</v>
      </c>
    </row>
    <row r="14" spans="1:8">
      <c r="A14" s="66">
        <v>2007</v>
      </c>
      <c r="B14" s="65">
        <f>'804'!H28*1000/'814'!B27</f>
        <v>40.293554264712753</v>
      </c>
      <c r="C14" s="65" t="s">
        <v>22</v>
      </c>
      <c r="D14" s="65">
        <f>'804'!J28*1000/'814'!D27</f>
        <v>37.035256410256409</v>
      </c>
      <c r="E14" s="65">
        <f>'804'!K28*1000/'814'!E27</f>
        <v>30.827646929341846</v>
      </c>
      <c r="F14" s="65" t="s">
        <v>22</v>
      </c>
      <c r="G14" s="65" t="s">
        <v>188</v>
      </c>
      <c r="H14" s="65" t="s">
        <v>188</v>
      </c>
    </row>
    <row r="15" spans="1:8">
      <c r="A15" s="66">
        <v>2008</v>
      </c>
      <c r="B15" s="65">
        <f>'804'!H29*1000/'814'!B28</f>
        <v>40.470030118615284</v>
      </c>
      <c r="C15" s="65" t="s">
        <v>22</v>
      </c>
      <c r="D15" s="65">
        <f>'804'!J29*1000/'814'!D28</f>
        <v>44.89724222729668</v>
      </c>
      <c r="E15" s="65">
        <f>'804'!K29*1000/'814'!E28</f>
        <v>31.70701581027668</v>
      </c>
      <c r="F15" s="65" t="s">
        <v>22</v>
      </c>
      <c r="G15" s="65" t="s">
        <v>188</v>
      </c>
      <c r="H15" s="65" t="s">
        <v>188</v>
      </c>
    </row>
    <row r="16" spans="1:8">
      <c r="A16" s="66">
        <v>2009</v>
      </c>
      <c r="B16" s="65">
        <f>'804'!H30*1000/'814'!B29</f>
        <v>40.280417142270643</v>
      </c>
      <c r="C16" s="65" t="s">
        <v>22</v>
      </c>
      <c r="D16" s="65">
        <f>'804'!J30*1000/'814'!D29</f>
        <v>40.940092165898619</v>
      </c>
      <c r="E16" s="65">
        <f>'804'!K30*1000/'814'!E29</f>
        <v>31.781493225713461</v>
      </c>
      <c r="F16" s="65" t="s">
        <v>22</v>
      </c>
      <c r="G16" s="65" t="s">
        <v>188</v>
      </c>
      <c r="H16" s="65" t="s">
        <v>188</v>
      </c>
    </row>
    <row r="17" spans="1:8">
      <c r="A17" s="66">
        <v>2010</v>
      </c>
      <c r="B17" s="65">
        <f>'804'!H31*1000/'814'!B30</f>
        <v>41.610216649931139</v>
      </c>
      <c r="C17" s="65" t="s">
        <v>22</v>
      </c>
      <c r="D17" s="65">
        <f>'804'!J31*1000/'814'!D30</f>
        <v>46.507451966241696</v>
      </c>
      <c r="E17" s="65">
        <f>'804'!K31*1000/'814'!E30</f>
        <v>32.322456813819578</v>
      </c>
      <c r="F17" s="65" t="s">
        <v>22</v>
      </c>
      <c r="G17" s="65" t="s">
        <v>188</v>
      </c>
      <c r="H17" s="65" t="s">
        <v>188</v>
      </c>
    </row>
    <row r="18" spans="1:8">
      <c r="A18" s="66">
        <v>2011</v>
      </c>
      <c r="B18" s="65">
        <f>'804'!H32*1000/'814'!B31</f>
        <v>43.013640641961608</v>
      </c>
      <c r="C18" s="65" t="s">
        <v>22</v>
      </c>
      <c r="D18" s="65">
        <f>'804'!J32*1000/'814'!D31</f>
        <v>49.493052947803228</v>
      </c>
      <c r="E18" s="65">
        <f>'804'!K32*1000/'814'!E31</f>
        <v>39.386265455087141</v>
      </c>
      <c r="F18" s="65" t="s">
        <v>22</v>
      </c>
      <c r="G18" s="65" t="s">
        <v>188</v>
      </c>
      <c r="H18" s="65" t="s">
        <v>188</v>
      </c>
    </row>
    <row r="19" spans="1:8">
      <c r="B19" s="57"/>
      <c r="C19" s="57"/>
      <c r="D19" s="57"/>
      <c r="E19" s="57"/>
      <c r="F19" s="57"/>
      <c r="G19" s="57"/>
      <c r="H19" s="57"/>
    </row>
    <row r="20" spans="1:8">
      <c r="A20" s="64" t="s">
        <v>23</v>
      </c>
      <c r="B20" s="57"/>
      <c r="C20" s="57"/>
      <c r="D20" s="57"/>
      <c r="E20" s="57"/>
      <c r="F20" s="57"/>
      <c r="G20" s="65"/>
      <c r="H20" s="65"/>
    </row>
    <row r="21" spans="1:8">
      <c r="A21" s="64" t="s">
        <v>1780</v>
      </c>
      <c r="B21" s="65">
        <f>IFERROR(((B18/B4)^(1/14)-1)*100,"n.a.")</f>
        <v>1.8259950343657128</v>
      </c>
      <c r="C21" s="65" t="str">
        <f t="shared" ref="C21:H21" si="0">IFERROR(((C18/C4)^(1/14)-1)*100,"n.a.")</f>
        <v>n.a.</v>
      </c>
      <c r="D21" s="65">
        <f t="shared" si="0"/>
        <v>7.0036675075910049</v>
      </c>
      <c r="E21" s="65">
        <f t="shared" si="0"/>
        <v>4.168028599621354</v>
      </c>
      <c r="F21" s="65" t="str">
        <f t="shared" si="0"/>
        <v>n.a.</v>
      </c>
      <c r="G21" s="65" t="str">
        <f t="shared" si="0"/>
        <v>n.a.</v>
      </c>
      <c r="H21" s="65" t="str">
        <f t="shared" si="0"/>
        <v>n.a.</v>
      </c>
    </row>
    <row r="22" spans="1:8">
      <c r="A22" s="64" t="s">
        <v>663</v>
      </c>
      <c r="B22" s="65">
        <f>IFERROR(((B7/B4)^(1/3)-1)*100,"n.a.")</f>
        <v>2.0217803955697944</v>
      </c>
      <c r="C22" s="65" t="str">
        <f t="shared" ref="C22:H22" si="1">IFERROR(((C7/C4)^(1/3)-1)*100,"n.a.")</f>
        <v>n.a.</v>
      </c>
      <c r="D22" s="65">
        <f t="shared" si="1"/>
        <v>0.92121712352895013</v>
      </c>
      <c r="E22" s="65">
        <f t="shared" si="1"/>
        <v>4.896267819012512</v>
      </c>
      <c r="F22" s="65" t="str">
        <f t="shared" si="1"/>
        <v>n.a.</v>
      </c>
      <c r="G22" s="65" t="str">
        <f t="shared" si="1"/>
        <v>n.a.</v>
      </c>
      <c r="H22" s="65" t="str">
        <f t="shared" si="1"/>
        <v>n.a.</v>
      </c>
    </row>
    <row r="23" spans="1:8">
      <c r="A23" s="64" t="s">
        <v>1782</v>
      </c>
      <c r="B23" s="65">
        <f>IFERROR(((B18/B7)^(1/11)-1)*100,"n.a.")</f>
        <v>1.7726642652132085</v>
      </c>
      <c r="C23" s="65" t="str">
        <f t="shared" ref="C23:H23" si="2">IFERROR(((C18/C7)^(1/11)-1)*100,"n.a.")</f>
        <v>n.a.</v>
      </c>
      <c r="D23" s="65">
        <f t="shared" si="2"/>
        <v>8.7252336580462941</v>
      </c>
      <c r="E23" s="65">
        <f t="shared" si="2"/>
        <v>3.9702968339039968</v>
      </c>
      <c r="F23" s="65" t="str">
        <f t="shared" si="2"/>
        <v>n.a.</v>
      </c>
      <c r="G23" s="65" t="str">
        <f t="shared" si="2"/>
        <v>n.a.</v>
      </c>
      <c r="H23" s="65" t="str">
        <f t="shared" si="2"/>
        <v>n.a.</v>
      </c>
    </row>
    <row r="25" spans="1:8">
      <c r="A25" s="137" t="s">
        <v>500</v>
      </c>
      <c r="B25" s="137"/>
      <c r="C25" s="137"/>
      <c r="D25" s="137"/>
      <c r="E25" s="137"/>
      <c r="F25" s="137"/>
      <c r="G25" s="137"/>
      <c r="H25" s="137"/>
    </row>
    <row r="26" spans="1:8">
      <c r="A26" s="137" t="s">
        <v>504</v>
      </c>
      <c r="B26" s="137"/>
      <c r="C26" s="137"/>
      <c r="D26" s="137"/>
      <c r="E26" s="137"/>
      <c r="F26" s="137"/>
      <c r="G26" s="137"/>
      <c r="H26" s="137"/>
    </row>
    <row r="27" spans="1:8" ht="31.5" customHeight="1">
      <c r="A27" s="104" t="s">
        <v>195</v>
      </c>
      <c r="B27" s="104"/>
      <c r="C27" s="104"/>
      <c r="D27" s="104"/>
      <c r="E27" s="104"/>
      <c r="F27" s="104"/>
      <c r="G27" s="104"/>
      <c r="H27" s="104"/>
    </row>
    <row r="28" spans="1:8">
      <c r="A28" s="137" t="s">
        <v>193</v>
      </c>
      <c r="B28" s="137"/>
      <c r="C28" s="137"/>
      <c r="D28" s="137"/>
      <c r="E28" s="137"/>
      <c r="F28" s="137"/>
      <c r="G28" s="137"/>
      <c r="H28" s="137"/>
    </row>
    <row r="29" spans="1:8">
      <c r="A29" s="137" t="s">
        <v>194</v>
      </c>
      <c r="B29" s="137"/>
      <c r="C29" s="137"/>
      <c r="D29" s="137"/>
      <c r="E29" s="137"/>
      <c r="F29" s="137"/>
      <c r="G29" s="137"/>
      <c r="H29" s="137"/>
    </row>
  </sheetData>
  <mergeCells count="6">
    <mergeCell ref="A29:H29"/>
    <mergeCell ref="A1:H1"/>
    <mergeCell ref="A25:H25"/>
    <mergeCell ref="A26:H26"/>
    <mergeCell ref="A27:H27"/>
    <mergeCell ref="A28:H28"/>
  </mergeCells>
  <pageMargins left="0.7" right="0.7" top="0.75" bottom="0.75" header="0.3" footer="0.3"/>
  <pageSetup scale="95" orientation="landscape" horizontalDpi="0" verticalDpi="0" r:id="rId1"/>
</worksheet>
</file>

<file path=xl/worksheets/sheet184.xml><?xml version="1.0" encoding="utf-8"?>
<worksheet xmlns="http://schemas.openxmlformats.org/spreadsheetml/2006/main" xmlns:r="http://schemas.openxmlformats.org/officeDocument/2006/relationships">
  <sheetPr codeName="Sheet178"/>
  <dimension ref="A1:H29"/>
  <sheetViews>
    <sheetView view="pageBreakPreview" zoomScaleNormal="85" zoomScaleSheetLayoutView="100" workbookViewId="0">
      <selection activeCell="AC38" sqref="AC38"/>
    </sheetView>
  </sheetViews>
  <sheetFormatPr defaultRowHeight="15"/>
  <cols>
    <col min="1" max="1" width="12" style="64" customWidth="1"/>
    <col min="2" max="5" width="18" style="64" customWidth="1"/>
    <col min="6" max="6" width="17" style="64" customWidth="1"/>
    <col min="7" max="8" width="18" style="64" customWidth="1"/>
    <col min="9" max="16384" width="9.140625" style="64"/>
  </cols>
  <sheetData>
    <row r="1" spans="1:8">
      <c r="A1" s="108" t="s">
        <v>2109</v>
      </c>
      <c r="B1" s="108"/>
      <c r="C1" s="108"/>
      <c r="D1" s="108"/>
      <c r="E1" s="108"/>
      <c r="F1" s="108"/>
      <c r="G1" s="108"/>
      <c r="H1" s="108"/>
    </row>
    <row r="2" spans="1:8" ht="60">
      <c r="B2" s="73" t="s">
        <v>7</v>
      </c>
      <c r="C2" s="73" t="s">
        <v>37</v>
      </c>
      <c r="D2" s="73" t="s">
        <v>192</v>
      </c>
      <c r="E2" s="73" t="s">
        <v>1</v>
      </c>
      <c r="F2" s="73" t="s">
        <v>678</v>
      </c>
      <c r="G2" s="73" t="s">
        <v>13</v>
      </c>
      <c r="H2" s="73" t="s">
        <v>19</v>
      </c>
    </row>
    <row r="4" spans="1:8">
      <c r="A4" s="66">
        <v>1997</v>
      </c>
      <c r="B4" s="65">
        <f>'805'!H18*1000/'815'!B17</f>
        <v>39.659385080871715</v>
      </c>
      <c r="C4" s="65">
        <f>'805'!I18*1000/'815'!C17</f>
        <v>45.427875641621199</v>
      </c>
      <c r="D4" s="65">
        <f>'805'!J18*1000/'815'!D17</f>
        <v>52.639123480182697</v>
      </c>
      <c r="E4" s="65">
        <f>'805'!K18*1000/'815'!E17</f>
        <v>47.644297066857007</v>
      </c>
      <c r="F4" s="65">
        <f>'805'!L18*1000/'815'!F17</f>
        <v>40.81048643178142</v>
      </c>
      <c r="G4" s="65">
        <f>'805'!M18*1000/'815'!G17</f>
        <v>39.485219005160701</v>
      </c>
      <c r="H4" s="65">
        <f>'805'!N18*1000/'815'!H17</f>
        <v>43.749909001984534</v>
      </c>
    </row>
    <row r="5" spans="1:8">
      <c r="A5" s="66">
        <v>1998</v>
      </c>
      <c r="B5" s="65">
        <f>'805'!H19*1000/'815'!B18</f>
        <v>40.027691662920212</v>
      </c>
      <c r="C5" s="65">
        <f>'805'!I19*1000/'815'!C18</f>
        <v>43.788062845164504</v>
      </c>
      <c r="D5" s="65">
        <f>'805'!J19*1000/'815'!D18</f>
        <v>40.751900361586586</v>
      </c>
      <c r="E5" s="65">
        <f>'805'!K19*1000/'815'!E18</f>
        <v>42.660922832617537</v>
      </c>
      <c r="F5" s="65">
        <f>'805'!L19*1000/'815'!F18</f>
        <v>46.243438437813239</v>
      </c>
      <c r="G5" s="65">
        <f>'805'!M19*1000/'815'!G18</f>
        <v>44.733932676831152</v>
      </c>
      <c r="H5" s="65">
        <f>'805'!N19*1000/'815'!H18</f>
        <v>48.855436472458919</v>
      </c>
    </row>
    <row r="6" spans="1:8">
      <c r="A6" s="66">
        <v>1999</v>
      </c>
      <c r="B6" s="65">
        <f>'805'!H20*1000/'815'!B19</f>
        <v>41.241038410095676</v>
      </c>
      <c r="C6" s="65">
        <f>'805'!I20*1000/'815'!C19</f>
        <v>41.078713196393835</v>
      </c>
      <c r="D6" s="65">
        <f>'805'!J20*1000/'815'!D19</f>
        <v>33.343180958174784</v>
      </c>
      <c r="E6" s="65">
        <f>'805'!K20*1000/'815'!E19</f>
        <v>36.648087346500631</v>
      </c>
      <c r="F6" s="65">
        <f>'805'!L20*1000/'815'!F19</f>
        <v>50.078649537363233</v>
      </c>
      <c r="G6" s="65">
        <f>'805'!M20*1000/'815'!G19</f>
        <v>48.896558912161339</v>
      </c>
      <c r="H6" s="65">
        <f>'805'!N20*1000/'815'!H19</f>
        <v>51.95651997625454</v>
      </c>
    </row>
    <row r="7" spans="1:8">
      <c r="A7" s="66">
        <v>2000</v>
      </c>
      <c r="B7" s="65">
        <f>'805'!H21*1000/'815'!B20</f>
        <v>42.597553056207339</v>
      </c>
      <c r="C7" s="65">
        <f>'805'!I21*1000/'815'!C20</f>
        <v>38.19766010004669</v>
      </c>
      <c r="D7" s="65">
        <f>'805'!J21*1000/'815'!D20</f>
        <v>30.166529851747718</v>
      </c>
      <c r="E7" s="65">
        <f>'805'!K21*1000/'815'!E20</f>
        <v>31.975211957556748</v>
      </c>
      <c r="F7" s="65">
        <f>'805'!L21*1000/'815'!F20</f>
        <v>49.670883766671345</v>
      </c>
      <c r="G7" s="65">
        <f>'805'!M21*1000/'815'!G20</f>
        <v>53.993219861654012</v>
      </c>
      <c r="H7" s="65">
        <f>'805'!N21*1000/'815'!H20</f>
        <v>42.918625961558341</v>
      </c>
    </row>
    <row r="8" spans="1:8">
      <c r="A8" s="66">
        <v>2001</v>
      </c>
      <c r="B8" s="65">
        <f>'805'!H22*1000/'815'!B21</f>
        <v>43.273921202620471</v>
      </c>
      <c r="C8" s="65">
        <f>'805'!I22*1000/'815'!C21</f>
        <v>39.846731121097434</v>
      </c>
      <c r="D8" s="65">
        <f>'805'!J22*1000/'815'!D21</f>
        <v>30.560354045863136</v>
      </c>
      <c r="E8" s="65">
        <f>'805'!K22*1000/'815'!E21</f>
        <v>34.689613466583452</v>
      </c>
      <c r="F8" s="65">
        <f>'805'!L22*1000/'815'!F21</f>
        <v>49.446704937868056</v>
      </c>
      <c r="G8" s="65">
        <f>'805'!M22*1000/'815'!G21</f>
        <v>51.282971200693929</v>
      </c>
      <c r="H8" s="65">
        <f>'805'!N22*1000/'815'!H21</f>
        <v>46.36492871675118</v>
      </c>
    </row>
    <row r="9" spans="1:8">
      <c r="A9" s="66">
        <v>2002</v>
      </c>
      <c r="B9" s="65">
        <f>'805'!H23*1000/'815'!B22</f>
        <v>43.165420637547832</v>
      </c>
      <c r="C9" s="65">
        <f>'805'!I23*1000/'815'!C22</f>
        <v>39.411163586257601</v>
      </c>
      <c r="D9" s="65">
        <f>'805'!J23*1000/'815'!D22</f>
        <v>27.745099756676641</v>
      </c>
      <c r="E9" s="65">
        <f>'805'!K23*1000/'815'!E22</f>
        <v>31.809736017451087</v>
      </c>
      <c r="F9" s="65">
        <f>'805'!L23*1000/'815'!F22</f>
        <v>53.533179342701175</v>
      </c>
      <c r="G9" s="65">
        <f>'805'!M23*1000/'815'!G22</f>
        <v>53.634616732188782</v>
      </c>
      <c r="H9" s="65">
        <f>'805'!N23*1000/'815'!H22</f>
        <v>53.359654358509495</v>
      </c>
    </row>
    <row r="10" spans="1:8">
      <c r="A10" s="66">
        <v>2003</v>
      </c>
      <c r="B10" s="65">
        <f>'805'!H24*1000/'815'!B23</f>
        <v>43.876906921351249</v>
      </c>
      <c r="C10" s="65">
        <f>'805'!I24*1000/'815'!C23</f>
        <v>39.73153747883962</v>
      </c>
      <c r="D10" s="65">
        <f>'805'!J24*1000/'815'!D23</f>
        <v>31.150661566789157</v>
      </c>
      <c r="E10" s="65">
        <f>'805'!K24*1000/'815'!E23</f>
        <v>32.299228899151764</v>
      </c>
      <c r="F10" s="65">
        <f>'805'!L24*1000/'815'!F23</f>
        <v>52.383325050421092</v>
      </c>
      <c r="G10" s="65">
        <f>'805'!M24*1000/'815'!G23</f>
        <v>51.739539438856553</v>
      </c>
      <c r="H10" s="65">
        <f>'805'!N24*1000/'815'!H23</f>
        <v>53.529462866986066</v>
      </c>
    </row>
    <row r="11" spans="1:8">
      <c r="A11" s="66">
        <v>2004</v>
      </c>
      <c r="B11" s="65">
        <f>'805'!H25*1000/'815'!B24</f>
        <v>43.942967557313864</v>
      </c>
      <c r="C11" s="65">
        <f>'805'!I25*1000/'815'!C24</f>
        <v>40.048427431030724</v>
      </c>
      <c r="D11" s="65">
        <f>'805'!J25*1000/'815'!D24</f>
        <v>29.292419340122418</v>
      </c>
      <c r="E11" s="65">
        <f>'805'!K25*1000/'815'!E24</f>
        <v>36.270267056942814</v>
      </c>
      <c r="F11" s="65">
        <f>'805'!L25*1000/'815'!F24</f>
        <v>48.714376208331394</v>
      </c>
      <c r="G11" s="65">
        <f>'805'!M25*1000/'815'!G24</f>
        <v>45.44615414353467</v>
      </c>
      <c r="H11" s="65">
        <f>'805'!N25*1000/'815'!H24</f>
        <v>54.614260336852176</v>
      </c>
    </row>
    <row r="12" spans="1:8">
      <c r="A12" s="66">
        <v>2005</v>
      </c>
      <c r="B12" s="65">
        <f>'805'!H26*1000/'815'!B25</f>
        <v>44.734929110406227</v>
      </c>
      <c r="C12" s="65">
        <f>'805'!I26*1000/'815'!C25</f>
        <v>39.802233864584537</v>
      </c>
      <c r="D12" s="65">
        <f>'805'!J26*1000/'815'!D25</f>
        <v>27.770746330328564</v>
      </c>
      <c r="E12" s="65">
        <f>'805'!K26*1000/'815'!E25</f>
        <v>34.289076273829885</v>
      </c>
      <c r="F12" s="65">
        <f>'805'!L26*1000/'815'!F25</f>
        <v>50.280429662494861</v>
      </c>
      <c r="G12" s="65">
        <f>'805'!M26*1000/'815'!G25</f>
        <v>49.00884039073005</v>
      </c>
      <c r="H12" s="65">
        <f>'805'!N26*1000/'815'!H25</f>
        <v>52.806393917232249</v>
      </c>
    </row>
    <row r="13" spans="1:8">
      <c r="A13" s="66">
        <v>2006</v>
      </c>
      <c r="B13" s="65">
        <f>'805'!H27*1000/'815'!B26</f>
        <v>45.216106441543957</v>
      </c>
      <c r="C13" s="65">
        <f>'805'!I27*1000/'815'!C26</f>
        <v>39.999282673774537</v>
      </c>
      <c r="D13" s="65">
        <f>'805'!J27*1000/'815'!D26</f>
        <v>29.39945950491439</v>
      </c>
      <c r="E13" s="65">
        <f>'805'!K27*1000/'815'!E26</f>
        <v>36.935840781734974</v>
      </c>
      <c r="F13" s="65">
        <f>'805'!L27*1000/'815'!F26</f>
        <v>47.117058999505439</v>
      </c>
      <c r="G13" s="65">
        <f>'805'!M27*1000/'815'!G26</f>
        <v>45.137663930702637</v>
      </c>
      <c r="H13" s="65">
        <f>'805'!N27*1000/'815'!H26</f>
        <v>51.371591490700872</v>
      </c>
    </row>
    <row r="14" spans="1:8">
      <c r="A14" s="66">
        <v>2007</v>
      </c>
      <c r="B14" s="65">
        <f>'805'!H28*1000/'815'!B27</f>
        <v>45.659315235536376</v>
      </c>
      <c r="C14" s="65">
        <f>'805'!I28*1000/'815'!C27</f>
        <v>46.835832207231363</v>
      </c>
      <c r="D14" s="65">
        <f>'805'!J28*1000/'815'!D27</f>
        <v>36.719112498418191</v>
      </c>
      <c r="E14" s="65">
        <f>'805'!K28*1000/'815'!E27</f>
        <v>47.242396313364054</v>
      </c>
      <c r="F14" s="65">
        <f>'805'!L28*1000/'815'!F27</f>
        <v>50.35376215552612</v>
      </c>
      <c r="G14" s="65">
        <f>'805'!M28*1000/'815'!G27</f>
        <v>52.392302036055689</v>
      </c>
      <c r="H14" s="65">
        <f>'805'!N28*1000/'815'!H27</f>
        <v>46.775270396581654</v>
      </c>
    </row>
    <row r="15" spans="1:8">
      <c r="A15" s="66">
        <v>2008</v>
      </c>
      <c r="B15" s="65">
        <f>'805'!H29*1000/'815'!B28</f>
        <v>45.450330320060246</v>
      </c>
      <c r="C15" s="65">
        <f>'805'!I29*1000/'815'!C28</f>
        <v>48.158167287567039</v>
      </c>
      <c r="D15" s="65">
        <f>'805'!J29*1000/'815'!D28</f>
        <v>41.45112529392005</v>
      </c>
      <c r="E15" s="65">
        <f>'805'!K29*1000/'815'!E28</f>
        <v>50.001023520501114</v>
      </c>
      <c r="F15" s="65">
        <f>'805'!L29*1000/'815'!F28</f>
        <v>48.99148964685385</v>
      </c>
      <c r="G15" s="65">
        <f>'805'!M29*1000/'815'!G28</f>
        <v>49.602164226607258</v>
      </c>
      <c r="H15" s="65">
        <f>'805'!N29*1000/'815'!H28</f>
        <v>47.930689466981988</v>
      </c>
    </row>
    <row r="16" spans="1:8">
      <c r="A16" s="66">
        <v>2009</v>
      </c>
      <c r="B16" s="65">
        <f>'805'!H30*1000/'815'!B29</f>
        <v>46.22349021695215</v>
      </c>
      <c r="C16" s="65">
        <f>'805'!I30*1000/'815'!C29</f>
        <v>48.374607542244327</v>
      </c>
      <c r="D16" s="65">
        <f>'805'!J30*1000/'815'!D29</f>
        <v>35.551647537948909</v>
      </c>
      <c r="E16" s="65">
        <f>'805'!K30*1000/'815'!E29</f>
        <v>51.656161016330408</v>
      </c>
      <c r="F16" s="65">
        <f>'805'!L30*1000/'815'!F29</f>
        <v>51.180682961472449</v>
      </c>
      <c r="G16" s="65">
        <f>'805'!M30*1000/'815'!G29</f>
        <v>51.25008224225278</v>
      </c>
      <c r="H16" s="65">
        <f>'805'!N30*1000/'815'!H29</f>
        <v>51.993298181638991</v>
      </c>
    </row>
    <row r="17" spans="1:8">
      <c r="A17" s="66">
        <v>2010</v>
      </c>
      <c r="B17" s="65">
        <f>'805'!H31*1000/'815'!B30</f>
        <v>46.292374441832237</v>
      </c>
      <c r="C17" s="65">
        <f>'805'!I31*1000/'815'!C30</f>
        <v>51.381481515132243</v>
      </c>
      <c r="D17" s="65">
        <f>'805'!J31*1000/'815'!D30</f>
        <v>45.428020632522276</v>
      </c>
      <c r="E17" s="65">
        <f>'805'!K31*1000/'815'!E30</f>
        <v>56.59429921725004</v>
      </c>
      <c r="F17" s="65">
        <f>'805'!L31*1000/'815'!F30</f>
        <v>49.440729241302442</v>
      </c>
      <c r="G17" s="65">
        <f>'805'!M31*1000/'815'!G30</f>
        <v>51.451579456694546</v>
      </c>
      <c r="H17" s="65">
        <f>'805'!N31*1000/'815'!H30</f>
        <v>47.578601595495073</v>
      </c>
    </row>
    <row r="18" spans="1:8">
      <c r="A18" s="66">
        <v>2011</v>
      </c>
      <c r="B18" s="65">
        <f>'805'!H32*1000/'815'!B31</f>
        <v>46.802050236562756</v>
      </c>
      <c r="C18" s="65">
        <f>'805'!I32*1000/'815'!C31</f>
        <v>50.870183887915935</v>
      </c>
      <c r="D18" s="65">
        <f>'805'!J32*1000/'815'!D31</f>
        <v>42.427710047973243</v>
      </c>
      <c r="E18" s="65">
        <f>'805'!K32*1000/'815'!E31</f>
        <v>53.938565219514579</v>
      </c>
      <c r="F18" s="65">
        <f>'805'!L32*1000/'815'!F31</f>
        <v>52.309767826446461</v>
      </c>
      <c r="G18" s="65">
        <f>'805'!M32*1000/'815'!G31</f>
        <v>54.227416493095731</v>
      </c>
      <c r="H18" s="65">
        <f>'805'!N32*1000/'815'!H31</f>
        <v>51.125755079626572</v>
      </c>
    </row>
    <row r="19" spans="1:8">
      <c r="B19" s="57"/>
      <c r="C19" s="57"/>
      <c r="D19" s="57"/>
      <c r="E19" s="57"/>
      <c r="F19" s="57"/>
      <c r="G19" s="65"/>
      <c r="H19" s="65"/>
    </row>
    <row r="20" spans="1:8">
      <c r="A20" s="64" t="s">
        <v>23</v>
      </c>
      <c r="B20" s="57"/>
      <c r="C20" s="57"/>
      <c r="D20" s="57"/>
      <c r="E20" s="57"/>
      <c r="F20" s="57"/>
      <c r="G20" s="65"/>
      <c r="H20" s="65"/>
    </row>
    <row r="21" spans="1:8">
      <c r="A21" s="64" t="s">
        <v>1780</v>
      </c>
      <c r="B21" s="65">
        <f>IFERROR(((B18/B4)^(1/14)-1)*100,"n.a.")</f>
        <v>1.1898761701490512</v>
      </c>
      <c r="C21" s="65">
        <f t="shared" ref="C21:H21" si="0">IFERROR(((C18/C4)^(1/14)-1)*100,"n.a.")</f>
        <v>0.81149675919136577</v>
      </c>
      <c r="D21" s="65">
        <f t="shared" si="0"/>
        <v>-1.5286102255978928</v>
      </c>
      <c r="E21" s="65">
        <f t="shared" si="0"/>
        <v>0.89024487911431027</v>
      </c>
      <c r="F21" s="65">
        <f t="shared" si="0"/>
        <v>1.7889858096079125</v>
      </c>
      <c r="G21" s="65">
        <f t="shared" si="0"/>
        <v>2.2920165481435939</v>
      </c>
      <c r="H21" s="65">
        <f t="shared" si="0"/>
        <v>1.1190641311059402</v>
      </c>
    </row>
    <row r="22" spans="1:8">
      <c r="A22" s="64" t="s">
        <v>663</v>
      </c>
      <c r="B22" s="65">
        <f>IFERROR(((B7/B4)^(1/3)-1)*100,"n.a.")</f>
        <v>2.4109100578772802</v>
      </c>
      <c r="C22" s="65">
        <f t="shared" ref="C22:H22" si="1">IFERROR(((C7/C4)^(1/3)-1)*100,"n.a.")</f>
        <v>-5.6146094475745922</v>
      </c>
      <c r="D22" s="65">
        <f t="shared" si="1"/>
        <v>-16.93739092214004</v>
      </c>
      <c r="E22" s="65">
        <f t="shared" si="1"/>
        <v>-12.447711444371755</v>
      </c>
      <c r="F22" s="65">
        <f t="shared" si="1"/>
        <v>6.7685567052611528</v>
      </c>
      <c r="G22" s="65">
        <f t="shared" si="1"/>
        <v>10.994525434302416</v>
      </c>
      <c r="H22" s="65">
        <f t="shared" si="1"/>
        <v>-0.63741415981777294</v>
      </c>
    </row>
    <row r="23" spans="1:8">
      <c r="A23" s="64" t="s">
        <v>1782</v>
      </c>
      <c r="B23" s="65">
        <f>IFERROR(((B18/B7)^(1/11)-1)*100,"n.a.")</f>
        <v>0.85940090751601694</v>
      </c>
      <c r="C23" s="65">
        <f t="shared" ref="C23:H23" si="2">IFERROR(((C18/C7)^(1/11)-1)*100,"n.a.")</f>
        <v>2.6387854621385154</v>
      </c>
      <c r="D23" s="65">
        <f t="shared" si="2"/>
        <v>3.1491942337425138</v>
      </c>
      <c r="E23" s="65">
        <f t="shared" si="2"/>
        <v>4.8682879736424711</v>
      </c>
      <c r="F23" s="65">
        <f t="shared" si="2"/>
        <v>0.47169259473793801</v>
      </c>
      <c r="G23" s="65">
        <f t="shared" si="2"/>
        <v>3.9354463149887664E-2</v>
      </c>
      <c r="H23" s="65">
        <f t="shared" si="2"/>
        <v>1.6034696023659256</v>
      </c>
    </row>
    <row r="24" spans="1:8">
      <c r="G24" s="141"/>
      <c r="H24" s="141"/>
    </row>
    <row r="25" spans="1:8">
      <c r="A25" s="137" t="s">
        <v>500</v>
      </c>
      <c r="B25" s="137"/>
      <c r="C25" s="137"/>
      <c r="D25" s="137"/>
      <c r="E25" s="137"/>
      <c r="F25" s="137"/>
      <c r="G25" s="137"/>
      <c r="H25" s="137"/>
    </row>
    <row r="26" spans="1:8">
      <c r="A26" s="137" t="s">
        <v>507</v>
      </c>
      <c r="B26" s="137"/>
      <c r="C26" s="137"/>
      <c r="D26" s="137"/>
      <c r="E26" s="137"/>
      <c r="F26" s="137"/>
      <c r="G26" s="137"/>
      <c r="H26" s="137"/>
    </row>
    <row r="27" spans="1:8" ht="30" customHeight="1">
      <c r="A27" s="104" t="s">
        <v>195</v>
      </c>
      <c r="B27" s="104"/>
      <c r="C27" s="104"/>
      <c r="D27" s="104"/>
      <c r="E27" s="104"/>
      <c r="F27" s="104"/>
      <c r="G27" s="104"/>
      <c r="H27" s="104"/>
    </row>
    <row r="28" spans="1:8">
      <c r="A28" s="137" t="s">
        <v>193</v>
      </c>
      <c r="B28" s="137"/>
      <c r="C28" s="137"/>
      <c r="D28" s="137"/>
      <c r="E28" s="137"/>
      <c r="F28" s="137"/>
      <c r="G28" s="137"/>
      <c r="H28" s="137"/>
    </row>
    <row r="29" spans="1:8">
      <c r="A29" s="137" t="s">
        <v>194</v>
      </c>
      <c r="B29" s="137"/>
      <c r="C29" s="137"/>
      <c r="D29" s="137"/>
      <c r="E29" s="137"/>
      <c r="F29" s="137"/>
      <c r="G29" s="137"/>
      <c r="H29" s="137"/>
    </row>
  </sheetData>
  <mergeCells count="6">
    <mergeCell ref="A29:H29"/>
    <mergeCell ref="A1:H1"/>
    <mergeCell ref="A25:H25"/>
    <mergeCell ref="A26:H26"/>
    <mergeCell ref="A27:H27"/>
    <mergeCell ref="A28:H28"/>
  </mergeCells>
  <pageMargins left="0.7" right="0.7" top="0.75" bottom="0.75" header="0.3" footer="0.3"/>
  <pageSetup scale="89" orientation="landscape" horizontalDpi="0" verticalDpi="0" r:id="rId1"/>
</worksheet>
</file>

<file path=xl/worksheets/sheet185.xml><?xml version="1.0" encoding="utf-8"?>
<worksheet xmlns="http://schemas.openxmlformats.org/spreadsheetml/2006/main" xmlns:r="http://schemas.openxmlformats.org/officeDocument/2006/relationships">
  <sheetPr codeName="Sheet179"/>
  <dimension ref="A1:H30"/>
  <sheetViews>
    <sheetView view="pageBreakPreview" zoomScaleNormal="85" zoomScaleSheetLayoutView="100" workbookViewId="0">
      <selection activeCell="AC38" sqref="AC38"/>
    </sheetView>
  </sheetViews>
  <sheetFormatPr defaultRowHeight="15"/>
  <cols>
    <col min="1" max="1" width="12.140625" style="64" customWidth="1"/>
    <col min="2" max="2" width="13.7109375" style="64" bestFit="1" customWidth="1"/>
    <col min="3" max="3" width="13.7109375" style="64" customWidth="1"/>
    <col min="4" max="4" width="20.42578125" style="64" bestFit="1" customWidth="1"/>
    <col min="5" max="5" width="19.5703125" style="64" bestFit="1" customWidth="1"/>
    <col min="6" max="6" width="17" style="64" customWidth="1"/>
    <col min="7" max="7" width="17.28515625" style="64" bestFit="1" customWidth="1"/>
    <col min="8" max="8" width="24" style="64" bestFit="1" customWidth="1"/>
    <col min="9" max="16384" width="9.140625" style="64"/>
  </cols>
  <sheetData>
    <row r="1" spans="1:8">
      <c r="A1" s="93" t="s">
        <v>2110</v>
      </c>
      <c r="B1" s="93"/>
      <c r="C1" s="93"/>
      <c r="D1" s="93"/>
      <c r="E1" s="93"/>
      <c r="F1" s="93"/>
      <c r="G1" s="93"/>
      <c r="H1" s="93"/>
    </row>
    <row r="2" spans="1:8" ht="45">
      <c r="B2" s="73" t="s">
        <v>7</v>
      </c>
      <c r="C2" s="73" t="s">
        <v>37</v>
      </c>
      <c r="D2" s="73" t="s">
        <v>192</v>
      </c>
      <c r="E2" s="73" t="s">
        <v>1</v>
      </c>
      <c r="F2" s="73" t="s">
        <v>678</v>
      </c>
      <c r="G2" s="73" t="s">
        <v>13</v>
      </c>
      <c r="H2" s="73" t="s">
        <v>19</v>
      </c>
    </row>
    <row r="4" spans="1:8">
      <c r="A4" s="66">
        <v>1997</v>
      </c>
      <c r="B4" s="65">
        <f>'806'!H18*1000/'816'!B17</f>
        <v>36.520975207512926</v>
      </c>
      <c r="C4" s="65">
        <f>'806'!I18*1000/'816'!C17</f>
        <v>41.076236955141958</v>
      </c>
      <c r="D4" s="65">
        <f>'806'!J18*1000/'816'!D17</f>
        <v>20.770855503683652</v>
      </c>
      <c r="E4" s="65">
        <f>'806'!K18*1000/'816'!E17</f>
        <v>31.236078059909165</v>
      </c>
      <c r="F4" s="65">
        <f>'806'!L18*1000/'816'!F17</f>
        <v>54.848570704284157</v>
      </c>
      <c r="G4" s="65">
        <f>'806'!M18*1000/'816'!G17</f>
        <v>58.757922207033666</v>
      </c>
      <c r="H4" s="65">
        <f>'806'!N18*1000/'816'!H17</f>
        <v>51.240214492587398</v>
      </c>
    </row>
    <row r="5" spans="1:8">
      <c r="A5" s="66">
        <v>1998</v>
      </c>
      <c r="B5" s="65">
        <f>'806'!H19*1000/'816'!B18</f>
        <v>36.980118954347297</v>
      </c>
      <c r="C5" s="65">
        <f>'806'!I19*1000/'816'!C18</f>
        <v>40.808013991727847</v>
      </c>
      <c r="D5" s="65">
        <f>'806'!J19*1000/'816'!D18</f>
        <v>22.300559278214532</v>
      </c>
      <c r="E5" s="65">
        <f>'806'!K19*1000/'816'!E18</f>
        <v>28.124713097856471</v>
      </c>
      <c r="F5" s="65">
        <f>'806'!L19*1000/'816'!F18</f>
        <v>57.496950475725789</v>
      </c>
      <c r="G5" s="65">
        <f>'806'!M19*1000/'816'!G18</f>
        <v>66.528895917193779</v>
      </c>
      <c r="H5" s="65">
        <f>'806'!N19*1000/'816'!H18</f>
        <v>50.031193369180961</v>
      </c>
    </row>
    <row r="6" spans="1:8">
      <c r="A6" s="66">
        <v>1999</v>
      </c>
      <c r="B6" s="65">
        <f>'806'!H20*1000/'816'!B19</f>
        <v>38.565423949919023</v>
      </c>
      <c r="C6" s="65">
        <f>'806'!I20*1000/'816'!C19</f>
        <v>37.787519288221958</v>
      </c>
      <c r="D6" s="65">
        <f>'806'!J20*1000/'816'!D19</f>
        <v>19.962721099194241</v>
      </c>
      <c r="E6" s="65">
        <f>'806'!K20*1000/'816'!E19</f>
        <v>26.57676904024288</v>
      </c>
      <c r="F6" s="65">
        <f>'806'!L20*1000/'816'!F19</f>
        <v>52.999769070895233</v>
      </c>
      <c r="G6" s="65">
        <f>'806'!M20*1000/'816'!G19</f>
        <v>63.343954385376477</v>
      </c>
      <c r="H6" s="65">
        <f>'806'!N20*1000/'816'!H19</f>
        <v>44.223107569721122</v>
      </c>
    </row>
    <row r="7" spans="1:8">
      <c r="A7" s="66">
        <v>2000</v>
      </c>
      <c r="B7" s="65">
        <f>'806'!H21*1000/'816'!B20</f>
        <v>39.832694036418737</v>
      </c>
      <c r="C7" s="65">
        <f>'806'!I21*1000/'816'!C20</f>
        <v>37.491056272666</v>
      </c>
      <c r="D7" s="65">
        <f>'806'!J21*1000/'816'!D20</f>
        <v>14.727736540457681</v>
      </c>
      <c r="E7" s="65">
        <f>'806'!K21*1000/'816'!E20</f>
        <v>21.563995915149835</v>
      </c>
      <c r="F7" s="65">
        <f>'806'!L21*1000/'816'!F20</f>
        <v>59.551968832614442</v>
      </c>
      <c r="G7" s="65">
        <f>'806'!M21*1000/'816'!G20</f>
        <v>76.107661916184568</v>
      </c>
      <c r="H7" s="65">
        <f>'806'!N21*1000/'816'!H20</f>
        <v>46.635475436906567</v>
      </c>
    </row>
    <row r="8" spans="1:8">
      <c r="A8" s="66">
        <v>2001</v>
      </c>
      <c r="B8" s="65">
        <f>'806'!H22*1000/'816'!B21</f>
        <v>39.85731223718404</v>
      </c>
      <c r="C8" s="65">
        <f>'806'!I22*1000/'816'!C21</f>
        <v>37.760734892812977</v>
      </c>
      <c r="D8" s="65">
        <f>'806'!J22*1000/'816'!D21</f>
        <v>20.965799743070654</v>
      </c>
      <c r="E8" s="65">
        <f>'806'!K22*1000/'816'!E21</f>
        <v>21.618073339412909</v>
      </c>
      <c r="F8" s="65">
        <f>'806'!L22*1000/'816'!F21</f>
        <v>55.371449119021946</v>
      </c>
      <c r="G8" s="65">
        <f>'806'!M22*1000/'816'!G21</f>
        <v>64.791971565962783</v>
      </c>
      <c r="H8" s="65">
        <f>'806'!N22*1000/'816'!H21</f>
        <v>48.749601979082485</v>
      </c>
    </row>
    <row r="9" spans="1:8">
      <c r="A9" s="66">
        <v>2002</v>
      </c>
      <c r="B9" s="65">
        <f>'806'!H23*1000/'816'!B22</f>
        <v>40.57373079209875</v>
      </c>
      <c r="C9" s="65">
        <f>'806'!I23*1000/'816'!C22</f>
        <v>38.836536627133569</v>
      </c>
      <c r="D9" s="65">
        <f>'806'!J23*1000/'816'!D22</f>
        <v>21.905244043484426</v>
      </c>
      <c r="E9" s="65">
        <f>'806'!K23*1000/'816'!E22</f>
        <v>20.438348344563927</v>
      </c>
      <c r="F9" s="65">
        <f>'806'!L23*1000/'816'!F22</f>
        <v>57.528636884306991</v>
      </c>
      <c r="G9" s="65">
        <f>'806'!M23*1000/'816'!G22</f>
        <v>70.187260604341049</v>
      </c>
      <c r="H9" s="65">
        <f>'806'!N23*1000/'816'!H22</f>
        <v>48.957833061185298</v>
      </c>
    </row>
    <row r="10" spans="1:8">
      <c r="A10" s="66">
        <v>2003</v>
      </c>
      <c r="B10" s="65">
        <f>'806'!H24*1000/'816'!B23</f>
        <v>40.455144509109594</v>
      </c>
      <c r="C10" s="65">
        <f>'806'!I24*1000/'816'!C23</f>
        <v>40.673884886711377</v>
      </c>
      <c r="D10" s="65">
        <f>'806'!J24*1000/'816'!D23</f>
        <v>23.379056585912576</v>
      </c>
      <c r="E10" s="65">
        <f>'806'!K24*1000/'816'!E23</f>
        <v>20.939948286713214</v>
      </c>
      <c r="F10" s="65">
        <f>'806'!L24*1000/'816'!F23</f>
        <v>60.254698572455588</v>
      </c>
      <c r="G10" s="65">
        <f>'806'!M24*1000/'816'!G23</f>
        <v>74.468581199238344</v>
      </c>
      <c r="H10" s="65">
        <f>'806'!N24*1000/'816'!H23</f>
        <v>51.633432329232086</v>
      </c>
    </row>
    <row r="11" spans="1:8">
      <c r="A11" s="66">
        <v>2004</v>
      </c>
      <c r="B11" s="65">
        <f>'806'!H25*1000/'816'!B24</f>
        <v>40.411521538719214</v>
      </c>
      <c r="C11" s="65">
        <f>'806'!I25*1000/'816'!C24</f>
        <v>39.727329034397577</v>
      </c>
      <c r="D11" s="65">
        <f>'806'!J25*1000/'816'!D24</f>
        <v>24.207709192921474</v>
      </c>
      <c r="E11" s="65">
        <f>'806'!K25*1000/'816'!E24</f>
        <v>20.455810068777996</v>
      </c>
      <c r="F11" s="65">
        <f>'806'!L25*1000/'816'!F24</f>
        <v>58.487614822398555</v>
      </c>
      <c r="G11" s="65">
        <f>'806'!M25*1000/'816'!G24</f>
        <v>76.864812683325297</v>
      </c>
      <c r="H11" s="65">
        <f>'806'!N25*1000/'816'!H24</f>
        <v>47.081326481229695</v>
      </c>
    </row>
    <row r="12" spans="1:8">
      <c r="A12" s="66">
        <v>2005</v>
      </c>
      <c r="B12" s="65">
        <f>'806'!H26*1000/'816'!B25</f>
        <v>41.444490660076838</v>
      </c>
      <c r="C12" s="65">
        <f>'806'!I26*1000/'816'!C25</f>
        <v>39.750490163391213</v>
      </c>
      <c r="D12" s="65">
        <f>'806'!J26*1000/'816'!D25</f>
        <v>21.593212911119654</v>
      </c>
      <c r="E12" s="65">
        <f>'806'!K26*1000/'816'!E25</f>
        <v>21.205660570504904</v>
      </c>
      <c r="F12" s="65">
        <f>'806'!L26*1000/'816'!F25</f>
        <v>59.089949324324323</v>
      </c>
      <c r="G12" s="65">
        <f>'806'!M26*1000/'816'!G25</f>
        <v>85.981265914878136</v>
      </c>
      <c r="H12" s="65">
        <f>'806'!N26*1000/'816'!H25</f>
        <v>45.743816573388699</v>
      </c>
    </row>
    <row r="13" spans="1:8">
      <c r="A13" s="66">
        <v>2006</v>
      </c>
      <c r="B13" s="65">
        <f>'806'!H27*1000/'816'!B26</f>
        <v>41.929632190247411</v>
      </c>
      <c r="C13" s="65">
        <f>'806'!I27*1000/'816'!C26</f>
        <v>37.883866041000154</v>
      </c>
      <c r="D13" s="65">
        <f>'806'!J27*1000/'816'!D26</f>
        <v>27.542930630612759</v>
      </c>
      <c r="E13" s="65">
        <f>'806'!K27*1000/'816'!E26</f>
        <v>21.880372759179533</v>
      </c>
      <c r="F13" s="65">
        <f>'806'!L27*1000/'816'!F26</f>
        <v>53.424306078925014</v>
      </c>
      <c r="G13" s="65">
        <f>'806'!M27*1000/'816'!G26</f>
        <v>77.046632124352328</v>
      </c>
      <c r="H13" s="65">
        <f>'806'!N27*1000/'816'!H26</f>
        <v>42.837238464575165</v>
      </c>
    </row>
    <row r="14" spans="1:8">
      <c r="A14" s="66">
        <v>2007</v>
      </c>
      <c r="B14" s="65">
        <f>'806'!H28*1000/'816'!B27</f>
        <v>47.722261509580655</v>
      </c>
      <c r="C14" s="65">
        <f>'806'!I28*1000/'816'!C27</f>
        <v>47.328667328131004</v>
      </c>
      <c r="D14" s="65">
        <f>'806'!J28*1000/'816'!D27</f>
        <v>38.521315999709493</v>
      </c>
      <c r="E14" s="65">
        <f>'806'!K28*1000/'816'!E27</f>
        <v>39.405293750300238</v>
      </c>
      <c r="F14" s="65">
        <f>'806'!L28*1000/'816'!F27</f>
        <v>55.317867894457237</v>
      </c>
      <c r="G14" s="65">
        <f>'806'!M28*1000/'816'!G27</f>
        <v>71.46351406441093</v>
      </c>
      <c r="H14" s="65">
        <f>'806'!N28*1000/'816'!H27</f>
        <v>48.263314588157456</v>
      </c>
    </row>
    <row r="15" spans="1:8">
      <c r="A15" s="66">
        <v>2008</v>
      </c>
      <c r="B15" s="65">
        <f>'806'!H29*1000/'816'!B28</f>
        <v>47.433543390762068</v>
      </c>
      <c r="C15" s="65">
        <f>'806'!I29*1000/'816'!C28</f>
        <v>46.020594381459382</v>
      </c>
      <c r="D15" s="65">
        <f>'806'!J29*1000/'816'!D28</f>
        <v>43.841887490095957</v>
      </c>
      <c r="E15" s="65">
        <f>'806'!K29*1000/'816'!E28</f>
        <v>36.948098297134699</v>
      </c>
      <c r="F15" s="65">
        <f>'806'!L29*1000/'816'!F28</f>
        <v>52.920065252854812</v>
      </c>
      <c r="G15" s="65">
        <f>'806'!M29*1000/'816'!G28</f>
        <v>69.216507177033492</v>
      </c>
      <c r="H15" s="65">
        <f>'806'!N29*1000/'816'!H28</f>
        <v>45.841352405721715</v>
      </c>
    </row>
    <row r="16" spans="1:8">
      <c r="A16" s="66">
        <v>2009</v>
      </c>
      <c r="B16" s="65">
        <f>'806'!H30*1000/'816'!B29</f>
        <v>47.723391203815652</v>
      </c>
      <c r="C16" s="65">
        <f>'806'!I30*1000/'816'!C29</f>
        <v>43.990843628499782</v>
      </c>
      <c r="D16" s="65">
        <f>'806'!J30*1000/'816'!D29</f>
        <v>37.578350412894238</v>
      </c>
      <c r="E16" s="65">
        <f>'806'!K30*1000/'816'!E29</f>
        <v>33.307875894988065</v>
      </c>
      <c r="F16" s="65">
        <f>'806'!L30*1000/'816'!F29</f>
        <v>52.793787672136915</v>
      </c>
      <c r="G16" s="65">
        <f>'806'!M30*1000/'816'!G29</f>
        <v>59.722640940608983</v>
      </c>
      <c r="H16" s="65">
        <f>'806'!N30*1000/'816'!H29</f>
        <v>50.326188257222739</v>
      </c>
    </row>
    <row r="17" spans="1:8">
      <c r="A17" s="66">
        <v>2010</v>
      </c>
      <c r="B17" s="65">
        <f>'806'!H31*1000/'816'!B30</f>
        <v>48.271011956307859</v>
      </c>
      <c r="C17" s="65">
        <f>'806'!I31*1000/'816'!C30</f>
        <v>45.187347271246267</v>
      </c>
      <c r="D17" s="65">
        <f>'806'!J31*1000/'816'!D30</f>
        <v>39.384308027606245</v>
      </c>
      <c r="E17" s="65">
        <f>'806'!K31*1000/'816'!E30</f>
        <v>34.346899045146934</v>
      </c>
      <c r="F17" s="65">
        <f>'806'!L31*1000/'816'!F30</f>
        <v>54.399253648459542</v>
      </c>
      <c r="G17" s="65">
        <f>'806'!M31*1000/'816'!G30</f>
        <v>58.011460891568056</v>
      </c>
      <c r="H17" s="65">
        <f>'806'!N31*1000/'816'!H30</f>
        <v>53.365841302007475</v>
      </c>
    </row>
    <row r="18" spans="1:8">
      <c r="A18" s="66">
        <v>2011</v>
      </c>
      <c r="B18" s="65">
        <f>'806'!H32*1000/'816'!B31</f>
        <v>48.221524066628142</v>
      </c>
      <c r="C18" s="65">
        <f>'806'!I32*1000/'816'!C31</f>
        <v>44.896918077874261</v>
      </c>
      <c r="D18" s="65">
        <f>'806'!J32*1000/'816'!D31</f>
        <v>44.557077625570777</v>
      </c>
      <c r="E18" s="65">
        <f>'806'!K32*1000/'816'!E31</f>
        <v>33.649940636130722</v>
      </c>
      <c r="F18" s="65">
        <f>'806'!L32*1000/'816'!F31</f>
        <v>52.599809382611461</v>
      </c>
      <c r="G18" s="65">
        <f>'806'!M32*1000/'816'!G31</f>
        <v>57.996838626239402</v>
      </c>
      <c r="H18" s="65">
        <f>'806'!N32*1000/'816'!H31</f>
        <v>50.79136258521789</v>
      </c>
    </row>
    <row r="19" spans="1:8">
      <c r="A19" s="66"/>
      <c r="B19" s="65"/>
      <c r="C19" s="65"/>
      <c r="D19" s="65"/>
      <c r="E19" s="65"/>
      <c r="F19" s="65"/>
      <c r="G19" s="65"/>
      <c r="H19" s="65"/>
    </row>
    <row r="20" spans="1:8">
      <c r="B20" s="57"/>
      <c r="C20" s="57"/>
      <c r="D20" s="57"/>
      <c r="E20" s="57"/>
      <c r="F20" s="57"/>
      <c r="G20" s="65"/>
      <c r="H20" s="65"/>
    </row>
    <row r="21" spans="1:8">
      <c r="A21" s="64" t="s">
        <v>23</v>
      </c>
      <c r="B21" s="57"/>
      <c r="C21" s="57"/>
      <c r="D21" s="57"/>
      <c r="E21" s="57"/>
      <c r="F21" s="57"/>
      <c r="G21" s="65"/>
      <c r="H21" s="65"/>
    </row>
    <row r="22" spans="1:8">
      <c r="A22" s="64" t="s">
        <v>1780</v>
      </c>
      <c r="B22" s="65">
        <f>IFERROR(((B19/B5)^(1/14)-1)*100,"n.a.")</f>
        <v>-100</v>
      </c>
      <c r="C22" s="65">
        <f t="shared" ref="C22:H22" si="0">IFERROR(((C19/C5)^(1/14)-1)*100,"n.a.")</f>
        <v>-100</v>
      </c>
      <c r="D22" s="65">
        <f t="shared" si="0"/>
        <v>-100</v>
      </c>
      <c r="E22" s="65">
        <f t="shared" si="0"/>
        <v>-100</v>
      </c>
      <c r="F22" s="65">
        <f t="shared" si="0"/>
        <v>-100</v>
      </c>
      <c r="G22" s="65">
        <f t="shared" si="0"/>
        <v>-100</v>
      </c>
      <c r="H22" s="65">
        <f t="shared" si="0"/>
        <v>-100</v>
      </c>
    </row>
    <row r="23" spans="1:8">
      <c r="A23" s="64" t="s">
        <v>663</v>
      </c>
      <c r="B23" s="65">
        <f>IFERROR(((B8/B5)^(1/3)-1)*100,"n.a.")</f>
        <v>2.5289638260788783</v>
      </c>
      <c r="C23" s="65">
        <f t="shared" ref="C23:H23" si="1">IFERROR(((C8/C5)^(1/3)-1)*100,"n.a.")</f>
        <v>-2.5537809896572616</v>
      </c>
      <c r="D23" s="65">
        <f t="shared" si="1"/>
        <v>-2.0362895217851062</v>
      </c>
      <c r="E23" s="65">
        <f t="shared" si="1"/>
        <v>-8.3970144960292874</v>
      </c>
      <c r="F23" s="65">
        <f t="shared" si="1"/>
        <v>-1.2477439489692821</v>
      </c>
      <c r="G23" s="65">
        <f t="shared" si="1"/>
        <v>-0.87794595647415763</v>
      </c>
      <c r="H23" s="65">
        <f t="shared" si="1"/>
        <v>-0.86125792070711471</v>
      </c>
    </row>
    <row r="24" spans="1:8">
      <c r="A24" s="64" t="s">
        <v>1782</v>
      </c>
      <c r="B24" s="65">
        <f>IFERROR(((B19/B8)^(1/11)-1)*100,"n.a.")</f>
        <v>-100</v>
      </c>
      <c r="C24" s="65">
        <f t="shared" ref="C24:H24" si="2">IFERROR(((C19/C8)^(1/11)-1)*100,"n.a.")</f>
        <v>-100</v>
      </c>
      <c r="D24" s="65">
        <f t="shared" si="2"/>
        <v>-100</v>
      </c>
      <c r="E24" s="65">
        <f t="shared" si="2"/>
        <v>-100</v>
      </c>
      <c r="F24" s="65">
        <f t="shared" si="2"/>
        <v>-100</v>
      </c>
      <c r="G24" s="65">
        <f t="shared" si="2"/>
        <v>-100</v>
      </c>
      <c r="H24" s="65">
        <f t="shared" si="2"/>
        <v>-100</v>
      </c>
    </row>
    <row r="25" spans="1:8">
      <c r="G25" s="141"/>
      <c r="H25" s="141"/>
    </row>
    <row r="26" spans="1:8">
      <c r="A26" s="137" t="s">
        <v>500</v>
      </c>
      <c r="B26" s="137"/>
      <c r="C26" s="137"/>
      <c r="D26" s="137"/>
      <c r="E26" s="137"/>
      <c r="F26" s="137"/>
      <c r="G26" s="137"/>
      <c r="H26" s="137"/>
    </row>
    <row r="27" spans="1:8">
      <c r="A27" s="137" t="s">
        <v>508</v>
      </c>
      <c r="B27" s="137"/>
      <c r="C27" s="137"/>
      <c r="D27" s="137"/>
      <c r="E27" s="137"/>
      <c r="F27" s="137"/>
      <c r="G27" s="137"/>
      <c r="H27" s="137"/>
    </row>
    <row r="28" spans="1:8" ht="30" customHeight="1">
      <c r="A28" s="104" t="s">
        <v>195</v>
      </c>
      <c r="B28" s="104"/>
      <c r="C28" s="104"/>
      <c r="D28" s="104"/>
      <c r="E28" s="104"/>
      <c r="F28" s="104"/>
      <c r="G28" s="104"/>
      <c r="H28" s="104"/>
    </row>
    <row r="29" spans="1:8">
      <c r="A29" s="137" t="s">
        <v>193</v>
      </c>
      <c r="B29" s="137"/>
      <c r="C29" s="137"/>
      <c r="D29" s="137"/>
      <c r="E29" s="137"/>
      <c r="F29" s="137"/>
      <c r="G29" s="137"/>
      <c r="H29" s="137"/>
    </row>
    <row r="30" spans="1:8">
      <c r="A30" s="137" t="s">
        <v>194</v>
      </c>
      <c r="B30" s="137"/>
      <c r="C30" s="137"/>
      <c r="D30" s="137"/>
      <c r="E30" s="137"/>
      <c r="F30" s="137"/>
      <c r="G30" s="137"/>
      <c r="H30" s="137"/>
    </row>
  </sheetData>
  <mergeCells count="6">
    <mergeCell ref="A30:H30"/>
    <mergeCell ref="A1:H1"/>
    <mergeCell ref="A26:H26"/>
    <mergeCell ref="A27:H27"/>
    <mergeCell ref="A28:H28"/>
    <mergeCell ref="A29:H29"/>
  </mergeCells>
  <pageMargins left="0.7" right="0.7" top="0.75" bottom="0.75" header="0.3" footer="0.3"/>
  <pageSetup scale="88" orientation="landscape" horizontalDpi="0" verticalDpi="0" r:id="rId1"/>
</worksheet>
</file>

<file path=xl/worksheets/sheet186.xml><?xml version="1.0" encoding="utf-8"?>
<worksheet xmlns="http://schemas.openxmlformats.org/spreadsheetml/2006/main" xmlns:r="http://schemas.openxmlformats.org/officeDocument/2006/relationships">
  <sheetPr codeName="Sheet180"/>
  <dimension ref="A1:H29"/>
  <sheetViews>
    <sheetView view="pageBreakPreview" zoomScaleNormal="85" zoomScaleSheetLayoutView="100" workbookViewId="0">
      <selection activeCell="AC38" sqref="AC38"/>
    </sheetView>
  </sheetViews>
  <sheetFormatPr defaultRowHeight="15"/>
  <cols>
    <col min="1" max="1" width="12" style="64" customWidth="1"/>
    <col min="2" max="7" width="12.42578125" style="64" customWidth="1"/>
    <col min="8" max="8" width="17.140625" style="64" customWidth="1"/>
    <col min="9" max="16384" width="9.140625" style="64"/>
  </cols>
  <sheetData>
    <row r="1" spans="1:8">
      <c r="A1" s="93" t="s">
        <v>2111</v>
      </c>
      <c r="B1" s="93"/>
      <c r="C1" s="93"/>
      <c r="D1" s="93"/>
      <c r="E1" s="93"/>
      <c r="F1" s="93"/>
      <c r="G1" s="93"/>
      <c r="H1" s="93"/>
    </row>
    <row r="2" spans="1:8" ht="60">
      <c r="B2" s="73" t="s">
        <v>7</v>
      </c>
      <c r="C2" s="73" t="s">
        <v>37</v>
      </c>
      <c r="D2" s="73" t="s">
        <v>192</v>
      </c>
      <c r="E2" s="73" t="s">
        <v>1</v>
      </c>
      <c r="F2" s="73" t="s">
        <v>678</v>
      </c>
      <c r="G2" s="73" t="s">
        <v>13</v>
      </c>
      <c r="H2" s="73" t="s">
        <v>19</v>
      </c>
    </row>
    <row r="4" spans="1:8">
      <c r="A4" s="66">
        <v>1997</v>
      </c>
      <c r="B4" s="65">
        <f>'807'!H18*1000/'817'!B17</f>
        <v>30.295271028399977</v>
      </c>
      <c r="C4" s="65" t="s">
        <v>22</v>
      </c>
      <c r="D4" s="65">
        <f>'807'!J18*1000/'817'!D17</f>
        <v>19.999665031764014</v>
      </c>
      <c r="E4" s="65">
        <f>'807'!K18*1000/'817'!E17</f>
        <v>60.020933688615465</v>
      </c>
      <c r="F4" s="65" t="s">
        <v>22</v>
      </c>
      <c r="G4" s="65" t="s">
        <v>188</v>
      </c>
      <c r="H4" s="65" t="s">
        <v>188</v>
      </c>
    </row>
    <row r="5" spans="1:8">
      <c r="A5" s="66">
        <v>1998</v>
      </c>
      <c r="B5" s="65">
        <f>'807'!H19*1000/'817'!B18</f>
        <v>31.104009647271646</v>
      </c>
      <c r="C5" s="65" t="s">
        <v>22</v>
      </c>
      <c r="D5" s="65">
        <f>'807'!J19*1000/'817'!D18</f>
        <v>34.922006109933825</v>
      </c>
      <c r="E5" s="65">
        <f>'807'!K19*1000/'817'!E18</f>
        <v>42.521520292785411</v>
      </c>
      <c r="F5" s="65" t="s">
        <v>22</v>
      </c>
      <c r="G5" s="65" t="s">
        <v>188</v>
      </c>
      <c r="H5" s="65" t="s">
        <v>188</v>
      </c>
    </row>
    <row r="6" spans="1:8">
      <c r="A6" s="66">
        <v>1999</v>
      </c>
      <c r="B6" s="65">
        <f>'807'!H20*1000/'817'!B19</f>
        <v>31.400772837425997</v>
      </c>
      <c r="C6" s="65" t="s">
        <v>22</v>
      </c>
      <c r="D6" s="65">
        <f>'807'!J20*1000/'817'!D19</f>
        <v>18.655549640254922</v>
      </c>
      <c r="E6" s="65">
        <f>'807'!K20*1000/'817'!E19</f>
        <v>32.295482431047716</v>
      </c>
      <c r="F6" s="65" t="s">
        <v>22</v>
      </c>
      <c r="G6" s="65" t="s">
        <v>188</v>
      </c>
      <c r="H6" s="65" t="s">
        <v>188</v>
      </c>
    </row>
    <row r="7" spans="1:8">
      <c r="A7" s="66">
        <v>2000</v>
      </c>
      <c r="B7" s="65">
        <f>'807'!H21*1000/'817'!B20</f>
        <v>32.391241867893214</v>
      </c>
      <c r="C7" s="65" t="s">
        <v>22</v>
      </c>
      <c r="D7" s="65">
        <f>'807'!J21*1000/'817'!D20</f>
        <v>16.974958993985787</v>
      </c>
      <c r="E7" s="65">
        <f>'807'!K21*1000/'817'!E20</f>
        <v>23.53404861361199</v>
      </c>
      <c r="F7" s="65" t="s">
        <v>22</v>
      </c>
      <c r="G7" s="65" t="s">
        <v>188</v>
      </c>
      <c r="H7" s="65" t="s">
        <v>188</v>
      </c>
    </row>
    <row r="8" spans="1:8">
      <c r="A8" s="66">
        <v>2001</v>
      </c>
      <c r="B8" s="65">
        <f>'807'!H22*1000/'817'!B21</f>
        <v>32.744967480351491</v>
      </c>
      <c r="C8" s="65" t="s">
        <v>22</v>
      </c>
      <c r="D8" s="65">
        <f>'807'!J22*1000/'817'!D21</f>
        <v>19.636877903895222</v>
      </c>
      <c r="E8" s="65">
        <f>'807'!K22*1000/'817'!E21</f>
        <v>26.417209752597063</v>
      </c>
      <c r="F8" s="65" t="s">
        <v>22</v>
      </c>
      <c r="G8" s="65" t="s">
        <v>188</v>
      </c>
      <c r="H8" s="65" t="s">
        <v>188</v>
      </c>
    </row>
    <row r="9" spans="1:8">
      <c r="A9" s="66">
        <v>2002</v>
      </c>
      <c r="B9" s="65">
        <f>'807'!H23*1000/'817'!B22</f>
        <v>33.066911152055432</v>
      </c>
      <c r="C9" s="65" t="s">
        <v>22</v>
      </c>
      <c r="D9" s="65">
        <f>'807'!J23*1000/'817'!D22</f>
        <v>15.799040471581556</v>
      </c>
      <c r="E9" s="65">
        <f>'807'!K23*1000/'817'!E22</f>
        <v>26.460190360975815</v>
      </c>
      <c r="F9" s="65" t="s">
        <v>22</v>
      </c>
      <c r="G9" s="65" t="s">
        <v>188</v>
      </c>
      <c r="H9" s="65" t="s">
        <v>188</v>
      </c>
    </row>
    <row r="10" spans="1:8">
      <c r="A10" s="66">
        <v>2003</v>
      </c>
      <c r="B10" s="65">
        <f>'807'!H24*1000/'817'!B23</f>
        <v>33.077761988168817</v>
      </c>
      <c r="C10" s="65" t="s">
        <v>22</v>
      </c>
      <c r="D10" s="65">
        <f>'807'!J24*1000/'817'!D23</f>
        <v>15.246060710820231</v>
      </c>
      <c r="E10" s="65">
        <f>'807'!K24*1000/'817'!E23</f>
        <v>20.071331296789641</v>
      </c>
      <c r="F10" s="65" t="s">
        <v>22</v>
      </c>
      <c r="G10" s="65" t="s">
        <v>188</v>
      </c>
      <c r="H10" s="65" t="s">
        <v>188</v>
      </c>
    </row>
    <row r="11" spans="1:8">
      <c r="A11" s="66">
        <v>2004</v>
      </c>
      <c r="B11" s="65">
        <f>'807'!H25*1000/'817'!B24</f>
        <v>33.281797290713151</v>
      </c>
      <c r="C11" s="65" t="s">
        <v>22</v>
      </c>
      <c r="D11" s="65">
        <f>'807'!J25*1000/'817'!D24</f>
        <v>20.455072524877721</v>
      </c>
      <c r="E11" s="65">
        <f>'807'!K25*1000/'817'!E24</f>
        <v>17.275047928980381</v>
      </c>
      <c r="F11" s="65" t="s">
        <v>22</v>
      </c>
      <c r="G11" s="65" t="s">
        <v>188</v>
      </c>
      <c r="H11" s="65" t="s">
        <v>188</v>
      </c>
    </row>
    <row r="12" spans="1:8">
      <c r="A12" s="66">
        <v>2005</v>
      </c>
      <c r="B12" s="65">
        <f>'807'!H26*1000/'817'!B25</f>
        <v>34.320314993328694</v>
      </c>
      <c r="C12" s="65" t="s">
        <v>22</v>
      </c>
      <c r="D12" s="65">
        <f>'807'!J26*1000/'817'!D25</f>
        <v>17.867658061026003</v>
      </c>
      <c r="E12" s="65" t="s">
        <v>22</v>
      </c>
      <c r="F12" s="65" t="s">
        <v>22</v>
      </c>
      <c r="G12" s="65" t="s">
        <v>188</v>
      </c>
      <c r="H12" s="65" t="s">
        <v>188</v>
      </c>
    </row>
    <row r="13" spans="1:8">
      <c r="A13" s="66">
        <v>2006</v>
      </c>
      <c r="B13" s="65">
        <f>'807'!H27*1000/'817'!B26</f>
        <v>35.100181354620368</v>
      </c>
      <c r="C13" s="65" t="s">
        <v>22</v>
      </c>
      <c r="D13" s="65">
        <f>'807'!J27*1000/'817'!D26</f>
        <v>24.284120898116381</v>
      </c>
      <c r="E13" s="65">
        <f>'807'!K27*1000/'817'!E26</f>
        <v>17.399310735889706</v>
      </c>
      <c r="F13" s="65" t="s">
        <v>22</v>
      </c>
      <c r="G13" s="65" t="s">
        <v>188</v>
      </c>
      <c r="H13" s="65" t="s">
        <v>188</v>
      </c>
    </row>
    <row r="14" spans="1:8">
      <c r="A14" s="66">
        <v>2007</v>
      </c>
      <c r="B14" s="65">
        <f>'807'!H28*1000/'817'!B27</f>
        <v>42.633680744593626</v>
      </c>
      <c r="C14" s="65"/>
      <c r="D14" s="65">
        <f>'807'!J28*1000/'817'!D27</f>
        <v>31.748589846897662</v>
      </c>
      <c r="E14" s="65">
        <f>'807'!K28*1000/'817'!E27</f>
        <v>22.008376545672117</v>
      </c>
      <c r="F14" s="65" t="s">
        <v>22</v>
      </c>
      <c r="G14" s="65" t="s">
        <v>188</v>
      </c>
      <c r="H14" s="65" t="s">
        <v>188</v>
      </c>
    </row>
    <row r="15" spans="1:8">
      <c r="A15" s="66">
        <v>2008</v>
      </c>
      <c r="B15" s="65">
        <f>'807'!H29*1000/'817'!B28</f>
        <v>43.785807611924788</v>
      </c>
      <c r="C15" s="65"/>
      <c r="D15" s="65">
        <f>'807'!J29*1000/'817'!D28</f>
        <v>37.41935483870968</v>
      </c>
      <c r="E15" s="65">
        <f>'807'!K29*1000/'817'!E28</f>
        <v>23.736881964730067</v>
      </c>
      <c r="F15" s="65" t="s">
        <v>22</v>
      </c>
      <c r="G15" s="65" t="s">
        <v>188</v>
      </c>
      <c r="H15" s="65" t="s">
        <v>188</v>
      </c>
    </row>
    <row r="16" spans="1:8">
      <c r="A16" s="66">
        <v>2009</v>
      </c>
      <c r="B16" s="65">
        <f>'807'!H30*1000/'817'!B29</f>
        <v>43.983001362486213</v>
      </c>
      <c r="C16" s="65"/>
      <c r="D16" s="65">
        <f>'807'!J30*1000/'817'!D29</f>
        <v>33.146696528555431</v>
      </c>
      <c r="E16" s="65">
        <f>'807'!K30*1000/'817'!E29</f>
        <v>21.851003637343393</v>
      </c>
      <c r="F16" s="65" t="s">
        <v>22</v>
      </c>
      <c r="G16" s="65" t="s">
        <v>188</v>
      </c>
      <c r="H16" s="65" t="s">
        <v>188</v>
      </c>
    </row>
    <row r="17" spans="1:8">
      <c r="A17" s="66">
        <v>2010</v>
      </c>
      <c r="B17" s="65">
        <f>'807'!H31*1000/'817'!B30</f>
        <v>44.899460994739052</v>
      </c>
      <c r="C17" s="65"/>
      <c r="D17" s="65">
        <f>'807'!J31*1000/'817'!D30</f>
        <v>29.237288135593221</v>
      </c>
      <c r="E17" s="65">
        <f>'807'!K31*1000/'817'!E30</f>
        <v>22.71051885455061</v>
      </c>
      <c r="F17" s="65" t="s">
        <v>22</v>
      </c>
      <c r="G17" s="65" t="s">
        <v>188</v>
      </c>
      <c r="H17" s="65" t="s">
        <v>188</v>
      </c>
    </row>
    <row r="18" spans="1:8">
      <c r="A18" s="66">
        <v>2011</v>
      </c>
      <c r="B18" s="65">
        <f>'807'!H32*1000/'817'!B31</f>
        <v>45.299734558830927</v>
      </c>
      <c r="C18" s="65"/>
      <c r="D18" s="65">
        <f>'807'!J32*1000/'817'!D31</f>
        <v>28.644240570846076</v>
      </c>
      <c r="E18" s="65">
        <f>'807'!K32*1000/'817'!E31</f>
        <v>22.003985197836606</v>
      </c>
      <c r="F18" s="65" t="s">
        <v>22</v>
      </c>
      <c r="G18" s="65" t="s">
        <v>188</v>
      </c>
      <c r="H18" s="65" t="s">
        <v>188</v>
      </c>
    </row>
    <row r="19" spans="1:8" ht="14.25" customHeight="1">
      <c r="B19" s="57"/>
      <c r="C19" s="65"/>
      <c r="D19" s="57"/>
      <c r="E19" s="57"/>
      <c r="F19" s="57"/>
      <c r="G19" s="65"/>
      <c r="H19" s="65"/>
    </row>
    <row r="20" spans="1:8">
      <c r="A20" s="64" t="s">
        <v>23</v>
      </c>
      <c r="B20" s="57"/>
      <c r="C20" s="57"/>
      <c r="D20" s="57"/>
      <c r="E20" s="57"/>
      <c r="F20" s="57"/>
      <c r="G20" s="65"/>
      <c r="H20" s="65"/>
    </row>
    <row r="21" spans="1:8">
      <c r="A21" s="64" t="s">
        <v>1780</v>
      </c>
      <c r="B21" s="65">
        <f>IFERROR(((B18/B4)^(1/14)-1)*100,"n.a.")</f>
        <v>2.9153269810153759</v>
      </c>
      <c r="C21" s="65" t="str">
        <f t="shared" ref="C21:H21" si="0">IFERROR(((C18/C4)^(1/14)-1)*100,"n.a.")</f>
        <v>n.a.</v>
      </c>
      <c r="D21" s="65">
        <f t="shared" si="0"/>
        <v>2.5991822539558784</v>
      </c>
      <c r="E21" s="65">
        <f t="shared" si="0"/>
        <v>-6.9167949884461617</v>
      </c>
      <c r="F21" s="65" t="str">
        <f t="shared" si="0"/>
        <v>n.a.</v>
      </c>
      <c r="G21" s="65" t="str">
        <f t="shared" si="0"/>
        <v>n.a.</v>
      </c>
      <c r="H21" s="65" t="str">
        <f t="shared" si="0"/>
        <v>n.a.</v>
      </c>
    </row>
    <row r="22" spans="1:8">
      <c r="A22" s="64" t="s">
        <v>663</v>
      </c>
      <c r="B22" s="65">
        <f>IFERROR(((B7/B4)^(1/3)-1)*100,"n.a.")</f>
        <v>2.2549291846421404</v>
      </c>
      <c r="C22" s="65" t="str">
        <f t="shared" ref="C22:H22" si="1">IFERROR(((C7/C4)^(1/3)-1)*100,"n.a.")</f>
        <v>n.a.</v>
      </c>
      <c r="D22" s="65">
        <f t="shared" si="1"/>
        <v>-5.3191814311831838</v>
      </c>
      <c r="E22" s="65">
        <f t="shared" si="1"/>
        <v>-26.807828355649775</v>
      </c>
      <c r="F22" s="65" t="str">
        <f t="shared" si="1"/>
        <v>n.a.</v>
      </c>
      <c r="G22" s="65" t="str">
        <f t="shared" si="1"/>
        <v>n.a.</v>
      </c>
      <c r="H22" s="65" t="str">
        <f t="shared" si="1"/>
        <v>n.a.</v>
      </c>
    </row>
    <row r="23" spans="1:8">
      <c r="A23" s="64" t="s">
        <v>1782</v>
      </c>
      <c r="B23" s="65">
        <f>IFERROR(((B18/B7)^(1/11)-1)*100,"n.a.")</f>
        <v>3.0961745353728976</v>
      </c>
      <c r="C23" s="65" t="str">
        <f t="shared" ref="C23:H23" si="2">IFERROR(((C18/C7)^(1/11)-1)*100,"n.a.")</f>
        <v>n.a.</v>
      </c>
      <c r="D23" s="65">
        <f t="shared" si="2"/>
        <v>4.8714187819570043</v>
      </c>
      <c r="E23" s="65">
        <f t="shared" si="2"/>
        <v>-0.60926971859114332</v>
      </c>
      <c r="F23" s="65" t="str">
        <f t="shared" si="2"/>
        <v>n.a.</v>
      </c>
      <c r="G23" s="65" t="str">
        <f t="shared" si="2"/>
        <v>n.a.</v>
      </c>
      <c r="H23" s="65" t="str">
        <f t="shared" si="2"/>
        <v>n.a.</v>
      </c>
    </row>
    <row r="24" spans="1:8">
      <c r="G24" s="141"/>
      <c r="H24" s="141"/>
    </row>
    <row r="25" spans="1:8">
      <c r="A25" s="137" t="s">
        <v>500</v>
      </c>
      <c r="B25" s="137"/>
      <c r="C25" s="137"/>
      <c r="D25" s="137"/>
      <c r="E25" s="137"/>
      <c r="F25" s="137"/>
      <c r="G25" s="137"/>
      <c r="H25" s="137"/>
    </row>
    <row r="26" spans="1:8">
      <c r="A26" s="137" t="s">
        <v>509</v>
      </c>
      <c r="B26" s="137"/>
      <c r="C26" s="137"/>
      <c r="D26" s="137"/>
      <c r="E26" s="137"/>
      <c r="F26" s="137"/>
      <c r="G26" s="137"/>
      <c r="H26" s="137"/>
    </row>
    <row r="27" spans="1:8" ht="30" customHeight="1">
      <c r="A27" s="131" t="s">
        <v>195</v>
      </c>
      <c r="B27" s="131"/>
      <c r="C27" s="131"/>
      <c r="D27" s="131"/>
      <c r="E27" s="131"/>
      <c r="F27" s="131"/>
      <c r="G27" s="131"/>
      <c r="H27" s="131"/>
    </row>
    <row r="28" spans="1:8">
      <c r="A28" s="137" t="s">
        <v>193</v>
      </c>
      <c r="B28" s="137"/>
      <c r="C28" s="137"/>
      <c r="D28" s="137"/>
      <c r="E28" s="137"/>
      <c r="F28" s="137"/>
      <c r="G28" s="137"/>
      <c r="H28" s="137"/>
    </row>
    <row r="29" spans="1:8">
      <c r="A29" s="137" t="s">
        <v>194</v>
      </c>
      <c r="B29" s="137"/>
      <c r="C29" s="137"/>
      <c r="D29" s="137"/>
      <c r="E29" s="137"/>
      <c r="F29" s="137"/>
      <c r="G29" s="137"/>
      <c r="H29" s="137"/>
    </row>
  </sheetData>
  <mergeCells count="6">
    <mergeCell ref="A29:H29"/>
    <mergeCell ref="A1:H1"/>
    <mergeCell ref="A25:H25"/>
    <mergeCell ref="A26:H26"/>
    <mergeCell ref="A27:H27"/>
    <mergeCell ref="A28:H28"/>
  </mergeCells>
  <pageMargins left="0.7" right="0.7" top="0.75" bottom="0.75" header="0.3" footer="0.3"/>
  <pageSetup orientation="landscape" horizontalDpi="0" verticalDpi="0" r:id="rId1"/>
</worksheet>
</file>

<file path=xl/worksheets/sheet187.xml><?xml version="1.0" encoding="utf-8"?>
<worksheet xmlns="http://schemas.openxmlformats.org/spreadsheetml/2006/main" xmlns:r="http://schemas.openxmlformats.org/officeDocument/2006/relationships">
  <sheetPr codeName="Sheet181"/>
  <dimension ref="A1:H29"/>
  <sheetViews>
    <sheetView view="pageBreakPreview" zoomScaleNormal="85" zoomScaleSheetLayoutView="100" workbookViewId="0">
      <selection activeCell="AC38" sqref="AC38"/>
    </sheetView>
  </sheetViews>
  <sheetFormatPr defaultRowHeight="15"/>
  <cols>
    <col min="1" max="1" width="12" style="64" customWidth="1"/>
    <col min="2" max="2" width="13.7109375" style="64" bestFit="1" customWidth="1"/>
    <col min="3" max="3" width="13.7109375" style="64" customWidth="1"/>
    <col min="4" max="4" width="20.42578125" style="64" bestFit="1" customWidth="1"/>
    <col min="5" max="5" width="19.5703125" style="64" bestFit="1" customWidth="1"/>
    <col min="6" max="6" width="17" style="64" customWidth="1"/>
    <col min="7" max="7" width="17.28515625" style="64" bestFit="1" customWidth="1"/>
    <col min="8" max="8" width="20.7109375" style="64" bestFit="1" customWidth="1"/>
    <col min="9" max="16384" width="9.140625" style="64"/>
  </cols>
  <sheetData>
    <row r="1" spans="1:8">
      <c r="A1" s="93" t="s">
        <v>2112</v>
      </c>
      <c r="B1" s="93"/>
      <c r="C1" s="93"/>
      <c r="D1" s="93"/>
      <c r="E1" s="93"/>
      <c r="F1" s="93"/>
      <c r="G1" s="93"/>
      <c r="H1" s="93"/>
    </row>
    <row r="2" spans="1:8" ht="45">
      <c r="B2" s="73" t="s">
        <v>7</v>
      </c>
      <c r="C2" s="73" t="s">
        <v>37</v>
      </c>
      <c r="D2" s="73" t="s">
        <v>192</v>
      </c>
      <c r="E2" s="73" t="s">
        <v>1</v>
      </c>
      <c r="F2" s="73" t="s">
        <v>678</v>
      </c>
      <c r="G2" s="73" t="s">
        <v>13</v>
      </c>
      <c r="H2" s="73" t="s">
        <v>19</v>
      </c>
    </row>
    <row r="4" spans="1:8">
      <c r="A4" s="66">
        <v>1997</v>
      </c>
      <c r="B4" s="65">
        <f>'808'!H18*1000/'818'!B17</f>
        <v>34.809613917017359</v>
      </c>
      <c r="C4" s="65" t="s">
        <v>22</v>
      </c>
      <c r="D4" s="65">
        <f>'808'!J18*1000/'818'!D17</f>
        <v>15.744253605997034</v>
      </c>
      <c r="E4" s="65">
        <f>'808'!K18*1000/'818'!E17</f>
        <v>17.366918724022234</v>
      </c>
      <c r="F4" s="65" t="s">
        <v>22</v>
      </c>
      <c r="G4" s="65" t="s">
        <v>188</v>
      </c>
      <c r="H4" s="65" t="s">
        <v>188</v>
      </c>
    </row>
    <row r="5" spans="1:8">
      <c r="A5" s="66">
        <v>1998</v>
      </c>
      <c r="B5" s="65">
        <f>'808'!H19*1000/'818'!B18</f>
        <v>36.120661975222745</v>
      </c>
      <c r="C5" s="65" t="s">
        <v>22</v>
      </c>
      <c r="D5" s="65">
        <f>'808'!J19*1000/'818'!D18</f>
        <v>9.456750019627858</v>
      </c>
      <c r="E5" s="65">
        <f>'808'!K19*1000/'818'!E18</f>
        <v>18.419399553855371</v>
      </c>
      <c r="F5" s="65" t="s">
        <v>22</v>
      </c>
      <c r="G5" s="65" t="s">
        <v>188</v>
      </c>
      <c r="H5" s="65" t="s">
        <v>188</v>
      </c>
    </row>
    <row r="6" spans="1:8">
      <c r="A6" s="66">
        <v>1999</v>
      </c>
      <c r="B6" s="65">
        <f>'808'!H20*1000/'818'!B19</f>
        <v>36.828392057643079</v>
      </c>
      <c r="C6" s="65" t="s">
        <v>22</v>
      </c>
      <c r="D6" s="65">
        <f>'808'!J20*1000/'818'!D19</f>
        <v>5.7905509227515912</v>
      </c>
      <c r="E6" s="65">
        <f>'808'!K20*1000/'818'!E19</f>
        <v>17.256752149353577</v>
      </c>
      <c r="F6" s="65" t="s">
        <v>22</v>
      </c>
      <c r="G6" s="65" t="s">
        <v>188</v>
      </c>
      <c r="H6" s="65" t="s">
        <v>188</v>
      </c>
    </row>
    <row r="7" spans="1:8">
      <c r="A7" s="66">
        <v>2000</v>
      </c>
      <c r="B7" s="65">
        <f>'808'!H21*1000/'818'!B20</f>
        <v>37.698737801145157</v>
      </c>
      <c r="C7" s="65" t="s">
        <v>22</v>
      </c>
      <c r="D7" s="65">
        <f>'808'!J21*1000/'818'!D20</f>
        <v>9.2894199396615029</v>
      </c>
      <c r="E7" s="65">
        <f>'808'!K21*1000/'818'!E20</f>
        <v>14.328824141519245</v>
      </c>
      <c r="F7" s="65" t="s">
        <v>22</v>
      </c>
      <c r="G7" s="65" t="s">
        <v>188</v>
      </c>
      <c r="H7" s="65" t="s">
        <v>188</v>
      </c>
    </row>
    <row r="8" spans="1:8">
      <c r="A8" s="66">
        <v>2001</v>
      </c>
      <c r="B8" s="65">
        <f>'808'!H22*1000/'818'!B21</f>
        <v>38.352953753443877</v>
      </c>
      <c r="C8" s="65" t="s">
        <v>22</v>
      </c>
      <c r="D8" s="65">
        <f>'808'!J22*1000/'818'!D21</f>
        <v>9.1924937896612668</v>
      </c>
      <c r="E8" s="65">
        <f>'808'!K22*1000/'818'!E21</f>
        <v>18.668746081713032</v>
      </c>
      <c r="F8" s="65" t="s">
        <v>22</v>
      </c>
      <c r="G8" s="65" t="s">
        <v>188</v>
      </c>
      <c r="H8" s="65" t="s">
        <v>188</v>
      </c>
    </row>
    <row r="9" spans="1:8">
      <c r="A9" s="66">
        <v>2002</v>
      </c>
      <c r="B9" s="65">
        <f>'808'!H23*1000/'818'!B22</f>
        <v>38.038957280869646</v>
      </c>
      <c r="C9" s="65" t="s">
        <v>22</v>
      </c>
      <c r="D9" s="65">
        <f>'808'!J23*1000/'818'!D22</f>
        <v>8.6920577591276977</v>
      </c>
      <c r="E9" s="65">
        <f>'808'!K23*1000/'818'!E22</f>
        <v>14.782183441900145</v>
      </c>
      <c r="F9" s="65" t="s">
        <v>22</v>
      </c>
      <c r="G9" s="65" t="s">
        <v>188</v>
      </c>
      <c r="H9" s="65" t="s">
        <v>188</v>
      </c>
    </row>
    <row r="10" spans="1:8">
      <c r="A10" s="66">
        <v>2003</v>
      </c>
      <c r="B10" s="65">
        <f>'808'!H24*1000/'818'!B23</f>
        <v>39.429849631685201</v>
      </c>
      <c r="C10" s="65" t="s">
        <v>22</v>
      </c>
      <c r="D10" s="65">
        <f>'808'!J24*1000/'818'!D23</f>
        <v>9.3151793327056254</v>
      </c>
      <c r="E10" s="65">
        <f>'808'!K24*1000/'818'!E23</f>
        <v>12.218207757260831</v>
      </c>
      <c r="F10" s="65" t="s">
        <v>22</v>
      </c>
      <c r="G10" s="65" t="s">
        <v>188</v>
      </c>
      <c r="H10" s="65" t="s">
        <v>188</v>
      </c>
    </row>
    <row r="11" spans="1:8">
      <c r="A11" s="66">
        <v>2004</v>
      </c>
      <c r="B11" s="65">
        <f>'808'!H25*1000/'818'!B24</f>
        <v>40.700376641844954</v>
      </c>
      <c r="C11" s="65" t="s">
        <v>22</v>
      </c>
      <c r="D11" s="65">
        <f>'808'!J25*1000/'818'!D24</f>
        <v>29.825584994428628</v>
      </c>
      <c r="E11" s="65">
        <f>'808'!K25*1000/'818'!E24</f>
        <v>6.8094782134416096</v>
      </c>
      <c r="F11" s="65" t="s">
        <v>22</v>
      </c>
      <c r="G11" s="65" t="s">
        <v>188</v>
      </c>
      <c r="H11" s="65" t="s">
        <v>188</v>
      </c>
    </row>
    <row r="12" spans="1:8">
      <c r="A12" s="66">
        <v>2005</v>
      </c>
      <c r="B12" s="65">
        <f>'808'!H26*1000/'818'!B25</f>
        <v>41.619221044041069</v>
      </c>
      <c r="C12" s="65" t="s">
        <v>22</v>
      </c>
      <c r="D12" s="65">
        <f>'808'!J26*1000/'818'!D25</f>
        <v>55.079037093561276</v>
      </c>
      <c r="E12" s="65">
        <f>'808'!K26*1000/'818'!E25</f>
        <v>6.536842634358659</v>
      </c>
      <c r="F12" s="65" t="s">
        <v>22</v>
      </c>
      <c r="G12" s="65" t="s">
        <v>188</v>
      </c>
      <c r="H12" s="65" t="s">
        <v>188</v>
      </c>
    </row>
    <row r="13" spans="1:8">
      <c r="A13" s="66">
        <v>2006</v>
      </c>
      <c r="B13" s="65">
        <f>'808'!H27*1000/'818'!B26</f>
        <v>40.337166623169658</v>
      </c>
      <c r="C13" s="65" t="s">
        <v>22</v>
      </c>
      <c r="D13" s="65">
        <f>'808'!J27*1000/'818'!D26</f>
        <v>45.277296156900334</v>
      </c>
      <c r="E13" s="65">
        <f>'808'!K27*1000/'818'!E26</f>
        <v>10.763925743672592</v>
      </c>
      <c r="F13" s="65" t="s">
        <v>22</v>
      </c>
      <c r="G13" s="65" t="s">
        <v>188</v>
      </c>
      <c r="H13" s="65" t="s">
        <v>188</v>
      </c>
    </row>
    <row r="14" spans="1:8">
      <c r="A14" s="66">
        <v>2007</v>
      </c>
      <c r="B14" s="65">
        <f>'808'!H28*1000/'818'!B27</f>
        <v>53.386604709739757</v>
      </c>
      <c r="C14" s="65" t="s">
        <v>22</v>
      </c>
      <c r="D14" s="65">
        <f>'808'!J28*1000/'818'!D27</f>
        <v>40.127970749542961</v>
      </c>
      <c r="E14" s="65">
        <f>'808'!K28*1000/'818'!E27</f>
        <v>32.622601279317699</v>
      </c>
      <c r="F14" s="65">
        <f>'808'!L28*1000/'818'!F27</f>
        <v>35.508474576271183</v>
      </c>
      <c r="G14" s="65" t="s">
        <v>188</v>
      </c>
      <c r="H14" s="65" t="s">
        <v>188</v>
      </c>
    </row>
    <row r="15" spans="1:8">
      <c r="A15" s="66">
        <v>2008</v>
      </c>
      <c r="B15" s="65">
        <f>'808'!H29*1000/'818'!B28</f>
        <v>55.111943121195623</v>
      </c>
      <c r="C15" s="65">
        <f>'808'!I29*1000/'818'!C28</f>
        <v>36.353077816492451</v>
      </c>
      <c r="D15" s="65">
        <f>'808'!J29*1000/'818'!D28</f>
        <v>50.065359477124183</v>
      </c>
      <c r="E15" s="65">
        <f>'808'!K29*1000/'818'!E28</f>
        <v>28.815136476426797</v>
      </c>
      <c r="F15" s="65">
        <f>'808'!L29*1000/'818'!F28</f>
        <v>80.063291139240505</v>
      </c>
      <c r="G15" s="65" t="s">
        <v>188</v>
      </c>
      <c r="H15" s="65">
        <f>'808'!N29*1000/'818'!H28</f>
        <v>79.74683544303798</v>
      </c>
    </row>
    <row r="16" spans="1:8">
      <c r="A16" s="66">
        <v>2009</v>
      </c>
      <c r="B16" s="65">
        <f>'808'!H30*1000/'818'!B29</f>
        <v>53.446607022810483</v>
      </c>
      <c r="C16" s="65" t="s">
        <v>22</v>
      </c>
      <c r="D16" s="65">
        <f>'808'!J30*1000/'818'!D29</f>
        <v>50.842696629213485</v>
      </c>
      <c r="E16" s="65">
        <f>'808'!K30*1000/'818'!E29</f>
        <v>25.339763261727313</v>
      </c>
      <c r="F16" s="65" t="s">
        <v>22</v>
      </c>
      <c r="G16" s="65" t="s">
        <v>188</v>
      </c>
      <c r="H16" s="65" t="s">
        <v>188</v>
      </c>
    </row>
    <row r="17" spans="1:8">
      <c r="A17" s="66">
        <v>2010</v>
      </c>
      <c r="B17" s="65">
        <f>'808'!H31*1000/'818'!B30</f>
        <v>55.307311535793424</v>
      </c>
      <c r="C17" s="65" t="s">
        <v>22</v>
      </c>
      <c r="D17" s="65">
        <f>'808'!J31*1000/'818'!D30</f>
        <v>61.687413554633473</v>
      </c>
      <c r="E17" s="65">
        <f>'808'!K31*1000/'818'!E30</f>
        <v>30.706888788833858</v>
      </c>
      <c r="F17" s="65" t="s">
        <v>22</v>
      </c>
      <c r="G17" s="65" t="s">
        <v>188</v>
      </c>
      <c r="H17" s="65" t="s">
        <v>188</v>
      </c>
    </row>
    <row r="18" spans="1:8">
      <c r="A18" s="66">
        <v>2011</v>
      </c>
      <c r="B18" s="65">
        <f>'808'!H32*1000/'818'!B31</f>
        <v>57.731557747287198</v>
      </c>
      <c r="C18" s="65" t="s">
        <v>22</v>
      </c>
      <c r="D18" s="65">
        <f>'808'!J32*1000/'818'!D31</f>
        <v>57.972665148063783</v>
      </c>
      <c r="E18" s="65">
        <f>'808'!K32*1000/'818'!E31</f>
        <v>24.695652173913043</v>
      </c>
      <c r="F18" s="65" t="s">
        <v>22</v>
      </c>
      <c r="G18" s="65" t="s">
        <v>188</v>
      </c>
      <c r="H18" s="65" t="s">
        <v>188</v>
      </c>
    </row>
    <row r="19" spans="1:8">
      <c r="B19" s="57"/>
      <c r="C19" s="57"/>
      <c r="D19" s="57"/>
      <c r="E19" s="57"/>
      <c r="F19" s="57"/>
      <c r="G19" s="65"/>
      <c r="H19" s="65"/>
    </row>
    <row r="20" spans="1:8">
      <c r="A20" s="64" t="s">
        <v>23</v>
      </c>
      <c r="B20" s="57"/>
      <c r="C20" s="57"/>
      <c r="D20" s="57"/>
      <c r="E20" s="57"/>
      <c r="F20" s="57"/>
      <c r="G20" s="65"/>
      <c r="H20" s="65"/>
    </row>
    <row r="21" spans="1:8">
      <c r="A21" s="64" t="s">
        <v>1780</v>
      </c>
      <c r="B21" s="65">
        <f>IFERROR(((B18/B4)^(1/14)-1)*100,"n.a.")</f>
        <v>3.6797310899767233</v>
      </c>
      <c r="C21" s="65" t="str">
        <f t="shared" ref="C21:H21" si="0">IFERROR(((C18/C4)^(1/14)-1)*100,"n.a.")</f>
        <v>n.a.</v>
      </c>
      <c r="D21" s="65">
        <f t="shared" si="0"/>
        <v>9.7579025751663337</v>
      </c>
      <c r="E21" s="65">
        <f t="shared" si="0"/>
        <v>2.5466001541126104</v>
      </c>
      <c r="F21" s="65" t="str">
        <f t="shared" si="0"/>
        <v>n.a.</v>
      </c>
      <c r="G21" s="65" t="str">
        <f t="shared" si="0"/>
        <v>n.a.</v>
      </c>
      <c r="H21" s="65" t="str">
        <f t="shared" si="0"/>
        <v>n.a.</v>
      </c>
    </row>
    <row r="22" spans="1:8">
      <c r="A22" s="64" t="s">
        <v>663</v>
      </c>
      <c r="B22" s="65">
        <f>IFERROR(((B7/B4)^(1/3)-1)*100,"n.a.")</f>
        <v>2.6934003803277928</v>
      </c>
      <c r="C22" s="65" t="str">
        <f t="shared" ref="C22:H22" si="1">IFERROR(((C7/C4)^(1/3)-1)*100,"n.a.")</f>
        <v>n.a.</v>
      </c>
      <c r="D22" s="65">
        <f t="shared" si="1"/>
        <v>-16.12700080134174</v>
      </c>
      <c r="E22" s="65">
        <f t="shared" si="1"/>
        <v>-6.2086917670321595</v>
      </c>
      <c r="F22" s="65" t="str">
        <f t="shared" si="1"/>
        <v>n.a.</v>
      </c>
      <c r="G22" s="65" t="str">
        <f t="shared" si="1"/>
        <v>n.a.</v>
      </c>
      <c r="H22" s="65" t="str">
        <f t="shared" si="1"/>
        <v>n.a.</v>
      </c>
    </row>
    <row r="23" spans="1:8">
      <c r="A23" s="64" t="s">
        <v>1782</v>
      </c>
      <c r="B23" s="65">
        <f>IFERROR(((B18/B7)^(1/11)-1)*100,"n.a.")</f>
        <v>3.950370693350802</v>
      </c>
      <c r="C23" s="65" t="str">
        <f t="shared" ref="C23:H23" si="2">IFERROR(((C18/C7)^(1/11)-1)*100,"n.a.")</f>
        <v>n.a.</v>
      </c>
      <c r="D23" s="65">
        <f t="shared" si="2"/>
        <v>18.112010176863748</v>
      </c>
      <c r="E23" s="65">
        <f t="shared" si="2"/>
        <v>5.0731647961901105</v>
      </c>
      <c r="F23" s="65" t="str">
        <f t="shared" si="2"/>
        <v>n.a.</v>
      </c>
      <c r="G23" s="65" t="str">
        <f t="shared" si="2"/>
        <v>n.a.</v>
      </c>
      <c r="H23" s="65" t="str">
        <f t="shared" si="2"/>
        <v>n.a.</v>
      </c>
    </row>
    <row r="24" spans="1:8">
      <c r="G24" s="141"/>
      <c r="H24" s="141"/>
    </row>
    <row r="25" spans="1:8">
      <c r="A25" s="137" t="s">
        <v>500</v>
      </c>
      <c r="B25" s="137"/>
      <c r="C25" s="137"/>
      <c r="D25" s="137"/>
      <c r="E25" s="137"/>
      <c r="F25" s="137"/>
      <c r="G25" s="137"/>
      <c r="H25" s="137"/>
    </row>
    <row r="26" spans="1:8">
      <c r="A26" s="137" t="s">
        <v>510</v>
      </c>
      <c r="B26" s="137"/>
      <c r="C26" s="137"/>
      <c r="D26" s="137"/>
      <c r="E26" s="137"/>
      <c r="F26" s="137"/>
      <c r="G26" s="137"/>
      <c r="H26" s="137"/>
    </row>
    <row r="27" spans="1:8" ht="45" customHeight="1">
      <c r="A27" s="131" t="s">
        <v>195</v>
      </c>
      <c r="B27" s="131"/>
      <c r="C27" s="131"/>
      <c r="D27" s="131"/>
      <c r="E27" s="131"/>
      <c r="F27" s="131"/>
      <c r="G27" s="131"/>
      <c r="H27" s="131"/>
    </row>
    <row r="28" spans="1:8">
      <c r="A28" s="137" t="s">
        <v>193</v>
      </c>
      <c r="B28" s="137"/>
      <c r="C28" s="137"/>
      <c r="D28" s="137"/>
      <c r="E28" s="137"/>
      <c r="F28" s="137"/>
      <c r="G28" s="137"/>
      <c r="H28" s="137"/>
    </row>
    <row r="29" spans="1:8">
      <c r="A29" s="137" t="s">
        <v>194</v>
      </c>
      <c r="B29" s="137"/>
      <c r="C29" s="137"/>
      <c r="D29" s="137"/>
      <c r="E29" s="137"/>
      <c r="F29" s="137"/>
      <c r="G29" s="137"/>
      <c r="H29" s="137"/>
    </row>
  </sheetData>
  <mergeCells count="6">
    <mergeCell ref="A29:H29"/>
    <mergeCell ref="A1:H1"/>
    <mergeCell ref="A25:H25"/>
    <mergeCell ref="A26:H26"/>
    <mergeCell ref="A27:H27"/>
    <mergeCell ref="A28:H28"/>
  </mergeCells>
  <pageMargins left="0.7" right="0.7" top="0.75" bottom="0.75" header="0.3" footer="0.3"/>
  <pageSetup scale="91" orientation="landscape" horizontalDpi="0" verticalDpi="0" r:id="rId1"/>
</worksheet>
</file>

<file path=xl/worksheets/sheet188.xml><?xml version="1.0" encoding="utf-8"?>
<worksheet xmlns="http://schemas.openxmlformats.org/spreadsheetml/2006/main" xmlns:r="http://schemas.openxmlformats.org/officeDocument/2006/relationships">
  <sheetPr codeName="Sheet182"/>
  <dimension ref="A1:J29"/>
  <sheetViews>
    <sheetView view="pageBreakPreview" zoomScaleNormal="85" zoomScaleSheetLayoutView="100" workbookViewId="0">
      <selection activeCell="AC38" sqref="AC38"/>
    </sheetView>
  </sheetViews>
  <sheetFormatPr defaultRowHeight="15"/>
  <cols>
    <col min="1" max="1" width="10.42578125" style="64" customWidth="1"/>
    <col min="2" max="2" width="13.7109375" style="64" bestFit="1" customWidth="1"/>
    <col min="3" max="3" width="13.7109375" style="64" customWidth="1"/>
    <col min="4" max="4" width="12.85546875" style="64" bestFit="1" customWidth="1"/>
    <col min="5" max="5" width="14.5703125" style="64" bestFit="1" customWidth="1"/>
    <col min="6" max="6" width="17" style="64" customWidth="1"/>
    <col min="7" max="7" width="17.28515625" style="64" bestFit="1" customWidth="1"/>
    <col min="8" max="8" width="16.28515625" style="64" bestFit="1" customWidth="1"/>
    <col min="9" max="16384" width="9.140625" style="64"/>
  </cols>
  <sheetData>
    <row r="1" spans="1:10">
      <c r="A1" s="93" t="s">
        <v>2113</v>
      </c>
      <c r="B1" s="93"/>
      <c r="C1" s="93"/>
      <c r="D1" s="93"/>
      <c r="E1" s="93"/>
      <c r="F1" s="93"/>
      <c r="G1" s="93"/>
      <c r="H1" s="93"/>
    </row>
    <row r="2" spans="1:10" ht="60">
      <c r="B2" s="73" t="s">
        <v>7</v>
      </c>
      <c r="C2" s="73" t="s">
        <v>37</v>
      </c>
      <c r="D2" s="73" t="s">
        <v>192</v>
      </c>
      <c r="E2" s="73" t="s">
        <v>1</v>
      </c>
      <c r="F2" s="73" t="s">
        <v>678</v>
      </c>
      <c r="G2" s="73" t="s">
        <v>13</v>
      </c>
      <c r="H2" s="73" t="s">
        <v>19</v>
      </c>
    </row>
    <row r="4" spans="1:10">
      <c r="A4" s="66">
        <v>1997</v>
      </c>
      <c r="B4" s="65">
        <f>'809'!H18*1000/'819'!B17</f>
        <v>43.809594088538653</v>
      </c>
      <c r="C4" s="65" t="s">
        <v>22</v>
      </c>
      <c r="D4" s="65">
        <f>'809'!J18*1000/'819'!D17</f>
        <v>71.393649956134269</v>
      </c>
      <c r="E4" s="65">
        <f>'809'!K18*1000/'819'!E17</f>
        <v>88.088073216060835</v>
      </c>
      <c r="F4" s="65" t="s">
        <v>22</v>
      </c>
      <c r="G4" s="65" t="s">
        <v>188</v>
      </c>
      <c r="H4" s="65" t="s">
        <v>188</v>
      </c>
      <c r="I4" s="57"/>
      <c r="J4" s="57"/>
    </row>
    <row r="5" spans="1:10">
      <c r="A5" s="66">
        <v>1998</v>
      </c>
      <c r="B5" s="65">
        <f>'809'!H19*1000/'819'!B18</f>
        <v>44.911540676061286</v>
      </c>
      <c r="C5" s="65" t="s">
        <v>22</v>
      </c>
      <c r="D5" s="65">
        <f>'809'!J19*1000/'819'!D18</f>
        <v>83.260313986153847</v>
      </c>
      <c r="E5" s="65">
        <f>'809'!K19*1000/'819'!E18</f>
        <v>77.095278079845713</v>
      </c>
      <c r="F5" s="65" t="s">
        <v>22</v>
      </c>
      <c r="G5" s="65" t="s">
        <v>188</v>
      </c>
      <c r="H5" s="65" t="s">
        <v>188</v>
      </c>
      <c r="I5" s="57"/>
      <c r="J5" s="57"/>
    </row>
    <row r="6" spans="1:10">
      <c r="A6" s="66">
        <v>1999</v>
      </c>
      <c r="B6" s="65">
        <f>'809'!H20*1000/'819'!B19</f>
        <v>45.038564362269973</v>
      </c>
      <c r="C6" s="65">
        <f>'809'!I20*1000/'819'!C19</f>
        <v>66.30657730943841</v>
      </c>
      <c r="D6" s="65">
        <f>'809'!J20*1000/'819'!D19</f>
        <v>81.522695846996214</v>
      </c>
      <c r="E6" s="65">
        <f>'809'!K20*1000/'819'!E19</f>
        <v>62.957453791704168</v>
      </c>
      <c r="F6" s="65">
        <f>'809'!L20*1000/'819'!F19</f>
        <v>66.526702532476051</v>
      </c>
      <c r="G6" s="65">
        <f>'809'!M20*1000/'819'!G19</f>
        <v>73.041432965442368</v>
      </c>
      <c r="H6" s="65">
        <f>'809'!N20*1000/'819'!H19</f>
        <v>49.331423113658076</v>
      </c>
      <c r="I6" s="57"/>
      <c r="J6" s="57"/>
    </row>
    <row r="7" spans="1:10">
      <c r="A7" s="66">
        <v>2000</v>
      </c>
      <c r="B7" s="65">
        <f>'809'!H21*1000/'819'!B20</f>
        <v>46.582138919514875</v>
      </c>
      <c r="C7" s="65">
        <f>'809'!I21*1000/'819'!C20</f>
        <v>62.557983943823459</v>
      </c>
      <c r="D7" s="65">
        <f>'809'!J21*1000/'819'!D20</f>
        <v>60.887477242166973</v>
      </c>
      <c r="E7" s="65">
        <f>'809'!K21*1000/'819'!E20</f>
        <v>61.632573410035661</v>
      </c>
      <c r="F7" s="65">
        <f>'809'!L21*1000/'819'!F20</f>
        <v>66.573355388726313</v>
      </c>
      <c r="G7" s="65">
        <f>'809'!M21*1000/'819'!G20</f>
        <v>75.78029642545772</v>
      </c>
      <c r="H7" s="65">
        <f>'809'!N21*1000/'819'!H20</f>
        <v>41.713747645951045</v>
      </c>
      <c r="I7" s="57"/>
      <c r="J7" s="57"/>
    </row>
    <row r="8" spans="1:10">
      <c r="A8" s="66">
        <v>2001</v>
      </c>
      <c r="B8" s="65">
        <f>'809'!H22*1000/'819'!B21</f>
        <v>45.701121972930679</v>
      </c>
      <c r="C8" s="65">
        <f>'809'!I22*1000/'819'!C21</f>
        <v>70.068408148879314</v>
      </c>
      <c r="D8" s="65">
        <f>'809'!J22*1000/'819'!D21</f>
        <v>58.511231687718585</v>
      </c>
      <c r="E8" s="65">
        <f>'809'!K22*1000/'819'!E21</f>
        <v>73.769402842770148</v>
      </c>
      <c r="F8" s="65">
        <f>'809'!L22*1000/'819'!F21</f>
        <v>69.026810842838103</v>
      </c>
      <c r="G8" s="65">
        <f>'809'!M22*1000/'819'!G21</f>
        <v>77.450781408565049</v>
      </c>
      <c r="H8" s="65">
        <f>'809'!N22*1000/'819'!H21</f>
        <v>46.271929824561411</v>
      </c>
      <c r="I8" s="57"/>
      <c r="J8" s="57"/>
    </row>
    <row r="9" spans="1:10">
      <c r="A9" s="66">
        <v>2002</v>
      </c>
      <c r="B9" s="65">
        <f>'809'!H23*1000/'819'!B22</f>
        <v>46.106786987872631</v>
      </c>
      <c r="C9" s="65">
        <f>'809'!I23*1000/'819'!C22</f>
        <v>61.589087996533948</v>
      </c>
      <c r="D9" s="65">
        <f>'809'!J23*1000/'819'!D22</f>
        <v>58.687917183978414</v>
      </c>
      <c r="E9" s="65">
        <f>'809'!K23*1000/'819'!E22</f>
        <v>59.14363920750781</v>
      </c>
      <c r="F9" s="65">
        <f>'809'!L23*1000/'819'!F22</f>
        <v>71.817255928997525</v>
      </c>
      <c r="G9" s="65">
        <f>'809'!M23*1000/'819'!G22</f>
        <v>83.202877089062824</v>
      </c>
      <c r="H9" s="65">
        <f>'809'!N23*1000/'819'!H22</f>
        <v>46.738117427772615</v>
      </c>
      <c r="I9" s="57"/>
      <c r="J9" s="57"/>
    </row>
    <row r="10" spans="1:10">
      <c r="A10" s="66">
        <v>2003</v>
      </c>
      <c r="B10" s="65">
        <f>'809'!H24*1000/'819'!B23</f>
        <v>46.051521014467205</v>
      </c>
      <c r="C10" s="65">
        <f>'809'!I24*1000/'819'!C23</f>
        <v>63.309228212966218</v>
      </c>
      <c r="D10" s="65">
        <f>'809'!J24*1000/'819'!D23</f>
        <v>53.15934349929914</v>
      </c>
      <c r="E10" s="65">
        <f>'809'!K24*1000/'819'!E23</f>
        <v>61.443445035986905</v>
      </c>
      <c r="F10" s="65">
        <f>'809'!L24*1000/'819'!F23</f>
        <v>78.511367175334783</v>
      </c>
      <c r="G10" s="65">
        <f>'809'!M24*1000/'819'!G23</f>
        <v>98.285306025244111</v>
      </c>
      <c r="H10" s="65">
        <f>'809'!N24*1000/'819'!H23</f>
        <v>41.160593792172747</v>
      </c>
      <c r="I10" s="57"/>
      <c r="J10" s="57"/>
    </row>
    <row r="11" spans="1:10">
      <c r="A11" s="66">
        <v>2004</v>
      </c>
      <c r="B11" s="65">
        <f>'809'!H25*1000/'819'!B24</f>
        <v>46.747276861558944</v>
      </c>
      <c r="C11" s="65">
        <f>'809'!I25*1000/'819'!C24</f>
        <v>57.712128199481775</v>
      </c>
      <c r="D11" s="65">
        <f>'809'!J25*1000/'819'!D24</f>
        <v>50.69543642189138</v>
      </c>
      <c r="E11" s="65">
        <f>'809'!K25*1000/'819'!E24</f>
        <v>52.338594366897084</v>
      </c>
      <c r="F11" s="65">
        <f>'809'!L25*1000/'819'!F24</f>
        <v>82.638245288847699</v>
      </c>
      <c r="G11" s="65">
        <f>'809'!M25*1000/'819'!G24</f>
        <v>99.59650302622731</v>
      </c>
      <c r="H11" s="65">
        <f>'809'!N25*1000/'819'!H24</f>
        <v>45.057128663686051</v>
      </c>
      <c r="I11" s="57"/>
      <c r="J11" s="57"/>
    </row>
    <row r="12" spans="1:10">
      <c r="A12" s="66">
        <v>2005</v>
      </c>
      <c r="B12" s="65">
        <f>'809'!H26*1000/'819'!B25</f>
        <v>47.683551485176892</v>
      </c>
      <c r="C12" s="65">
        <f>'809'!I26*1000/'819'!C25</f>
        <v>60.25450875039801</v>
      </c>
      <c r="D12" s="65">
        <f>'809'!J26*1000/'819'!D25</f>
        <v>48.515121742804745</v>
      </c>
      <c r="E12" s="65">
        <f>'809'!K26*1000/'819'!E25</f>
        <v>51.86001781868773</v>
      </c>
      <c r="F12" s="65">
        <f>'809'!L26*1000/'819'!F25</f>
        <v>98.513931888544889</v>
      </c>
      <c r="G12" s="65">
        <f>'809'!M26*1000/'819'!G25</f>
        <v>129.70180793613525</v>
      </c>
      <c r="H12" s="65">
        <f>'809'!N26*1000/'819'!H25</f>
        <v>38.164470695138576</v>
      </c>
      <c r="I12" s="57"/>
      <c r="J12" s="57"/>
    </row>
    <row r="13" spans="1:10">
      <c r="A13" s="66">
        <v>2006</v>
      </c>
      <c r="B13" s="65">
        <f>'809'!H27*1000/'819'!B26</f>
        <v>48.274186526062721</v>
      </c>
      <c r="C13" s="65" t="s">
        <v>22</v>
      </c>
      <c r="D13" s="65">
        <f>'809'!J27*1000/'819'!D26</f>
        <v>43.032339485380938</v>
      </c>
      <c r="E13" s="65">
        <f>'809'!K27*1000/'819'!E26</f>
        <v>47.176906659193662</v>
      </c>
      <c r="F13" s="65" t="s">
        <v>22</v>
      </c>
      <c r="G13" s="65" t="s">
        <v>188</v>
      </c>
      <c r="H13" s="65" t="s">
        <v>188</v>
      </c>
      <c r="I13" s="57"/>
      <c r="J13" s="57"/>
    </row>
    <row r="14" spans="1:10">
      <c r="A14" s="66">
        <v>2007</v>
      </c>
      <c r="B14" s="65">
        <f>'809'!H28*1000/'819'!B27</f>
        <v>65.957164309944375</v>
      </c>
      <c r="C14" s="65">
        <f>'809'!I28*1000/'819'!C27</f>
        <v>66.289262235208184</v>
      </c>
      <c r="D14" s="65">
        <f>'809'!J28*1000/'819'!D27</f>
        <v>59.884371503170456</v>
      </c>
      <c r="E14" s="65">
        <f>'809'!K28*1000/'819'!E27</f>
        <v>59.346973094170401</v>
      </c>
      <c r="F14" s="65">
        <f>'809'!L28*1000/'819'!F27</f>
        <v>96.352283930331907</v>
      </c>
      <c r="G14" s="65">
        <f>'809'!M28*1000/'819'!G27</f>
        <v>115.74606348412897</v>
      </c>
      <c r="H14" s="65">
        <f>'809'!N28*1000/'819'!H27</f>
        <v>59.136690647482013</v>
      </c>
      <c r="I14" s="57"/>
      <c r="J14" s="57"/>
    </row>
    <row r="15" spans="1:10">
      <c r="A15" s="66">
        <v>2008</v>
      </c>
      <c r="B15" s="65">
        <f>'809'!H29*1000/'819'!B28</f>
        <v>65.970465235743134</v>
      </c>
      <c r="C15" s="65" t="s">
        <v>22</v>
      </c>
      <c r="D15" s="65">
        <f>'809'!J29*1000/'819'!D28</f>
        <v>63.465199915379735</v>
      </c>
      <c r="E15" s="65">
        <f>'809'!K29*1000/'819'!E28</f>
        <v>61.405747253966496</v>
      </c>
      <c r="F15" s="65" t="s">
        <v>22</v>
      </c>
      <c r="G15" s="65" t="s">
        <v>188</v>
      </c>
      <c r="H15" s="65" t="s">
        <v>188</v>
      </c>
      <c r="I15" s="57"/>
      <c r="J15" s="57"/>
    </row>
    <row r="16" spans="1:10">
      <c r="A16" s="66">
        <v>2009</v>
      </c>
      <c r="B16" s="65">
        <f>'809'!H30*1000/'819'!B29</f>
        <v>66.071272852527343</v>
      </c>
      <c r="C16" s="65" t="s">
        <v>22</v>
      </c>
      <c r="D16" s="65">
        <f>'809'!J30*1000/'819'!D29</f>
        <v>55.551110222044407</v>
      </c>
      <c r="E16" s="65">
        <f>'809'!K30*1000/'819'!E29</f>
        <v>70.607367067544061</v>
      </c>
      <c r="F16" s="65" t="s">
        <v>22</v>
      </c>
      <c r="G16" s="65" t="s">
        <v>188</v>
      </c>
      <c r="H16" s="65" t="s">
        <v>188</v>
      </c>
      <c r="I16" s="57"/>
      <c r="J16" s="57"/>
    </row>
    <row r="17" spans="1:10">
      <c r="A17" s="66">
        <v>2010</v>
      </c>
      <c r="B17" s="65">
        <f>'809'!H31*1000/'819'!B30</f>
        <v>68.294098440965641</v>
      </c>
      <c r="C17" s="65" t="s">
        <v>22</v>
      </c>
      <c r="D17" s="65">
        <f>'809'!J31*1000/'819'!D30</f>
        <v>63.96835057821059</v>
      </c>
      <c r="E17" s="65">
        <f>'809'!K31*1000/'819'!E30</f>
        <v>74.603517877739336</v>
      </c>
      <c r="F17" s="65" t="s">
        <v>22</v>
      </c>
      <c r="G17" s="65" t="s">
        <v>188</v>
      </c>
      <c r="H17" s="65" t="s">
        <v>188</v>
      </c>
      <c r="I17" s="57"/>
      <c r="J17" s="57"/>
    </row>
    <row r="18" spans="1:10">
      <c r="A18" s="66">
        <v>2011</v>
      </c>
      <c r="B18" s="65">
        <f>'809'!H32*1000/'819'!B31</f>
        <v>68.520088503724267</v>
      </c>
      <c r="C18" s="65" t="s">
        <v>22</v>
      </c>
      <c r="D18" s="65">
        <f>'809'!J32*1000/'819'!D31</f>
        <v>60.607714701601168</v>
      </c>
      <c r="E18" s="65">
        <f>'809'!K32*1000/'819'!E31</f>
        <v>72.299751481552278</v>
      </c>
      <c r="F18" s="65" t="s">
        <v>22</v>
      </c>
      <c r="G18" s="65" t="s">
        <v>188</v>
      </c>
      <c r="H18" s="65" t="s">
        <v>188</v>
      </c>
      <c r="I18" s="57"/>
      <c r="J18" s="57"/>
    </row>
    <row r="19" spans="1:10">
      <c r="A19" s="66"/>
      <c r="B19" s="57"/>
      <c r="C19" s="57"/>
      <c r="D19" s="57"/>
      <c r="E19" s="57"/>
      <c r="F19" s="57"/>
      <c r="G19" s="65"/>
      <c r="H19" s="65"/>
      <c r="I19" s="57"/>
      <c r="J19" s="57"/>
    </row>
    <row r="20" spans="1:10">
      <c r="A20" s="64" t="s">
        <v>23</v>
      </c>
      <c r="B20" s="57"/>
      <c r="C20" s="57"/>
      <c r="D20" s="57"/>
      <c r="E20" s="57"/>
      <c r="F20" s="57"/>
      <c r="G20" s="65"/>
      <c r="H20" s="65"/>
      <c r="I20" s="57"/>
      <c r="J20" s="57"/>
    </row>
    <row r="21" spans="1:10">
      <c r="A21" s="64" t="s">
        <v>1780</v>
      </c>
      <c r="B21" s="65">
        <f>IFERROR(((B18/B4)^(1/14)-1)*100,"n.a.")</f>
        <v>3.2463972768794092</v>
      </c>
      <c r="C21" s="65" t="str">
        <f t="shared" ref="C21:H21" si="0">IFERROR(((C18/C4)^(1/14)-1)*100,"n.a.")</f>
        <v>n.a.</v>
      </c>
      <c r="D21" s="65">
        <f t="shared" si="0"/>
        <v>-1.1630884954149767</v>
      </c>
      <c r="E21" s="65">
        <f t="shared" si="0"/>
        <v>-1.4009262217347662</v>
      </c>
      <c r="F21" s="65" t="str">
        <f t="shared" si="0"/>
        <v>n.a.</v>
      </c>
      <c r="G21" s="65" t="str">
        <f t="shared" si="0"/>
        <v>n.a.</v>
      </c>
      <c r="H21" s="65" t="str">
        <f t="shared" si="0"/>
        <v>n.a.</v>
      </c>
      <c r="I21" s="57"/>
      <c r="J21" s="57"/>
    </row>
    <row r="22" spans="1:10">
      <c r="A22" s="64" t="s">
        <v>663</v>
      </c>
      <c r="B22" s="65">
        <f>IFERROR(((B7/B4)^(1/3)-1)*100,"n.a.")</f>
        <v>2.066541480437456</v>
      </c>
      <c r="C22" s="65" t="str">
        <f t="shared" ref="C22:H22" si="1">IFERROR(((C7/C4)^(1/3)-1)*100,"n.a.")</f>
        <v>n.a.</v>
      </c>
      <c r="D22" s="65">
        <f t="shared" si="1"/>
        <v>-5.1677332375256846</v>
      </c>
      <c r="E22" s="65">
        <f t="shared" si="1"/>
        <v>-11.223559010257722</v>
      </c>
      <c r="F22" s="65" t="str">
        <f t="shared" si="1"/>
        <v>n.a.</v>
      </c>
      <c r="G22" s="65" t="str">
        <f t="shared" si="1"/>
        <v>n.a.</v>
      </c>
      <c r="H22" s="65" t="str">
        <f t="shared" si="1"/>
        <v>n.a.</v>
      </c>
      <c r="I22" s="57"/>
      <c r="J22" s="57"/>
    </row>
    <row r="23" spans="1:10">
      <c r="A23" s="64" t="s">
        <v>1782</v>
      </c>
      <c r="B23" s="65">
        <f>IFERROR(((B18/B7)^(1/11)-1)*100,"n.a.")</f>
        <v>3.570536585256745</v>
      </c>
      <c r="C23" s="65" t="str">
        <f t="shared" ref="C23:H23" si="2">IFERROR(((C18/C7)^(1/11)-1)*100,"n.a.")</f>
        <v>n.a.</v>
      </c>
      <c r="D23" s="65">
        <f t="shared" si="2"/>
        <v>-4.1857919713284009E-2</v>
      </c>
      <c r="E23" s="65">
        <f t="shared" si="2"/>
        <v>1.4617641674793624</v>
      </c>
      <c r="F23" s="65" t="str">
        <f t="shared" si="2"/>
        <v>n.a.</v>
      </c>
      <c r="G23" s="65" t="str">
        <f t="shared" si="2"/>
        <v>n.a.</v>
      </c>
      <c r="H23" s="65" t="str">
        <f t="shared" si="2"/>
        <v>n.a.</v>
      </c>
      <c r="I23" s="57"/>
      <c r="J23" s="57"/>
    </row>
    <row r="24" spans="1:10">
      <c r="B24" s="57"/>
      <c r="C24" s="57"/>
      <c r="D24" s="57"/>
      <c r="E24" s="57"/>
      <c r="G24" s="65"/>
      <c r="H24" s="65"/>
      <c r="I24" s="57"/>
      <c r="J24" s="57"/>
    </row>
    <row r="25" spans="1:10">
      <c r="A25" s="137" t="s">
        <v>500</v>
      </c>
      <c r="B25" s="137"/>
      <c r="C25" s="137"/>
      <c r="D25" s="137"/>
      <c r="E25" s="137"/>
      <c r="F25" s="137"/>
      <c r="G25" s="137"/>
      <c r="H25" s="137"/>
    </row>
    <row r="26" spans="1:10">
      <c r="A26" s="137" t="s">
        <v>511</v>
      </c>
      <c r="B26" s="137"/>
      <c r="C26" s="137"/>
      <c r="D26" s="137"/>
      <c r="E26" s="137"/>
      <c r="F26" s="137"/>
      <c r="G26" s="137"/>
      <c r="H26" s="137"/>
    </row>
    <row r="27" spans="1:10" ht="45" customHeight="1">
      <c r="A27" s="104" t="s">
        <v>195</v>
      </c>
      <c r="B27" s="104"/>
      <c r="C27" s="104"/>
      <c r="D27" s="104"/>
      <c r="E27" s="104"/>
      <c r="F27" s="104"/>
      <c r="G27" s="104"/>
      <c r="H27" s="104"/>
    </row>
    <row r="28" spans="1:10">
      <c r="A28" s="137" t="s">
        <v>193</v>
      </c>
      <c r="B28" s="137"/>
      <c r="C28" s="137"/>
      <c r="D28" s="137"/>
      <c r="E28" s="137"/>
      <c r="F28" s="137"/>
      <c r="G28" s="137"/>
      <c r="H28" s="137"/>
    </row>
    <row r="29" spans="1:10">
      <c r="A29" s="137" t="s">
        <v>194</v>
      </c>
      <c r="B29" s="137"/>
      <c r="C29" s="137"/>
      <c r="D29" s="137"/>
      <c r="E29" s="137"/>
      <c r="F29" s="137"/>
      <c r="G29" s="137"/>
      <c r="H29" s="137"/>
    </row>
  </sheetData>
  <mergeCells count="6">
    <mergeCell ref="A29:H29"/>
    <mergeCell ref="A1:H1"/>
    <mergeCell ref="A25:H25"/>
    <mergeCell ref="A26:H26"/>
    <mergeCell ref="A27:H27"/>
    <mergeCell ref="A28:H28"/>
  </mergeCells>
  <pageMargins left="0.7" right="0.7" top="0.75" bottom="0.75" header="0.3" footer="0.3"/>
  <pageSetup orientation="landscape" horizontalDpi="0" verticalDpi="0" r:id="rId1"/>
</worksheet>
</file>

<file path=xl/worksheets/sheet189.xml><?xml version="1.0" encoding="utf-8"?>
<worksheet xmlns="http://schemas.openxmlformats.org/spreadsheetml/2006/main" xmlns:r="http://schemas.openxmlformats.org/officeDocument/2006/relationships">
  <sheetPr codeName="Sheet183"/>
  <dimension ref="A1:J35"/>
  <sheetViews>
    <sheetView view="pageBreakPreview" zoomScaleNormal="85" zoomScaleSheetLayoutView="100" workbookViewId="0">
      <selection activeCell="AC38" sqref="AC38"/>
    </sheetView>
  </sheetViews>
  <sheetFormatPr defaultRowHeight="15"/>
  <cols>
    <col min="1" max="1" width="10.28515625" style="64" customWidth="1"/>
    <col min="2" max="2" width="13.7109375" style="64" bestFit="1" customWidth="1"/>
    <col min="3" max="3" width="13.7109375" style="64" customWidth="1"/>
    <col min="4" max="4" width="12.85546875" style="64" bestFit="1" customWidth="1"/>
    <col min="5" max="5" width="14.5703125" style="64" bestFit="1" customWidth="1"/>
    <col min="6" max="6" width="17" style="64" customWidth="1"/>
    <col min="7" max="7" width="17.28515625" style="64" bestFit="1" customWidth="1"/>
    <col min="8" max="8" width="16.28515625" style="64" bestFit="1" customWidth="1"/>
    <col min="9" max="16384" width="9.140625" style="64"/>
  </cols>
  <sheetData>
    <row r="1" spans="1:10">
      <c r="A1" s="93" t="s">
        <v>2114</v>
      </c>
      <c r="B1" s="93"/>
      <c r="C1" s="93"/>
      <c r="D1" s="93"/>
      <c r="E1" s="93"/>
      <c r="F1" s="93"/>
      <c r="G1" s="93"/>
      <c r="H1" s="93"/>
      <c r="J1" s="65"/>
    </row>
    <row r="2" spans="1:10" ht="60">
      <c r="B2" s="73" t="s">
        <v>7</v>
      </c>
      <c r="C2" s="73" t="s">
        <v>37</v>
      </c>
      <c r="D2" s="73" t="s">
        <v>192</v>
      </c>
      <c r="E2" s="73" t="s">
        <v>1</v>
      </c>
      <c r="F2" s="73" t="s">
        <v>678</v>
      </c>
      <c r="G2" s="73" t="s">
        <v>13</v>
      </c>
      <c r="H2" s="73" t="s">
        <v>19</v>
      </c>
      <c r="J2" s="65"/>
    </row>
    <row r="3" spans="1:10">
      <c r="J3" s="65"/>
    </row>
    <row r="4" spans="1:10">
      <c r="A4" s="66">
        <v>1997</v>
      </c>
      <c r="B4" s="65">
        <f>'810'!H18*1000/'820'!B17</f>
        <v>34.2695994101745</v>
      </c>
      <c r="C4" s="65">
        <f>'810'!I18*1000/'820'!C17</f>
        <v>29.420290747129116</v>
      </c>
      <c r="D4" s="65">
        <f>'810'!J18*1000/'820'!D17</f>
        <v>21.805503557179357</v>
      </c>
      <c r="E4" s="65">
        <f>'810'!K18*1000/'820'!E17</f>
        <v>32.012510248558186</v>
      </c>
      <c r="F4" s="65">
        <f>'810'!L18*1000/'820'!F17</f>
        <v>34.405401481051243</v>
      </c>
      <c r="G4" s="65">
        <f>'810'!M18*1000/'820'!G17</f>
        <v>33.295639825382622</v>
      </c>
      <c r="H4" s="65">
        <f>'810'!N18*1000/'820'!H17</f>
        <v>47.208737864077698</v>
      </c>
      <c r="J4" s="65"/>
    </row>
    <row r="5" spans="1:10">
      <c r="A5" s="66">
        <v>1998</v>
      </c>
      <c r="B5" s="65">
        <f>'810'!H19*1000/'820'!B18</f>
        <v>34.962361664292253</v>
      </c>
      <c r="C5" s="65">
        <f>'810'!I19*1000/'820'!C18</f>
        <v>33.693218220455371</v>
      </c>
      <c r="D5" s="65">
        <f>'810'!J19*1000/'820'!D18</f>
        <v>25.9044628510789</v>
      </c>
      <c r="E5" s="65">
        <f>'810'!K19*1000/'820'!E18</f>
        <v>38.51914593118434</v>
      </c>
      <c r="F5" s="65">
        <f>'810'!L19*1000/'820'!F18</f>
        <v>33.244940683879967</v>
      </c>
      <c r="G5" s="65">
        <f>'810'!M19*1000/'820'!G18</f>
        <v>31.692502946242399</v>
      </c>
      <c r="H5" s="65">
        <f>'810'!N19*1000/'820'!H18</f>
        <v>52.049780380673532</v>
      </c>
      <c r="J5" s="65"/>
    </row>
    <row r="6" spans="1:10">
      <c r="A6" s="66">
        <v>1999</v>
      </c>
      <c r="B6" s="65">
        <f>'810'!H20*1000/'820'!B19</f>
        <v>35.537477198353706</v>
      </c>
      <c r="C6" s="65">
        <f>'810'!I20*1000/'820'!C19</f>
        <v>31.398407575036483</v>
      </c>
      <c r="D6" s="65">
        <f>'810'!J20*1000/'820'!D19</f>
        <v>24.079547209352942</v>
      </c>
      <c r="E6" s="65">
        <f>'810'!K20*1000/'820'!E19</f>
        <v>31.733904389391355</v>
      </c>
      <c r="F6" s="65">
        <f>'810'!L20*1000/'820'!F19</f>
        <v>41.400942226630292</v>
      </c>
      <c r="G6" s="65">
        <f>'810'!M20*1000/'820'!G19</f>
        <v>41.229797911663908</v>
      </c>
      <c r="H6" s="65">
        <f>'810'!N20*1000/'820'!H19</f>
        <v>43.342516069788822</v>
      </c>
      <c r="J6" s="65"/>
    </row>
    <row r="7" spans="1:10">
      <c r="A7" s="66">
        <v>2000</v>
      </c>
      <c r="B7" s="65">
        <f>'810'!H21*1000/'820'!B20</f>
        <v>36.34596091365929</v>
      </c>
      <c r="C7" s="65">
        <f>'810'!I21*1000/'820'!C20</f>
        <v>31.822726810586961</v>
      </c>
      <c r="D7" s="65">
        <f>'810'!J21*1000/'820'!D20</f>
        <v>27.234171389385203</v>
      </c>
      <c r="E7" s="65">
        <f>'810'!K21*1000/'820'!E20</f>
        <v>30.222295274801841</v>
      </c>
      <c r="F7" s="65">
        <f>'810'!L21*1000/'820'!F20</f>
        <v>42.222801302931586</v>
      </c>
      <c r="G7" s="65">
        <f>'810'!M21*1000/'820'!G20</f>
        <v>42.054247087832657</v>
      </c>
      <c r="H7" s="65">
        <f>'810'!N21*1000/'820'!H20</f>
        <v>44.146183699870654</v>
      </c>
      <c r="J7" s="65"/>
    </row>
    <row r="8" spans="1:10">
      <c r="A8" s="66">
        <v>2001</v>
      </c>
      <c r="B8" s="65">
        <f>'810'!H22*1000/'820'!B21</f>
        <v>37.476803415293837</v>
      </c>
      <c r="C8" s="65">
        <f>'810'!I22*1000/'820'!C21</f>
        <v>38.87538520130169</v>
      </c>
      <c r="D8" s="65">
        <f>'810'!J22*1000/'820'!D21</f>
        <v>29.668846748520114</v>
      </c>
      <c r="E8" s="65">
        <f>'810'!K22*1000/'820'!E21</f>
        <v>45.42998320935218</v>
      </c>
      <c r="F8" s="65">
        <f>'810'!L22*1000/'820'!F21</f>
        <v>38.583815028901718</v>
      </c>
      <c r="G8" s="65">
        <f>'810'!M22*1000/'820'!G21</f>
        <v>38.503304272284431</v>
      </c>
      <c r="H8" s="65">
        <f>'810'!N22*1000/'820'!H21</f>
        <v>39.431558314276387</v>
      </c>
      <c r="J8" s="65"/>
    </row>
    <row r="9" spans="1:10">
      <c r="A9" s="66">
        <v>2002</v>
      </c>
      <c r="B9" s="65">
        <f>'810'!H23*1000/'820'!B22</f>
        <v>38.283942910246154</v>
      </c>
      <c r="C9" s="65">
        <f>'810'!I23*1000/'820'!C22</f>
        <v>38.995956385097585</v>
      </c>
      <c r="D9" s="65">
        <f>'810'!J23*1000/'820'!D22</f>
        <v>28.399263227774746</v>
      </c>
      <c r="E9" s="65">
        <f>'810'!K23*1000/'820'!E22</f>
        <v>40.906479711917001</v>
      </c>
      <c r="F9" s="65">
        <f>'810'!L23*1000/'820'!F22</f>
        <v>54.621343160111287</v>
      </c>
      <c r="G9" s="65">
        <f>'810'!M23*1000/'820'!G22</f>
        <v>55.228579824524559</v>
      </c>
      <c r="H9" s="65">
        <f>'810'!N23*1000/'820'!H22</f>
        <v>49.404976559682666</v>
      </c>
      <c r="J9" s="65"/>
    </row>
    <row r="10" spans="1:10">
      <c r="A10" s="66">
        <v>2003</v>
      </c>
      <c r="B10" s="65">
        <f>'810'!H24*1000/'820'!B23</f>
        <v>38.252949310111497</v>
      </c>
      <c r="C10" s="65">
        <f>'810'!I24*1000/'820'!C23</f>
        <v>36.581031482020876</v>
      </c>
      <c r="D10" s="65">
        <f>'810'!J24*1000/'820'!D23</f>
        <v>26.50364970519427</v>
      </c>
      <c r="E10" s="65">
        <f>'810'!K24*1000/'820'!E23</f>
        <v>39.539530449787847</v>
      </c>
      <c r="F10" s="65">
        <f>'810'!L24*1000/'820'!F23</f>
        <v>47.695920164367472</v>
      </c>
      <c r="G10" s="65">
        <f>'810'!M24*1000/'820'!G23</f>
        <v>49.072847682119196</v>
      </c>
      <c r="H10" s="65">
        <f>'810'!N24*1000/'820'!H23</f>
        <v>36.950904392764862</v>
      </c>
      <c r="J10" s="65"/>
    </row>
    <row r="11" spans="1:10">
      <c r="A11" s="66">
        <v>2004</v>
      </c>
      <c r="B11" s="65">
        <f>'810'!H25*1000/'820'!B24</f>
        <v>38.094868625493149</v>
      </c>
      <c r="C11" s="65">
        <f>'810'!I25*1000/'820'!C24</f>
        <v>33.197462751434358</v>
      </c>
      <c r="D11" s="65">
        <f>'810'!J25*1000/'820'!D24</f>
        <v>24.115000638816287</v>
      </c>
      <c r="E11" s="65">
        <f>'810'!K25*1000/'820'!E24</f>
        <v>33.133385524555592</v>
      </c>
      <c r="F11" s="65">
        <f>'810'!L25*1000/'820'!F24</f>
        <v>48.337388483373879</v>
      </c>
      <c r="G11" s="65">
        <f>'810'!M25*1000/'820'!G24</f>
        <v>50.376583972871664</v>
      </c>
      <c r="H11" s="65">
        <f>'810'!N25*1000/'820'!H24</f>
        <v>34.207271827850612</v>
      </c>
      <c r="J11" s="65"/>
    </row>
    <row r="12" spans="1:10">
      <c r="A12" s="66">
        <v>2005</v>
      </c>
      <c r="B12" s="65">
        <f>'810'!H26*1000/'820'!B25</f>
        <v>39.066659885546485</v>
      </c>
      <c r="C12" s="65">
        <f>'810'!I26*1000/'820'!C25</f>
        <v>33.343883532877143</v>
      </c>
      <c r="D12" s="65">
        <f>'810'!J26*1000/'820'!D25</f>
        <v>26.113363896321271</v>
      </c>
      <c r="E12" s="65">
        <f>'810'!K26*1000/'820'!E25</f>
        <v>29.769294954704655</v>
      </c>
      <c r="F12" s="65">
        <f>'810'!L26*1000/'820'!F25</f>
        <v>53.431403901503039</v>
      </c>
      <c r="G12" s="65">
        <f>'810'!M26*1000/'820'!G25</f>
        <v>55.918427122615604</v>
      </c>
      <c r="H12" s="65">
        <f>'810'!N26*1000/'820'!H25</f>
        <v>36.264847106393738</v>
      </c>
      <c r="J12" s="65"/>
    </row>
    <row r="13" spans="1:10">
      <c r="A13" s="66">
        <v>2006</v>
      </c>
      <c r="B13" s="65">
        <f>'810'!H27*1000/'820'!B26</f>
        <v>39.548438835575169</v>
      </c>
      <c r="C13" s="65">
        <f>'810'!I27*1000/'820'!C26</f>
        <v>36.913241513881054</v>
      </c>
      <c r="D13" s="65">
        <f>'810'!J27*1000/'820'!D26</f>
        <v>29.526696505338311</v>
      </c>
      <c r="E13" s="65">
        <f>'810'!K27*1000/'820'!E26</f>
        <v>34.085325612059926</v>
      </c>
      <c r="F13" s="65">
        <f>'810'!L27*1000/'820'!F26</f>
        <v>54.280534479285585</v>
      </c>
      <c r="G13" s="65">
        <f>'810'!M27*1000/'820'!G26</f>
        <v>56.606069825815787</v>
      </c>
      <c r="H13" s="65">
        <f>'810'!N27*1000/'820'!H26</f>
        <v>36.769759450171833</v>
      </c>
      <c r="J13" s="65"/>
    </row>
    <row r="14" spans="1:10">
      <c r="A14" s="66">
        <v>2007</v>
      </c>
      <c r="B14" s="65">
        <f>'810'!H28*1000/'820'!B27</f>
        <v>47.199585570703675</v>
      </c>
      <c r="C14" s="65">
        <f>'810'!I28*1000/'820'!C27</f>
        <v>50.882825040128402</v>
      </c>
      <c r="D14" s="65">
        <f>'810'!J28*1000/'820'!D27</f>
        <v>45.330187609174018</v>
      </c>
      <c r="E14" s="65">
        <f>'810'!K28*1000/'820'!E27</f>
        <v>56.751846306545765</v>
      </c>
      <c r="F14" s="65">
        <f>'810'!L28*1000/'820'!F27</f>
        <v>47.71974599702245</v>
      </c>
      <c r="G14" s="65">
        <f>'810'!M28*1000/'820'!G27</f>
        <v>48.03365092235962</v>
      </c>
      <c r="H14" s="65">
        <f>'810'!N28*1000/'820'!H27</f>
        <v>44.947209653092003</v>
      </c>
      <c r="J14" s="65"/>
    </row>
    <row r="15" spans="1:10">
      <c r="A15" s="66">
        <v>2008</v>
      </c>
      <c r="B15" s="65">
        <f>'810'!H29*1000/'820'!B28</f>
        <v>47.176269091315007</v>
      </c>
      <c r="C15" s="65">
        <f>'810'!I29*1000/'820'!C28</f>
        <v>59.341829012255261</v>
      </c>
      <c r="D15" s="65">
        <f>'810'!J29*1000/'820'!D28</f>
        <v>66.012342925124543</v>
      </c>
      <c r="E15" s="65">
        <f>'810'!K29*1000/'820'!E28</f>
        <v>60.842229629942189</v>
      </c>
      <c r="F15" s="65">
        <f>'810'!L29*1000/'820'!F28</f>
        <v>50.428688320466755</v>
      </c>
      <c r="G15" s="65">
        <f>'810'!M29*1000/'820'!G28</f>
        <v>50.76586433260394</v>
      </c>
      <c r="H15" s="65">
        <f>'810'!N29*1000/'820'!H28</f>
        <v>47.51176866173504</v>
      </c>
      <c r="J15" s="65"/>
    </row>
    <row r="16" spans="1:10">
      <c r="A16" s="66">
        <v>2009</v>
      </c>
      <c r="B16" s="65">
        <f>'810'!H30*1000/'820'!B29</f>
        <v>47.820940140926247</v>
      </c>
      <c r="C16" s="65">
        <f>'810'!I30*1000/'820'!C29</f>
        <v>51.098628779117796</v>
      </c>
      <c r="D16" s="65">
        <f>'810'!J30*1000/'820'!D29</f>
        <v>55.160993560257587</v>
      </c>
      <c r="E16" s="65">
        <f>'810'!K30*1000/'820'!E29</f>
        <v>54.882510043315307</v>
      </c>
      <c r="F16" s="65">
        <f>'810'!L30*1000/'820'!F29</f>
        <v>40.611478488039843</v>
      </c>
      <c r="G16" s="65">
        <f>'810'!M30*1000/'820'!G29</f>
        <v>39.58475307800645</v>
      </c>
      <c r="H16" s="65">
        <f>'810'!N30*1000/'820'!H29</f>
        <v>51.06554081222356</v>
      </c>
      <c r="J16" s="65"/>
    </row>
    <row r="17" spans="1:10">
      <c r="A17" s="66">
        <v>2010</v>
      </c>
      <c r="B17" s="65">
        <f>'810'!H31*1000/'820'!B30</f>
        <v>48.250318546639171</v>
      </c>
      <c r="C17" s="65">
        <f>'810'!I31*1000/'820'!C30</f>
        <v>55.51131296791722</v>
      </c>
      <c r="D17" s="65">
        <f>'810'!J31*1000/'820'!D30</f>
        <v>53.383084577114431</v>
      </c>
      <c r="E17" s="65">
        <f>'810'!K31*1000/'820'!E30</f>
        <v>60.332989668107139</v>
      </c>
      <c r="F17" s="65">
        <f>'810'!L31*1000/'820'!F30</f>
        <v>48.46990445158734</v>
      </c>
      <c r="G17" s="65">
        <f>'810'!M31*1000/'820'!G30</f>
        <v>48.24475387330849</v>
      </c>
      <c r="H17" s="65">
        <f>'810'!N31*1000/'820'!H30</f>
        <v>49.071274298056153</v>
      </c>
      <c r="J17" s="65"/>
    </row>
    <row r="18" spans="1:10">
      <c r="A18" s="66">
        <v>2011</v>
      </c>
      <c r="B18" s="65">
        <f>'810'!H32*1000/'820'!B31</f>
        <v>49.548743817409104</v>
      </c>
      <c r="C18" s="65">
        <f>'810'!I32*1000/'820'!C31</f>
        <v>58.995644214380405</v>
      </c>
      <c r="D18" s="65">
        <f>'810'!J32*1000/'820'!D31</f>
        <v>57.248778487716542</v>
      </c>
      <c r="E18" s="65">
        <f>'810'!K32*1000/'820'!E31</f>
        <v>65.640194489465159</v>
      </c>
      <c r="F18" s="65">
        <f>'810'!L32*1000/'820'!F31</f>
        <v>48.074822501365375</v>
      </c>
      <c r="G18" s="65">
        <f>'810'!M32*1000/'820'!G31</f>
        <v>48.037069097204544</v>
      </c>
      <c r="H18" s="65">
        <f>'810'!N32*1000/'820'!H31</f>
        <v>47.192456065152165</v>
      </c>
      <c r="J18" s="65"/>
    </row>
    <row r="19" spans="1:10">
      <c r="B19" s="57"/>
      <c r="C19" s="57"/>
      <c r="D19" s="57"/>
      <c r="E19" s="57"/>
      <c r="F19" s="57"/>
      <c r="G19" s="65"/>
      <c r="H19" s="65"/>
    </row>
    <row r="20" spans="1:10">
      <c r="A20" s="64" t="s">
        <v>23</v>
      </c>
      <c r="B20" s="57"/>
      <c r="C20" s="57"/>
      <c r="D20" s="57"/>
      <c r="E20" s="57"/>
      <c r="F20" s="57"/>
      <c r="G20" s="65"/>
      <c r="H20" s="65"/>
    </row>
    <row r="21" spans="1:10">
      <c r="A21" s="64" t="s">
        <v>1780</v>
      </c>
      <c r="B21" s="65">
        <f>IFERROR(((B18/B4)^(1/14)-1)*100,"n.a.")</f>
        <v>2.668543618242003</v>
      </c>
      <c r="C21" s="65">
        <f t="shared" ref="C21:H21" si="0">IFERROR(((C18/C4)^(1/14)-1)*100,"n.a.")</f>
        <v>5.0954187159178987</v>
      </c>
      <c r="D21" s="65">
        <f t="shared" si="0"/>
        <v>7.1378346349100008</v>
      </c>
      <c r="E21" s="65">
        <f t="shared" si="0"/>
        <v>5.2628220764421085</v>
      </c>
      <c r="F21" s="65">
        <f t="shared" si="0"/>
        <v>2.4183872404341056</v>
      </c>
      <c r="G21" s="65">
        <f t="shared" si="0"/>
        <v>2.6527651994983303</v>
      </c>
      <c r="H21" s="65">
        <f t="shared" si="0"/>
        <v>-2.4638911294561083E-3</v>
      </c>
      <c r="J21" s="65"/>
    </row>
    <row r="22" spans="1:10">
      <c r="A22" s="64" t="s">
        <v>663</v>
      </c>
      <c r="B22" s="65">
        <f>IFERROR(((B7/B4)^(1/3)-1)*100,"n.a.")</f>
        <v>1.9801647235005548</v>
      </c>
      <c r="C22" s="65">
        <f t="shared" ref="C22:H22" si="1">IFERROR(((C7/C4)^(1/3)-1)*100,"n.a.")</f>
        <v>2.6510690680973337</v>
      </c>
      <c r="D22" s="65">
        <f t="shared" si="1"/>
        <v>7.6918114024503881</v>
      </c>
      <c r="E22" s="65">
        <f t="shared" si="1"/>
        <v>-1.8999479180375478</v>
      </c>
      <c r="F22" s="65">
        <f t="shared" si="1"/>
        <v>7.0631797855027934</v>
      </c>
      <c r="G22" s="65">
        <f t="shared" si="1"/>
        <v>8.0954712096372283</v>
      </c>
      <c r="H22" s="65">
        <f t="shared" si="1"/>
        <v>-2.2109428476981385</v>
      </c>
      <c r="J22" s="65"/>
    </row>
    <row r="23" spans="1:10">
      <c r="A23" s="64" t="s">
        <v>1782</v>
      </c>
      <c r="B23" s="65">
        <f>IFERROR(((B18/B7)^(1/11)-1)*100,"n.a.")</f>
        <v>2.857088443299749</v>
      </c>
      <c r="C23" s="65">
        <f t="shared" ref="C23:H23" si="2">IFERROR(((C18/C7)^(1/11)-1)*100,"n.a.")</f>
        <v>5.7721035682584798</v>
      </c>
      <c r="D23" s="65">
        <f t="shared" si="2"/>
        <v>6.9872452575726385</v>
      </c>
      <c r="E23" s="65">
        <f t="shared" si="2"/>
        <v>7.305513634293237</v>
      </c>
      <c r="F23" s="65">
        <f t="shared" si="2"/>
        <v>1.1869729896599734</v>
      </c>
      <c r="G23" s="65">
        <f t="shared" si="2"/>
        <v>1.2165459330827577</v>
      </c>
      <c r="H23" s="65">
        <f t="shared" si="2"/>
        <v>0.60845787376584415</v>
      </c>
      <c r="J23" s="65"/>
    </row>
    <row r="25" spans="1:10">
      <c r="A25" s="137" t="s">
        <v>500</v>
      </c>
      <c r="B25" s="137"/>
      <c r="C25" s="137"/>
      <c r="D25" s="137"/>
      <c r="E25" s="137"/>
      <c r="F25" s="137"/>
      <c r="G25" s="137"/>
      <c r="H25" s="137"/>
    </row>
    <row r="26" spans="1:10">
      <c r="A26" s="137" t="s">
        <v>512</v>
      </c>
      <c r="B26" s="137"/>
      <c r="C26" s="137"/>
      <c r="D26" s="137"/>
      <c r="E26" s="137"/>
      <c r="F26" s="137"/>
      <c r="G26" s="137"/>
      <c r="H26" s="137"/>
    </row>
    <row r="27" spans="1:10" ht="45" customHeight="1">
      <c r="A27" s="104" t="s">
        <v>195</v>
      </c>
      <c r="B27" s="104"/>
      <c r="C27" s="104"/>
      <c r="D27" s="104"/>
      <c r="E27" s="104"/>
      <c r="F27" s="104"/>
      <c r="G27" s="104"/>
      <c r="H27" s="104"/>
    </row>
    <row r="28" spans="1:10">
      <c r="A28" s="137" t="s">
        <v>193</v>
      </c>
      <c r="B28" s="137"/>
      <c r="C28" s="137"/>
      <c r="D28" s="137"/>
      <c r="E28" s="137"/>
      <c r="F28" s="137"/>
      <c r="G28" s="137"/>
      <c r="H28" s="137"/>
    </row>
    <row r="29" spans="1:10">
      <c r="A29" s="137" t="s">
        <v>194</v>
      </c>
      <c r="B29" s="137"/>
      <c r="C29" s="137"/>
      <c r="D29" s="137"/>
      <c r="E29" s="137"/>
      <c r="F29" s="137"/>
      <c r="G29" s="137"/>
      <c r="H29" s="137"/>
    </row>
    <row r="33" spans="10:10">
      <c r="J33" s="65"/>
    </row>
    <row r="34" spans="10:10">
      <c r="J34" s="65"/>
    </row>
    <row r="35" spans="10:10">
      <c r="J35" s="65"/>
    </row>
  </sheetData>
  <mergeCells count="6">
    <mergeCell ref="A29:H29"/>
    <mergeCell ref="A1:H1"/>
    <mergeCell ref="A25:H25"/>
    <mergeCell ref="A26:H26"/>
    <mergeCell ref="A27:H27"/>
    <mergeCell ref="A28:H28"/>
  </mergeCells>
  <pageMargins left="0.7" right="0.7" top="0.75" bottom="0.75" header="0.3" footer="0.3"/>
  <pageSetup orientation="landscape" horizontalDpi="0" verticalDpi="0" r:id="rId1"/>
</worksheet>
</file>

<file path=xl/worksheets/sheet19.xml><?xml version="1.0" encoding="utf-8"?>
<worksheet xmlns="http://schemas.openxmlformats.org/spreadsheetml/2006/main" xmlns:r="http://schemas.openxmlformats.org/officeDocument/2006/relationships">
  <sheetPr codeName="Sheet19"/>
  <dimension ref="A1:V47"/>
  <sheetViews>
    <sheetView view="pageBreakPreview" zoomScale="85" zoomScaleNormal="100" zoomScaleSheetLayoutView="85" workbookViewId="0">
      <selection activeCell="AC38" sqref="AC38"/>
    </sheetView>
  </sheetViews>
  <sheetFormatPr defaultRowHeight="15"/>
  <cols>
    <col min="1" max="1" width="12.140625" style="64" customWidth="1"/>
    <col min="2" max="6" width="11.42578125" style="64" customWidth="1"/>
    <col min="7" max="7" width="15.5703125" style="64" customWidth="1"/>
    <col min="8" max="8" width="12.85546875" style="64" customWidth="1"/>
    <col min="9" max="9" width="13.42578125" style="64" customWidth="1"/>
    <col min="10" max="10" width="11.42578125" style="64" customWidth="1"/>
    <col min="11" max="11" width="13.85546875" style="64" customWidth="1"/>
    <col min="12" max="12" width="12.42578125" style="64" customWidth="1"/>
    <col min="13" max="13" width="12" style="64" customWidth="1"/>
    <col min="14" max="14" width="12.7109375" style="64" customWidth="1"/>
    <col min="15" max="16384" width="9.140625" style="64"/>
  </cols>
  <sheetData>
    <row r="1" spans="1:21">
      <c r="A1" s="108" t="s">
        <v>664</v>
      </c>
      <c r="B1" s="108"/>
      <c r="C1" s="108"/>
      <c r="D1" s="108"/>
      <c r="E1" s="108"/>
      <c r="F1" s="108"/>
      <c r="G1" s="108"/>
      <c r="H1" s="108"/>
      <c r="I1" s="108"/>
      <c r="J1" s="108"/>
      <c r="K1" s="108"/>
      <c r="L1" s="108"/>
      <c r="M1" s="108"/>
    </row>
    <row r="2" spans="1:21">
      <c r="A2" s="96"/>
      <c r="B2" s="94" t="s">
        <v>41</v>
      </c>
      <c r="C2" s="111" t="s">
        <v>37</v>
      </c>
      <c r="D2" s="111"/>
      <c r="E2" s="111"/>
      <c r="F2" s="111"/>
      <c r="G2" s="111"/>
      <c r="H2" s="111"/>
      <c r="I2" s="111"/>
      <c r="J2" s="111"/>
      <c r="K2" s="111"/>
      <c r="L2" s="111"/>
      <c r="M2" s="111"/>
      <c r="N2" s="94" t="s">
        <v>1074</v>
      </c>
    </row>
    <row r="3" spans="1:21">
      <c r="A3" s="96"/>
      <c r="B3" s="94"/>
      <c r="C3" s="94" t="s">
        <v>50</v>
      </c>
      <c r="D3" s="94" t="s">
        <v>492</v>
      </c>
      <c r="E3" s="94"/>
      <c r="F3" s="94"/>
      <c r="G3" s="94" t="s">
        <v>67</v>
      </c>
      <c r="H3" s="94"/>
      <c r="I3" s="94"/>
      <c r="J3" s="94"/>
      <c r="K3" s="94" t="s">
        <v>71</v>
      </c>
      <c r="L3" s="94"/>
      <c r="M3" s="94"/>
      <c r="N3" s="94"/>
    </row>
    <row r="4" spans="1:21" ht="75">
      <c r="A4" s="96"/>
      <c r="B4" s="94"/>
      <c r="C4" s="94"/>
      <c r="D4" s="72" t="s">
        <v>66</v>
      </c>
      <c r="E4" s="72" t="s">
        <v>64</v>
      </c>
      <c r="F4" s="72" t="s">
        <v>65</v>
      </c>
      <c r="G4" s="72" t="s">
        <v>74</v>
      </c>
      <c r="H4" s="72" t="s">
        <v>68</v>
      </c>
      <c r="I4" s="72" t="s">
        <v>69</v>
      </c>
      <c r="J4" s="72" t="s">
        <v>70</v>
      </c>
      <c r="K4" s="72" t="s">
        <v>48</v>
      </c>
      <c r="L4" s="72" t="s">
        <v>72</v>
      </c>
      <c r="M4" s="72" t="s">
        <v>73</v>
      </c>
      <c r="N4" s="94"/>
    </row>
    <row r="5" spans="1:21">
      <c r="A5" s="66">
        <v>1987</v>
      </c>
      <c r="B5" s="56">
        <v>12333</v>
      </c>
      <c r="C5" s="56">
        <f>D5+G5+K5</f>
        <v>297</v>
      </c>
      <c r="D5" s="56">
        <v>53.3</v>
      </c>
      <c r="E5" s="56">
        <v>51.4</v>
      </c>
      <c r="F5" s="56">
        <f>D5-E5</f>
        <v>1.8999999999999986</v>
      </c>
      <c r="G5" s="56">
        <v>120.4</v>
      </c>
      <c r="H5" s="56">
        <v>68.099999999999994</v>
      </c>
      <c r="I5" s="56">
        <v>13.3</v>
      </c>
      <c r="J5" s="56">
        <v>39</v>
      </c>
      <c r="K5" s="56">
        <v>123.3</v>
      </c>
      <c r="L5" s="56">
        <v>88</v>
      </c>
      <c r="M5" s="56">
        <v>35.299999999999997</v>
      </c>
      <c r="N5" s="30">
        <v>15.2</v>
      </c>
      <c r="O5" s="32"/>
      <c r="P5" s="32"/>
      <c r="Q5" s="32"/>
      <c r="R5" s="32"/>
      <c r="S5" s="32"/>
      <c r="T5" s="32"/>
      <c r="U5" s="32"/>
    </row>
    <row r="6" spans="1:21">
      <c r="A6" s="66">
        <v>1988</v>
      </c>
      <c r="B6" s="56">
        <v>12709.6</v>
      </c>
      <c r="C6" s="56">
        <f t="shared" ref="C6:C25" si="0">D6+G6+K6</f>
        <v>317</v>
      </c>
      <c r="D6" s="56">
        <v>58.7</v>
      </c>
      <c r="E6" s="56">
        <v>56.2</v>
      </c>
      <c r="F6" s="56">
        <f t="shared" ref="F6:F25" si="1">D6-E6</f>
        <v>2.5</v>
      </c>
      <c r="G6" s="56">
        <v>126.1</v>
      </c>
      <c r="H6" s="56">
        <v>65.8</v>
      </c>
      <c r="I6" s="56">
        <v>16.5</v>
      </c>
      <c r="J6" s="56">
        <v>43.8</v>
      </c>
      <c r="K6" s="56">
        <v>132.19999999999999</v>
      </c>
      <c r="L6" s="56">
        <v>99</v>
      </c>
      <c r="M6" s="56">
        <v>33.200000000000003</v>
      </c>
      <c r="N6" s="30">
        <v>14</v>
      </c>
      <c r="O6" s="32"/>
      <c r="P6" s="32"/>
      <c r="Q6" s="32"/>
      <c r="R6" s="32"/>
      <c r="S6" s="32"/>
      <c r="T6" s="32"/>
      <c r="U6" s="32"/>
    </row>
    <row r="7" spans="1:21">
      <c r="A7" s="66">
        <v>1989</v>
      </c>
      <c r="B7" s="56">
        <v>12996.2</v>
      </c>
      <c r="C7" s="56">
        <f t="shared" si="0"/>
        <v>329</v>
      </c>
      <c r="D7" s="56">
        <v>56.1</v>
      </c>
      <c r="E7" s="56">
        <v>54.3</v>
      </c>
      <c r="F7" s="56">
        <f t="shared" si="1"/>
        <v>1.8000000000000043</v>
      </c>
      <c r="G7" s="56">
        <v>128.4</v>
      </c>
      <c r="H7" s="56">
        <v>67.400000000000006</v>
      </c>
      <c r="I7" s="56">
        <v>16.7</v>
      </c>
      <c r="J7" s="56">
        <v>44.3</v>
      </c>
      <c r="K7" s="56">
        <v>144.5</v>
      </c>
      <c r="L7" s="56">
        <v>106.4</v>
      </c>
      <c r="M7" s="56">
        <v>38</v>
      </c>
      <c r="N7" s="30">
        <v>17.8</v>
      </c>
      <c r="O7" s="32"/>
      <c r="P7" s="32"/>
      <c r="Q7" s="32"/>
      <c r="R7" s="32"/>
      <c r="S7" s="32"/>
      <c r="T7" s="32"/>
      <c r="U7" s="32"/>
    </row>
    <row r="8" spans="1:21">
      <c r="A8" s="66">
        <v>1990</v>
      </c>
      <c r="B8" s="56">
        <v>13086.4</v>
      </c>
      <c r="C8" s="56">
        <f t="shared" si="0"/>
        <v>316.39999999999998</v>
      </c>
      <c r="D8" s="56">
        <v>53.2</v>
      </c>
      <c r="E8" s="56">
        <v>51.8</v>
      </c>
      <c r="F8" s="56">
        <f t="shared" si="1"/>
        <v>1.4000000000000057</v>
      </c>
      <c r="G8" s="56">
        <v>123.1</v>
      </c>
      <c r="H8" s="56">
        <v>63.2</v>
      </c>
      <c r="I8" s="56">
        <v>17.600000000000001</v>
      </c>
      <c r="J8" s="56">
        <v>42.3</v>
      </c>
      <c r="K8" s="56">
        <v>140.1</v>
      </c>
      <c r="L8" s="56">
        <v>105.4</v>
      </c>
      <c r="M8" s="56">
        <v>34.799999999999997</v>
      </c>
      <c r="N8" s="30">
        <v>20.2</v>
      </c>
      <c r="O8" s="32"/>
      <c r="P8" s="32"/>
      <c r="Q8" s="32"/>
      <c r="R8" s="32"/>
      <c r="S8" s="32"/>
      <c r="T8" s="32"/>
      <c r="U8" s="32"/>
    </row>
    <row r="9" spans="1:21">
      <c r="A9" s="66">
        <v>1991</v>
      </c>
      <c r="B9" s="56">
        <v>12857.4</v>
      </c>
      <c r="C9" s="56">
        <f t="shared" si="0"/>
        <v>287.5</v>
      </c>
      <c r="D9" s="56">
        <v>50.9</v>
      </c>
      <c r="E9" s="56">
        <v>49.6</v>
      </c>
      <c r="F9" s="56">
        <f t="shared" si="1"/>
        <v>1.2999999999999972</v>
      </c>
      <c r="G9" s="56">
        <v>108.6</v>
      </c>
      <c r="H9" s="56">
        <v>58.9</v>
      </c>
      <c r="I9" s="56">
        <v>14.3</v>
      </c>
      <c r="J9" s="56">
        <v>35.299999999999997</v>
      </c>
      <c r="K9" s="56">
        <v>128</v>
      </c>
      <c r="L9" s="56">
        <v>97.3</v>
      </c>
      <c r="M9" s="56">
        <v>30.8</v>
      </c>
      <c r="N9" s="30">
        <v>19.7</v>
      </c>
      <c r="O9" s="32"/>
      <c r="P9" s="32"/>
      <c r="Q9" s="32"/>
      <c r="R9" s="32"/>
      <c r="S9" s="32"/>
      <c r="T9" s="32"/>
      <c r="U9" s="32"/>
    </row>
    <row r="10" spans="1:21">
      <c r="A10" s="66">
        <v>1992</v>
      </c>
      <c r="B10" s="56">
        <v>12730.9</v>
      </c>
      <c r="C10" s="56">
        <f t="shared" si="0"/>
        <v>277</v>
      </c>
      <c r="D10" s="56">
        <v>51.4</v>
      </c>
      <c r="E10" s="56">
        <v>49.5</v>
      </c>
      <c r="F10" s="56">
        <f t="shared" si="1"/>
        <v>1.8999999999999986</v>
      </c>
      <c r="G10" s="56">
        <v>109.4</v>
      </c>
      <c r="H10" s="56">
        <v>59.7</v>
      </c>
      <c r="I10" s="56">
        <v>16.100000000000001</v>
      </c>
      <c r="J10" s="56">
        <v>33.6</v>
      </c>
      <c r="K10" s="56">
        <v>116.2</v>
      </c>
      <c r="L10" s="56">
        <v>89.3</v>
      </c>
      <c r="M10" s="56">
        <v>26.9</v>
      </c>
      <c r="N10" s="30">
        <v>19.8</v>
      </c>
      <c r="O10" s="32"/>
      <c r="P10" s="32"/>
      <c r="Q10" s="32"/>
      <c r="R10" s="32"/>
      <c r="S10" s="32"/>
      <c r="T10" s="32"/>
      <c r="U10" s="32"/>
    </row>
    <row r="11" spans="1:21">
      <c r="A11" s="66">
        <v>1993</v>
      </c>
      <c r="B11" s="56">
        <v>12792.7</v>
      </c>
      <c r="C11" s="56">
        <f t="shared" si="0"/>
        <v>291.10000000000002</v>
      </c>
      <c r="D11" s="56">
        <v>52.8</v>
      </c>
      <c r="E11" s="56">
        <v>51.5</v>
      </c>
      <c r="F11" s="56">
        <f t="shared" si="1"/>
        <v>1.2999999999999972</v>
      </c>
      <c r="G11" s="56">
        <v>117</v>
      </c>
      <c r="H11" s="56">
        <v>66.599999999999994</v>
      </c>
      <c r="I11" s="56">
        <v>15.1</v>
      </c>
      <c r="J11" s="56">
        <v>35.299999999999997</v>
      </c>
      <c r="K11" s="56">
        <v>121.3</v>
      </c>
      <c r="L11" s="56">
        <v>92</v>
      </c>
      <c r="M11" s="56">
        <v>29.3</v>
      </c>
      <c r="N11" s="30">
        <v>18.5</v>
      </c>
      <c r="O11" s="32"/>
      <c r="P11" s="32"/>
      <c r="Q11" s="32"/>
      <c r="R11" s="32"/>
      <c r="S11" s="32"/>
      <c r="T11" s="32"/>
      <c r="U11" s="32"/>
    </row>
    <row r="12" spans="1:21">
      <c r="A12" s="66">
        <v>1994</v>
      </c>
      <c r="B12" s="56">
        <v>13058.7</v>
      </c>
      <c r="C12" s="56">
        <f t="shared" si="0"/>
        <v>313.89999999999998</v>
      </c>
      <c r="D12" s="56">
        <v>62.9</v>
      </c>
      <c r="E12" s="56">
        <v>61.5</v>
      </c>
      <c r="F12" s="56">
        <f t="shared" si="1"/>
        <v>1.3999999999999986</v>
      </c>
      <c r="G12" s="56">
        <v>126.8</v>
      </c>
      <c r="H12" s="56">
        <v>68.900000000000006</v>
      </c>
      <c r="I12" s="56">
        <v>18.7</v>
      </c>
      <c r="J12" s="56">
        <v>39.299999999999997</v>
      </c>
      <c r="K12" s="56">
        <v>124.2</v>
      </c>
      <c r="L12" s="56">
        <v>95.5</v>
      </c>
      <c r="M12" s="56">
        <v>28.7</v>
      </c>
      <c r="N12" s="30">
        <v>21.1</v>
      </c>
      <c r="O12" s="32"/>
      <c r="P12" s="32"/>
      <c r="Q12" s="32"/>
      <c r="R12" s="32"/>
      <c r="S12" s="32"/>
      <c r="T12" s="32"/>
      <c r="U12" s="32"/>
    </row>
    <row r="13" spans="1:21">
      <c r="A13" s="66">
        <v>1995</v>
      </c>
      <c r="B13" s="56">
        <v>13295.4</v>
      </c>
      <c r="C13" s="56">
        <f t="shared" si="0"/>
        <v>324.70000000000005</v>
      </c>
      <c r="D13" s="56">
        <v>71.5</v>
      </c>
      <c r="E13" s="56">
        <v>69.599999999999994</v>
      </c>
      <c r="F13" s="56">
        <f t="shared" si="1"/>
        <v>1.9000000000000057</v>
      </c>
      <c r="G13" s="56">
        <v>131.80000000000001</v>
      </c>
      <c r="H13" s="56">
        <v>70.400000000000006</v>
      </c>
      <c r="I13" s="56">
        <v>17.3</v>
      </c>
      <c r="J13" s="56">
        <v>44.1</v>
      </c>
      <c r="K13" s="56">
        <v>121.4</v>
      </c>
      <c r="L13" s="56">
        <v>95.2</v>
      </c>
      <c r="M13" s="56">
        <v>26.2</v>
      </c>
      <c r="N13" s="30">
        <v>21.1</v>
      </c>
      <c r="O13" s="32"/>
      <c r="P13" s="32"/>
      <c r="Q13" s="32"/>
      <c r="R13" s="32"/>
      <c r="S13" s="32"/>
      <c r="T13" s="32"/>
      <c r="U13" s="32"/>
    </row>
    <row r="14" spans="1:21">
      <c r="A14" s="66">
        <v>1996</v>
      </c>
      <c r="B14" s="56">
        <v>13421.4</v>
      </c>
      <c r="C14" s="56">
        <f t="shared" si="0"/>
        <v>319.10000000000002</v>
      </c>
      <c r="D14" s="56">
        <v>64.099999999999994</v>
      </c>
      <c r="E14" s="56">
        <v>62.7</v>
      </c>
      <c r="F14" s="56">
        <f t="shared" si="1"/>
        <v>1.3999999999999915</v>
      </c>
      <c r="G14" s="56">
        <v>136.6</v>
      </c>
      <c r="H14" s="56">
        <v>72</v>
      </c>
      <c r="I14" s="56">
        <v>19.7</v>
      </c>
      <c r="J14" s="56">
        <v>44.9</v>
      </c>
      <c r="K14" s="56">
        <v>118.4</v>
      </c>
      <c r="L14" s="56">
        <v>92.2</v>
      </c>
      <c r="M14" s="56">
        <v>26.2</v>
      </c>
      <c r="N14" s="30">
        <v>20</v>
      </c>
      <c r="O14" s="32"/>
      <c r="P14" s="32"/>
      <c r="Q14" s="32"/>
      <c r="R14" s="32"/>
      <c r="S14" s="32"/>
      <c r="T14" s="32"/>
      <c r="U14" s="32"/>
    </row>
    <row r="15" spans="1:21">
      <c r="A15" s="66">
        <v>1997</v>
      </c>
      <c r="B15" s="56">
        <v>13706</v>
      </c>
      <c r="C15" s="56">
        <f t="shared" si="0"/>
        <v>314</v>
      </c>
      <c r="D15" s="56">
        <v>58.2</v>
      </c>
      <c r="E15" s="56">
        <v>57.4</v>
      </c>
      <c r="F15" s="56">
        <f t="shared" si="1"/>
        <v>0.80000000000000426</v>
      </c>
      <c r="G15" s="56">
        <v>139.80000000000001</v>
      </c>
      <c r="H15" s="56">
        <v>74.2</v>
      </c>
      <c r="I15" s="56">
        <v>18.8</v>
      </c>
      <c r="J15" s="56">
        <v>46.8</v>
      </c>
      <c r="K15" s="56">
        <v>116</v>
      </c>
      <c r="L15" s="56">
        <v>88</v>
      </c>
      <c r="M15" s="56">
        <v>28</v>
      </c>
      <c r="N15" s="30">
        <v>23.8</v>
      </c>
      <c r="O15" s="32"/>
      <c r="P15" s="32"/>
      <c r="Q15" s="32"/>
      <c r="R15" s="32"/>
      <c r="S15" s="32"/>
      <c r="T15" s="32"/>
      <c r="U15" s="32"/>
    </row>
    <row r="16" spans="1:21">
      <c r="A16" s="66">
        <v>1998</v>
      </c>
      <c r="B16" s="56">
        <v>14046.2</v>
      </c>
      <c r="C16" s="56">
        <f t="shared" si="0"/>
        <v>330.6</v>
      </c>
      <c r="D16" s="56">
        <v>60.5</v>
      </c>
      <c r="E16" s="56">
        <v>59.5</v>
      </c>
      <c r="F16" s="56">
        <f t="shared" si="1"/>
        <v>1</v>
      </c>
      <c r="G16" s="56">
        <v>148.4</v>
      </c>
      <c r="H16" s="56">
        <v>77.599999999999994</v>
      </c>
      <c r="I16" s="56">
        <v>19.100000000000001</v>
      </c>
      <c r="J16" s="56">
        <v>51.8</v>
      </c>
      <c r="K16" s="56">
        <v>121.7</v>
      </c>
      <c r="L16" s="56">
        <v>88.2</v>
      </c>
      <c r="M16" s="56">
        <v>33.5</v>
      </c>
      <c r="N16" s="30">
        <v>23.5</v>
      </c>
      <c r="O16" s="32"/>
      <c r="P16" s="32"/>
      <c r="Q16" s="32"/>
      <c r="R16" s="32"/>
      <c r="S16" s="32"/>
      <c r="T16" s="32"/>
      <c r="U16" s="32"/>
    </row>
    <row r="17" spans="1:21">
      <c r="A17" s="66">
        <v>1999</v>
      </c>
      <c r="B17" s="56">
        <v>14406.7</v>
      </c>
      <c r="C17" s="56">
        <f t="shared" si="0"/>
        <v>330.8</v>
      </c>
      <c r="D17" s="56">
        <v>59.4</v>
      </c>
      <c r="E17" s="56">
        <v>58</v>
      </c>
      <c r="F17" s="56">
        <f t="shared" si="1"/>
        <v>1.3999999999999986</v>
      </c>
      <c r="G17" s="56">
        <v>154.1</v>
      </c>
      <c r="H17" s="56">
        <v>80.400000000000006</v>
      </c>
      <c r="I17" s="56">
        <v>19.600000000000001</v>
      </c>
      <c r="J17" s="56">
        <v>54.1</v>
      </c>
      <c r="K17" s="56">
        <v>117.3</v>
      </c>
      <c r="L17" s="56">
        <v>79.5</v>
      </c>
      <c r="M17" s="56">
        <v>37.799999999999997</v>
      </c>
      <c r="N17" s="30">
        <v>20.5</v>
      </c>
      <c r="O17" s="32"/>
      <c r="P17" s="32"/>
      <c r="Q17" s="32"/>
      <c r="R17" s="32"/>
      <c r="S17" s="32"/>
      <c r="T17" s="32"/>
      <c r="U17" s="32"/>
    </row>
    <row r="18" spans="1:21">
      <c r="A18" s="66">
        <v>2000</v>
      </c>
      <c r="B18" s="56">
        <v>14764.2</v>
      </c>
      <c r="C18" s="56">
        <f t="shared" si="0"/>
        <v>338.1</v>
      </c>
      <c r="D18" s="56">
        <v>57.1</v>
      </c>
      <c r="E18" s="56">
        <v>56.4</v>
      </c>
      <c r="F18" s="56">
        <f t="shared" si="1"/>
        <v>0.70000000000000284</v>
      </c>
      <c r="G18" s="56">
        <v>165.3</v>
      </c>
      <c r="H18" s="56">
        <v>82.7</v>
      </c>
      <c r="I18" s="56">
        <v>23.3</v>
      </c>
      <c r="J18" s="56">
        <v>59.2</v>
      </c>
      <c r="K18" s="56">
        <v>115.7</v>
      </c>
      <c r="L18" s="56">
        <v>76.900000000000006</v>
      </c>
      <c r="M18" s="56">
        <v>38.799999999999997</v>
      </c>
      <c r="N18" s="30">
        <v>29.4</v>
      </c>
      <c r="O18" s="32"/>
      <c r="P18" s="32"/>
      <c r="Q18" s="32"/>
      <c r="R18" s="32"/>
      <c r="S18" s="32"/>
      <c r="T18" s="32"/>
      <c r="U18" s="32"/>
    </row>
    <row r="19" spans="1:21">
      <c r="A19" s="66">
        <v>2001</v>
      </c>
      <c r="B19" s="56">
        <v>14946.2</v>
      </c>
      <c r="C19" s="56">
        <f t="shared" si="0"/>
        <v>321.3</v>
      </c>
      <c r="D19" s="56">
        <v>51.3</v>
      </c>
      <c r="E19" s="56">
        <v>50.9</v>
      </c>
      <c r="F19" s="56">
        <f t="shared" si="1"/>
        <v>0.39999999999999858</v>
      </c>
      <c r="G19" s="56">
        <v>161.5</v>
      </c>
      <c r="H19" s="56">
        <v>79.3</v>
      </c>
      <c r="I19" s="56">
        <v>24.3</v>
      </c>
      <c r="J19" s="56">
        <v>57.8</v>
      </c>
      <c r="K19" s="56">
        <v>108.5</v>
      </c>
      <c r="L19" s="56">
        <v>73.900000000000006</v>
      </c>
      <c r="M19" s="56">
        <v>34.6</v>
      </c>
      <c r="N19" s="30">
        <v>22.4</v>
      </c>
      <c r="O19" s="32"/>
      <c r="P19" s="32"/>
      <c r="Q19" s="32"/>
      <c r="R19" s="32"/>
      <c r="S19" s="32"/>
      <c r="T19" s="32"/>
      <c r="U19" s="32"/>
    </row>
    <row r="20" spans="1:21">
      <c r="A20" s="66">
        <v>2002</v>
      </c>
      <c r="B20" s="56">
        <v>15310.4</v>
      </c>
      <c r="C20" s="56">
        <f t="shared" si="0"/>
        <v>334.4</v>
      </c>
      <c r="D20" s="56">
        <v>52.7</v>
      </c>
      <c r="E20" s="56">
        <v>52.3</v>
      </c>
      <c r="F20" s="56">
        <f t="shared" si="1"/>
        <v>0.40000000000000568</v>
      </c>
      <c r="G20" s="56">
        <v>175.3</v>
      </c>
      <c r="H20" s="56">
        <v>83.2</v>
      </c>
      <c r="I20" s="56">
        <v>24.9</v>
      </c>
      <c r="J20" s="56">
        <v>67.3</v>
      </c>
      <c r="K20" s="56">
        <v>106.4</v>
      </c>
      <c r="L20" s="56">
        <v>75.7</v>
      </c>
      <c r="M20" s="56">
        <v>30.6</v>
      </c>
      <c r="N20" s="30">
        <v>21.1</v>
      </c>
      <c r="O20" s="32"/>
      <c r="P20" s="32"/>
      <c r="Q20" s="32"/>
      <c r="R20" s="32"/>
      <c r="S20" s="32"/>
      <c r="T20" s="32"/>
      <c r="U20" s="32"/>
    </row>
    <row r="21" spans="1:21">
      <c r="A21" s="66">
        <v>2003</v>
      </c>
      <c r="B21" s="56">
        <v>15672.3</v>
      </c>
      <c r="C21" s="56">
        <f t="shared" si="0"/>
        <v>349.3</v>
      </c>
      <c r="D21" s="56">
        <v>55.8</v>
      </c>
      <c r="E21" s="56">
        <v>55.2</v>
      </c>
      <c r="F21" s="56">
        <f t="shared" si="1"/>
        <v>0.59999999999999432</v>
      </c>
      <c r="G21" s="56">
        <v>185.3</v>
      </c>
      <c r="H21" s="56">
        <v>84.2</v>
      </c>
      <c r="I21" s="56">
        <v>29.6</v>
      </c>
      <c r="J21" s="56">
        <v>71.5</v>
      </c>
      <c r="K21" s="56">
        <v>108.2</v>
      </c>
      <c r="L21" s="56">
        <v>76.599999999999994</v>
      </c>
      <c r="M21" s="56">
        <v>31.6</v>
      </c>
      <c r="N21" s="30">
        <v>21.1</v>
      </c>
      <c r="O21" s="32"/>
      <c r="P21" s="32"/>
      <c r="Q21" s="32"/>
      <c r="R21" s="32"/>
      <c r="S21" s="32"/>
      <c r="T21" s="32"/>
      <c r="U21" s="32"/>
    </row>
    <row r="22" spans="1:21">
      <c r="A22" s="66">
        <v>2004</v>
      </c>
      <c r="B22" s="56">
        <v>15947</v>
      </c>
      <c r="C22" s="56">
        <f t="shared" si="0"/>
        <v>342</v>
      </c>
      <c r="D22" s="56">
        <v>51.9</v>
      </c>
      <c r="E22" s="56">
        <v>50.6</v>
      </c>
      <c r="F22" s="56">
        <f t="shared" si="1"/>
        <v>1.2999999999999972</v>
      </c>
      <c r="G22" s="56">
        <v>186.3</v>
      </c>
      <c r="H22" s="56">
        <v>85</v>
      </c>
      <c r="I22" s="56">
        <v>29.4</v>
      </c>
      <c r="J22" s="56">
        <v>71.900000000000006</v>
      </c>
      <c r="K22" s="56">
        <v>103.8</v>
      </c>
      <c r="L22" s="56">
        <v>69.2</v>
      </c>
      <c r="M22" s="56">
        <v>34.6</v>
      </c>
      <c r="N22" s="30">
        <v>20.2</v>
      </c>
      <c r="O22" s="32"/>
      <c r="P22" s="32"/>
      <c r="Q22" s="32"/>
      <c r="R22" s="32"/>
      <c r="S22" s="32"/>
      <c r="T22" s="32"/>
      <c r="U22" s="32"/>
    </row>
    <row r="23" spans="1:21">
      <c r="A23" s="66">
        <v>2005</v>
      </c>
      <c r="B23" s="56">
        <v>16169.7</v>
      </c>
      <c r="C23" s="56">
        <f t="shared" si="0"/>
        <v>316.7</v>
      </c>
      <c r="D23" s="56">
        <v>46.3</v>
      </c>
      <c r="E23" s="56">
        <v>45.5</v>
      </c>
      <c r="F23" s="56">
        <f t="shared" si="1"/>
        <v>0.79999999999999716</v>
      </c>
      <c r="G23" s="56">
        <v>169.2</v>
      </c>
      <c r="H23" s="56">
        <v>77.2</v>
      </c>
      <c r="I23" s="56">
        <v>29.2</v>
      </c>
      <c r="J23" s="56">
        <v>62.9</v>
      </c>
      <c r="K23" s="56">
        <v>101.2</v>
      </c>
      <c r="L23" s="56">
        <v>64.3</v>
      </c>
      <c r="M23" s="56">
        <v>36.9</v>
      </c>
      <c r="N23" s="30">
        <v>23.2</v>
      </c>
      <c r="O23" s="32"/>
      <c r="P23" s="32"/>
      <c r="Q23" s="32"/>
      <c r="R23" s="32"/>
      <c r="S23" s="32"/>
      <c r="T23" s="32"/>
      <c r="U23" s="32"/>
    </row>
    <row r="24" spans="1:21">
      <c r="A24" s="66">
        <v>2006</v>
      </c>
      <c r="B24" s="56">
        <v>16484.3</v>
      </c>
      <c r="C24" s="56">
        <f t="shared" si="0"/>
        <v>302.10000000000002</v>
      </c>
      <c r="D24" s="56">
        <v>41.5</v>
      </c>
      <c r="E24" s="56">
        <v>40.9</v>
      </c>
      <c r="F24" s="56">
        <f t="shared" si="1"/>
        <v>0.60000000000000142</v>
      </c>
      <c r="G24" s="56">
        <v>166.5</v>
      </c>
      <c r="H24" s="56">
        <v>67.3</v>
      </c>
      <c r="I24" s="56">
        <v>25.3</v>
      </c>
      <c r="J24" s="56">
        <v>73.8</v>
      </c>
      <c r="K24" s="56">
        <v>94.1</v>
      </c>
      <c r="L24" s="56">
        <v>62.2</v>
      </c>
      <c r="M24" s="56">
        <v>31.9</v>
      </c>
      <c r="N24" s="30">
        <v>21.5</v>
      </c>
      <c r="O24" s="32"/>
      <c r="P24" s="32"/>
      <c r="Q24" s="32"/>
      <c r="R24" s="32"/>
      <c r="S24" s="32"/>
      <c r="T24" s="32"/>
      <c r="U24" s="32"/>
    </row>
    <row r="25" spans="1:21">
      <c r="A25" s="66">
        <v>2007</v>
      </c>
      <c r="B25" s="56">
        <v>16866.400000000001</v>
      </c>
      <c r="C25" s="56">
        <f t="shared" si="0"/>
        <v>273.20000000000005</v>
      </c>
      <c r="D25" s="56">
        <v>39.700000000000003</v>
      </c>
      <c r="E25" s="56">
        <v>39</v>
      </c>
      <c r="F25" s="56">
        <f t="shared" si="1"/>
        <v>0.70000000000000284</v>
      </c>
      <c r="G25" s="56">
        <v>146.4</v>
      </c>
      <c r="H25" s="56">
        <v>63.4</v>
      </c>
      <c r="I25" s="56">
        <v>24.3</v>
      </c>
      <c r="J25" s="56">
        <v>58.8</v>
      </c>
      <c r="K25" s="56">
        <v>87.1</v>
      </c>
      <c r="L25" s="56">
        <v>53.3</v>
      </c>
      <c r="M25" s="56">
        <v>33.799999999999997</v>
      </c>
      <c r="N25" s="30">
        <v>20.8</v>
      </c>
      <c r="O25" s="32"/>
      <c r="P25" s="32"/>
      <c r="Q25" s="32"/>
      <c r="R25" s="32"/>
      <c r="S25" s="32"/>
      <c r="T25" s="32"/>
      <c r="U25" s="32"/>
    </row>
    <row r="26" spans="1:21">
      <c r="A26" s="66">
        <v>2008</v>
      </c>
      <c r="B26" s="56" t="s">
        <v>22</v>
      </c>
      <c r="C26" s="56" t="s">
        <v>22</v>
      </c>
      <c r="D26" s="56" t="s">
        <v>22</v>
      </c>
      <c r="E26" s="56" t="s">
        <v>22</v>
      </c>
      <c r="F26" s="56" t="s">
        <v>22</v>
      </c>
      <c r="G26" s="56" t="s">
        <v>22</v>
      </c>
      <c r="H26" s="56" t="s">
        <v>22</v>
      </c>
      <c r="I26" s="56" t="s">
        <v>22</v>
      </c>
      <c r="J26" s="56" t="s">
        <v>22</v>
      </c>
      <c r="K26" s="56" t="s">
        <v>22</v>
      </c>
      <c r="L26" s="56" t="s">
        <v>22</v>
      </c>
      <c r="M26" s="56" t="s">
        <v>22</v>
      </c>
      <c r="N26" s="56" t="s">
        <v>22</v>
      </c>
      <c r="O26" s="32"/>
      <c r="P26" s="32"/>
      <c r="Q26" s="32"/>
      <c r="R26" s="32"/>
      <c r="S26" s="32"/>
      <c r="T26" s="32"/>
      <c r="U26" s="32"/>
    </row>
    <row r="27" spans="1:21">
      <c r="A27" s="66">
        <v>2009</v>
      </c>
      <c r="B27" s="56" t="s">
        <v>22</v>
      </c>
      <c r="C27" s="56" t="s">
        <v>22</v>
      </c>
      <c r="D27" s="56" t="s">
        <v>22</v>
      </c>
      <c r="E27" s="56" t="s">
        <v>22</v>
      </c>
      <c r="F27" s="56" t="s">
        <v>22</v>
      </c>
      <c r="G27" s="56" t="s">
        <v>22</v>
      </c>
      <c r="H27" s="56" t="s">
        <v>22</v>
      </c>
      <c r="I27" s="56" t="s">
        <v>22</v>
      </c>
      <c r="J27" s="56" t="s">
        <v>22</v>
      </c>
      <c r="K27" s="56" t="s">
        <v>22</v>
      </c>
      <c r="L27" s="56" t="s">
        <v>22</v>
      </c>
      <c r="M27" s="56" t="s">
        <v>22</v>
      </c>
      <c r="N27" s="56" t="s">
        <v>22</v>
      </c>
      <c r="O27" s="32"/>
      <c r="P27" s="32"/>
      <c r="Q27" s="32"/>
      <c r="R27" s="32"/>
      <c r="S27" s="32"/>
      <c r="T27" s="32"/>
      <c r="U27" s="32"/>
    </row>
    <row r="28" spans="1:21">
      <c r="A28" s="66">
        <v>2010</v>
      </c>
      <c r="B28" s="56" t="s">
        <v>22</v>
      </c>
      <c r="C28" s="56" t="s">
        <v>22</v>
      </c>
      <c r="D28" s="56" t="s">
        <v>22</v>
      </c>
      <c r="E28" s="56" t="s">
        <v>22</v>
      </c>
      <c r="F28" s="56" t="s">
        <v>22</v>
      </c>
      <c r="G28" s="56" t="s">
        <v>22</v>
      </c>
      <c r="H28" s="56" t="s">
        <v>22</v>
      </c>
      <c r="I28" s="56" t="s">
        <v>22</v>
      </c>
      <c r="J28" s="56" t="s">
        <v>22</v>
      </c>
      <c r="K28" s="56" t="s">
        <v>22</v>
      </c>
      <c r="L28" s="56" t="s">
        <v>22</v>
      </c>
      <c r="M28" s="56" t="s">
        <v>22</v>
      </c>
      <c r="N28" s="56" t="s">
        <v>22</v>
      </c>
      <c r="O28" s="32"/>
      <c r="P28" s="32"/>
      <c r="Q28" s="32"/>
      <c r="R28" s="32"/>
      <c r="S28" s="32"/>
      <c r="T28" s="32"/>
      <c r="U28" s="32"/>
    </row>
    <row r="29" spans="1:21">
      <c r="A29" s="66">
        <v>2011</v>
      </c>
      <c r="B29" s="56" t="s">
        <v>22</v>
      </c>
      <c r="C29" s="56" t="s">
        <v>22</v>
      </c>
      <c r="D29" s="56" t="s">
        <v>22</v>
      </c>
      <c r="E29" s="56" t="s">
        <v>22</v>
      </c>
      <c r="F29" s="56" t="s">
        <v>22</v>
      </c>
      <c r="G29" s="56" t="s">
        <v>22</v>
      </c>
      <c r="H29" s="56" t="s">
        <v>22</v>
      </c>
      <c r="I29" s="56" t="s">
        <v>22</v>
      </c>
      <c r="J29" s="56" t="s">
        <v>22</v>
      </c>
      <c r="K29" s="56" t="s">
        <v>22</v>
      </c>
      <c r="L29" s="56" t="s">
        <v>22</v>
      </c>
      <c r="M29" s="56" t="s">
        <v>22</v>
      </c>
      <c r="N29" s="56" t="s">
        <v>22</v>
      </c>
      <c r="O29" s="32"/>
      <c r="P29" s="32"/>
      <c r="Q29" s="32"/>
      <c r="R29" s="32"/>
      <c r="S29" s="32"/>
      <c r="T29" s="32"/>
      <c r="U29" s="32"/>
    </row>
    <row r="30" spans="1:21">
      <c r="A30" s="66">
        <v>2012</v>
      </c>
      <c r="B30" s="56" t="s">
        <v>22</v>
      </c>
      <c r="C30" s="56" t="s">
        <v>22</v>
      </c>
      <c r="D30" s="56" t="s">
        <v>22</v>
      </c>
      <c r="E30" s="56" t="s">
        <v>22</v>
      </c>
      <c r="F30" s="56" t="s">
        <v>22</v>
      </c>
      <c r="G30" s="56" t="s">
        <v>22</v>
      </c>
      <c r="H30" s="56" t="s">
        <v>22</v>
      </c>
      <c r="I30" s="56" t="s">
        <v>22</v>
      </c>
      <c r="J30" s="56" t="s">
        <v>22</v>
      </c>
      <c r="K30" s="56" t="s">
        <v>22</v>
      </c>
      <c r="L30" s="56" t="s">
        <v>22</v>
      </c>
      <c r="M30" s="56" t="s">
        <v>22</v>
      </c>
      <c r="N30" s="56" t="s">
        <v>22</v>
      </c>
      <c r="O30" s="32"/>
      <c r="P30" s="32"/>
      <c r="Q30" s="32"/>
      <c r="R30" s="32"/>
      <c r="S30" s="32"/>
      <c r="T30" s="32"/>
      <c r="U30" s="32"/>
    </row>
    <row r="31" spans="1:21">
      <c r="B31" s="57"/>
      <c r="C31" s="57"/>
      <c r="D31" s="57"/>
      <c r="E31" s="57"/>
      <c r="F31" s="57"/>
      <c r="G31" s="57"/>
      <c r="H31" s="57"/>
      <c r="I31" s="57"/>
      <c r="J31" s="57"/>
      <c r="K31" s="57"/>
      <c r="L31" s="57"/>
      <c r="M31" s="57"/>
    </row>
    <row r="32" spans="1:21">
      <c r="A32" s="66" t="s">
        <v>23</v>
      </c>
      <c r="B32" s="57"/>
      <c r="C32" s="57"/>
      <c r="D32" s="57"/>
      <c r="E32" s="57"/>
      <c r="F32" s="57"/>
      <c r="G32" s="57"/>
      <c r="H32" s="57"/>
      <c r="I32" s="57"/>
      <c r="J32" s="57"/>
      <c r="K32" s="57"/>
      <c r="L32" s="57"/>
      <c r="M32" s="57"/>
    </row>
    <row r="33" spans="1:22">
      <c r="A33" s="64" t="s">
        <v>667</v>
      </c>
      <c r="B33" s="65">
        <f>((B25/B5)^(1/20)-1)*100</f>
        <v>1.5775382026718354</v>
      </c>
      <c r="C33" s="65">
        <f t="shared" ref="C33:M33" si="2">((C25/C5)^(1/20)-1)*100</f>
        <v>-0.41676915228584521</v>
      </c>
      <c r="D33" s="65">
        <f t="shared" si="2"/>
        <v>-1.4621312297978917</v>
      </c>
      <c r="E33" s="65">
        <f t="shared" si="2"/>
        <v>-1.3708990373876406</v>
      </c>
      <c r="F33" s="65">
        <f t="shared" si="2"/>
        <v>-4.8700601921405013</v>
      </c>
      <c r="G33" s="65">
        <f t="shared" si="2"/>
        <v>0.98240961249373981</v>
      </c>
      <c r="H33" s="65">
        <f t="shared" si="2"/>
        <v>-0.3569282498855908</v>
      </c>
      <c r="I33" s="65">
        <f t="shared" si="2"/>
        <v>3.0594289300399868</v>
      </c>
      <c r="J33" s="65">
        <f t="shared" si="2"/>
        <v>2.0741179963144507</v>
      </c>
      <c r="K33" s="65">
        <f t="shared" si="2"/>
        <v>-1.7228046727014501</v>
      </c>
      <c r="L33" s="65">
        <f t="shared" si="2"/>
        <v>-2.4758380843082239</v>
      </c>
      <c r="M33" s="65">
        <f t="shared" si="2"/>
        <v>-0.21687529221195989</v>
      </c>
      <c r="N33" s="65">
        <f>((N25/N5)^(1/20)-1)*100</f>
        <v>1.5806499675751207</v>
      </c>
    </row>
    <row r="34" spans="1:22">
      <c r="A34" s="64" t="s">
        <v>26</v>
      </c>
      <c r="B34" s="65">
        <f>((B18/B7)^(1/11)-1)*100</f>
        <v>1.1662788332626128</v>
      </c>
      <c r="C34" s="65">
        <f t="shared" ref="C34:M34" si="3">((C18/C7)^(1/11)-1)*100</f>
        <v>0.24834385418839311</v>
      </c>
      <c r="D34" s="65">
        <f t="shared" si="3"/>
        <v>0.16075001120134935</v>
      </c>
      <c r="E34" s="65">
        <f t="shared" si="3"/>
        <v>0.34554957406620623</v>
      </c>
      <c r="F34" s="65">
        <f t="shared" si="3"/>
        <v>-8.2277430819150172</v>
      </c>
      <c r="G34" s="65">
        <f t="shared" si="3"/>
        <v>2.3230410836208693</v>
      </c>
      <c r="H34" s="65">
        <f t="shared" si="3"/>
        <v>1.8771703570890308</v>
      </c>
      <c r="I34" s="65">
        <f t="shared" si="3"/>
        <v>3.0739788363045584</v>
      </c>
      <c r="J34" s="65">
        <f t="shared" si="3"/>
        <v>2.6708338358147454</v>
      </c>
      <c r="K34" s="65">
        <f t="shared" si="3"/>
        <v>-2.0004373717779966</v>
      </c>
      <c r="L34" s="65">
        <f t="shared" si="3"/>
        <v>-2.9086749042502746</v>
      </c>
      <c r="M34" s="65">
        <f t="shared" si="3"/>
        <v>0.18958026661428651</v>
      </c>
      <c r="N34" s="65">
        <f>((N18/N7)^(1/11)-1)*100</f>
        <v>4.6674335266893463</v>
      </c>
    </row>
    <row r="35" spans="1:22">
      <c r="A35" s="64" t="s">
        <v>588</v>
      </c>
      <c r="B35" s="65">
        <f>((B25/B18)^(1/7)-1)*100</f>
        <v>1.9198850464324568</v>
      </c>
      <c r="C35" s="65">
        <f t="shared" ref="C35:M35" si="4">((C25/C18)^(1/7)-1)*100</f>
        <v>-2.9989347903729091</v>
      </c>
      <c r="D35" s="65">
        <f t="shared" si="4"/>
        <v>-5.0596937354676736</v>
      </c>
      <c r="E35" s="65">
        <f t="shared" si="4"/>
        <v>-5.133644893538392</v>
      </c>
      <c r="F35" s="65">
        <f t="shared" si="4"/>
        <v>0</v>
      </c>
      <c r="G35" s="65">
        <f t="shared" si="4"/>
        <v>-1.7196059659639329</v>
      </c>
      <c r="H35" s="65">
        <f t="shared" si="4"/>
        <v>-3.7253465422927956</v>
      </c>
      <c r="I35" s="65">
        <f t="shared" si="4"/>
        <v>0.60213400777964221</v>
      </c>
      <c r="J35" s="65">
        <f t="shared" si="4"/>
        <v>-9.6805784158426889E-2</v>
      </c>
      <c r="K35" s="65">
        <f t="shared" si="4"/>
        <v>-3.9751710347532998</v>
      </c>
      <c r="L35" s="65">
        <f t="shared" si="4"/>
        <v>-5.1019546857959952</v>
      </c>
      <c r="M35" s="65">
        <f t="shared" si="4"/>
        <v>-1.9515549306855395</v>
      </c>
      <c r="N35" s="65">
        <f>((N25/N18)^(1/7)-1)*100</f>
        <v>-4.8232528646557586</v>
      </c>
    </row>
    <row r="36" spans="1:22">
      <c r="A36" s="64" t="s">
        <v>27</v>
      </c>
      <c r="B36" s="65">
        <f t="shared" ref="B36:M36" si="5">((B24/B18)^(1/6)-1)*100</f>
        <v>1.8536894324762798</v>
      </c>
      <c r="C36" s="65">
        <f>((C24/C18)^(1/6)-1)*100</f>
        <v>-1.8588990161752528</v>
      </c>
      <c r="D36" s="65">
        <f t="shared" si="5"/>
        <v>-5.1795530544558765</v>
      </c>
      <c r="E36" s="65">
        <f t="shared" si="5"/>
        <v>-5.2147629248497811</v>
      </c>
      <c r="F36" s="65">
        <f t="shared" si="5"/>
        <v>-2.5364554516409954</v>
      </c>
      <c r="G36" s="65">
        <f t="shared" si="5"/>
        <v>0.12062777340140496</v>
      </c>
      <c r="H36" s="65">
        <f t="shared" si="5"/>
        <v>-3.3760192417608303</v>
      </c>
      <c r="I36" s="65">
        <f t="shared" si="5"/>
        <v>1.3819795115609601</v>
      </c>
      <c r="J36" s="65">
        <f t="shared" si="5"/>
        <v>3.7422769814922097</v>
      </c>
      <c r="K36" s="65">
        <f t="shared" si="5"/>
        <v>-3.3854109942076827</v>
      </c>
      <c r="L36" s="65">
        <f t="shared" si="5"/>
        <v>-3.4740671415299462</v>
      </c>
      <c r="M36" s="65">
        <f t="shared" si="5"/>
        <v>-3.2108907845317169</v>
      </c>
      <c r="N36" s="65">
        <f>((N24/N18)^(1/6)-1)*100</f>
        <v>-5.0820124833872216</v>
      </c>
    </row>
    <row r="38" spans="1:22" ht="15" customHeight="1">
      <c r="A38" s="104" t="s">
        <v>1022</v>
      </c>
      <c r="B38" s="104"/>
      <c r="C38" s="104"/>
      <c r="D38" s="104"/>
      <c r="E38" s="104"/>
      <c r="F38" s="104"/>
      <c r="G38" s="104"/>
      <c r="H38" s="104"/>
      <c r="I38" s="104"/>
      <c r="J38" s="104"/>
      <c r="K38" s="104"/>
      <c r="L38" s="104"/>
      <c r="M38" s="104"/>
      <c r="N38" s="104"/>
    </row>
    <row r="39" spans="1:22">
      <c r="A39" s="104" t="s">
        <v>666</v>
      </c>
      <c r="B39" s="104"/>
      <c r="C39" s="104"/>
      <c r="D39" s="104"/>
      <c r="E39" s="104"/>
      <c r="F39" s="104"/>
      <c r="G39" s="104"/>
      <c r="H39" s="104"/>
      <c r="I39" s="104"/>
      <c r="J39" s="104"/>
      <c r="K39" s="104"/>
      <c r="L39" s="104"/>
      <c r="M39" s="104"/>
      <c r="N39" s="104"/>
    </row>
    <row r="40" spans="1:22" ht="15" customHeight="1">
      <c r="A40" s="277" t="s">
        <v>80</v>
      </c>
      <c r="B40" s="277"/>
      <c r="C40" s="277"/>
      <c r="D40" s="277"/>
      <c r="E40" s="277"/>
      <c r="F40" s="277"/>
      <c r="G40" s="277"/>
      <c r="H40" s="277"/>
      <c r="I40" s="277"/>
      <c r="J40" s="277"/>
      <c r="K40" s="277"/>
      <c r="L40" s="277"/>
      <c r="M40" s="277"/>
      <c r="N40" s="277"/>
    </row>
    <row r="41" spans="1:22" ht="15" customHeight="1">
      <c r="A41" s="271" t="s">
        <v>665</v>
      </c>
      <c r="B41" s="271"/>
      <c r="C41" s="271"/>
      <c r="D41" s="271"/>
      <c r="E41" s="271"/>
      <c r="F41" s="271"/>
      <c r="G41" s="271"/>
      <c r="H41" s="271"/>
      <c r="I41" s="271"/>
      <c r="J41" s="271"/>
      <c r="K41" s="271"/>
      <c r="L41" s="271"/>
      <c r="M41" s="271"/>
      <c r="N41" s="271"/>
      <c r="O41" s="275"/>
      <c r="P41" s="275"/>
      <c r="Q41" s="275"/>
      <c r="R41" s="275"/>
      <c r="S41" s="275"/>
      <c r="T41" s="275"/>
      <c r="U41" s="275"/>
      <c r="V41" s="275"/>
    </row>
    <row r="42" spans="1:22" ht="15" customHeight="1">
      <c r="A42" s="271" t="s">
        <v>1075</v>
      </c>
      <c r="B42" s="271"/>
      <c r="C42" s="271"/>
      <c r="D42" s="271"/>
      <c r="E42" s="271"/>
      <c r="F42" s="271"/>
      <c r="G42" s="271"/>
      <c r="H42" s="271"/>
      <c r="I42" s="271"/>
      <c r="J42" s="271"/>
      <c r="K42" s="271"/>
      <c r="L42" s="271"/>
      <c r="M42" s="271"/>
      <c r="N42" s="271"/>
      <c r="O42" s="275"/>
      <c r="P42" s="275"/>
      <c r="Q42" s="275"/>
      <c r="R42" s="275"/>
      <c r="S42" s="275"/>
      <c r="T42" s="275"/>
      <c r="U42" s="275"/>
      <c r="V42" s="275"/>
    </row>
    <row r="43" spans="1:22">
      <c r="A43" s="276"/>
      <c r="B43" s="275"/>
      <c r="C43" s="275"/>
      <c r="D43" s="275"/>
      <c r="E43" s="275"/>
      <c r="F43" s="275"/>
      <c r="G43" s="275"/>
      <c r="H43" s="275"/>
      <c r="I43" s="275"/>
      <c r="J43" s="275"/>
      <c r="K43" s="275"/>
      <c r="L43" s="275"/>
      <c r="M43" s="275"/>
      <c r="N43" s="275"/>
      <c r="O43" s="275"/>
      <c r="P43" s="275"/>
      <c r="Q43" s="275"/>
      <c r="R43" s="275"/>
      <c r="S43" s="275"/>
      <c r="T43" s="275"/>
      <c r="U43" s="275"/>
      <c r="V43" s="275"/>
    </row>
    <row r="44" spans="1:22">
      <c r="A44" s="276"/>
      <c r="B44" s="275"/>
      <c r="C44" s="275"/>
      <c r="D44" s="275"/>
      <c r="E44" s="275"/>
      <c r="F44" s="275"/>
      <c r="G44" s="275"/>
      <c r="H44" s="275"/>
      <c r="I44" s="275"/>
      <c r="J44" s="275"/>
      <c r="K44" s="275"/>
      <c r="L44" s="275"/>
      <c r="M44" s="275"/>
      <c r="N44" s="275"/>
      <c r="O44" s="275"/>
      <c r="P44" s="275"/>
      <c r="Q44" s="275"/>
      <c r="R44" s="275"/>
      <c r="S44" s="275"/>
      <c r="T44" s="275"/>
      <c r="U44" s="275"/>
      <c r="V44" s="275"/>
    </row>
    <row r="45" spans="1:22">
      <c r="A45" s="276"/>
      <c r="B45" s="275"/>
      <c r="C45" s="275"/>
      <c r="D45" s="275"/>
      <c r="E45" s="275"/>
      <c r="F45" s="275"/>
      <c r="G45" s="275"/>
      <c r="H45" s="275"/>
      <c r="I45" s="275"/>
      <c r="J45" s="275"/>
      <c r="K45" s="275"/>
      <c r="L45" s="275"/>
      <c r="M45" s="275"/>
      <c r="N45" s="275"/>
      <c r="O45" s="275"/>
      <c r="P45" s="275"/>
      <c r="Q45" s="275"/>
      <c r="R45" s="275"/>
      <c r="S45" s="275"/>
      <c r="T45" s="275"/>
      <c r="U45" s="275"/>
      <c r="V45" s="275"/>
    </row>
    <row r="46" spans="1:22">
      <c r="A46" s="276"/>
      <c r="B46" s="275"/>
      <c r="C46" s="275"/>
      <c r="D46" s="275"/>
      <c r="E46" s="275"/>
      <c r="F46" s="275"/>
      <c r="G46" s="275"/>
      <c r="H46" s="275"/>
      <c r="I46" s="275"/>
      <c r="J46" s="275"/>
      <c r="K46" s="275"/>
      <c r="L46" s="275"/>
      <c r="M46" s="275"/>
      <c r="N46" s="275"/>
      <c r="O46" s="275"/>
      <c r="P46" s="275"/>
      <c r="Q46" s="275"/>
      <c r="R46" s="275"/>
      <c r="S46" s="275"/>
      <c r="T46" s="275"/>
      <c r="U46" s="275"/>
      <c r="V46" s="275"/>
    </row>
    <row r="47" spans="1:22">
      <c r="A47" s="276"/>
      <c r="B47" s="275"/>
      <c r="C47" s="275"/>
      <c r="D47" s="275"/>
      <c r="E47" s="275"/>
      <c r="F47" s="275"/>
      <c r="G47" s="275"/>
      <c r="H47" s="275"/>
      <c r="I47" s="275"/>
      <c r="J47" s="275"/>
      <c r="K47" s="275"/>
      <c r="L47" s="275"/>
      <c r="M47" s="275"/>
      <c r="N47" s="275"/>
      <c r="O47" s="275"/>
      <c r="P47" s="275"/>
      <c r="Q47" s="275"/>
      <c r="R47" s="275"/>
      <c r="S47" s="275"/>
      <c r="T47" s="275"/>
      <c r="U47" s="275"/>
      <c r="V47" s="275"/>
    </row>
  </sheetData>
  <mergeCells count="14">
    <mergeCell ref="A1:M1"/>
    <mergeCell ref="D3:F3"/>
    <mergeCell ref="G3:J3"/>
    <mergeCell ref="K3:M3"/>
    <mergeCell ref="C3:C4"/>
    <mergeCell ref="A2:A4"/>
    <mergeCell ref="A42:N42"/>
    <mergeCell ref="N2:N4"/>
    <mergeCell ref="A38:N38"/>
    <mergeCell ref="A39:N39"/>
    <mergeCell ref="A40:N40"/>
    <mergeCell ref="A41:N41"/>
    <mergeCell ref="C2:M2"/>
    <mergeCell ref="B2:B4"/>
  </mergeCells>
  <pageMargins left="0.7" right="0.7" top="0.75" bottom="0.75" header="0.3" footer="0.3"/>
  <pageSetup scale="70" orientation="landscape" horizontalDpi="0" verticalDpi="0" r:id="rId1"/>
</worksheet>
</file>

<file path=xl/worksheets/sheet190.xml><?xml version="1.0" encoding="utf-8"?>
<worksheet xmlns="http://schemas.openxmlformats.org/spreadsheetml/2006/main" xmlns:r="http://schemas.openxmlformats.org/officeDocument/2006/relationships">
  <sheetPr codeName="Sheet184"/>
  <dimension ref="A1:L69"/>
  <sheetViews>
    <sheetView view="pageBreakPreview" zoomScaleNormal="85" zoomScaleSheetLayoutView="100"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 style="64" customWidth="1"/>
    <col min="2" max="2" width="13.7109375" style="64" bestFit="1" customWidth="1"/>
    <col min="3" max="3" width="12.85546875" style="64" bestFit="1" customWidth="1"/>
    <col min="4" max="5" width="14.5703125" style="64" bestFit="1" customWidth="1"/>
    <col min="6" max="6" width="13.7109375" style="64" bestFit="1" customWidth="1"/>
    <col min="7" max="7" width="12.85546875" style="64" bestFit="1" customWidth="1"/>
    <col min="8" max="9" width="14.5703125" style="64" bestFit="1" customWidth="1"/>
    <col min="10" max="10" width="9.140625" style="64"/>
    <col min="11" max="11" width="9.140625" style="64" hidden="1" customWidth="1" outlineLevel="1"/>
    <col min="12" max="12" width="9.140625" style="64" collapsed="1"/>
    <col min="13" max="16384" width="9.140625" style="64"/>
  </cols>
  <sheetData>
    <row r="1" spans="1:11">
      <c r="A1" s="93" t="s">
        <v>2040</v>
      </c>
      <c r="B1" s="93"/>
      <c r="C1" s="93"/>
      <c r="D1" s="93"/>
      <c r="E1" s="93"/>
      <c r="F1" s="93"/>
      <c r="G1" s="93"/>
      <c r="H1" s="93"/>
      <c r="I1" s="93"/>
    </row>
    <row r="2" spans="1:11">
      <c r="A2" s="66"/>
      <c r="B2" s="105" t="s">
        <v>1928</v>
      </c>
      <c r="C2" s="106"/>
      <c r="D2" s="106"/>
      <c r="E2" s="136"/>
      <c r="F2" s="105" t="s">
        <v>677</v>
      </c>
      <c r="G2" s="106"/>
      <c r="H2" s="106"/>
      <c r="I2" s="136"/>
    </row>
    <row r="3" spans="1:11" ht="45">
      <c r="B3" s="73" t="s">
        <v>7</v>
      </c>
      <c r="C3" s="73" t="s">
        <v>192</v>
      </c>
      <c r="D3" s="73" t="s">
        <v>1</v>
      </c>
      <c r="E3" s="73" t="s">
        <v>2</v>
      </c>
      <c r="F3" s="73" t="s">
        <v>7</v>
      </c>
      <c r="G3" s="73" t="s">
        <v>192</v>
      </c>
      <c r="H3" s="73" t="s">
        <v>1</v>
      </c>
      <c r="I3" s="73" t="s">
        <v>2</v>
      </c>
      <c r="K3" s="73" t="s">
        <v>7</v>
      </c>
    </row>
    <row r="4" spans="1:11" ht="15" hidden="1" customHeight="1" outlineLevel="1"/>
    <row r="5" spans="1:11" ht="15" hidden="1" customHeight="1" outlineLevel="1" collapsed="1">
      <c r="A5" s="64">
        <v>1961</v>
      </c>
      <c r="B5" s="56">
        <v>7021.5</v>
      </c>
      <c r="C5" s="56" t="s">
        <v>188</v>
      </c>
      <c r="D5" s="56" t="s">
        <v>188</v>
      </c>
      <c r="E5" s="56" t="s">
        <v>188</v>
      </c>
      <c r="F5" s="56" t="s">
        <v>22</v>
      </c>
      <c r="G5" s="56" t="s">
        <v>22</v>
      </c>
      <c r="H5" s="56" t="s">
        <v>22</v>
      </c>
      <c r="I5" s="56" t="s">
        <v>22</v>
      </c>
      <c r="K5" s="64">
        <v>6054878.4000000004</v>
      </c>
    </row>
    <row r="6" spans="1:11" ht="15" hidden="1" customHeight="1" outlineLevel="1">
      <c r="A6" s="64">
        <v>1962</v>
      </c>
      <c r="B6" s="56">
        <v>8052.1</v>
      </c>
      <c r="C6" s="56" t="s">
        <v>188</v>
      </c>
      <c r="D6" s="56" t="s">
        <v>188</v>
      </c>
      <c r="E6" s="56" t="s">
        <v>188</v>
      </c>
      <c r="F6" s="56" t="s">
        <v>22</v>
      </c>
      <c r="G6" s="56" t="s">
        <v>22</v>
      </c>
      <c r="H6" s="56" t="s">
        <v>22</v>
      </c>
      <c r="I6" s="56" t="s">
        <v>22</v>
      </c>
      <c r="K6" s="64">
        <v>6920142</v>
      </c>
    </row>
    <row r="7" spans="1:11" ht="15" hidden="1" customHeight="1" outlineLevel="1">
      <c r="A7" s="64">
        <v>1963</v>
      </c>
      <c r="B7" s="56">
        <v>8739.4</v>
      </c>
      <c r="C7" s="56" t="s">
        <v>188</v>
      </c>
      <c r="D7" s="56" t="s">
        <v>188</v>
      </c>
      <c r="E7" s="56" t="s">
        <v>188</v>
      </c>
      <c r="F7" s="56" t="s">
        <v>22</v>
      </c>
      <c r="G7" s="56" t="s">
        <v>22</v>
      </c>
      <c r="H7" s="56" t="s">
        <v>22</v>
      </c>
      <c r="I7" s="56" t="s">
        <v>22</v>
      </c>
      <c r="K7" s="64">
        <v>7446302.9000000004</v>
      </c>
    </row>
    <row r="8" spans="1:11" ht="15" hidden="1" customHeight="1" outlineLevel="1">
      <c r="A8" s="64">
        <v>1964</v>
      </c>
      <c r="B8" s="56">
        <v>9286.2000000000007</v>
      </c>
      <c r="C8" s="56" t="s">
        <v>188</v>
      </c>
      <c r="D8" s="56" t="s">
        <v>188</v>
      </c>
      <c r="E8" s="56" t="s">
        <v>188</v>
      </c>
      <c r="F8" s="56" t="s">
        <v>22</v>
      </c>
      <c r="G8" s="56" t="s">
        <v>22</v>
      </c>
      <c r="H8" s="56" t="s">
        <v>22</v>
      </c>
      <c r="I8" s="56" t="s">
        <v>22</v>
      </c>
      <c r="K8" s="64">
        <v>7879870.5999999996</v>
      </c>
    </row>
    <row r="9" spans="1:11" ht="15" hidden="1" customHeight="1" outlineLevel="1">
      <c r="A9" s="64">
        <v>1965</v>
      </c>
      <c r="B9" s="56">
        <v>9720.2999999999993</v>
      </c>
      <c r="C9" s="56" t="s">
        <v>188</v>
      </c>
      <c r="D9" s="56" t="s">
        <v>188</v>
      </c>
      <c r="E9" s="56" t="s">
        <v>188</v>
      </c>
      <c r="F9" s="56" t="s">
        <v>22</v>
      </c>
      <c r="G9" s="56" t="s">
        <v>22</v>
      </c>
      <c r="H9" s="56" t="s">
        <v>22</v>
      </c>
      <c r="I9" s="56" t="s">
        <v>22</v>
      </c>
      <c r="K9" s="64">
        <v>8197452.7000000002</v>
      </c>
    </row>
    <row r="10" spans="1:11" ht="15" hidden="1" customHeight="1" outlineLevel="1">
      <c r="A10" s="64">
        <v>1966</v>
      </c>
      <c r="B10" s="56">
        <v>10693.4</v>
      </c>
      <c r="C10" s="56" t="s">
        <v>188</v>
      </c>
      <c r="D10" s="56" t="s">
        <v>188</v>
      </c>
      <c r="E10" s="56" t="s">
        <v>188</v>
      </c>
      <c r="F10" s="56" t="s">
        <v>22</v>
      </c>
      <c r="G10" s="56" t="s">
        <v>22</v>
      </c>
      <c r="H10" s="56" t="s">
        <v>22</v>
      </c>
      <c r="I10" s="56" t="s">
        <v>22</v>
      </c>
      <c r="K10" s="64">
        <v>9012173.1999999993</v>
      </c>
    </row>
    <row r="11" spans="1:11" ht="15" hidden="1" customHeight="1" outlineLevel="1">
      <c r="A11" s="64">
        <v>1967</v>
      </c>
      <c r="B11" s="56">
        <v>11605.1</v>
      </c>
      <c r="C11" s="56" t="s">
        <v>188</v>
      </c>
      <c r="D11" s="56" t="s">
        <v>188</v>
      </c>
      <c r="E11" s="56" t="s">
        <v>188</v>
      </c>
      <c r="F11" s="56" t="s">
        <v>22</v>
      </c>
      <c r="G11" s="56" t="s">
        <v>22</v>
      </c>
      <c r="H11" s="56" t="s">
        <v>22</v>
      </c>
      <c r="I11" s="56" t="s">
        <v>22</v>
      </c>
      <c r="K11" s="64">
        <v>9818637.1999999993</v>
      </c>
    </row>
    <row r="12" spans="1:11" ht="15" hidden="1" customHeight="1" outlineLevel="1">
      <c r="A12" s="64">
        <v>1968</v>
      </c>
      <c r="B12" s="56">
        <v>12459.3</v>
      </c>
      <c r="C12" s="56" t="s">
        <v>188</v>
      </c>
      <c r="D12" s="56" t="s">
        <v>188</v>
      </c>
      <c r="E12" s="56" t="s">
        <v>188</v>
      </c>
      <c r="F12" s="56" t="s">
        <v>22</v>
      </c>
      <c r="G12" s="56" t="s">
        <v>22</v>
      </c>
      <c r="H12" s="56" t="s">
        <v>22</v>
      </c>
      <c r="I12" s="56" t="s">
        <v>22</v>
      </c>
      <c r="K12" s="64">
        <v>10585037</v>
      </c>
    </row>
    <row r="13" spans="1:11" ht="15" hidden="1" customHeight="1" outlineLevel="1">
      <c r="A13" s="64">
        <v>1969</v>
      </c>
      <c r="B13" s="56">
        <v>13212.5</v>
      </c>
      <c r="C13" s="56" t="s">
        <v>188</v>
      </c>
      <c r="D13" s="56" t="s">
        <v>188</v>
      </c>
      <c r="E13" s="56" t="s">
        <v>188</v>
      </c>
      <c r="F13" s="56" t="s">
        <v>22</v>
      </c>
      <c r="G13" s="56" t="s">
        <v>22</v>
      </c>
      <c r="H13" s="56" t="s">
        <v>22</v>
      </c>
      <c r="I13" s="56" t="s">
        <v>22</v>
      </c>
      <c r="K13" s="64">
        <v>11244460.5</v>
      </c>
    </row>
    <row r="14" spans="1:11" ht="15" hidden="1" customHeight="1" outlineLevel="1">
      <c r="A14" s="64">
        <v>1970</v>
      </c>
      <c r="B14" s="56">
        <v>14378.2</v>
      </c>
      <c r="C14" s="56" t="s">
        <v>188</v>
      </c>
      <c r="D14" s="56" t="s">
        <v>188</v>
      </c>
      <c r="E14" s="56" t="s">
        <v>188</v>
      </c>
      <c r="F14" s="56" t="s">
        <v>22</v>
      </c>
      <c r="G14" s="56" t="s">
        <v>22</v>
      </c>
      <c r="H14" s="56" t="s">
        <v>22</v>
      </c>
      <c r="I14" s="56" t="s">
        <v>22</v>
      </c>
      <c r="K14" s="64">
        <v>12336313.199999999</v>
      </c>
    </row>
    <row r="15" spans="1:11" ht="15" hidden="1" customHeight="1" outlineLevel="1">
      <c r="A15" s="64">
        <v>1971</v>
      </c>
      <c r="B15" s="56">
        <v>15971.1</v>
      </c>
      <c r="C15" s="56" t="s">
        <v>188</v>
      </c>
      <c r="D15" s="56" t="s">
        <v>188</v>
      </c>
      <c r="E15" s="56" t="s">
        <v>188</v>
      </c>
      <c r="F15" s="56" t="s">
        <v>22</v>
      </c>
      <c r="G15" s="56" t="s">
        <v>22</v>
      </c>
      <c r="H15" s="56" t="s">
        <v>22</v>
      </c>
      <c r="I15" s="56" t="s">
        <v>22</v>
      </c>
      <c r="K15" s="64">
        <v>13845831.5</v>
      </c>
    </row>
    <row r="16" spans="1:11" ht="15" hidden="1" customHeight="1" outlineLevel="1">
      <c r="A16" s="64">
        <v>1972</v>
      </c>
      <c r="B16" s="56">
        <v>16988.3</v>
      </c>
      <c r="C16" s="56" t="s">
        <v>188</v>
      </c>
      <c r="D16" s="56" t="s">
        <v>188</v>
      </c>
      <c r="E16" s="56" t="s">
        <v>188</v>
      </c>
      <c r="F16" s="56" t="s">
        <v>22</v>
      </c>
      <c r="G16" s="56" t="s">
        <v>22</v>
      </c>
      <c r="H16" s="56" t="s">
        <v>22</v>
      </c>
      <c r="I16" s="56" t="s">
        <v>22</v>
      </c>
      <c r="K16" s="64">
        <v>14820800.800000001</v>
      </c>
    </row>
    <row r="17" spans="1:11" ht="15" hidden="1" customHeight="1" outlineLevel="1">
      <c r="A17" s="64">
        <v>1973</v>
      </c>
      <c r="B17" s="56">
        <v>17706.099999999999</v>
      </c>
      <c r="C17" s="56" t="s">
        <v>188</v>
      </c>
      <c r="D17" s="56" t="s">
        <v>188</v>
      </c>
      <c r="E17" s="56" t="s">
        <v>188</v>
      </c>
      <c r="F17" s="56" t="s">
        <v>22</v>
      </c>
      <c r="G17" s="56" t="s">
        <v>22</v>
      </c>
      <c r="H17" s="56" t="s">
        <v>22</v>
      </c>
      <c r="I17" s="56" t="s">
        <v>22</v>
      </c>
      <c r="K17" s="64">
        <v>15438274.6</v>
      </c>
    </row>
    <row r="18" spans="1:11" ht="15" hidden="1" customHeight="1" outlineLevel="1">
      <c r="A18" s="64">
        <v>1974</v>
      </c>
      <c r="B18" s="56">
        <v>18154.5</v>
      </c>
      <c r="C18" s="56" t="s">
        <v>188</v>
      </c>
      <c r="D18" s="56" t="s">
        <v>188</v>
      </c>
      <c r="E18" s="56" t="s">
        <v>188</v>
      </c>
      <c r="F18" s="56" t="s">
        <v>22</v>
      </c>
      <c r="G18" s="56" t="s">
        <v>22</v>
      </c>
      <c r="H18" s="56" t="s">
        <v>22</v>
      </c>
      <c r="I18" s="56" t="s">
        <v>22</v>
      </c>
      <c r="K18" s="64">
        <v>15728253.800000001</v>
      </c>
    </row>
    <row r="19" spans="1:11" ht="15" hidden="1" customHeight="1" outlineLevel="1">
      <c r="A19" s="64">
        <v>1975</v>
      </c>
      <c r="B19" s="56">
        <v>18435.400000000001</v>
      </c>
      <c r="C19" s="56" t="s">
        <v>188</v>
      </c>
      <c r="D19" s="56" t="s">
        <v>188</v>
      </c>
      <c r="E19" s="56" t="s">
        <v>188</v>
      </c>
      <c r="F19" s="56" t="s">
        <v>22</v>
      </c>
      <c r="G19" s="56" t="s">
        <v>22</v>
      </c>
      <c r="H19" s="56" t="s">
        <v>22</v>
      </c>
      <c r="I19" s="56" t="s">
        <v>22</v>
      </c>
      <c r="K19" s="64">
        <v>15864430.6</v>
      </c>
    </row>
    <row r="20" spans="1:11" ht="15" hidden="1" customHeight="1" outlineLevel="1">
      <c r="A20" s="64">
        <v>1976</v>
      </c>
      <c r="B20" s="56">
        <v>18717.7</v>
      </c>
      <c r="C20" s="56" t="s">
        <v>188</v>
      </c>
      <c r="D20" s="56" t="s">
        <v>188</v>
      </c>
      <c r="E20" s="56" t="s">
        <v>188</v>
      </c>
      <c r="F20" s="56" t="s">
        <v>22</v>
      </c>
      <c r="G20" s="56" t="s">
        <v>22</v>
      </c>
      <c r="H20" s="56" t="s">
        <v>22</v>
      </c>
      <c r="I20" s="56" t="s">
        <v>22</v>
      </c>
      <c r="K20" s="64">
        <v>16020576.9</v>
      </c>
    </row>
    <row r="21" spans="1:11" ht="15" hidden="1" customHeight="1" outlineLevel="1">
      <c r="A21" s="64">
        <v>1977</v>
      </c>
      <c r="B21" s="56">
        <v>18757.2</v>
      </c>
      <c r="C21" s="56" t="s">
        <v>188</v>
      </c>
      <c r="D21" s="56" t="s">
        <v>188</v>
      </c>
      <c r="E21" s="56" t="s">
        <v>188</v>
      </c>
      <c r="F21" s="56" t="s">
        <v>22</v>
      </c>
      <c r="G21" s="56" t="s">
        <v>22</v>
      </c>
      <c r="H21" s="56" t="s">
        <v>22</v>
      </c>
      <c r="I21" s="56" t="s">
        <v>22</v>
      </c>
      <c r="K21" s="64">
        <v>15923985.5</v>
      </c>
    </row>
    <row r="22" spans="1:11" ht="15" hidden="1" customHeight="1" outlineLevel="1">
      <c r="A22" s="64">
        <v>1978</v>
      </c>
      <c r="B22" s="56">
        <v>18937.5</v>
      </c>
      <c r="C22" s="56" t="s">
        <v>188</v>
      </c>
      <c r="D22" s="56" t="s">
        <v>188</v>
      </c>
      <c r="E22" s="56" t="s">
        <v>188</v>
      </c>
      <c r="F22" s="56" t="s">
        <v>22</v>
      </c>
      <c r="G22" s="56" t="s">
        <v>22</v>
      </c>
      <c r="H22" s="56" t="s">
        <v>22</v>
      </c>
      <c r="I22" s="56" t="s">
        <v>22</v>
      </c>
      <c r="K22" s="64">
        <v>15945470.4</v>
      </c>
    </row>
    <row r="23" spans="1:11" ht="15" hidden="1" customHeight="1" outlineLevel="1">
      <c r="A23" s="64">
        <v>1979</v>
      </c>
      <c r="B23" s="56">
        <v>19417.8</v>
      </c>
      <c r="C23" s="56" t="s">
        <v>188</v>
      </c>
      <c r="D23" s="56" t="s">
        <v>188</v>
      </c>
      <c r="E23" s="56" t="s">
        <v>188</v>
      </c>
      <c r="F23" s="56" t="s">
        <v>22</v>
      </c>
      <c r="G23" s="56" t="s">
        <v>22</v>
      </c>
      <c r="H23" s="56" t="s">
        <v>22</v>
      </c>
      <c r="I23" s="56" t="s">
        <v>22</v>
      </c>
      <c r="K23" s="64">
        <v>16292014.6</v>
      </c>
    </row>
    <row r="24" spans="1:11" ht="15" hidden="1" customHeight="1" outlineLevel="1">
      <c r="A24" s="64">
        <v>1980</v>
      </c>
      <c r="B24" s="56">
        <v>19727.900000000001</v>
      </c>
      <c r="C24" s="56" t="s">
        <v>188</v>
      </c>
      <c r="D24" s="56" t="s">
        <v>188</v>
      </c>
      <c r="E24" s="56" t="s">
        <v>188</v>
      </c>
      <c r="F24" s="56" t="s">
        <v>22</v>
      </c>
      <c r="G24" s="56" t="s">
        <v>22</v>
      </c>
      <c r="H24" s="56" t="s">
        <v>22</v>
      </c>
      <c r="I24" s="56" t="s">
        <v>22</v>
      </c>
      <c r="K24" s="64">
        <v>16447428.9</v>
      </c>
    </row>
    <row r="25" spans="1:11" ht="15" hidden="1" customHeight="1" outlineLevel="1">
      <c r="A25" s="64">
        <v>1981</v>
      </c>
      <c r="B25" s="56">
        <v>20131.8</v>
      </c>
      <c r="C25" s="56" t="s">
        <v>188</v>
      </c>
      <c r="D25" s="56" t="s">
        <v>188</v>
      </c>
      <c r="E25" s="56" t="s">
        <v>188</v>
      </c>
      <c r="F25" s="56" t="s">
        <v>22</v>
      </c>
      <c r="G25" s="56" t="s">
        <v>22</v>
      </c>
      <c r="H25" s="56" t="s">
        <v>22</v>
      </c>
      <c r="I25" s="56" t="s">
        <v>22</v>
      </c>
      <c r="K25" s="64">
        <v>16708253.800000001</v>
      </c>
    </row>
    <row r="26" spans="1:11" ht="15" hidden="1" customHeight="1" outlineLevel="1">
      <c r="A26" s="64">
        <v>1982</v>
      </c>
      <c r="B26" s="56">
        <v>20813.900000000001</v>
      </c>
      <c r="C26" s="56" t="s">
        <v>188</v>
      </c>
      <c r="D26" s="56" t="s">
        <v>188</v>
      </c>
      <c r="E26" s="56" t="s">
        <v>188</v>
      </c>
      <c r="F26" s="56" t="s">
        <v>22</v>
      </c>
      <c r="G26" s="56" t="s">
        <v>22</v>
      </c>
      <c r="H26" s="56" t="s">
        <v>22</v>
      </c>
      <c r="I26" s="56" t="s">
        <v>22</v>
      </c>
      <c r="K26" s="64">
        <v>17347060.5</v>
      </c>
    </row>
    <row r="27" spans="1:11" ht="15" hidden="1" customHeight="1" outlineLevel="1">
      <c r="A27" s="64">
        <v>1983</v>
      </c>
      <c r="B27" s="56">
        <v>21577.4</v>
      </c>
      <c r="C27" s="56" t="s">
        <v>188</v>
      </c>
      <c r="D27" s="56" t="s">
        <v>188</v>
      </c>
      <c r="E27" s="56" t="s">
        <v>188</v>
      </c>
      <c r="F27" s="56" t="s">
        <v>22</v>
      </c>
      <c r="G27" s="56" t="s">
        <v>22</v>
      </c>
      <c r="H27" s="56" t="s">
        <v>22</v>
      </c>
      <c r="I27" s="56" t="s">
        <v>22</v>
      </c>
      <c r="K27" s="64">
        <v>17880362.5</v>
      </c>
    </row>
    <row r="28" spans="1:11" collapsed="1">
      <c r="A28" s="66">
        <v>1984</v>
      </c>
      <c r="B28" s="56">
        <v>22359</v>
      </c>
      <c r="C28" s="56" t="s">
        <v>188</v>
      </c>
      <c r="D28" s="56" t="s">
        <v>188</v>
      </c>
      <c r="E28" s="56" t="s">
        <v>188</v>
      </c>
      <c r="F28" s="30">
        <f>'801'!H5/'831'!B28*1000</f>
        <v>674.94287381648849</v>
      </c>
      <c r="G28" s="56" t="s">
        <v>22</v>
      </c>
      <c r="H28" s="56" t="s">
        <v>22</v>
      </c>
      <c r="I28" s="56" t="s">
        <v>22</v>
      </c>
      <c r="K28" s="64">
        <v>18443063.399999999</v>
      </c>
    </row>
    <row r="29" spans="1:11">
      <c r="A29" s="66">
        <v>1985</v>
      </c>
      <c r="B29" s="56">
        <v>22867.3</v>
      </c>
      <c r="C29" s="56" t="s">
        <v>188</v>
      </c>
      <c r="D29" s="56" t="s">
        <v>188</v>
      </c>
      <c r="E29" s="56" t="s">
        <v>188</v>
      </c>
      <c r="F29" s="30">
        <f>'801'!H6/'831'!B29*1000</f>
        <v>661.26739291776551</v>
      </c>
      <c r="G29" s="56" t="s">
        <v>22</v>
      </c>
      <c r="H29" s="56" t="s">
        <v>22</v>
      </c>
      <c r="I29" s="56" t="s">
        <v>22</v>
      </c>
      <c r="K29" s="64">
        <v>18770236.800000001</v>
      </c>
    </row>
    <row r="30" spans="1:11">
      <c r="A30" s="66">
        <v>1986</v>
      </c>
      <c r="B30" s="56">
        <v>23290.7</v>
      </c>
      <c r="C30" s="56" t="s">
        <v>188</v>
      </c>
      <c r="D30" s="56" t="s">
        <v>188</v>
      </c>
      <c r="E30" s="56" t="s">
        <v>188</v>
      </c>
      <c r="F30" s="30">
        <f>'801'!H7/'831'!B30*1000</f>
        <v>662.23240395571861</v>
      </c>
      <c r="G30" s="56" t="s">
        <v>22</v>
      </c>
      <c r="H30" s="56" t="s">
        <v>22</v>
      </c>
      <c r="I30" s="56" t="s">
        <v>22</v>
      </c>
      <c r="K30" s="64">
        <v>19052966.100000001</v>
      </c>
    </row>
    <row r="31" spans="1:11">
      <c r="A31" s="66">
        <v>1987</v>
      </c>
      <c r="B31" s="56">
        <v>23309.7</v>
      </c>
      <c r="C31" s="56" t="s">
        <v>188</v>
      </c>
      <c r="D31" s="56" t="s">
        <v>188</v>
      </c>
      <c r="E31" s="56" t="s">
        <v>188</v>
      </c>
      <c r="F31" s="30">
        <f>'801'!H8/'831'!B31*1000</f>
        <v>673.98284138651968</v>
      </c>
      <c r="G31" s="56" t="s">
        <v>22</v>
      </c>
      <c r="H31" s="56" t="s">
        <v>22</v>
      </c>
      <c r="I31" s="56" t="s">
        <v>22</v>
      </c>
      <c r="K31" s="64">
        <v>18988578.5</v>
      </c>
    </row>
    <row r="32" spans="1:11">
      <c r="A32" s="66">
        <v>1988</v>
      </c>
      <c r="B32" s="56">
        <v>23327.5</v>
      </c>
      <c r="C32" s="56" t="s">
        <v>188</v>
      </c>
      <c r="D32" s="56" t="s">
        <v>188</v>
      </c>
      <c r="E32" s="56" t="s">
        <v>188</v>
      </c>
      <c r="F32" s="30">
        <f>'801'!H9/'831'!B32*1000</f>
        <v>718.08746920701833</v>
      </c>
      <c r="G32" s="56" t="s">
        <v>22</v>
      </c>
      <c r="H32" s="56" t="s">
        <v>22</v>
      </c>
      <c r="I32" s="56" t="s">
        <v>22</v>
      </c>
      <c r="K32" s="64">
        <v>18981631.199999999</v>
      </c>
    </row>
    <row r="33" spans="1:11">
      <c r="A33" s="66">
        <v>1989</v>
      </c>
      <c r="B33" s="56">
        <v>23308.6</v>
      </c>
      <c r="C33" s="56" t="s">
        <v>188</v>
      </c>
      <c r="D33" s="56" t="s">
        <v>188</v>
      </c>
      <c r="E33" s="56" t="s">
        <v>188</v>
      </c>
      <c r="F33" s="30">
        <f>'801'!H10/'831'!B33*1000</f>
        <v>726.36862789180134</v>
      </c>
      <c r="G33" s="56" t="s">
        <v>22</v>
      </c>
      <c r="H33" s="56" t="s">
        <v>22</v>
      </c>
      <c r="I33" s="56" t="s">
        <v>22</v>
      </c>
      <c r="K33" s="64">
        <v>18953524.100000001</v>
      </c>
    </row>
    <row r="34" spans="1:11">
      <c r="A34" s="66">
        <v>1990</v>
      </c>
      <c r="B34" s="56">
        <v>23154</v>
      </c>
      <c r="C34" s="56" t="s">
        <v>188</v>
      </c>
      <c r="D34" s="56" t="s">
        <v>188</v>
      </c>
      <c r="E34" s="56" t="s">
        <v>188</v>
      </c>
      <c r="F34" s="30">
        <f>'801'!H11/'831'!B34*1000</f>
        <v>729.0108149382404</v>
      </c>
      <c r="G34" s="56" t="s">
        <v>22</v>
      </c>
      <c r="H34" s="56" t="s">
        <v>22</v>
      </c>
      <c r="I34" s="56" t="s">
        <v>22</v>
      </c>
      <c r="K34" s="64">
        <v>18807459.5</v>
      </c>
    </row>
    <row r="35" spans="1:11">
      <c r="A35" s="66">
        <v>1991</v>
      </c>
      <c r="B35" s="56">
        <v>23186.1</v>
      </c>
      <c r="C35" s="56" t="s">
        <v>188</v>
      </c>
      <c r="D35" s="56" t="s">
        <v>188</v>
      </c>
      <c r="E35" s="56" t="s">
        <v>188</v>
      </c>
      <c r="F35" s="30">
        <f>'801'!H12/'831'!B35*1000</f>
        <v>704.76752566636219</v>
      </c>
      <c r="G35" s="56" t="s">
        <v>22</v>
      </c>
      <c r="H35" s="56" t="s">
        <v>22</v>
      </c>
      <c r="I35" s="56" t="s">
        <v>22</v>
      </c>
      <c r="K35" s="64">
        <v>18789109.5</v>
      </c>
    </row>
    <row r="36" spans="1:11">
      <c r="A36" s="66">
        <v>1992</v>
      </c>
      <c r="B36" s="56">
        <v>23290.3</v>
      </c>
      <c r="C36" s="56" t="s">
        <v>188</v>
      </c>
      <c r="D36" s="56" t="s">
        <v>188</v>
      </c>
      <c r="E36" s="56" t="s">
        <v>188</v>
      </c>
      <c r="F36" s="30">
        <f>'801'!H13/'831'!B36*1000</f>
        <v>686.20454019693204</v>
      </c>
      <c r="G36" s="56" t="s">
        <v>22</v>
      </c>
      <c r="H36" s="56" t="s">
        <v>22</v>
      </c>
      <c r="I36" s="56" t="s">
        <v>22</v>
      </c>
      <c r="K36" s="64">
        <v>18823412.100000001</v>
      </c>
    </row>
    <row r="37" spans="1:11">
      <c r="A37" s="66">
        <v>1993</v>
      </c>
      <c r="B37" s="56">
        <v>23792.7</v>
      </c>
      <c r="C37" s="56" t="s">
        <v>188</v>
      </c>
      <c r="D37" s="56" t="s">
        <v>188</v>
      </c>
      <c r="E37" s="56" t="s">
        <v>188</v>
      </c>
      <c r="F37" s="30">
        <f>'801'!H14/'831'!B37*1000</f>
        <v>677.67552287017679</v>
      </c>
      <c r="G37" s="56" t="s">
        <v>22</v>
      </c>
      <c r="H37" s="56" t="s">
        <v>22</v>
      </c>
      <c r="I37" s="56" t="s">
        <v>22</v>
      </c>
      <c r="K37" s="64">
        <v>19191016.699999999</v>
      </c>
    </row>
    <row r="38" spans="1:11">
      <c r="A38" s="66">
        <v>1994</v>
      </c>
      <c r="B38" s="56">
        <v>24614</v>
      </c>
      <c r="C38" s="56" t="s">
        <v>188</v>
      </c>
      <c r="D38" s="56" t="s">
        <v>188</v>
      </c>
      <c r="E38" s="56" t="s">
        <v>188</v>
      </c>
      <c r="F38" s="30">
        <f>'801'!H15/'831'!B38*1000</f>
        <v>678.62978396528649</v>
      </c>
      <c r="G38" s="56" t="s">
        <v>22</v>
      </c>
      <c r="H38" s="56" t="s">
        <v>22</v>
      </c>
      <c r="I38" s="56" t="s">
        <v>22</v>
      </c>
      <c r="K38" s="64">
        <v>19865707</v>
      </c>
    </row>
    <row r="39" spans="1:11">
      <c r="A39" s="66">
        <v>1995</v>
      </c>
      <c r="B39" s="56">
        <v>25412.2</v>
      </c>
      <c r="C39" s="56" t="s">
        <v>188</v>
      </c>
      <c r="D39" s="56" t="s">
        <v>188</v>
      </c>
      <c r="E39" s="56" t="s">
        <v>188</v>
      </c>
      <c r="F39" s="30">
        <f>'801'!H16/'831'!B39*1000</f>
        <v>665.63278598657109</v>
      </c>
      <c r="G39" s="56" t="s">
        <v>22</v>
      </c>
      <c r="H39" s="56" t="s">
        <v>22</v>
      </c>
      <c r="I39" s="56" t="s">
        <v>22</v>
      </c>
      <c r="K39" s="64">
        <v>20508591.600000001</v>
      </c>
    </row>
    <row r="40" spans="1:11">
      <c r="A40" s="66">
        <v>1996</v>
      </c>
      <c r="B40" s="56">
        <v>25267.8</v>
      </c>
      <c r="C40" s="56" t="s">
        <v>188</v>
      </c>
      <c r="D40" s="56" t="s">
        <v>188</v>
      </c>
      <c r="E40" s="56" t="s">
        <v>188</v>
      </c>
      <c r="F40" s="30">
        <f>'801'!H17/'831'!B40*1000</f>
        <v>647.39332746116679</v>
      </c>
      <c r="G40" s="56" t="s">
        <v>22</v>
      </c>
      <c r="H40" s="56" t="s">
        <v>22</v>
      </c>
      <c r="I40" s="56" t="s">
        <v>22</v>
      </c>
      <c r="K40" s="64">
        <v>20354311.800000001</v>
      </c>
    </row>
    <row r="41" spans="1:11">
      <c r="A41" s="66">
        <v>1997</v>
      </c>
      <c r="B41" s="56">
        <v>25457</v>
      </c>
      <c r="C41" s="56" t="s">
        <v>188</v>
      </c>
      <c r="D41" s="56" t="s">
        <v>188</v>
      </c>
      <c r="E41" s="56" t="s">
        <v>188</v>
      </c>
      <c r="F41" s="30">
        <f>'801'!H18/'831'!B41*1000</f>
        <v>655.87828837274856</v>
      </c>
      <c r="G41" s="56" t="s">
        <v>22</v>
      </c>
      <c r="H41" s="56" t="s">
        <v>22</v>
      </c>
      <c r="I41" s="56" t="s">
        <v>22</v>
      </c>
      <c r="K41" s="64">
        <v>20484170.899999999</v>
      </c>
    </row>
    <row r="42" spans="1:11">
      <c r="A42" s="66">
        <v>1998</v>
      </c>
      <c r="B42" s="56">
        <v>25566.799999999999</v>
      </c>
      <c r="C42" s="56" t="s">
        <v>188</v>
      </c>
      <c r="D42" s="56" t="s">
        <v>188</v>
      </c>
      <c r="E42" s="56" t="s">
        <v>188</v>
      </c>
      <c r="F42" s="30">
        <f>'801'!H19/'831'!B42*1000</f>
        <v>687.4480707063301</v>
      </c>
      <c r="G42" s="56" t="s">
        <v>22</v>
      </c>
      <c r="H42" s="56" t="s">
        <v>22</v>
      </c>
      <c r="I42" s="56" t="s">
        <v>22</v>
      </c>
      <c r="K42" s="64">
        <v>20508864.600000001</v>
      </c>
    </row>
    <row r="43" spans="1:11">
      <c r="A43" s="66">
        <v>1999</v>
      </c>
      <c r="B43" s="56">
        <v>26539.599999999999</v>
      </c>
      <c r="C43" s="56" t="s">
        <v>188</v>
      </c>
      <c r="D43" s="56" t="s">
        <v>188</v>
      </c>
      <c r="E43" s="56" t="s">
        <v>188</v>
      </c>
      <c r="F43" s="30">
        <f>'801'!H20/'831'!B43*1000</f>
        <v>704.7454181310701</v>
      </c>
      <c r="G43" s="56" t="s">
        <v>22</v>
      </c>
      <c r="H43" s="56" t="s">
        <v>22</v>
      </c>
      <c r="I43" s="56" t="s">
        <v>22</v>
      </c>
      <c r="K43" s="64">
        <v>21339366.100000001</v>
      </c>
    </row>
    <row r="44" spans="1:11">
      <c r="A44" s="66">
        <v>2000</v>
      </c>
      <c r="B44" s="56">
        <v>26815.599999999999</v>
      </c>
      <c r="C44" s="56" t="s">
        <v>188</v>
      </c>
      <c r="D44" s="56" t="s">
        <v>188</v>
      </c>
      <c r="E44" s="56" t="s">
        <v>188</v>
      </c>
      <c r="F44" s="30">
        <f>'801'!H21/'831'!B44*1000</f>
        <v>738.82164667619338</v>
      </c>
      <c r="G44" s="56" t="s">
        <v>22</v>
      </c>
      <c r="H44" s="56" t="s">
        <v>22</v>
      </c>
      <c r="I44" s="56" t="s">
        <v>22</v>
      </c>
      <c r="K44" s="64">
        <v>21611678.300000001</v>
      </c>
    </row>
    <row r="45" spans="1:11">
      <c r="A45" s="66">
        <v>2001</v>
      </c>
      <c r="B45" s="56">
        <v>26928.400000000001</v>
      </c>
      <c r="C45" s="56" t="s">
        <v>188</v>
      </c>
      <c r="D45" s="56" t="s">
        <v>188</v>
      </c>
      <c r="E45" s="56" t="s">
        <v>188</v>
      </c>
      <c r="F45" s="30">
        <f>'801'!H22/'831'!B45*1000</f>
        <v>740.01551050375724</v>
      </c>
      <c r="G45" s="56" t="s">
        <v>22</v>
      </c>
      <c r="H45" s="56" t="s">
        <v>22</v>
      </c>
      <c r="I45" s="56" t="s">
        <v>22</v>
      </c>
      <c r="K45" s="64">
        <v>21690056.399999999</v>
      </c>
    </row>
    <row r="46" spans="1:11">
      <c r="A46" s="66">
        <v>2002</v>
      </c>
      <c r="B46" s="56">
        <v>26900.799999999999</v>
      </c>
      <c r="C46" s="56" t="s">
        <v>188</v>
      </c>
      <c r="D46" s="56" t="s">
        <v>188</v>
      </c>
      <c r="E46" s="56" t="s">
        <v>188</v>
      </c>
      <c r="F46" s="30">
        <f>'801'!H23/'831'!B46*1000</f>
        <v>856.11119252851972</v>
      </c>
      <c r="G46" s="56" t="s">
        <v>22</v>
      </c>
      <c r="H46" s="56" t="s">
        <v>22</v>
      </c>
      <c r="I46" s="56" t="s">
        <v>22</v>
      </c>
      <c r="K46" s="64">
        <v>21683456.699999999</v>
      </c>
    </row>
    <row r="47" spans="1:11">
      <c r="A47" s="66">
        <v>2003</v>
      </c>
      <c r="B47" s="56">
        <v>27012.3</v>
      </c>
      <c r="C47" s="56" t="s">
        <v>188</v>
      </c>
      <c r="D47" s="56" t="s">
        <v>188</v>
      </c>
      <c r="E47" s="56" t="s">
        <v>188</v>
      </c>
      <c r="F47" s="30">
        <f>'801'!H24/'831'!B47*1000</f>
        <v>906.802442473165</v>
      </c>
      <c r="G47" s="56" t="s">
        <v>22</v>
      </c>
      <c r="H47" s="56" t="s">
        <v>22</v>
      </c>
      <c r="I47" s="56" t="s">
        <v>22</v>
      </c>
      <c r="K47" s="64">
        <v>21788454.5</v>
      </c>
    </row>
    <row r="48" spans="1:11">
      <c r="A48" s="66">
        <v>2004</v>
      </c>
      <c r="B48" s="56">
        <v>27409.3</v>
      </c>
      <c r="C48" s="56" t="s">
        <v>188</v>
      </c>
      <c r="D48" s="56" t="s">
        <v>188</v>
      </c>
      <c r="E48" s="56" t="s">
        <v>188</v>
      </c>
      <c r="F48" s="30">
        <f>'801'!H25/'831'!B48*1000</f>
        <v>884.38848788922508</v>
      </c>
      <c r="G48" s="56" t="s">
        <v>22</v>
      </c>
      <c r="H48" s="56" t="s">
        <v>22</v>
      </c>
      <c r="I48" s="56" t="s">
        <v>22</v>
      </c>
      <c r="K48" s="64">
        <v>22145635.800000001</v>
      </c>
    </row>
    <row r="49" spans="1:11">
      <c r="A49" s="66">
        <v>2005</v>
      </c>
      <c r="B49" s="56">
        <v>28064</v>
      </c>
      <c r="C49" s="56" t="s">
        <v>188</v>
      </c>
      <c r="D49" s="56" t="s">
        <v>188</v>
      </c>
      <c r="E49" s="56" t="s">
        <v>188</v>
      </c>
      <c r="F49" s="30">
        <f>'801'!H26/'831'!B49*1000</f>
        <v>883.2476050764559</v>
      </c>
      <c r="G49" s="56" t="s">
        <v>22</v>
      </c>
      <c r="H49" s="56" t="s">
        <v>22</v>
      </c>
      <c r="I49" s="56" t="s">
        <v>22</v>
      </c>
      <c r="K49" s="64">
        <v>22704955.100000001</v>
      </c>
    </row>
    <row r="50" spans="1:11">
      <c r="A50" s="66">
        <v>2006</v>
      </c>
      <c r="B50" s="56">
        <v>28200.3</v>
      </c>
      <c r="C50" s="56" t="s">
        <v>188</v>
      </c>
      <c r="D50" s="56" t="s">
        <v>188</v>
      </c>
      <c r="E50" s="56" t="s">
        <v>188</v>
      </c>
      <c r="F50" s="30">
        <f>'801'!H27/'831'!B50*1000</f>
        <v>907.73278020846396</v>
      </c>
      <c r="G50" s="56" t="s">
        <v>22</v>
      </c>
      <c r="H50" s="56" t="s">
        <v>22</v>
      </c>
      <c r="I50" s="56" t="s">
        <v>22</v>
      </c>
      <c r="K50" s="64">
        <v>23102263.899999999</v>
      </c>
    </row>
    <row r="51" spans="1:11">
      <c r="A51" s="66">
        <v>2007</v>
      </c>
      <c r="B51" s="56">
        <v>27910.5</v>
      </c>
      <c r="C51" s="56" t="s">
        <v>188</v>
      </c>
      <c r="D51" s="56" t="s">
        <v>188</v>
      </c>
      <c r="E51" s="56" t="s">
        <v>188</v>
      </c>
      <c r="F51" s="30">
        <f>'801'!H28/'831'!B51*1000</f>
        <v>1003.9304204510848</v>
      </c>
      <c r="G51" s="56" t="s">
        <v>22</v>
      </c>
      <c r="H51" s="56" t="s">
        <v>22</v>
      </c>
      <c r="I51" s="56" t="s">
        <v>22</v>
      </c>
      <c r="K51" s="64">
        <v>23070480.300000001</v>
      </c>
    </row>
    <row r="52" spans="1:11">
      <c r="A52" s="66">
        <v>2008</v>
      </c>
      <c r="B52" s="56">
        <v>28094.1</v>
      </c>
      <c r="C52" s="56" t="s">
        <v>188</v>
      </c>
      <c r="D52" s="56" t="s">
        <v>188</v>
      </c>
      <c r="E52" s="56" t="s">
        <v>188</v>
      </c>
      <c r="F52" s="30">
        <f>'801'!H29/'831'!B52*1000</f>
        <v>986.24266305024901</v>
      </c>
      <c r="G52" s="56"/>
      <c r="H52" s="56"/>
      <c r="I52" s="56"/>
    </row>
    <row r="53" spans="1:11">
      <c r="A53" s="66">
        <v>2009</v>
      </c>
      <c r="B53" s="56">
        <v>28036.400000000001</v>
      </c>
      <c r="C53" s="56" t="s">
        <v>188</v>
      </c>
      <c r="D53" s="56" t="s">
        <v>188</v>
      </c>
      <c r="E53" s="56" t="s">
        <v>188</v>
      </c>
      <c r="F53" s="30">
        <f>'801'!H30/'831'!B53*1000</f>
        <v>889.14054586180816</v>
      </c>
      <c r="G53" s="56"/>
      <c r="H53" s="56"/>
      <c r="I53" s="56"/>
    </row>
    <row r="54" spans="1:11">
      <c r="A54" s="66">
        <v>2010</v>
      </c>
      <c r="B54" s="56">
        <v>28683.7</v>
      </c>
      <c r="C54" s="56" t="s">
        <v>188</v>
      </c>
      <c r="D54" s="56" t="s">
        <v>188</v>
      </c>
      <c r="E54" s="56" t="s">
        <v>188</v>
      </c>
      <c r="F54" s="30">
        <f>'801'!H31/'831'!B54*1000</f>
        <v>924.59829101545472</v>
      </c>
      <c r="G54" s="56"/>
      <c r="H54" s="56"/>
      <c r="I54" s="56"/>
    </row>
    <row r="55" spans="1:11">
      <c r="A55" s="66">
        <v>2011</v>
      </c>
      <c r="B55" s="56">
        <v>30192.3</v>
      </c>
      <c r="C55" s="56" t="s">
        <v>188</v>
      </c>
      <c r="D55" s="56" t="s">
        <v>188</v>
      </c>
      <c r="E55" s="56" t="s">
        <v>188</v>
      </c>
      <c r="F55" s="30">
        <f>'801'!H32/'831'!B55*1000</f>
        <v>903.23029381663537</v>
      </c>
      <c r="G55" s="56"/>
      <c r="H55" s="56"/>
      <c r="I55" s="56"/>
    </row>
    <row r="57" spans="1:11">
      <c r="A57" s="66" t="s">
        <v>23</v>
      </c>
    </row>
    <row r="58" spans="1:11">
      <c r="A58" s="64" t="s">
        <v>2143</v>
      </c>
      <c r="B58" s="65">
        <f>IFERROR(((B55/B28)^(1/27)-1)*100,"n.a.")</f>
        <v>1.1186476276684898</v>
      </c>
      <c r="C58" s="65" t="str">
        <f t="shared" ref="C58:I58" si="0">IFERROR(((C55/C28)^(1/27)-1)*100,"n.a.")</f>
        <v>n.a.</v>
      </c>
      <c r="D58" s="65" t="str">
        <f t="shared" si="0"/>
        <v>n.a.</v>
      </c>
      <c r="E58" s="65" t="str">
        <f t="shared" si="0"/>
        <v>n.a.</v>
      </c>
      <c r="F58" s="65">
        <f t="shared" si="0"/>
        <v>1.084915192695135</v>
      </c>
      <c r="G58" s="65" t="str">
        <f t="shared" si="0"/>
        <v>n.a.</v>
      </c>
      <c r="H58" s="65" t="str">
        <f t="shared" si="0"/>
        <v>n.a.</v>
      </c>
      <c r="I58" s="65" t="str">
        <f t="shared" si="0"/>
        <v>n.a.</v>
      </c>
    </row>
    <row r="59" spans="1:11">
      <c r="A59" s="109" t="s">
        <v>682</v>
      </c>
      <c r="B59" s="65">
        <f>IFERROR(((B33/B28)^(1/5)-1)*100,"n.a.")</f>
        <v>0.83533897955945235</v>
      </c>
      <c r="C59" s="65" t="str">
        <f t="shared" ref="C59:I59" si="1">IFERROR(((C33/C28)^(1/5)-1)*100,"n.a.")</f>
        <v>n.a.</v>
      </c>
      <c r="D59" s="65" t="str">
        <f t="shared" si="1"/>
        <v>n.a.</v>
      </c>
      <c r="E59" s="65" t="str">
        <f t="shared" si="1"/>
        <v>n.a.</v>
      </c>
      <c r="F59" s="65">
        <f t="shared" si="1"/>
        <v>1.4794284308621508</v>
      </c>
      <c r="G59" s="65" t="str">
        <f t="shared" si="1"/>
        <v>n.a.</v>
      </c>
      <c r="H59" s="65" t="str">
        <f t="shared" si="1"/>
        <v>n.a.</v>
      </c>
      <c r="I59" s="65" t="str">
        <f t="shared" si="1"/>
        <v>n.a.</v>
      </c>
    </row>
    <row r="60" spans="1:11">
      <c r="A60" s="109" t="s">
        <v>26</v>
      </c>
      <c r="B60" s="65">
        <f>IFERROR(((B44/B33)^(1/11)-1)*100,"n.a.")</f>
        <v>1.2823471456318902</v>
      </c>
      <c r="C60" s="65" t="str">
        <f t="shared" ref="C60:I60" si="2">IFERROR(((C44/C33)^(1/11)-1)*100,"n.a.")</f>
        <v>n.a.</v>
      </c>
      <c r="D60" s="65" t="str">
        <f t="shared" si="2"/>
        <v>n.a.</v>
      </c>
      <c r="E60" s="65" t="str">
        <f t="shared" si="2"/>
        <v>n.a.</v>
      </c>
      <c r="F60" s="65">
        <f t="shared" si="2"/>
        <v>0.15465501129092729</v>
      </c>
      <c r="G60" s="65" t="str">
        <f t="shared" si="2"/>
        <v>n.a.</v>
      </c>
      <c r="H60" s="65" t="str">
        <f t="shared" si="2"/>
        <v>n.a.</v>
      </c>
      <c r="I60" s="65" t="str">
        <f t="shared" si="2"/>
        <v>n.a.</v>
      </c>
    </row>
    <row r="61" spans="1:11">
      <c r="A61" s="64" t="s">
        <v>1782</v>
      </c>
      <c r="B61" s="65">
        <f>IFERROR(((B55/B44)^(1/11)-1)*100,"n.a.")</f>
        <v>1.084043790073741</v>
      </c>
      <c r="C61" s="65" t="str">
        <f t="shared" ref="C61:I61" si="3">IFERROR(((C55/C44)^(1/11)-1)*100,"n.a.")</f>
        <v>n.a.</v>
      </c>
      <c r="D61" s="65" t="str">
        <f t="shared" si="3"/>
        <v>n.a.</v>
      </c>
      <c r="E61" s="65" t="str">
        <f t="shared" si="3"/>
        <v>n.a.</v>
      </c>
      <c r="F61" s="65">
        <f t="shared" si="3"/>
        <v>1.8433381316780295</v>
      </c>
      <c r="G61" s="65" t="str">
        <f t="shared" si="3"/>
        <v>n.a.</v>
      </c>
      <c r="H61" s="65" t="str">
        <f t="shared" si="3"/>
        <v>n.a.</v>
      </c>
      <c r="I61" s="65" t="str">
        <f t="shared" si="3"/>
        <v>n.a.</v>
      </c>
    </row>
    <row r="63" spans="1:11">
      <c r="A63" s="137" t="s">
        <v>500</v>
      </c>
      <c r="B63" s="137"/>
      <c r="C63" s="137"/>
      <c r="D63" s="137"/>
      <c r="E63" s="137"/>
      <c r="F63" s="137"/>
      <c r="G63" s="137"/>
      <c r="H63" s="137"/>
      <c r="I63" s="137"/>
    </row>
    <row r="64" spans="1:11">
      <c r="A64" s="137" t="s">
        <v>686</v>
      </c>
      <c r="B64" s="137"/>
      <c r="C64" s="137"/>
      <c r="D64" s="137"/>
      <c r="E64" s="137"/>
      <c r="F64" s="137"/>
      <c r="G64" s="137"/>
      <c r="H64" s="137"/>
      <c r="I64" s="137"/>
    </row>
    <row r="65" spans="1:9">
      <c r="A65" s="137" t="s">
        <v>695</v>
      </c>
      <c r="B65" s="137"/>
      <c r="C65" s="137"/>
      <c r="D65" s="137"/>
      <c r="E65" s="137"/>
      <c r="F65" s="137"/>
      <c r="G65" s="137"/>
      <c r="H65" s="137"/>
      <c r="I65" s="137"/>
    </row>
    <row r="66" spans="1:9">
      <c r="A66" s="137" t="s">
        <v>193</v>
      </c>
      <c r="B66" s="137"/>
      <c r="C66" s="137"/>
      <c r="D66" s="137"/>
      <c r="E66" s="137"/>
      <c r="F66" s="137"/>
      <c r="G66" s="137"/>
      <c r="H66" s="137"/>
      <c r="I66" s="137"/>
    </row>
    <row r="67" spans="1:9">
      <c r="A67" s="137" t="s">
        <v>514</v>
      </c>
      <c r="B67" s="137"/>
      <c r="C67" s="137"/>
      <c r="D67" s="137"/>
      <c r="E67" s="137"/>
      <c r="F67" s="137"/>
      <c r="G67" s="137"/>
      <c r="H67" s="137"/>
      <c r="I67" s="137"/>
    </row>
    <row r="68" spans="1:9">
      <c r="A68" s="137" t="s">
        <v>515</v>
      </c>
      <c r="B68" s="137"/>
      <c r="C68" s="137"/>
      <c r="D68" s="137"/>
      <c r="E68" s="137"/>
      <c r="F68" s="137"/>
      <c r="G68" s="137"/>
      <c r="H68" s="137"/>
      <c r="I68" s="137"/>
    </row>
    <row r="69" spans="1:9">
      <c r="A69" s="137" t="s">
        <v>516</v>
      </c>
      <c r="B69" s="137"/>
      <c r="C69" s="137"/>
      <c r="D69" s="137"/>
      <c r="E69" s="137"/>
      <c r="F69" s="137"/>
      <c r="G69" s="137"/>
      <c r="H69" s="137"/>
      <c r="I69" s="137"/>
    </row>
  </sheetData>
  <mergeCells count="10">
    <mergeCell ref="A66:I66"/>
    <mergeCell ref="A67:I67"/>
    <mergeCell ref="A68:I68"/>
    <mergeCell ref="A69:I69"/>
    <mergeCell ref="A1:I1"/>
    <mergeCell ref="B2:E2"/>
    <mergeCell ref="F2:I2"/>
    <mergeCell ref="A63:I63"/>
    <mergeCell ref="A64:I64"/>
    <mergeCell ref="A65:I65"/>
  </mergeCells>
  <pageMargins left="0.7" right="0.7" top="0.75" bottom="0.75" header="0.3" footer="0.3"/>
  <pageSetup scale="74" orientation="portrait" horizontalDpi="0" verticalDpi="0" r:id="rId1"/>
</worksheet>
</file>

<file path=xl/worksheets/sheet191.xml><?xml version="1.0" encoding="utf-8"?>
<worksheet xmlns="http://schemas.openxmlformats.org/spreadsheetml/2006/main" xmlns:r="http://schemas.openxmlformats.org/officeDocument/2006/relationships">
  <sheetPr codeName="Sheet185"/>
  <dimension ref="A1:L69"/>
  <sheetViews>
    <sheetView view="pageBreakPreview" zoomScaleNormal="85" zoomScaleSheetLayoutView="100"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3" style="64" customWidth="1"/>
    <col min="2" max="9" width="14.28515625" style="64" customWidth="1"/>
    <col min="10" max="10" width="9.140625" style="64"/>
    <col min="11" max="11" width="9.140625" style="64" hidden="1" customWidth="1" outlineLevel="1"/>
    <col min="12" max="12" width="9.140625" style="64" collapsed="1"/>
    <col min="13" max="16384" width="9.140625" style="64"/>
  </cols>
  <sheetData>
    <row r="1" spans="1:11" ht="30" customHeight="1">
      <c r="A1" s="93" t="s">
        <v>2041</v>
      </c>
      <c r="B1" s="93"/>
      <c r="C1" s="93"/>
      <c r="D1" s="93"/>
      <c r="E1" s="93"/>
      <c r="F1" s="93"/>
      <c r="G1" s="93"/>
      <c r="H1" s="93"/>
      <c r="I1" s="93"/>
    </row>
    <row r="2" spans="1:11">
      <c r="A2" s="66"/>
      <c r="B2" s="105" t="s">
        <v>1928</v>
      </c>
      <c r="C2" s="106"/>
      <c r="D2" s="106"/>
      <c r="E2" s="136"/>
      <c r="F2" s="105" t="s">
        <v>677</v>
      </c>
      <c r="G2" s="106"/>
      <c r="H2" s="106"/>
      <c r="I2" s="136"/>
    </row>
    <row r="3" spans="1:11" ht="45">
      <c r="B3" s="73" t="s">
        <v>7</v>
      </c>
      <c r="C3" s="73" t="s">
        <v>192</v>
      </c>
      <c r="D3" s="73" t="s">
        <v>1</v>
      </c>
      <c r="E3" s="73" t="s">
        <v>2</v>
      </c>
      <c r="F3" s="73" t="s">
        <v>7</v>
      </c>
      <c r="G3" s="73" t="s">
        <v>192</v>
      </c>
      <c r="H3" s="73" t="s">
        <v>1</v>
      </c>
      <c r="I3" s="73" t="s">
        <v>2</v>
      </c>
      <c r="K3" s="73" t="s">
        <v>7</v>
      </c>
    </row>
    <row r="4" spans="1:11" hidden="1" outlineLevel="1"/>
    <row r="5" spans="1:11" hidden="1" outlineLevel="1" collapsed="1">
      <c r="A5" s="64">
        <v>1961</v>
      </c>
      <c r="B5" s="56">
        <v>1424.3</v>
      </c>
      <c r="C5" s="56" t="s">
        <v>188</v>
      </c>
      <c r="D5" s="56" t="s">
        <v>188</v>
      </c>
      <c r="E5" s="56" t="s">
        <v>1778</v>
      </c>
      <c r="F5" s="56" t="s">
        <v>22</v>
      </c>
      <c r="G5" s="56" t="s">
        <v>22</v>
      </c>
      <c r="H5" s="56" t="s">
        <v>22</v>
      </c>
      <c r="I5" s="56" t="s">
        <v>22</v>
      </c>
      <c r="K5" s="64">
        <v>1336138.8</v>
      </c>
    </row>
    <row r="6" spans="1:11" hidden="1" outlineLevel="1">
      <c r="A6" s="64">
        <v>1962</v>
      </c>
      <c r="B6" s="56">
        <v>1506.4</v>
      </c>
      <c r="C6" s="56" t="s">
        <v>188</v>
      </c>
      <c r="D6" s="56" t="s">
        <v>188</v>
      </c>
      <c r="E6" s="56" t="s">
        <v>1778</v>
      </c>
      <c r="F6" s="56" t="s">
        <v>22</v>
      </c>
      <c r="G6" s="56" t="s">
        <v>22</v>
      </c>
      <c r="H6" s="56" t="s">
        <v>22</v>
      </c>
      <c r="I6" s="56" t="s">
        <v>22</v>
      </c>
      <c r="K6" s="64">
        <v>1403904.2</v>
      </c>
    </row>
    <row r="7" spans="1:11" hidden="1" outlineLevel="1">
      <c r="A7" s="64">
        <v>1963</v>
      </c>
      <c r="B7" s="56">
        <v>1581.3</v>
      </c>
      <c r="C7" s="56" t="s">
        <v>188</v>
      </c>
      <c r="D7" s="56" t="s">
        <v>188</v>
      </c>
      <c r="E7" s="56" t="s">
        <v>1778</v>
      </c>
      <c r="F7" s="56" t="s">
        <v>22</v>
      </c>
      <c r="G7" s="56" t="s">
        <v>22</v>
      </c>
      <c r="H7" s="56" t="s">
        <v>22</v>
      </c>
      <c r="I7" s="56" t="s">
        <v>22</v>
      </c>
      <c r="K7" s="64">
        <v>1462642.9</v>
      </c>
    </row>
    <row r="8" spans="1:11" hidden="1" outlineLevel="1">
      <c r="A8" s="64">
        <v>1964</v>
      </c>
      <c r="B8" s="56">
        <v>1641.4</v>
      </c>
      <c r="C8" s="56" t="s">
        <v>188</v>
      </c>
      <c r="D8" s="56" t="s">
        <v>188</v>
      </c>
      <c r="E8" s="56" t="s">
        <v>1778</v>
      </c>
      <c r="F8" s="56" t="s">
        <v>22</v>
      </c>
      <c r="G8" s="56" t="s">
        <v>22</v>
      </c>
      <c r="H8" s="56" t="s">
        <v>22</v>
      </c>
      <c r="I8" s="56" t="s">
        <v>22</v>
      </c>
      <c r="K8" s="64">
        <v>1515627.4</v>
      </c>
    </row>
    <row r="9" spans="1:11" hidden="1" outlineLevel="1">
      <c r="A9" s="64">
        <v>1965</v>
      </c>
      <c r="B9" s="56">
        <v>1766.5</v>
      </c>
      <c r="C9" s="56" t="s">
        <v>188</v>
      </c>
      <c r="D9" s="56" t="s">
        <v>188</v>
      </c>
      <c r="E9" s="56" t="s">
        <v>1778</v>
      </c>
      <c r="F9" s="56" t="s">
        <v>22</v>
      </c>
      <c r="G9" s="56" t="s">
        <v>22</v>
      </c>
      <c r="H9" s="56" t="s">
        <v>22</v>
      </c>
      <c r="I9" s="56" t="s">
        <v>22</v>
      </c>
      <c r="K9" s="64">
        <v>1618817.2</v>
      </c>
    </row>
    <row r="10" spans="1:11" hidden="1" outlineLevel="1">
      <c r="A10" s="64">
        <v>1966</v>
      </c>
      <c r="B10" s="56">
        <v>1865.1</v>
      </c>
      <c r="C10" s="56" t="s">
        <v>188</v>
      </c>
      <c r="D10" s="56" t="s">
        <v>188</v>
      </c>
      <c r="E10" s="56" t="s">
        <v>1778</v>
      </c>
      <c r="F10" s="56" t="s">
        <v>22</v>
      </c>
      <c r="G10" s="56" t="s">
        <v>22</v>
      </c>
      <c r="H10" s="56" t="s">
        <v>22</v>
      </c>
      <c r="I10" s="56" t="s">
        <v>22</v>
      </c>
      <c r="K10" s="64">
        <v>1705407.2</v>
      </c>
    </row>
    <row r="11" spans="1:11" hidden="1" outlineLevel="1">
      <c r="A11" s="64">
        <v>1967</v>
      </c>
      <c r="B11" s="56">
        <v>1893</v>
      </c>
      <c r="C11" s="56" t="s">
        <v>188</v>
      </c>
      <c r="D11" s="56" t="s">
        <v>188</v>
      </c>
      <c r="E11" s="56" t="s">
        <v>1778</v>
      </c>
      <c r="F11" s="56" t="s">
        <v>22</v>
      </c>
      <c r="G11" s="56" t="s">
        <v>22</v>
      </c>
      <c r="H11" s="56" t="s">
        <v>22</v>
      </c>
      <c r="I11" s="56" t="s">
        <v>22</v>
      </c>
      <c r="K11" s="64">
        <v>1726742.8</v>
      </c>
    </row>
    <row r="12" spans="1:11" hidden="1" outlineLevel="1">
      <c r="A12" s="64">
        <v>1968</v>
      </c>
      <c r="B12" s="56">
        <v>1894.3</v>
      </c>
      <c r="C12" s="56" t="s">
        <v>188</v>
      </c>
      <c r="D12" s="56" t="s">
        <v>188</v>
      </c>
      <c r="E12" s="56" t="s">
        <v>1778</v>
      </c>
      <c r="F12" s="56" t="s">
        <v>22</v>
      </c>
      <c r="G12" s="56" t="s">
        <v>22</v>
      </c>
      <c r="H12" s="56" t="s">
        <v>22</v>
      </c>
      <c r="I12" s="56" t="s">
        <v>22</v>
      </c>
      <c r="K12" s="64">
        <v>1719974.9</v>
      </c>
    </row>
    <row r="13" spans="1:11" hidden="1" outlineLevel="1">
      <c r="A13" s="64">
        <v>1969</v>
      </c>
      <c r="B13" s="56">
        <v>1891.2</v>
      </c>
      <c r="C13" s="56" t="s">
        <v>188</v>
      </c>
      <c r="D13" s="56" t="s">
        <v>188</v>
      </c>
      <c r="E13" s="56" t="s">
        <v>1778</v>
      </c>
      <c r="F13" s="56" t="s">
        <v>22</v>
      </c>
      <c r="G13" s="56" t="s">
        <v>22</v>
      </c>
      <c r="H13" s="56" t="s">
        <v>22</v>
      </c>
      <c r="I13" s="56" t="s">
        <v>22</v>
      </c>
      <c r="K13" s="64">
        <v>1706315.3</v>
      </c>
    </row>
    <row r="14" spans="1:11" hidden="1" outlineLevel="1">
      <c r="A14" s="64">
        <v>1970</v>
      </c>
      <c r="B14" s="56">
        <v>1912.7</v>
      </c>
      <c r="C14" s="56" t="s">
        <v>188</v>
      </c>
      <c r="D14" s="56" t="s">
        <v>188</v>
      </c>
      <c r="E14" s="56" t="s">
        <v>1778</v>
      </c>
      <c r="F14" s="56" t="s">
        <v>22</v>
      </c>
      <c r="G14" s="56" t="s">
        <v>22</v>
      </c>
      <c r="H14" s="56" t="s">
        <v>22</v>
      </c>
      <c r="I14" s="56" t="s">
        <v>22</v>
      </c>
      <c r="K14" s="64">
        <v>1720180.3</v>
      </c>
    </row>
    <row r="15" spans="1:11" hidden="1" outlineLevel="1">
      <c r="A15" s="64">
        <v>1971</v>
      </c>
      <c r="B15" s="56">
        <v>1950.2</v>
      </c>
      <c r="C15" s="56" t="s">
        <v>188</v>
      </c>
      <c r="D15" s="56" t="s">
        <v>188</v>
      </c>
      <c r="E15" s="56" t="s">
        <v>1778</v>
      </c>
      <c r="F15" s="56" t="s">
        <v>22</v>
      </c>
      <c r="G15" s="56" t="s">
        <v>22</v>
      </c>
      <c r="H15" s="56" t="s">
        <v>22</v>
      </c>
      <c r="I15" s="56" t="s">
        <v>22</v>
      </c>
      <c r="K15" s="64">
        <v>1738752.5</v>
      </c>
    </row>
    <row r="16" spans="1:11" hidden="1" outlineLevel="1">
      <c r="A16" s="64">
        <v>1972</v>
      </c>
      <c r="B16" s="56">
        <v>1967.4</v>
      </c>
      <c r="C16" s="56" t="s">
        <v>188</v>
      </c>
      <c r="D16" s="56" t="s">
        <v>188</v>
      </c>
      <c r="E16" s="56" t="s">
        <v>1778</v>
      </c>
      <c r="F16" s="56" t="s">
        <v>22</v>
      </c>
      <c r="G16" s="56" t="s">
        <v>22</v>
      </c>
      <c r="H16" s="56" t="s">
        <v>22</v>
      </c>
      <c r="I16" s="56" t="s">
        <v>22</v>
      </c>
      <c r="K16" s="64">
        <v>1746042.8</v>
      </c>
    </row>
    <row r="17" spans="1:11" hidden="1" outlineLevel="1">
      <c r="A17" s="64">
        <v>1973</v>
      </c>
      <c r="B17" s="56">
        <v>2064.6</v>
      </c>
      <c r="C17" s="56" t="s">
        <v>188</v>
      </c>
      <c r="D17" s="56" t="s">
        <v>188</v>
      </c>
      <c r="E17" s="56" t="s">
        <v>1778</v>
      </c>
      <c r="F17" s="56" t="s">
        <v>22</v>
      </c>
      <c r="G17" s="56" t="s">
        <v>22</v>
      </c>
      <c r="H17" s="56" t="s">
        <v>22</v>
      </c>
      <c r="I17" s="56" t="s">
        <v>22</v>
      </c>
      <c r="K17" s="64">
        <v>1823590.3999999999</v>
      </c>
    </row>
    <row r="18" spans="1:11" hidden="1" outlineLevel="1">
      <c r="A18" s="64">
        <v>1974</v>
      </c>
      <c r="B18" s="56">
        <v>2115.6999999999998</v>
      </c>
      <c r="C18" s="56" t="s">
        <v>188</v>
      </c>
      <c r="D18" s="56" t="s">
        <v>188</v>
      </c>
      <c r="E18" s="56" t="s">
        <v>1778</v>
      </c>
      <c r="F18" s="56" t="s">
        <v>22</v>
      </c>
      <c r="G18" s="56" t="s">
        <v>22</v>
      </c>
      <c r="H18" s="56" t="s">
        <v>22</v>
      </c>
      <c r="I18" s="56" t="s">
        <v>22</v>
      </c>
      <c r="K18" s="64">
        <v>1853486.4</v>
      </c>
    </row>
    <row r="19" spans="1:11" hidden="1" outlineLevel="1">
      <c r="A19" s="64">
        <v>1975</v>
      </c>
      <c r="B19" s="56">
        <v>2175.3000000000002</v>
      </c>
      <c r="C19" s="56" t="s">
        <v>188</v>
      </c>
      <c r="D19" s="56" t="s">
        <v>188</v>
      </c>
      <c r="E19" s="56" t="s">
        <v>1778</v>
      </c>
      <c r="F19" s="56" t="s">
        <v>22</v>
      </c>
      <c r="G19" s="56" t="s">
        <v>22</v>
      </c>
      <c r="H19" s="56" t="s">
        <v>22</v>
      </c>
      <c r="I19" s="56" t="s">
        <v>22</v>
      </c>
      <c r="K19" s="64">
        <v>1898788</v>
      </c>
    </row>
    <row r="20" spans="1:11" hidden="1" outlineLevel="1">
      <c r="A20" s="64">
        <v>1976</v>
      </c>
      <c r="B20" s="56">
        <v>2192.3000000000002</v>
      </c>
      <c r="C20" s="56" t="s">
        <v>188</v>
      </c>
      <c r="D20" s="56" t="s">
        <v>188</v>
      </c>
      <c r="E20" s="56" t="s">
        <v>1778</v>
      </c>
      <c r="F20" s="56" t="s">
        <v>22</v>
      </c>
      <c r="G20" s="56" t="s">
        <v>22</v>
      </c>
      <c r="H20" s="56" t="s">
        <v>22</v>
      </c>
      <c r="I20" s="56" t="s">
        <v>22</v>
      </c>
      <c r="K20" s="64">
        <v>1911227</v>
      </c>
    </row>
    <row r="21" spans="1:11" hidden="1" outlineLevel="1">
      <c r="A21" s="64">
        <v>1977</v>
      </c>
      <c r="B21" s="56">
        <v>2244.5</v>
      </c>
      <c r="C21" s="56" t="s">
        <v>188</v>
      </c>
      <c r="D21" s="56" t="s">
        <v>188</v>
      </c>
      <c r="E21" s="56" t="s">
        <v>1778</v>
      </c>
      <c r="F21" s="56" t="s">
        <v>22</v>
      </c>
      <c r="G21" s="56" t="s">
        <v>22</v>
      </c>
      <c r="H21" s="56" t="s">
        <v>22</v>
      </c>
      <c r="I21" s="56" t="s">
        <v>22</v>
      </c>
      <c r="K21" s="64">
        <v>1949254.1</v>
      </c>
    </row>
    <row r="22" spans="1:11" hidden="1" outlineLevel="1">
      <c r="A22" s="64">
        <v>1978</v>
      </c>
      <c r="B22" s="56">
        <v>2325.9</v>
      </c>
      <c r="C22" s="56" t="s">
        <v>188</v>
      </c>
      <c r="D22" s="56" t="s">
        <v>188</v>
      </c>
      <c r="E22" s="56" t="s">
        <v>1778</v>
      </c>
      <c r="F22" s="56" t="s">
        <v>22</v>
      </c>
      <c r="G22" s="56" t="s">
        <v>22</v>
      </c>
      <c r="H22" s="56" t="s">
        <v>22</v>
      </c>
      <c r="I22" s="56" t="s">
        <v>22</v>
      </c>
      <c r="K22" s="64">
        <v>2010846</v>
      </c>
    </row>
    <row r="23" spans="1:11" hidden="1" outlineLevel="1">
      <c r="A23" s="64">
        <v>1979</v>
      </c>
      <c r="B23" s="56">
        <v>2423.8000000000002</v>
      </c>
      <c r="C23" s="56" t="s">
        <v>188</v>
      </c>
      <c r="D23" s="56" t="s">
        <v>188</v>
      </c>
      <c r="E23" s="56" t="s">
        <v>1778</v>
      </c>
      <c r="F23" s="56" t="s">
        <v>22</v>
      </c>
      <c r="G23" s="56" t="s">
        <v>22</v>
      </c>
      <c r="H23" s="56" t="s">
        <v>22</v>
      </c>
      <c r="I23" s="56" t="s">
        <v>22</v>
      </c>
      <c r="K23" s="64">
        <v>2090197.8</v>
      </c>
    </row>
    <row r="24" spans="1:11" hidden="1" outlineLevel="1">
      <c r="A24" s="64">
        <v>1980</v>
      </c>
      <c r="B24" s="56">
        <v>2547.8000000000002</v>
      </c>
      <c r="C24" s="56" t="s">
        <v>188</v>
      </c>
      <c r="D24" s="56" t="s">
        <v>188</v>
      </c>
      <c r="E24" s="56" t="s">
        <v>1778</v>
      </c>
      <c r="F24" s="56" t="s">
        <v>22</v>
      </c>
      <c r="G24" s="56" t="s">
        <v>22</v>
      </c>
      <c r="H24" s="56" t="s">
        <v>22</v>
      </c>
      <c r="I24" s="56" t="s">
        <v>22</v>
      </c>
      <c r="K24" s="64">
        <v>2200919.9</v>
      </c>
    </row>
    <row r="25" spans="1:11" hidden="1" outlineLevel="1">
      <c r="A25" s="64">
        <v>1981</v>
      </c>
      <c r="B25" s="56">
        <v>2601.8000000000002</v>
      </c>
      <c r="C25" s="56" t="s">
        <v>188</v>
      </c>
      <c r="D25" s="56" t="s">
        <v>188</v>
      </c>
      <c r="E25" s="56" t="s">
        <v>1778</v>
      </c>
      <c r="F25" s="56" t="s">
        <v>22</v>
      </c>
      <c r="G25" s="56" t="s">
        <v>22</v>
      </c>
      <c r="H25" s="56" t="s">
        <v>22</v>
      </c>
      <c r="I25" s="56" t="s">
        <v>22</v>
      </c>
      <c r="K25" s="64">
        <v>2246258.6</v>
      </c>
    </row>
    <row r="26" spans="1:11" hidden="1" outlineLevel="1">
      <c r="A26" s="64">
        <v>1982</v>
      </c>
      <c r="B26" s="56">
        <v>2639.1</v>
      </c>
      <c r="C26" s="56" t="s">
        <v>188</v>
      </c>
      <c r="D26" s="56" t="s">
        <v>188</v>
      </c>
      <c r="E26" s="56" t="s">
        <v>1778</v>
      </c>
      <c r="F26" s="56" t="s">
        <v>22</v>
      </c>
      <c r="G26" s="56" t="s">
        <v>22</v>
      </c>
      <c r="H26" s="56" t="s">
        <v>22</v>
      </c>
      <c r="I26" s="56" t="s">
        <v>22</v>
      </c>
      <c r="K26" s="64">
        <v>2275111.7999999998</v>
      </c>
    </row>
    <row r="27" spans="1:11" hidden="1" outlineLevel="1">
      <c r="A27" s="64">
        <v>1983</v>
      </c>
      <c r="B27" s="56">
        <v>2671.6</v>
      </c>
      <c r="C27" s="56" t="s">
        <v>188</v>
      </c>
      <c r="D27" s="56" t="s">
        <v>188</v>
      </c>
      <c r="E27" s="56" t="s">
        <v>1778</v>
      </c>
      <c r="F27" s="56" t="s">
        <v>22</v>
      </c>
      <c r="G27" s="56" t="s">
        <v>22</v>
      </c>
      <c r="H27" s="56" t="s">
        <v>22</v>
      </c>
      <c r="I27" s="56" t="s">
        <v>22</v>
      </c>
      <c r="K27" s="64">
        <v>2292653.7999999998</v>
      </c>
    </row>
    <row r="28" spans="1:11" collapsed="1">
      <c r="A28" s="66">
        <v>1984</v>
      </c>
      <c r="B28" s="56">
        <v>2708.7</v>
      </c>
      <c r="C28" s="56" t="s">
        <v>188</v>
      </c>
      <c r="D28" s="56" t="s">
        <v>188</v>
      </c>
      <c r="E28" s="56" t="s">
        <v>1778</v>
      </c>
      <c r="F28" s="56">
        <f>'802'!H5/'832'!B28*1000</f>
        <v>882.05464276042437</v>
      </c>
      <c r="G28" s="56" t="s">
        <v>22</v>
      </c>
      <c r="H28" s="56" t="s">
        <v>22</v>
      </c>
      <c r="I28" s="56" t="s">
        <v>22</v>
      </c>
      <c r="K28" s="64">
        <v>2313878.2999999998</v>
      </c>
    </row>
    <row r="29" spans="1:11">
      <c r="A29" s="66">
        <v>1985</v>
      </c>
      <c r="B29" s="56">
        <v>2755.4</v>
      </c>
      <c r="C29" s="56" t="s">
        <v>188</v>
      </c>
      <c r="D29" s="56" t="s">
        <v>188</v>
      </c>
      <c r="E29" s="56" t="s">
        <v>1778</v>
      </c>
      <c r="F29" s="56">
        <f>'802'!H6/'832'!B29*1000</f>
        <v>880.47539241542825</v>
      </c>
      <c r="G29" s="56" t="s">
        <v>22</v>
      </c>
      <c r="H29" s="56" t="s">
        <v>22</v>
      </c>
      <c r="I29" s="56" t="s">
        <v>22</v>
      </c>
      <c r="K29" s="64">
        <v>2339945.6</v>
      </c>
    </row>
    <row r="30" spans="1:11">
      <c r="A30" s="66">
        <v>1986</v>
      </c>
      <c r="B30" s="56">
        <v>2813.7</v>
      </c>
      <c r="C30" s="56" t="s">
        <v>188</v>
      </c>
      <c r="D30" s="56" t="s">
        <v>188</v>
      </c>
      <c r="E30" s="56" t="s">
        <v>1778</v>
      </c>
      <c r="F30" s="56">
        <f>'802'!H7/'832'!B30*1000</f>
        <v>897.39140376159867</v>
      </c>
      <c r="G30" s="56" t="s">
        <v>22</v>
      </c>
      <c r="H30" s="56" t="s">
        <v>22</v>
      </c>
      <c r="I30" s="56" t="s">
        <v>22</v>
      </c>
      <c r="K30" s="64">
        <v>2370419.7000000002</v>
      </c>
    </row>
    <row r="31" spans="1:11">
      <c r="A31" s="66">
        <v>1987</v>
      </c>
      <c r="B31" s="56">
        <v>2875.9</v>
      </c>
      <c r="C31" s="56" t="s">
        <v>188</v>
      </c>
      <c r="D31" s="56" t="s">
        <v>188</v>
      </c>
      <c r="E31" s="56" t="s">
        <v>1778</v>
      </c>
      <c r="F31" s="56">
        <f>'802'!H8/'832'!B31*1000</f>
        <v>903.11006010287156</v>
      </c>
      <c r="G31" s="56" t="s">
        <v>22</v>
      </c>
      <c r="H31" s="56" t="s">
        <v>22</v>
      </c>
      <c r="I31" s="56" t="s">
        <v>22</v>
      </c>
      <c r="K31" s="64">
        <v>2415567.1</v>
      </c>
    </row>
    <row r="32" spans="1:11">
      <c r="A32" s="66">
        <v>1988</v>
      </c>
      <c r="B32" s="56">
        <v>2993.1</v>
      </c>
      <c r="C32" s="56" t="s">
        <v>188</v>
      </c>
      <c r="D32" s="56" t="s">
        <v>188</v>
      </c>
      <c r="E32" s="56" t="s">
        <v>188</v>
      </c>
      <c r="F32" s="56">
        <f>'802'!H9/'832'!B32*1000</f>
        <v>931.78570589807123</v>
      </c>
      <c r="G32" s="56" t="s">
        <v>22</v>
      </c>
      <c r="H32" s="56" t="s">
        <v>22</v>
      </c>
      <c r="I32" s="56" t="s">
        <v>22</v>
      </c>
      <c r="K32" s="64">
        <v>2510900.4</v>
      </c>
    </row>
    <row r="33" spans="1:11">
      <c r="A33" s="66">
        <v>1989</v>
      </c>
      <c r="B33" s="56">
        <v>3112.4</v>
      </c>
      <c r="C33" s="56" t="s">
        <v>188</v>
      </c>
      <c r="D33" s="56" t="s">
        <v>188</v>
      </c>
      <c r="E33" s="56" t="s">
        <v>188</v>
      </c>
      <c r="F33" s="56">
        <f>'802'!H10/'832'!B33*1000</f>
        <v>901.40877092490598</v>
      </c>
      <c r="G33" s="56" t="s">
        <v>22</v>
      </c>
      <c r="H33" s="56" t="s">
        <v>22</v>
      </c>
      <c r="I33" s="56" t="s">
        <v>22</v>
      </c>
      <c r="K33" s="64">
        <v>2601765.7000000002</v>
      </c>
    </row>
    <row r="34" spans="1:11">
      <c r="A34" s="66">
        <v>1990</v>
      </c>
      <c r="B34" s="56">
        <v>3185.2</v>
      </c>
      <c r="C34" s="56" t="s">
        <v>188</v>
      </c>
      <c r="D34" s="56" t="s">
        <v>188</v>
      </c>
      <c r="E34" s="56" t="s">
        <v>188</v>
      </c>
      <c r="F34" s="56">
        <f>'802'!H11/'832'!B34*1000</f>
        <v>876.31747716714654</v>
      </c>
      <c r="G34" s="56" t="s">
        <v>22</v>
      </c>
      <c r="H34" s="56" t="s">
        <v>22</v>
      </c>
      <c r="I34" s="56" t="s">
        <v>22</v>
      </c>
      <c r="K34" s="64">
        <v>2656246.7999999998</v>
      </c>
    </row>
    <row r="35" spans="1:11">
      <c r="A35" s="66">
        <v>1991</v>
      </c>
      <c r="B35" s="56">
        <v>3333.5</v>
      </c>
      <c r="C35" s="56" t="s">
        <v>188</v>
      </c>
      <c r="D35" s="56" t="s">
        <v>188</v>
      </c>
      <c r="E35" s="56" t="s">
        <v>188</v>
      </c>
      <c r="F35" s="56">
        <f>'802'!H12/'832'!B35*1000</f>
        <v>833.42922657255815</v>
      </c>
      <c r="G35" s="56" t="s">
        <v>22</v>
      </c>
      <c r="H35" s="56" t="s">
        <v>22</v>
      </c>
      <c r="I35" s="56" t="s">
        <v>22</v>
      </c>
      <c r="K35" s="64">
        <v>2795007.2</v>
      </c>
    </row>
    <row r="36" spans="1:11">
      <c r="A36" s="66">
        <v>1992</v>
      </c>
      <c r="B36" s="56">
        <v>3410.9</v>
      </c>
      <c r="C36" s="56" t="s">
        <v>188</v>
      </c>
      <c r="D36" s="56" t="s">
        <v>188</v>
      </c>
      <c r="E36" s="56" t="s">
        <v>188</v>
      </c>
      <c r="F36" s="56">
        <f>'802'!H13/'832'!B36*1000</f>
        <v>825.16683592355344</v>
      </c>
      <c r="G36" s="56" t="s">
        <v>22</v>
      </c>
      <c r="H36" s="56" t="s">
        <v>22</v>
      </c>
      <c r="I36" s="56" t="s">
        <v>22</v>
      </c>
      <c r="K36" s="64">
        <v>2843648.4</v>
      </c>
    </row>
    <row r="37" spans="1:11">
      <c r="A37" s="66">
        <v>1993</v>
      </c>
      <c r="B37" s="56">
        <v>3473.1</v>
      </c>
      <c r="C37" s="56" t="s">
        <v>188</v>
      </c>
      <c r="D37" s="56" t="s">
        <v>188</v>
      </c>
      <c r="E37" s="56" t="s">
        <v>188</v>
      </c>
      <c r="F37" s="56">
        <f>'802'!H14/'832'!B37*1000</f>
        <v>817.73243272399554</v>
      </c>
      <c r="G37" s="56" t="s">
        <v>22</v>
      </c>
      <c r="H37" s="56" t="s">
        <v>22</v>
      </c>
      <c r="I37" s="56" t="s">
        <v>22</v>
      </c>
      <c r="K37" s="64">
        <v>2876233.5</v>
      </c>
    </row>
    <row r="38" spans="1:11">
      <c r="A38" s="66">
        <v>1994</v>
      </c>
      <c r="B38" s="56">
        <v>3617.5</v>
      </c>
      <c r="C38" s="56" t="s">
        <v>188</v>
      </c>
      <c r="D38" s="56" t="s">
        <v>188</v>
      </c>
      <c r="E38" s="56" t="s">
        <v>188</v>
      </c>
      <c r="F38" s="56">
        <f>'802'!H15/'832'!B38*1000</f>
        <v>820.98407774797249</v>
      </c>
      <c r="G38" s="56" t="s">
        <v>22</v>
      </c>
      <c r="H38" s="56" t="s">
        <v>22</v>
      </c>
      <c r="I38" s="56" t="s">
        <v>22</v>
      </c>
      <c r="K38" s="64">
        <v>3001378.9</v>
      </c>
    </row>
    <row r="39" spans="1:11">
      <c r="A39" s="66">
        <v>1995</v>
      </c>
      <c r="B39" s="56">
        <v>3789.1</v>
      </c>
      <c r="C39" s="56" t="s">
        <v>188</v>
      </c>
      <c r="D39" s="56" t="s">
        <v>188</v>
      </c>
      <c r="E39" s="56" t="s">
        <v>188</v>
      </c>
      <c r="F39" s="56">
        <f>'802'!H16/'832'!B39*1000</f>
        <v>833.94708722599978</v>
      </c>
      <c r="G39" s="56" t="s">
        <v>22</v>
      </c>
      <c r="H39" s="56" t="s">
        <v>22</v>
      </c>
      <c r="I39" s="56" t="s">
        <v>22</v>
      </c>
      <c r="K39" s="64">
        <v>3153267.4</v>
      </c>
    </row>
    <row r="40" spans="1:11">
      <c r="A40" s="66">
        <v>1996</v>
      </c>
      <c r="B40" s="56">
        <v>3984.5</v>
      </c>
      <c r="C40" s="56" t="s">
        <v>188</v>
      </c>
      <c r="D40" s="56" t="s">
        <v>188</v>
      </c>
      <c r="E40" s="56" t="s">
        <v>188</v>
      </c>
      <c r="F40" s="56">
        <f>'802'!H17/'832'!B40*1000</f>
        <v>816.26215595608551</v>
      </c>
      <c r="G40" s="56" t="s">
        <v>22</v>
      </c>
      <c r="H40" s="56" t="s">
        <v>22</v>
      </c>
      <c r="I40" s="56" t="s">
        <v>22</v>
      </c>
      <c r="K40" s="64">
        <v>3315471</v>
      </c>
    </row>
    <row r="41" spans="1:11">
      <c r="A41" s="66">
        <v>1997</v>
      </c>
      <c r="B41" s="56">
        <v>4011.1</v>
      </c>
      <c r="C41" s="56" t="s">
        <v>188</v>
      </c>
      <c r="D41" s="56" t="s">
        <v>188</v>
      </c>
      <c r="E41" s="56" t="s">
        <v>188</v>
      </c>
      <c r="F41" s="56">
        <f>'802'!H18/'832'!B41*1000</f>
        <v>809.46812752261701</v>
      </c>
      <c r="G41" s="56" t="s">
        <v>22</v>
      </c>
      <c r="H41" s="56" t="s">
        <v>22</v>
      </c>
      <c r="I41" s="56" t="s">
        <v>22</v>
      </c>
      <c r="K41" s="64">
        <v>3322748.8</v>
      </c>
    </row>
    <row r="42" spans="1:11">
      <c r="A42" s="66">
        <v>1998</v>
      </c>
      <c r="B42" s="56">
        <v>4053</v>
      </c>
      <c r="C42" s="56" t="s">
        <v>188</v>
      </c>
      <c r="D42" s="56" t="s">
        <v>188</v>
      </c>
      <c r="E42" s="56" t="s">
        <v>188</v>
      </c>
      <c r="F42" s="56">
        <f>'802'!H19/'832'!B42*1000</f>
        <v>843.06034087961325</v>
      </c>
      <c r="G42" s="56" t="s">
        <v>22</v>
      </c>
      <c r="H42" s="56" t="s">
        <v>22</v>
      </c>
      <c r="I42" s="56" t="s">
        <v>22</v>
      </c>
      <c r="K42" s="64">
        <v>3337504.2</v>
      </c>
    </row>
    <row r="43" spans="1:11">
      <c r="A43" s="66">
        <v>1999</v>
      </c>
      <c r="B43" s="56">
        <v>4130.3</v>
      </c>
      <c r="C43" s="56" t="s">
        <v>188</v>
      </c>
      <c r="D43" s="56" t="s">
        <v>188</v>
      </c>
      <c r="E43" s="56" t="s">
        <v>188</v>
      </c>
      <c r="F43" s="56">
        <f>'802'!H20/'832'!B43*1000</f>
        <v>858.84800674232929</v>
      </c>
      <c r="G43" s="56" t="s">
        <v>22</v>
      </c>
      <c r="H43" s="56" t="s">
        <v>22</v>
      </c>
      <c r="I43" s="56" t="s">
        <v>22</v>
      </c>
      <c r="K43" s="64">
        <v>3390778.8</v>
      </c>
    </row>
    <row r="44" spans="1:11">
      <c r="A44" s="66">
        <v>2000</v>
      </c>
      <c r="B44" s="56">
        <v>4187.8999999999996</v>
      </c>
      <c r="C44" s="56" t="s">
        <v>188</v>
      </c>
      <c r="D44" s="56" t="s">
        <v>188</v>
      </c>
      <c r="E44" s="56" t="s">
        <v>188</v>
      </c>
      <c r="F44" s="56">
        <f>'802'!H21/'832'!B44*1000</f>
        <v>863.77585388696457</v>
      </c>
      <c r="G44" s="56" t="s">
        <v>22</v>
      </c>
      <c r="H44" s="56" t="s">
        <v>22</v>
      </c>
      <c r="I44" s="56" t="s">
        <v>22</v>
      </c>
      <c r="K44" s="64">
        <v>3425004.2</v>
      </c>
    </row>
    <row r="45" spans="1:11">
      <c r="A45" s="66">
        <v>2001</v>
      </c>
      <c r="B45" s="56">
        <v>4248.8</v>
      </c>
      <c r="C45" s="56" t="s">
        <v>188</v>
      </c>
      <c r="D45" s="56" t="s">
        <v>188</v>
      </c>
      <c r="E45" s="56" t="s">
        <v>188</v>
      </c>
      <c r="F45" s="56">
        <f>'802'!H22/'832'!B45*1000</f>
        <v>849.50539421847134</v>
      </c>
      <c r="G45" s="56" t="s">
        <v>22</v>
      </c>
      <c r="H45" s="56" t="s">
        <v>22</v>
      </c>
      <c r="I45" s="56" t="s">
        <v>22</v>
      </c>
      <c r="K45" s="64">
        <v>3464942.9</v>
      </c>
    </row>
    <row r="46" spans="1:11">
      <c r="A46" s="66">
        <v>2002</v>
      </c>
      <c r="B46" s="56">
        <v>4308.3</v>
      </c>
      <c r="C46" s="56" t="s">
        <v>188</v>
      </c>
      <c r="D46" s="56" t="s">
        <v>188</v>
      </c>
      <c r="E46" s="56" t="s">
        <v>188</v>
      </c>
      <c r="F46" s="56">
        <f>'802'!H23/'832'!B46*1000</f>
        <v>876.43365722495548</v>
      </c>
      <c r="G46" s="56" t="s">
        <v>22</v>
      </c>
      <c r="H46" s="56" t="s">
        <v>22</v>
      </c>
      <c r="I46" s="56" t="s">
        <v>22</v>
      </c>
      <c r="K46" s="64">
        <v>3514495.2</v>
      </c>
    </row>
    <row r="47" spans="1:11">
      <c r="A47" s="66">
        <v>2003</v>
      </c>
      <c r="B47" s="56">
        <v>4376.5</v>
      </c>
      <c r="C47" s="56" t="s">
        <v>188</v>
      </c>
      <c r="D47" s="56" t="s">
        <v>188</v>
      </c>
      <c r="E47" s="56" t="s">
        <v>188</v>
      </c>
      <c r="F47" s="56">
        <f>'802'!H24/'832'!B47*1000</f>
        <v>881.50783898597274</v>
      </c>
      <c r="G47" s="56" t="s">
        <v>22</v>
      </c>
      <c r="H47" s="56" t="s">
        <v>22</v>
      </c>
      <c r="I47" s="56" t="s">
        <v>22</v>
      </c>
      <c r="K47" s="64">
        <v>3568260.5</v>
      </c>
    </row>
    <row r="48" spans="1:11">
      <c r="A48" s="66">
        <v>2004</v>
      </c>
      <c r="B48" s="56">
        <v>4426.3999999999996</v>
      </c>
      <c r="C48" s="56" t="s">
        <v>188</v>
      </c>
      <c r="D48" s="56" t="s">
        <v>188</v>
      </c>
      <c r="E48" s="56" t="s">
        <v>188</v>
      </c>
      <c r="F48" s="56">
        <f>'802'!H25/'832'!B48*1000</f>
        <v>897.65258824116745</v>
      </c>
      <c r="G48" s="56" t="s">
        <v>22</v>
      </c>
      <c r="H48" s="56" t="s">
        <v>22</v>
      </c>
      <c r="I48" s="56" t="s">
        <v>22</v>
      </c>
      <c r="K48" s="64">
        <v>3606588.8</v>
      </c>
    </row>
    <row r="49" spans="1:11">
      <c r="A49" s="66">
        <v>2005</v>
      </c>
      <c r="B49" s="56">
        <v>4536.3</v>
      </c>
      <c r="C49" s="56" t="s">
        <v>188</v>
      </c>
      <c r="D49" s="56" t="s">
        <v>188</v>
      </c>
      <c r="E49" s="56" t="s">
        <v>188</v>
      </c>
      <c r="F49" s="56">
        <f>'802'!H26/'832'!B49*1000</f>
        <v>888.36878086977345</v>
      </c>
      <c r="G49" s="56" t="s">
        <v>22</v>
      </c>
      <c r="H49" s="56" t="s">
        <v>22</v>
      </c>
      <c r="I49" s="56" t="s">
        <v>22</v>
      </c>
      <c r="K49" s="64">
        <v>3664893.9</v>
      </c>
    </row>
    <row r="50" spans="1:11">
      <c r="A50" s="66">
        <v>2006</v>
      </c>
      <c r="B50" s="56">
        <v>4702.7</v>
      </c>
      <c r="C50" s="56" t="s">
        <v>188</v>
      </c>
      <c r="D50" s="56" t="s">
        <v>188</v>
      </c>
      <c r="E50" s="56" t="s">
        <v>188</v>
      </c>
      <c r="F50" s="56">
        <f>'802'!H27/'832'!B50*1000</f>
        <v>876.53136532030123</v>
      </c>
      <c r="G50" s="56" t="s">
        <v>22</v>
      </c>
      <c r="H50" s="56" t="s">
        <v>22</v>
      </c>
      <c r="I50" s="56" t="s">
        <v>22</v>
      </c>
      <c r="K50" s="64">
        <v>3759536.9</v>
      </c>
    </row>
    <row r="51" spans="1:11">
      <c r="A51" s="66">
        <v>2007</v>
      </c>
      <c r="B51" s="56">
        <v>4881.1000000000004</v>
      </c>
      <c r="C51" s="56" t="s">
        <v>188</v>
      </c>
      <c r="D51" s="56" t="s">
        <v>188</v>
      </c>
      <c r="E51" s="56" t="s">
        <v>188</v>
      </c>
      <c r="F51" s="56">
        <f>'802'!H28/'832'!B51*1000</f>
        <v>864.04703857736979</v>
      </c>
      <c r="G51" s="56" t="s">
        <v>22</v>
      </c>
      <c r="H51" s="56" t="s">
        <v>22</v>
      </c>
      <c r="I51" s="56" t="s">
        <v>22</v>
      </c>
      <c r="K51" s="64">
        <v>3889101.6</v>
      </c>
    </row>
    <row r="52" spans="1:11">
      <c r="A52" s="66">
        <v>2008</v>
      </c>
      <c r="B52" s="56">
        <v>5007.8</v>
      </c>
      <c r="C52" s="56" t="s">
        <v>188</v>
      </c>
      <c r="D52" s="56" t="s">
        <v>188</v>
      </c>
      <c r="E52" s="56" t="s">
        <v>188</v>
      </c>
      <c r="F52" s="56">
        <f>'802'!H29/'832'!B52*1000</f>
        <v>849.99400934542109</v>
      </c>
      <c r="G52" s="56"/>
      <c r="H52" s="56"/>
      <c r="I52" s="56"/>
    </row>
    <row r="53" spans="1:11">
      <c r="A53" s="66">
        <v>2009</v>
      </c>
      <c r="B53" s="56">
        <v>5085.1000000000004</v>
      </c>
      <c r="C53" s="56" t="s">
        <v>188</v>
      </c>
      <c r="D53" s="56" t="s">
        <v>188</v>
      </c>
      <c r="E53" s="56" t="s">
        <v>188</v>
      </c>
      <c r="F53" s="56">
        <f>'802'!H30/'832'!B53*1000</f>
        <v>840.77009301685302</v>
      </c>
      <c r="G53" s="56"/>
      <c r="H53" s="56"/>
      <c r="I53" s="56"/>
    </row>
    <row r="54" spans="1:11">
      <c r="A54" s="66">
        <v>2010</v>
      </c>
      <c r="B54" s="56">
        <v>5170.3</v>
      </c>
      <c r="C54" s="56" t="s">
        <v>188</v>
      </c>
      <c r="D54" s="56" t="s">
        <v>188</v>
      </c>
      <c r="E54" s="56" t="s">
        <v>188</v>
      </c>
      <c r="F54" s="56">
        <f>'802'!H31/'832'!B54*1000</f>
        <v>849.83463241978211</v>
      </c>
      <c r="G54" s="56"/>
      <c r="H54" s="56"/>
      <c r="I54" s="56"/>
    </row>
    <row r="55" spans="1:11">
      <c r="A55" s="66">
        <v>2011</v>
      </c>
      <c r="B55" s="56">
        <v>5350.7</v>
      </c>
      <c r="C55" s="56" t="s">
        <v>188</v>
      </c>
      <c r="D55" s="56" t="s">
        <v>188</v>
      </c>
      <c r="E55" s="56" t="s">
        <v>188</v>
      </c>
      <c r="F55" s="56">
        <f>'802'!H32/'832'!B55*1000</f>
        <v>835.01224138897715</v>
      </c>
      <c r="G55" s="56"/>
      <c r="H55" s="56"/>
      <c r="I55" s="56"/>
    </row>
    <row r="57" spans="1:11">
      <c r="A57" s="66" t="s">
        <v>23</v>
      </c>
    </row>
    <row r="58" spans="1:11">
      <c r="A58" s="64" t="s">
        <v>2143</v>
      </c>
      <c r="B58" s="65">
        <f>IFERROR(((B55/B28)^(1/27)-1)*100,"n.a.")</f>
        <v>2.5533823756524132</v>
      </c>
      <c r="C58" s="65" t="str">
        <f t="shared" ref="C58:I58" si="0">IFERROR(((C55/C28)^(1/27)-1)*100,"n.a.")</f>
        <v>n.a.</v>
      </c>
      <c r="D58" s="65" t="str">
        <f t="shared" si="0"/>
        <v>n.a.</v>
      </c>
      <c r="E58" s="65" t="str">
        <f t="shared" si="0"/>
        <v>n.a.</v>
      </c>
      <c r="F58" s="65">
        <f t="shared" si="0"/>
        <v>-0.20278530569844966</v>
      </c>
      <c r="G58" s="65" t="str">
        <f t="shared" si="0"/>
        <v>n.a.</v>
      </c>
      <c r="H58" s="65" t="str">
        <f t="shared" si="0"/>
        <v>n.a.</v>
      </c>
      <c r="I58" s="65" t="str">
        <f t="shared" si="0"/>
        <v>n.a.</v>
      </c>
    </row>
    <row r="59" spans="1:11">
      <c r="A59" s="109" t="s">
        <v>682</v>
      </c>
      <c r="B59" s="65">
        <f>IFERROR(((B33/B28)^(1/5)-1)*100,"n.a.")</f>
        <v>2.8174668459174157</v>
      </c>
      <c r="C59" s="65" t="str">
        <f t="shared" ref="C59:I59" si="1">IFERROR(((C33/C28)^(1/5)-1)*100,"n.a.")</f>
        <v>n.a.</v>
      </c>
      <c r="D59" s="65" t="str">
        <f t="shared" si="1"/>
        <v>n.a.</v>
      </c>
      <c r="E59" s="65" t="str">
        <f t="shared" si="1"/>
        <v>n.a.</v>
      </c>
      <c r="F59" s="65">
        <f t="shared" si="1"/>
        <v>0.43504022869023107</v>
      </c>
      <c r="G59" s="65" t="str">
        <f t="shared" si="1"/>
        <v>n.a.</v>
      </c>
      <c r="H59" s="65" t="str">
        <f t="shared" si="1"/>
        <v>n.a.</v>
      </c>
      <c r="I59" s="65" t="str">
        <f t="shared" si="1"/>
        <v>n.a.</v>
      </c>
    </row>
    <row r="60" spans="1:11">
      <c r="A60" s="109" t="s">
        <v>26</v>
      </c>
      <c r="B60" s="65">
        <f>IFERROR(((B44/B33)^(1/11)-1)*100,"n.a.")</f>
        <v>2.7349616853426628</v>
      </c>
      <c r="C60" s="65" t="str">
        <f t="shared" ref="C60:I60" si="2">IFERROR(((C44/C33)^(1/11)-1)*100,"n.a.")</f>
        <v>n.a.</v>
      </c>
      <c r="D60" s="65" t="str">
        <f t="shared" si="2"/>
        <v>n.a.</v>
      </c>
      <c r="E60" s="65" t="str">
        <f t="shared" si="2"/>
        <v>n.a.</v>
      </c>
      <c r="F60" s="65">
        <f t="shared" si="2"/>
        <v>-0.38693613608526967</v>
      </c>
      <c r="G60" s="65" t="str">
        <f t="shared" si="2"/>
        <v>n.a.</v>
      </c>
      <c r="H60" s="65" t="str">
        <f t="shared" si="2"/>
        <v>n.a.</v>
      </c>
      <c r="I60" s="65" t="str">
        <f t="shared" si="2"/>
        <v>n.a.</v>
      </c>
    </row>
    <row r="61" spans="1:11">
      <c r="A61" s="64" t="s">
        <v>1782</v>
      </c>
      <c r="B61" s="65">
        <f>IFERROR(((B55/B44)^(1/11)-1)*100,"n.a.")</f>
        <v>2.2525217039575107</v>
      </c>
      <c r="C61" s="65" t="str">
        <f t="shared" ref="C61:I61" si="3">IFERROR(((C55/C44)^(1/11)-1)*100,"n.a.")</f>
        <v>n.a.</v>
      </c>
      <c r="D61" s="65" t="str">
        <f t="shared" si="3"/>
        <v>n.a.</v>
      </c>
      <c r="E61" s="65" t="str">
        <f t="shared" si="3"/>
        <v>n.a.</v>
      </c>
      <c r="F61" s="65">
        <f t="shared" si="3"/>
        <v>-0.3074076383859814</v>
      </c>
      <c r="G61" s="65" t="str">
        <f t="shared" si="3"/>
        <v>n.a.</v>
      </c>
      <c r="H61" s="65" t="str">
        <f t="shared" si="3"/>
        <v>n.a.</v>
      </c>
      <c r="I61" s="65" t="str">
        <f t="shared" si="3"/>
        <v>n.a.</v>
      </c>
    </row>
    <row r="63" spans="1:11">
      <c r="A63" s="137" t="s">
        <v>500</v>
      </c>
      <c r="B63" s="137"/>
      <c r="C63" s="137"/>
      <c r="D63" s="137"/>
      <c r="E63" s="137"/>
      <c r="F63" s="137"/>
      <c r="G63" s="137"/>
      <c r="H63" s="137"/>
      <c r="I63" s="137"/>
    </row>
    <row r="64" spans="1:11">
      <c r="A64" s="137" t="s">
        <v>686</v>
      </c>
      <c r="B64" s="137"/>
      <c r="C64" s="137"/>
      <c r="D64" s="137"/>
      <c r="E64" s="137"/>
      <c r="F64" s="137"/>
      <c r="G64" s="137"/>
      <c r="H64" s="137"/>
      <c r="I64" s="137"/>
    </row>
    <row r="65" spans="1:9">
      <c r="A65" s="137" t="s">
        <v>694</v>
      </c>
      <c r="B65" s="137"/>
      <c r="C65" s="137"/>
      <c r="D65" s="137"/>
      <c r="E65" s="137"/>
      <c r="F65" s="137"/>
      <c r="G65" s="137"/>
      <c r="H65" s="137"/>
      <c r="I65" s="137"/>
    </row>
    <row r="66" spans="1:9">
      <c r="A66" s="137" t="s">
        <v>193</v>
      </c>
      <c r="B66" s="137"/>
      <c r="C66" s="137"/>
      <c r="D66" s="137"/>
      <c r="E66" s="137"/>
      <c r="F66" s="137"/>
      <c r="G66" s="137"/>
      <c r="H66" s="137"/>
      <c r="I66" s="137"/>
    </row>
    <row r="67" spans="1:9">
      <c r="A67" s="137" t="s">
        <v>514</v>
      </c>
      <c r="B67" s="137"/>
      <c r="C67" s="137"/>
      <c r="D67" s="137"/>
      <c r="E67" s="137"/>
      <c r="F67" s="137"/>
      <c r="G67" s="137"/>
      <c r="H67" s="137"/>
      <c r="I67" s="137"/>
    </row>
    <row r="68" spans="1:9">
      <c r="A68" s="137" t="s">
        <v>515</v>
      </c>
      <c r="B68" s="137"/>
      <c r="C68" s="137"/>
      <c r="D68" s="137"/>
      <c r="E68" s="137"/>
      <c r="F68" s="137"/>
      <c r="G68" s="137"/>
      <c r="H68" s="137"/>
      <c r="I68" s="137"/>
    </row>
    <row r="69" spans="1:9">
      <c r="A69" s="137" t="s">
        <v>516</v>
      </c>
      <c r="B69" s="137"/>
      <c r="C69" s="137"/>
      <c r="D69" s="137"/>
      <c r="E69" s="137"/>
      <c r="F69" s="137"/>
      <c r="G69" s="137"/>
      <c r="H69" s="137"/>
      <c r="I69" s="137"/>
    </row>
  </sheetData>
  <mergeCells count="10">
    <mergeCell ref="A66:I66"/>
    <mergeCell ref="A67:I67"/>
    <mergeCell ref="A68:I68"/>
    <mergeCell ref="A69:I69"/>
    <mergeCell ref="A1:I1"/>
    <mergeCell ref="B2:E2"/>
    <mergeCell ref="F2:I2"/>
    <mergeCell ref="A63:I63"/>
    <mergeCell ref="A64:I64"/>
    <mergeCell ref="A65:I65"/>
  </mergeCells>
  <pageMargins left="0.7" right="0.7" top="0.75" bottom="0.75" header="0.3" footer="0.3"/>
  <pageSetup scale="71" orientation="portrait" horizontalDpi="0" verticalDpi="0" r:id="rId1"/>
</worksheet>
</file>

<file path=xl/worksheets/sheet192.xml><?xml version="1.0" encoding="utf-8"?>
<worksheet xmlns="http://schemas.openxmlformats.org/spreadsheetml/2006/main" xmlns:r="http://schemas.openxmlformats.org/officeDocument/2006/relationships">
  <sheetPr codeName="Sheet186"/>
  <dimension ref="A1:M69"/>
  <sheetViews>
    <sheetView view="pageBreakPreview" zoomScaleNormal="85" zoomScaleSheetLayoutView="100"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2.28515625" style="64" customWidth="1"/>
    <col min="2" max="9" width="14.28515625" style="64" customWidth="1"/>
    <col min="10" max="10" width="9.140625" style="64"/>
    <col min="11" max="12" width="9.140625" style="64" hidden="1" customWidth="1" outlineLevel="1"/>
    <col min="13" max="13" width="9.140625" style="64" collapsed="1"/>
    <col min="14" max="16384" width="9.140625" style="64"/>
  </cols>
  <sheetData>
    <row r="1" spans="1:12">
      <c r="A1" s="93" t="s">
        <v>2042</v>
      </c>
      <c r="B1" s="93"/>
      <c r="C1" s="93"/>
      <c r="D1" s="93"/>
      <c r="E1" s="93"/>
      <c r="F1" s="93"/>
      <c r="G1" s="93"/>
      <c r="H1" s="93"/>
      <c r="I1" s="93"/>
    </row>
    <row r="2" spans="1:12">
      <c r="A2" s="66"/>
      <c r="B2" s="105" t="s">
        <v>1928</v>
      </c>
      <c r="C2" s="106"/>
      <c r="D2" s="106"/>
      <c r="E2" s="136"/>
      <c r="F2" s="105" t="s">
        <v>677</v>
      </c>
      <c r="G2" s="106"/>
      <c r="H2" s="106"/>
      <c r="I2" s="136"/>
    </row>
    <row r="3" spans="1:12" ht="60">
      <c r="B3" s="73" t="s">
        <v>7</v>
      </c>
      <c r="C3" s="73" t="s">
        <v>192</v>
      </c>
      <c r="D3" s="73" t="s">
        <v>1</v>
      </c>
      <c r="E3" s="73" t="s">
        <v>2</v>
      </c>
      <c r="F3" s="73" t="s">
        <v>7</v>
      </c>
      <c r="G3" s="73" t="s">
        <v>192</v>
      </c>
      <c r="H3" s="73" t="s">
        <v>1</v>
      </c>
      <c r="I3" s="73" t="s">
        <v>2</v>
      </c>
      <c r="K3" s="73" t="s">
        <v>7</v>
      </c>
      <c r="L3" s="73" t="s">
        <v>192</v>
      </c>
    </row>
    <row r="4" spans="1:12" hidden="1" outlineLevel="1"/>
    <row r="5" spans="1:12" hidden="1" outlineLevel="1" collapsed="1">
      <c r="A5" s="64">
        <v>1961</v>
      </c>
      <c r="B5" s="56">
        <v>9938.7999999999993</v>
      </c>
      <c r="C5" s="56">
        <v>61</v>
      </c>
      <c r="D5" s="56" t="s">
        <v>188</v>
      </c>
      <c r="E5" s="56" t="s">
        <v>188</v>
      </c>
      <c r="F5" s="56" t="s">
        <v>22</v>
      </c>
      <c r="G5" s="56" t="s">
        <v>22</v>
      </c>
      <c r="H5" s="56" t="s">
        <v>22</v>
      </c>
      <c r="I5" s="56" t="s">
        <v>22</v>
      </c>
      <c r="K5" s="64">
        <v>9054042.0999999996</v>
      </c>
      <c r="L5" s="64">
        <v>61841.5</v>
      </c>
    </row>
    <row r="6" spans="1:12" hidden="1" outlineLevel="1">
      <c r="A6" s="64">
        <v>1962</v>
      </c>
      <c r="B6" s="56">
        <v>10502.9</v>
      </c>
      <c r="C6" s="56">
        <v>61.9</v>
      </c>
      <c r="D6" s="56" t="s">
        <v>188</v>
      </c>
      <c r="E6" s="56" t="s">
        <v>188</v>
      </c>
      <c r="F6" s="56" t="s">
        <v>22</v>
      </c>
      <c r="G6" s="56" t="s">
        <v>22</v>
      </c>
      <c r="H6" s="56" t="s">
        <v>22</v>
      </c>
      <c r="I6" s="56" t="s">
        <v>22</v>
      </c>
      <c r="K6" s="64">
        <v>9299611.0999999996</v>
      </c>
      <c r="L6" s="64">
        <v>62946.9</v>
      </c>
    </row>
    <row r="7" spans="1:12" hidden="1" outlineLevel="1">
      <c r="A7" s="64">
        <v>1963</v>
      </c>
      <c r="B7" s="56">
        <v>11046.7</v>
      </c>
      <c r="C7" s="56">
        <v>61.8</v>
      </c>
      <c r="D7" s="56" t="s">
        <v>188</v>
      </c>
      <c r="E7" s="56" t="s">
        <v>188</v>
      </c>
      <c r="F7" s="56" t="s">
        <v>22</v>
      </c>
      <c r="G7" s="56" t="s">
        <v>22</v>
      </c>
      <c r="H7" s="56" t="s">
        <v>22</v>
      </c>
      <c r="I7" s="56" t="s">
        <v>22</v>
      </c>
      <c r="K7" s="64">
        <v>9580735.8000000007</v>
      </c>
      <c r="L7" s="64">
        <v>62928.800000000003</v>
      </c>
    </row>
    <row r="8" spans="1:12" hidden="1" outlineLevel="1">
      <c r="A8" s="64">
        <v>1964</v>
      </c>
      <c r="B8" s="56">
        <v>11680.3</v>
      </c>
      <c r="C8" s="56">
        <v>62.2</v>
      </c>
      <c r="D8" s="56" t="s">
        <v>188</v>
      </c>
      <c r="E8" s="56" t="s">
        <v>188</v>
      </c>
      <c r="F8" s="56" t="s">
        <v>22</v>
      </c>
      <c r="G8" s="56" t="s">
        <v>22</v>
      </c>
      <c r="H8" s="56" t="s">
        <v>22</v>
      </c>
      <c r="I8" s="56" t="s">
        <v>22</v>
      </c>
      <c r="K8" s="64">
        <v>9968179.8000000007</v>
      </c>
      <c r="L8" s="64">
        <v>63421.5</v>
      </c>
    </row>
    <row r="9" spans="1:12" hidden="1" outlineLevel="1">
      <c r="A9" s="64">
        <v>1965</v>
      </c>
      <c r="B9" s="56">
        <v>12337.2</v>
      </c>
      <c r="C9" s="56">
        <v>60</v>
      </c>
      <c r="D9" s="56" t="s">
        <v>188</v>
      </c>
      <c r="E9" s="56" t="s">
        <v>188</v>
      </c>
      <c r="F9" s="56" t="s">
        <v>22</v>
      </c>
      <c r="G9" s="56" t="s">
        <v>22</v>
      </c>
      <c r="H9" s="56" t="s">
        <v>22</v>
      </c>
      <c r="I9" s="56" t="s">
        <v>22</v>
      </c>
      <c r="K9" s="64">
        <v>10448234.5</v>
      </c>
      <c r="L9" s="64">
        <v>61092</v>
      </c>
    </row>
    <row r="10" spans="1:12" hidden="1" outlineLevel="1">
      <c r="A10" s="64">
        <v>1966</v>
      </c>
      <c r="B10" s="56">
        <v>13392.4</v>
      </c>
      <c r="C10" s="56">
        <v>59.3</v>
      </c>
      <c r="D10" s="56" t="s">
        <v>188</v>
      </c>
      <c r="E10" s="56" t="s">
        <v>188</v>
      </c>
      <c r="F10" s="56" t="s">
        <v>22</v>
      </c>
      <c r="G10" s="56" t="s">
        <v>22</v>
      </c>
      <c r="H10" s="56" t="s">
        <v>22</v>
      </c>
      <c r="I10" s="56" t="s">
        <v>22</v>
      </c>
      <c r="K10" s="64">
        <v>11328126.800000001</v>
      </c>
      <c r="L10" s="64">
        <v>60427.1</v>
      </c>
    </row>
    <row r="11" spans="1:12" hidden="1" outlineLevel="1">
      <c r="A11" s="64">
        <v>1967</v>
      </c>
      <c r="B11" s="56">
        <v>14609.6</v>
      </c>
      <c r="C11" s="56">
        <v>60.2</v>
      </c>
      <c r="D11" s="56" t="s">
        <v>188</v>
      </c>
      <c r="E11" s="56" t="s">
        <v>188</v>
      </c>
      <c r="F11" s="56" t="s">
        <v>22</v>
      </c>
      <c r="G11" s="56" t="s">
        <v>22</v>
      </c>
      <c r="H11" s="56" t="s">
        <v>22</v>
      </c>
      <c r="I11" s="56" t="s">
        <v>22</v>
      </c>
      <c r="K11" s="64">
        <v>12326026.699999999</v>
      </c>
      <c r="L11" s="64">
        <v>61370.8</v>
      </c>
    </row>
    <row r="12" spans="1:12" hidden="1" outlineLevel="1">
      <c r="A12" s="64">
        <v>1968</v>
      </c>
      <c r="B12" s="56">
        <v>15708.1</v>
      </c>
      <c r="C12" s="56">
        <v>58.3</v>
      </c>
      <c r="D12" s="56" t="s">
        <v>188</v>
      </c>
      <c r="E12" s="56" t="s">
        <v>188</v>
      </c>
      <c r="F12" s="56" t="s">
        <v>22</v>
      </c>
      <c r="G12" s="56" t="s">
        <v>22</v>
      </c>
      <c r="H12" s="56" t="s">
        <v>22</v>
      </c>
      <c r="I12" s="56" t="s">
        <v>22</v>
      </c>
      <c r="K12" s="64">
        <v>13224278.800000001</v>
      </c>
      <c r="L12" s="64">
        <v>59451.3</v>
      </c>
    </row>
    <row r="13" spans="1:12" hidden="1" outlineLevel="1">
      <c r="A13" s="64">
        <v>1969</v>
      </c>
      <c r="B13" s="56">
        <v>16820.099999999999</v>
      </c>
      <c r="C13" s="56">
        <v>59.6</v>
      </c>
      <c r="D13" s="56" t="s">
        <v>188</v>
      </c>
      <c r="E13" s="56" t="s">
        <v>188</v>
      </c>
      <c r="F13" s="56" t="s">
        <v>22</v>
      </c>
      <c r="G13" s="56" t="s">
        <v>22</v>
      </c>
      <c r="H13" s="56" t="s">
        <v>22</v>
      </c>
      <c r="I13" s="56" t="s">
        <v>22</v>
      </c>
      <c r="K13" s="64">
        <v>14185259.300000001</v>
      </c>
      <c r="L13" s="64">
        <v>60688.5</v>
      </c>
    </row>
    <row r="14" spans="1:12" hidden="1" outlineLevel="1">
      <c r="A14" s="64">
        <v>1970</v>
      </c>
      <c r="B14" s="56">
        <v>17894</v>
      </c>
      <c r="C14" s="56">
        <v>59</v>
      </c>
      <c r="D14" s="56" t="s">
        <v>188</v>
      </c>
      <c r="E14" s="56" t="s">
        <v>188</v>
      </c>
      <c r="F14" s="56" t="s">
        <v>22</v>
      </c>
      <c r="G14" s="56" t="s">
        <v>22</v>
      </c>
      <c r="H14" s="56" t="s">
        <v>22</v>
      </c>
      <c r="I14" s="56" t="s">
        <v>22</v>
      </c>
      <c r="K14" s="64">
        <v>15235031.9</v>
      </c>
      <c r="L14" s="64">
        <v>60094.8</v>
      </c>
    </row>
    <row r="15" spans="1:12" hidden="1" outlineLevel="1">
      <c r="A15" s="64">
        <v>1971</v>
      </c>
      <c r="B15" s="56">
        <v>18800.099999999999</v>
      </c>
      <c r="C15" s="56">
        <v>57.6</v>
      </c>
      <c r="D15" s="56" t="s">
        <v>188</v>
      </c>
      <c r="E15" s="56" t="s">
        <v>188</v>
      </c>
      <c r="F15" s="56" t="s">
        <v>22</v>
      </c>
      <c r="G15" s="56" t="s">
        <v>22</v>
      </c>
      <c r="H15" s="56" t="s">
        <v>22</v>
      </c>
      <c r="I15" s="56" t="s">
        <v>22</v>
      </c>
      <c r="K15" s="64">
        <v>16070733.800000001</v>
      </c>
      <c r="L15" s="64">
        <v>58523.5</v>
      </c>
    </row>
    <row r="16" spans="1:12" hidden="1" outlineLevel="1">
      <c r="A16" s="64">
        <v>1972</v>
      </c>
      <c r="B16" s="56">
        <v>19424.099999999999</v>
      </c>
      <c r="C16" s="56">
        <v>54.1</v>
      </c>
      <c r="D16" s="56" t="s">
        <v>188</v>
      </c>
      <c r="E16" s="56" t="s">
        <v>188</v>
      </c>
      <c r="F16" s="56" t="s">
        <v>22</v>
      </c>
      <c r="G16" s="56" t="s">
        <v>22</v>
      </c>
      <c r="H16" s="56" t="s">
        <v>22</v>
      </c>
      <c r="I16" s="56" t="s">
        <v>22</v>
      </c>
      <c r="K16" s="64">
        <v>16618204.800000001</v>
      </c>
      <c r="L16" s="64">
        <v>54794.7</v>
      </c>
    </row>
    <row r="17" spans="1:12" hidden="1" outlineLevel="1">
      <c r="A17" s="64">
        <v>1973</v>
      </c>
      <c r="B17" s="56">
        <v>20410</v>
      </c>
      <c r="C17" s="56">
        <v>52.9</v>
      </c>
      <c r="D17" s="56" t="s">
        <v>188</v>
      </c>
      <c r="E17" s="56" t="s">
        <v>188</v>
      </c>
      <c r="F17" s="56" t="s">
        <v>22</v>
      </c>
      <c r="G17" s="56" t="s">
        <v>22</v>
      </c>
      <c r="H17" s="56" t="s">
        <v>22</v>
      </c>
      <c r="I17" s="56" t="s">
        <v>22</v>
      </c>
      <c r="K17" s="64">
        <v>17575221.800000001</v>
      </c>
      <c r="L17" s="64">
        <v>53461.8</v>
      </c>
    </row>
    <row r="18" spans="1:12" hidden="1" outlineLevel="1">
      <c r="A18" s="64">
        <v>1974</v>
      </c>
      <c r="B18" s="56">
        <v>21098.3</v>
      </c>
      <c r="C18" s="56">
        <v>51.6</v>
      </c>
      <c r="D18" s="56" t="s">
        <v>188</v>
      </c>
      <c r="E18" s="56" t="s">
        <v>188</v>
      </c>
      <c r="F18" s="56" t="s">
        <v>22</v>
      </c>
      <c r="G18" s="56" t="s">
        <v>22</v>
      </c>
      <c r="H18" s="56" t="s">
        <v>22</v>
      </c>
      <c r="I18" s="56" t="s">
        <v>22</v>
      </c>
      <c r="K18" s="64">
        <v>18131123.100000001</v>
      </c>
      <c r="L18" s="64">
        <v>52076</v>
      </c>
    </row>
    <row r="19" spans="1:12" hidden="1" outlineLevel="1">
      <c r="A19" s="64">
        <v>1975</v>
      </c>
      <c r="B19" s="56">
        <v>21491.8</v>
      </c>
      <c r="C19" s="56">
        <v>48.9</v>
      </c>
      <c r="D19" s="56" t="s">
        <v>188</v>
      </c>
      <c r="E19" s="56" t="s">
        <v>188</v>
      </c>
      <c r="F19" s="56" t="s">
        <v>22</v>
      </c>
      <c r="G19" s="56" t="s">
        <v>22</v>
      </c>
      <c r="H19" s="56" t="s">
        <v>22</v>
      </c>
      <c r="I19" s="56" t="s">
        <v>22</v>
      </c>
      <c r="K19" s="64">
        <v>18396319.800000001</v>
      </c>
      <c r="L19" s="64">
        <v>49052.1</v>
      </c>
    </row>
    <row r="20" spans="1:12" hidden="1" outlineLevel="1">
      <c r="A20" s="64">
        <v>1976</v>
      </c>
      <c r="B20" s="56">
        <v>21817.5</v>
      </c>
      <c r="C20" s="56">
        <v>46.3</v>
      </c>
      <c r="D20" s="56" t="s">
        <v>188</v>
      </c>
      <c r="E20" s="56" t="s">
        <v>188</v>
      </c>
      <c r="F20" s="56" t="s">
        <v>22</v>
      </c>
      <c r="G20" s="56" t="s">
        <v>22</v>
      </c>
      <c r="H20" s="56" t="s">
        <v>22</v>
      </c>
      <c r="I20" s="56" t="s">
        <v>22</v>
      </c>
      <c r="K20" s="64">
        <v>18598180.5</v>
      </c>
      <c r="L20" s="64">
        <v>46258.400000000001</v>
      </c>
    </row>
    <row r="21" spans="1:12" hidden="1" outlineLevel="1">
      <c r="A21" s="64">
        <v>1977</v>
      </c>
      <c r="B21" s="56">
        <v>22092.799999999999</v>
      </c>
      <c r="C21" s="56">
        <v>44.3</v>
      </c>
      <c r="D21" s="56" t="s">
        <v>188</v>
      </c>
      <c r="E21" s="56" t="s">
        <v>188</v>
      </c>
      <c r="F21" s="56" t="s">
        <v>22</v>
      </c>
      <c r="G21" s="56" t="s">
        <v>22</v>
      </c>
      <c r="H21" s="56" t="s">
        <v>22</v>
      </c>
      <c r="I21" s="56" t="s">
        <v>22</v>
      </c>
      <c r="K21" s="64">
        <v>18747104.899999999</v>
      </c>
      <c r="L21" s="64">
        <v>44029.599999999999</v>
      </c>
    </row>
    <row r="22" spans="1:12" hidden="1" outlineLevel="1">
      <c r="A22" s="64">
        <v>1978</v>
      </c>
      <c r="B22" s="56">
        <v>22497.7</v>
      </c>
      <c r="C22" s="56">
        <v>42.4</v>
      </c>
      <c r="D22" s="56" t="s">
        <v>188</v>
      </c>
      <c r="E22" s="56" t="s">
        <v>188</v>
      </c>
      <c r="F22" s="56" t="s">
        <v>22</v>
      </c>
      <c r="G22" s="56" t="s">
        <v>22</v>
      </c>
      <c r="H22" s="56" t="s">
        <v>22</v>
      </c>
      <c r="I22" s="56" t="s">
        <v>22</v>
      </c>
      <c r="K22" s="64">
        <v>19031459.399999999</v>
      </c>
      <c r="L22" s="64">
        <v>41830.6</v>
      </c>
    </row>
    <row r="23" spans="1:12" hidden="1" outlineLevel="1">
      <c r="A23" s="64">
        <v>1979</v>
      </c>
      <c r="B23" s="56">
        <v>22962.7</v>
      </c>
      <c r="C23" s="56">
        <v>43.4</v>
      </c>
      <c r="D23" s="56" t="s">
        <v>188</v>
      </c>
      <c r="E23" s="56" t="s">
        <v>188</v>
      </c>
      <c r="F23" s="56" t="s">
        <v>22</v>
      </c>
      <c r="G23" s="56" t="s">
        <v>22</v>
      </c>
      <c r="H23" s="56" t="s">
        <v>22</v>
      </c>
      <c r="I23" s="56" t="s">
        <v>22</v>
      </c>
      <c r="K23" s="64">
        <v>19396016.5</v>
      </c>
      <c r="L23" s="64">
        <v>42700.7</v>
      </c>
    </row>
    <row r="24" spans="1:12" hidden="1" outlineLevel="1">
      <c r="A24" s="64">
        <v>1980</v>
      </c>
      <c r="B24" s="56">
        <v>23584</v>
      </c>
      <c r="C24" s="56">
        <v>42.9</v>
      </c>
      <c r="D24" s="56" t="s">
        <v>188</v>
      </c>
      <c r="E24" s="56" t="s">
        <v>188</v>
      </c>
      <c r="F24" s="56" t="s">
        <v>22</v>
      </c>
      <c r="G24" s="56" t="s">
        <v>22</v>
      </c>
      <c r="H24" s="56" t="s">
        <v>22</v>
      </c>
      <c r="I24" s="56" t="s">
        <v>22</v>
      </c>
      <c r="K24" s="64">
        <v>19806535</v>
      </c>
      <c r="L24" s="64">
        <v>42007.4</v>
      </c>
    </row>
    <row r="25" spans="1:12" hidden="1" outlineLevel="1">
      <c r="A25" s="64">
        <v>1981</v>
      </c>
      <c r="B25" s="56">
        <v>24528.400000000001</v>
      </c>
      <c r="C25" s="56">
        <v>39.799999999999997</v>
      </c>
      <c r="D25" s="56" t="s">
        <v>188</v>
      </c>
      <c r="E25" s="56" t="s">
        <v>188</v>
      </c>
      <c r="F25" s="56" t="s">
        <v>22</v>
      </c>
      <c r="G25" s="56" t="s">
        <v>22</v>
      </c>
      <c r="H25" s="56" t="s">
        <v>22</v>
      </c>
      <c r="I25" s="56" t="s">
        <v>22</v>
      </c>
      <c r="K25" s="64">
        <v>20617064.100000001</v>
      </c>
      <c r="L25" s="64">
        <v>38921.9</v>
      </c>
    </row>
    <row r="26" spans="1:12" hidden="1" outlineLevel="1">
      <c r="A26" s="64">
        <v>1982</v>
      </c>
      <c r="B26" s="56">
        <v>25677.3</v>
      </c>
      <c r="C26" s="56">
        <v>37.799999999999997</v>
      </c>
      <c r="D26" s="56" t="s">
        <v>188</v>
      </c>
      <c r="E26" s="56" t="s">
        <v>188</v>
      </c>
      <c r="F26" s="56" t="s">
        <v>22</v>
      </c>
      <c r="G26" s="56" t="s">
        <v>22</v>
      </c>
      <c r="H26" s="56" t="s">
        <v>22</v>
      </c>
      <c r="I26" s="56" t="s">
        <v>22</v>
      </c>
      <c r="K26" s="64">
        <v>21670298.300000001</v>
      </c>
      <c r="L26" s="64">
        <v>36759.199999999997</v>
      </c>
    </row>
    <row r="27" spans="1:12" hidden="1" outlineLevel="1">
      <c r="A27" s="64">
        <v>1983</v>
      </c>
      <c r="B27" s="56">
        <v>27078.9</v>
      </c>
      <c r="C27" s="56">
        <v>35.6</v>
      </c>
      <c r="D27" s="56" t="s">
        <v>188</v>
      </c>
      <c r="E27" s="56" t="s">
        <v>188</v>
      </c>
      <c r="F27" s="56" t="s">
        <v>22</v>
      </c>
      <c r="G27" s="56" t="s">
        <v>22</v>
      </c>
      <c r="H27" s="56" t="s">
        <v>22</v>
      </c>
      <c r="I27" s="56" t="s">
        <v>22</v>
      </c>
      <c r="K27" s="64">
        <v>22825715</v>
      </c>
      <c r="L27" s="64">
        <v>34443.9</v>
      </c>
    </row>
    <row r="28" spans="1:12" collapsed="1">
      <c r="A28" s="66">
        <v>1984</v>
      </c>
      <c r="B28" s="56">
        <v>28151.3</v>
      </c>
      <c r="C28" s="56">
        <v>34.4</v>
      </c>
      <c r="D28" s="56" t="s">
        <v>188</v>
      </c>
      <c r="E28" s="56" t="s">
        <v>188</v>
      </c>
      <c r="F28" s="56">
        <f>'803'!H5/'833'!B28*1000</f>
        <v>683.53976306830918</v>
      </c>
      <c r="G28" s="56">
        <f>'803'!J5/'833'!C28*1000</f>
        <v>1795.6300845621458</v>
      </c>
      <c r="H28" s="56" t="s">
        <v>22</v>
      </c>
      <c r="I28" s="56" t="s">
        <v>22</v>
      </c>
      <c r="K28" s="64">
        <v>23387656.899999999</v>
      </c>
      <c r="L28" s="64">
        <v>33420.300000000003</v>
      </c>
    </row>
    <row r="29" spans="1:12">
      <c r="A29" s="66">
        <v>1985</v>
      </c>
      <c r="B29" s="56">
        <v>28827.8</v>
      </c>
      <c r="C29" s="56">
        <v>32.9</v>
      </c>
      <c r="D29" s="56" t="s">
        <v>188</v>
      </c>
      <c r="E29" s="56" t="s">
        <v>188</v>
      </c>
      <c r="F29" s="56">
        <f>'803'!H6/'833'!B29*1000</f>
        <v>696.27637307539396</v>
      </c>
      <c r="G29" s="56">
        <f>'803'!J6/'833'!C29*1000</f>
        <v>2294.947922057102</v>
      </c>
      <c r="H29" s="56" t="s">
        <v>22</v>
      </c>
      <c r="I29" s="56" t="s">
        <v>22</v>
      </c>
      <c r="K29" s="64">
        <v>23653152.5</v>
      </c>
      <c r="L29" s="64">
        <v>32143.200000000001</v>
      </c>
    </row>
    <row r="30" spans="1:12">
      <c r="A30" s="66">
        <v>1986</v>
      </c>
      <c r="B30" s="56">
        <v>29335.7</v>
      </c>
      <c r="C30" s="56">
        <v>32.799999999999997</v>
      </c>
      <c r="D30" s="56" t="s">
        <v>188</v>
      </c>
      <c r="E30" s="56" t="s">
        <v>188</v>
      </c>
      <c r="F30" s="56">
        <f>'803'!H7/'833'!B30*1000</f>
        <v>705.57479957300734</v>
      </c>
      <c r="G30" s="56">
        <f>'803'!J7/'833'!C30*1000</f>
        <v>1825.4669106941058</v>
      </c>
      <c r="H30" s="56" t="s">
        <v>22</v>
      </c>
      <c r="I30" s="56" t="s">
        <v>22</v>
      </c>
      <c r="K30" s="64">
        <v>23773605.600000001</v>
      </c>
      <c r="L30" s="64">
        <v>32387.4</v>
      </c>
    </row>
    <row r="31" spans="1:12">
      <c r="A31" s="66">
        <v>1987</v>
      </c>
      <c r="B31" s="56">
        <v>29667.4</v>
      </c>
      <c r="C31" s="56">
        <v>31.4</v>
      </c>
      <c r="D31" s="56" t="s">
        <v>188</v>
      </c>
      <c r="E31" s="56" t="s">
        <v>188</v>
      </c>
      <c r="F31" s="56">
        <f>'803'!H8/'833'!B31*1000</f>
        <v>711.71310976679797</v>
      </c>
      <c r="G31" s="56">
        <f>'803'!J8/'833'!C31*1000</f>
        <v>2281.7646635842202</v>
      </c>
      <c r="H31" s="56" t="s">
        <v>22</v>
      </c>
      <c r="I31" s="56" t="s">
        <v>22</v>
      </c>
      <c r="K31" s="64">
        <v>23690461.800000001</v>
      </c>
      <c r="L31" s="64">
        <v>31083.7</v>
      </c>
    </row>
    <row r="32" spans="1:12">
      <c r="A32" s="66">
        <v>1988</v>
      </c>
      <c r="B32" s="56">
        <v>30434.799999999999</v>
      </c>
      <c r="C32" s="56">
        <v>31.1</v>
      </c>
      <c r="D32" s="56" t="s">
        <v>188</v>
      </c>
      <c r="E32" s="56" t="s">
        <v>188</v>
      </c>
      <c r="F32" s="56">
        <f>'803'!H9/'833'!B32*1000</f>
        <v>712.61090035081759</v>
      </c>
      <c r="G32" s="56">
        <f>'803'!J9/'833'!C32*1000</f>
        <v>2851.9823980734682</v>
      </c>
      <c r="H32" s="56" t="s">
        <v>22</v>
      </c>
      <c r="I32" s="56" t="s">
        <v>22</v>
      </c>
      <c r="K32" s="64">
        <v>24110853.399999999</v>
      </c>
      <c r="L32" s="64">
        <v>31380.7</v>
      </c>
    </row>
    <row r="33" spans="1:12">
      <c r="A33" s="66">
        <v>1989</v>
      </c>
      <c r="B33" s="56">
        <v>31677.5</v>
      </c>
      <c r="C33" s="56">
        <v>30.6</v>
      </c>
      <c r="D33" s="56" t="s">
        <v>188</v>
      </c>
      <c r="E33" s="56" t="s">
        <v>188</v>
      </c>
      <c r="F33" s="56">
        <f>'803'!H10/'833'!B33*1000</f>
        <v>693.1471356496445</v>
      </c>
      <c r="G33" s="56">
        <f>'803'!J10/'833'!C33*1000</f>
        <v>2692.9630836746719</v>
      </c>
      <c r="H33" s="56" t="s">
        <v>22</v>
      </c>
      <c r="I33" s="56" t="s">
        <v>22</v>
      </c>
      <c r="K33" s="64">
        <v>24784594.300000001</v>
      </c>
      <c r="L33" s="64">
        <v>31147.8</v>
      </c>
    </row>
    <row r="34" spans="1:12">
      <c r="A34" s="66">
        <v>1990</v>
      </c>
      <c r="B34" s="56">
        <v>32389.4</v>
      </c>
      <c r="C34" s="56">
        <v>28.9</v>
      </c>
      <c r="D34" s="56" t="s">
        <v>188</v>
      </c>
      <c r="E34" s="56" t="s">
        <v>188</v>
      </c>
      <c r="F34" s="56">
        <f>'803'!H11/'833'!B34*1000</f>
        <v>686.14157936436652</v>
      </c>
      <c r="G34" s="56">
        <f>'803'!J11/'833'!C34*1000</f>
        <v>2561.0851465141336</v>
      </c>
      <c r="H34" s="56" t="s">
        <v>22</v>
      </c>
      <c r="I34" s="56" t="s">
        <v>22</v>
      </c>
      <c r="K34" s="64">
        <v>25157670.5</v>
      </c>
      <c r="L34" s="64">
        <v>29426.5</v>
      </c>
    </row>
    <row r="35" spans="1:12">
      <c r="A35" s="66">
        <v>1991</v>
      </c>
      <c r="B35" s="56">
        <v>32874.1</v>
      </c>
      <c r="C35" s="56">
        <v>26.2</v>
      </c>
      <c r="D35" s="56" t="s">
        <v>188</v>
      </c>
      <c r="E35" s="56" t="s">
        <v>188</v>
      </c>
      <c r="F35" s="56">
        <f>'803'!H12/'833'!B35*1000</f>
        <v>674.42303587012577</v>
      </c>
      <c r="G35" s="56">
        <f>'803'!J12/'833'!C35*1000</f>
        <v>2571.9503778877643</v>
      </c>
      <c r="H35" s="56" t="s">
        <v>22</v>
      </c>
      <c r="I35" s="56" t="s">
        <v>22</v>
      </c>
      <c r="K35" s="64">
        <v>25364141.600000001</v>
      </c>
      <c r="L35" s="64">
        <v>26295.3</v>
      </c>
    </row>
    <row r="36" spans="1:12">
      <c r="A36" s="66">
        <v>1992</v>
      </c>
      <c r="B36" s="56">
        <v>32901.5</v>
      </c>
      <c r="C36" s="56">
        <v>23.3</v>
      </c>
      <c r="D36" s="56" t="s">
        <v>188</v>
      </c>
      <c r="E36" s="56" t="s">
        <v>188</v>
      </c>
      <c r="F36" s="56">
        <f>'803'!H13/'833'!B36*1000</f>
        <v>676.91360153751123</v>
      </c>
      <c r="G36" s="56">
        <f>'803'!J13/'833'!C36*1000</f>
        <v>2871.7386197904138</v>
      </c>
      <c r="H36" s="56" t="s">
        <v>22</v>
      </c>
      <c r="I36" s="56" t="s">
        <v>22</v>
      </c>
      <c r="K36" s="64">
        <v>25039172.899999999</v>
      </c>
      <c r="L36" s="64">
        <v>22864.1</v>
      </c>
    </row>
    <row r="37" spans="1:12">
      <c r="A37" s="66">
        <v>1993</v>
      </c>
      <c r="B37" s="56">
        <v>32858.800000000003</v>
      </c>
      <c r="C37" s="56">
        <v>27.6</v>
      </c>
      <c r="D37" s="56" t="s">
        <v>188</v>
      </c>
      <c r="E37" s="56" t="s">
        <v>188</v>
      </c>
      <c r="F37" s="56">
        <f>'803'!H14/'833'!B37*1000</f>
        <v>680.33090457754884</v>
      </c>
      <c r="G37" s="56">
        <f>'803'!J14/'833'!C37*1000</f>
        <v>2024.7690951466986</v>
      </c>
      <c r="H37" s="56" t="s">
        <v>22</v>
      </c>
      <c r="I37" s="56" t="s">
        <v>22</v>
      </c>
      <c r="K37" s="64">
        <v>24698731</v>
      </c>
      <c r="L37" s="64">
        <v>28168.7</v>
      </c>
    </row>
    <row r="38" spans="1:12">
      <c r="A38" s="66">
        <v>1994</v>
      </c>
      <c r="B38" s="56">
        <v>32711.599999999999</v>
      </c>
      <c r="C38" s="56">
        <v>24.1</v>
      </c>
      <c r="D38" s="56" t="s">
        <v>188</v>
      </c>
      <c r="E38" s="56" t="s">
        <v>188</v>
      </c>
      <c r="F38" s="56">
        <f>'803'!H15/'833'!B38*1000</f>
        <v>691.12637835595922</v>
      </c>
      <c r="G38" s="56">
        <f>'803'!J15/'833'!C38*1000</f>
        <v>2400.2341488386664</v>
      </c>
      <c r="H38" s="56" t="s">
        <v>22</v>
      </c>
      <c r="I38" s="56" t="s">
        <v>22</v>
      </c>
      <c r="K38" s="64">
        <v>24426263.300000001</v>
      </c>
      <c r="L38" s="64">
        <v>24230.9</v>
      </c>
    </row>
    <row r="39" spans="1:12">
      <c r="A39" s="66">
        <v>1995</v>
      </c>
      <c r="B39" s="56">
        <v>32374</v>
      </c>
      <c r="C39" s="56">
        <v>27.3</v>
      </c>
      <c r="D39" s="56" t="s">
        <v>188</v>
      </c>
      <c r="E39" s="56" t="s">
        <v>188</v>
      </c>
      <c r="F39" s="56">
        <f>'803'!H16/'833'!B39*1000</f>
        <v>712.34812337955725</v>
      </c>
      <c r="G39" s="56">
        <f>'803'!J16/'833'!C39*1000</f>
        <v>2698.7942168607806</v>
      </c>
      <c r="H39" s="56" t="s">
        <v>22</v>
      </c>
      <c r="I39" s="56" t="s">
        <v>22</v>
      </c>
      <c r="K39" s="64">
        <v>24033616.600000001</v>
      </c>
      <c r="L39" s="64">
        <v>27885.4</v>
      </c>
    </row>
    <row r="40" spans="1:12">
      <c r="A40" s="66">
        <v>1996</v>
      </c>
      <c r="B40" s="56">
        <v>31950.400000000001</v>
      </c>
      <c r="C40" s="56">
        <v>34.6</v>
      </c>
      <c r="D40" s="56" t="s">
        <v>188</v>
      </c>
      <c r="E40" s="56" t="s">
        <v>188</v>
      </c>
      <c r="F40" s="56">
        <f>'803'!H17/'833'!B40*1000</f>
        <v>723.14585148239564</v>
      </c>
      <c r="G40" s="56">
        <f>'803'!J17/'833'!C40*1000</f>
        <v>1521.2760789607282</v>
      </c>
      <c r="H40" s="56" t="s">
        <v>22</v>
      </c>
      <c r="I40" s="56" t="s">
        <v>22</v>
      </c>
      <c r="K40" s="64">
        <v>23632238.699999999</v>
      </c>
      <c r="L40" s="64">
        <v>36045.9</v>
      </c>
    </row>
    <row r="41" spans="1:12">
      <c r="A41" s="66">
        <v>1997</v>
      </c>
      <c r="B41" s="56">
        <v>32362.9</v>
      </c>
      <c r="C41" s="56">
        <v>38.5</v>
      </c>
      <c r="D41" s="56" t="s">
        <v>188</v>
      </c>
      <c r="E41" s="56" t="s">
        <v>188</v>
      </c>
      <c r="F41" s="56">
        <f>'803'!H18/'833'!B41*1000</f>
        <v>733.07313959116891</v>
      </c>
      <c r="G41" s="56">
        <f>'803'!J18/'833'!C41*1000</f>
        <v>1390.0175773593494</v>
      </c>
      <c r="H41" s="56" t="s">
        <v>22</v>
      </c>
      <c r="I41" s="56" t="s">
        <v>22</v>
      </c>
      <c r="K41" s="64">
        <v>24112885.100000001</v>
      </c>
      <c r="L41" s="64">
        <v>40130.300000000003</v>
      </c>
    </row>
    <row r="42" spans="1:12">
      <c r="A42" s="66">
        <v>1998</v>
      </c>
      <c r="B42" s="56">
        <v>33088.400000000001</v>
      </c>
      <c r="C42" s="56">
        <v>61</v>
      </c>
      <c r="D42" s="56" t="s">
        <v>188</v>
      </c>
      <c r="E42" s="56" t="s">
        <v>188</v>
      </c>
      <c r="F42" s="56">
        <f>'803'!H19/'833'!B42*1000</f>
        <v>743.67577273189306</v>
      </c>
      <c r="G42" s="56">
        <f>'803'!J19/'833'!C42*1000</f>
        <v>600.40225389882994</v>
      </c>
      <c r="H42" s="56" t="s">
        <v>22</v>
      </c>
      <c r="I42" s="56" t="s">
        <v>22</v>
      </c>
      <c r="K42" s="64">
        <v>24752065.100000001</v>
      </c>
      <c r="L42" s="64">
        <v>63125.7</v>
      </c>
    </row>
    <row r="43" spans="1:12">
      <c r="A43" s="66">
        <v>1999</v>
      </c>
      <c r="B43" s="56">
        <v>34470.699999999997</v>
      </c>
      <c r="C43" s="56">
        <v>51.5</v>
      </c>
      <c r="D43" s="56" t="s">
        <v>188</v>
      </c>
      <c r="E43" s="56" t="s">
        <v>188</v>
      </c>
      <c r="F43" s="56">
        <f>'803'!H20/'833'!B43*1000</f>
        <v>755.05218508837106</v>
      </c>
      <c r="G43" s="56">
        <f>'803'!J20/'833'!C43*1000</f>
        <v>1748.7185789508512</v>
      </c>
      <c r="H43" s="56" t="s">
        <v>22</v>
      </c>
      <c r="I43" s="56" t="s">
        <v>22</v>
      </c>
      <c r="K43" s="64">
        <v>26067148.800000001</v>
      </c>
      <c r="L43" s="64">
        <v>53261.5</v>
      </c>
    </row>
    <row r="44" spans="1:12">
      <c r="A44" s="66">
        <v>2000</v>
      </c>
      <c r="B44" s="56">
        <v>34954.9</v>
      </c>
      <c r="C44" s="56">
        <v>44</v>
      </c>
      <c r="D44" s="56" t="s">
        <v>188</v>
      </c>
      <c r="E44" s="56" t="s">
        <v>188</v>
      </c>
      <c r="F44" s="56">
        <f>'803'!H21/'833'!B44*1000</f>
        <v>770.30226398337459</v>
      </c>
      <c r="G44" s="56">
        <f>'803'!J21/'833'!C44*1000</f>
        <v>2199.9822961848276</v>
      </c>
      <c r="H44" s="56" t="s">
        <v>22</v>
      </c>
      <c r="I44" s="56" t="s">
        <v>22</v>
      </c>
      <c r="K44" s="64">
        <v>26426300.600000001</v>
      </c>
      <c r="L44" s="64">
        <v>44705</v>
      </c>
    </row>
    <row r="45" spans="1:12">
      <c r="A45" s="66">
        <v>2001</v>
      </c>
      <c r="B45" s="56">
        <v>35413.1</v>
      </c>
      <c r="C45" s="56">
        <v>36.700000000000003</v>
      </c>
      <c r="D45" s="56" t="s">
        <v>188</v>
      </c>
      <c r="E45" s="56" t="s">
        <v>188</v>
      </c>
      <c r="F45" s="56">
        <f>'803'!H22/'833'!B45*1000</f>
        <v>787.14379917959104</v>
      </c>
      <c r="G45" s="56">
        <f>'803'!J22/'833'!C45*1000</f>
        <v>3046.9370590779195</v>
      </c>
      <c r="H45" s="56" t="s">
        <v>22</v>
      </c>
      <c r="I45" s="56" t="s">
        <v>22</v>
      </c>
      <c r="K45" s="64">
        <v>26833937</v>
      </c>
      <c r="L45" s="64">
        <v>37106.5</v>
      </c>
    </row>
    <row r="46" spans="1:12">
      <c r="A46" s="66">
        <v>2002</v>
      </c>
      <c r="B46" s="56">
        <v>35910.6</v>
      </c>
      <c r="C46" s="56">
        <v>33</v>
      </c>
      <c r="D46" s="56" t="s">
        <v>188</v>
      </c>
      <c r="E46" s="56" t="s">
        <v>188</v>
      </c>
      <c r="F46" s="56">
        <f>'803'!H23/'833'!B46*1000</f>
        <v>808.51792320111883</v>
      </c>
      <c r="G46" s="56">
        <f>'803'!J23/'833'!C46*1000</f>
        <v>3693.7062937062929</v>
      </c>
      <c r="H46" s="56" t="s">
        <v>22</v>
      </c>
      <c r="I46" s="56" t="s">
        <v>22</v>
      </c>
      <c r="K46" s="64">
        <v>27436624.5</v>
      </c>
      <c r="L46" s="64">
        <v>33440.800000000003</v>
      </c>
    </row>
    <row r="47" spans="1:12">
      <c r="A47" s="66">
        <v>2003</v>
      </c>
      <c r="B47" s="56">
        <v>36155.699999999997</v>
      </c>
      <c r="C47" s="56">
        <v>36.6</v>
      </c>
      <c r="D47" s="56" t="s">
        <v>188</v>
      </c>
      <c r="E47" s="56" t="s">
        <v>188</v>
      </c>
      <c r="F47" s="56">
        <f>'803'!H24/'833'!B47*1000</f>
        <v>817.63364962371224</v>
      </c>
      <c r="G47" s="56">
        <f>'803'!J24/'833'!C47*1000</f>
        <v>3066.3559308506383</v>
      </c>
      <c r="H47" s="56" t="s">
        <v>22</v>
      </c>
      <c r="I47" s="56" t="s">
        <v>22</v>
      </c>
      <c r="K47" s="64">
        <v>27799819.300000001</v>
      </c>
      <c r="L47" s="64">
        <v>38267.599999999999</v>
      </c>
    </row>
    <row r="48" spans="1:12">
      <c r="A48" s="66">
        <v>2004</v>
      </c>
      <c r="B48" s="56">
        <v>36226.800000000003</v>
      </c>
      <c r="C48" s="56">
        <v>38.4</v>
      </c>
      <c r="D48" s="56" t="s">
        <v>188</v>
      </c>
      <c r="E48" s="56" t="s">
        <v>188</v>
      </c>
      <c r="F48" s="56">
        <f>'803'!H25/'833'!B48*1000</f>
        <v>825.69190417181744</v>
      </c>
      <c r="G48" s="56">
        <f>'803'!J25/'833'!C48*1000</f>
        <v>2721.7167721518981</v>
      </c>
      <c r="H48" s="56" t="s">
        <v>22</v>
      </c>
      <c r="I48" s="56" t="s">
        <v>22</v>
      </c>
      <c r="K48" s="64">
        <v>27928064.699999999</v>
      </c>
      <c r="L48" s="64">
        <v>39973.800000000003</v>
      </c>
    </row>
    <row r="49" spans="1:12">
      <c r="A49" s="66">
        <v>2005</v>
      </c>
      <c r="B49" s="56">
        <v>36331.1</v>
      </c>
      <c r="C49" s="56">
        <v>39.4</v>
      </c>
      <c r="D49" s="56" t="s">
        <v>188</v>
      </c>
      <c r="E49" s="56" t="s">
        <v>188</v>
      </c>
      <c r="F49" s="56">
        <f>'803'!H26/'833'!B49*1000</f>
        <v>834.48270886235719</v>
      </c>
      <c r="G49" s="56">
        <f>'803'!J26/'833'!C49*1000</f>
        <v>2609.3545341762265</v>
      </c>
      <c r="H49" s="56" t="s">
        <v>22</v>
      </c>
      <c r="I49" s="56" t="s">
        <v>22</v>
      </c>
      <c r="K49" s="64">
        <v>28259255.399999999</v>
      </c>
      <c r="L49" s="64">
        <v>40860.6</v>
      </c>
    </row>
    <row r="50" spans="1:12">
      <c r="A50" s="66">
        <v>2006</v>
      </c>
      <c r="B50" s="56">
        <v>36349.699999999997</v>
      </c>
      <c r="C50" s="56">
        <v>38.299999999999997</v>
      </c>
      <c r="D50" s="56" t="s">
        <v>188</v>
      </c>
      <c r="E50" s="56" t="s">
        <v>188</v>
      </c>
      <c r="F50" s="56">
        <f>'803'!H27/'833'!B50*1000</f>
        <v>839.98380081861342</v>
      </c>
      <c r="G50" s="56">
        <f>'803'!J27/'833'!C50*1000</f>
        <v>2336.5680160471452</v>
      </c>
      <c r="H50" s="56" t="s">
        <v>22</v>
      </c>
      <c r="I50" s="56" t="s">
        <v>22</v>
      </c>
      <c r="K50" s="64">
        <v>28755506.800000001</v>
      </c>
      <c r="L50" s="64">
        <v>41244.9</v>
      </c>
    </row>
    <row r="51" spans="1:12">
      <c r="A51" s="66">
        <v>2007</v>
      </c>
      <c r="B51" s="56">
        <v>36433.699999999997</v>
      </c>
      <c r="C51" s="56">
        <v>46.9</v>
      </c>
      <c r="D51" s="56" t="s">
        <v>188</v>
      </c>
      <c r="E51" s="56" t="s">
        <v>188</v>
      </c>
      <c r="F51" s="56">
        <f>'803'!H28/'833'!B51*1000</f>
        <v>852.38940870677425</v>
      </c>
      <c r="G51" s="56">
        <f>'803'!J28/'833'!C51*1000</f>
        <v>1778.2515991471216</v>
      </c>
      <c r="H51" s="56" t="s">
        <v>22</v>
      </c>
      <c r="I51" s="56" t="s">
        <v>22</v>
      </c>
      <c r="K51" s="64">
        <v>29255372.300000001</v>
      </c>
      <c r="L51" s="64">
        <v>41363.5</v>
      </c>
    </row>
    <row r="52" spans="1:12">
      <c r="A52" s="66">
        <v>2008</v>
      </c>
      <c r="B52" s="56">
        <v>36052.800000000003</v>
      </c>
      <c r="C52" s="56">
        <v>47.9</v>
      </c>
      <c r="D52" s="56" t="s">
        <v>188</v>
      </c>
      <c r="E52" s="56" t="s">
        <v>188</v>
      </c>
      <c r="F52" s="56">
        <f>'803'!H29/'833'!B52*1000</f>
        <v>880.83588514622988</v>
      </c>
      <c r="G52" s="56">
        <f>'803'!J29/'833'!C52*1000</f>
        <v>1807.9331941544885</v>
      </c>
      <c r="H52" s="56" t="s">
        <v>22</v>
      </c>
      <c r="I52" s="56" t="s">
        <v>22</v>
      </c>
    </row>
    <row r="53" spans="1:12">
      <c r="A53" s="66">
        <v>2009</v>
      </c>
      <c r="B53" s="56">
        <v>36522.800000000003</v>
      </c>
      <c r="C53" s="56">
        <v>44.9</v>
      </c>
      <c r="D53" s="56" t="s">
        <v>188</v>
      </c>
      <c r="E53" s="56" t="s">
        <v>188</v>
      </c>
      <c r="F53" s="56">
        <f>'803'!H30/'833'!B53*1000</f>
        <v>865.5250966519543</v>
      </c>
      <c r="G53" s="56">
        <f>'803'!J30/'833'!C53*1000</f>
        <v>1487.7505567928731</v>
      </c>
      <c r="H53" s="56" t="s">
        <v>22</v>
      </c>
      <c r="I53" s="56" t="s">
        <v>22</v>
      </c>
    </row>
    <row r="54" spans="1:12">
      <c r="A54" s="66">
        <v>2010</v>
      </c>
      <c r="B54" s="56">
        <v>37185</v>
      </c>
      <c r="C54" s="56">
        <v>38.700000000000003</v>
      </c>
      <c r="D54" s="56" t="s">
        <v>188</v>
      </c>
      <c r="E54" s="56" t="s">
        <v>188</v>
      </c>
      <c r="F54" s="56">
        <f>'803'!H31/'833'!B54*1000</f>
        <v>868.01936264622827</v>
      </c>
      <c r="G54" s="56">
        <f>'803'!J31/'833'!C54*1000</f>
        <v>2108.5271317829456</v>
      </c>
      <c r="H54" s="56" t="s">
        <v>22</v>
      </c>
      <c r="I54" s="56" t="s">
        <v>22</v>
      </c>
    </row>
    <row r="55" spans="1:12">
      <c r="A55" s="66">
        <v>2011</v>
      </c>
      <c r="B55" s="56">
        <v>38006.699999999997</v>
      </c>
      <c r="C55" s="56">
        <v>36.5</v>
      </c>
      <c r="D55" s="56" t="s">
        <v>188</v>
      </c>
      <c r="E55" s="56" t="s">
        <v>188</v>
      </c>
      <c r="F55" s="56">
        <f>'803'!H32/'833'!B55*1000</f>
        <v>853.94680411611648</v>
      </c>
      <c r="G55" s="56">
        <f>'803'!J32/'833'!C55*1000</f>
        <v>2112.3287671232874</v>
      </c>
      <c r="H55" s="56" t="s">
        <v>22</v>
      </c>
      <c r="I55" s="56" t="s">
        <v>22</v>
      </c>
    </row>
    <row r="57" spans="1:12">
      <c r="A57" s="66" t="s">
        <v>23</v>
      </c>
    </row>
    <row r="58" spans="1:12">
      <c r="A58" s="64" t="s">
        <v>2143</v>
      </c>
      <c r="B58" s="65">
        <f>IFERROR(((B55/B28)^(1/27)-1)*100,"n.a.")</f>
        <v>1.1179395182283391</v>
      </c>
      <c r="C58" s="65">
        <f t="shared" ref="C58:I58" si="0">IFERROR(((C55/C28)^(1/27)-1)*100,"n.a.")</f>
        <v>0.21970654340783824</v>
      </c>
      <c r="D58" s="65" t="str">
        <f t="shared" si="0"/>
        <v>n.a.</v>
      </c>
      <c r="E58" s="65" t="str">
        <f t="shared" si="0"/>
        <v>n.a.</v>
      </c>
      <c r="F58" s="65">
        <f t="shared" si="0"/>
        <v>0.82779286362684168</v>
      </c>
      <c r="G58" s="65">
        <f t="shared" si="0"/>
        <v>0.60342456537698652</v>
      </c>
      <c r="H58" s="65" t="str">
        <f t="shared" si="0"/>
        <v>n.a.</v>
      </c>
      <c r="I58" s="65" t="str">
        <f t="shared" si="0"/>
        <v>n.a.</v>
      </c>
    </row>
    <row r="59" spans="1:12">
      <c r="A59" s="109" t="s">
        <v>682</v>
      </c>
      <c r="B59" s="65">
        <f>IFERROR(((B33/B28)^(1/5)-1)*100,"n.a.")</f>
        <v>2.3883369338168592</v>
      </c>
      <c r="C59" s="65">
        <f t="shared" ref="C59:I59" si="1">IFERROR(((C33/C28)^(1/5)-1)*100,"n.a.")</f>
        <v>-2.3139392464733843</v>
      </c>
      <c r="D59" s="65" t="str">
        <f t="shared" si="1"/>
        <v>n.a.</v>
      </c>
      <c r="E59" s="65" t="str">
        <f t="shared" si="1"/>
        <v>n.a.</v>
      </c>
      <c r="F59" s="65">
        <f t="shared" si="1"/>
        <v>0.27953925376533739</v>
      </c>
      <c r="G59" s="65">
        <f t="shared" si="1"/>
        <v>8.4432951053869729</v>
      </c>
      <c r="H59" s="65" t="str">
        <f t="shared" si="1"/>
        <v>n.a.</v>
      </c>
      <c r="I59" s="65" t="str">
        <f t="shared" si="1"/>
        <v>n.a.</v>
      </c>
    </row>
    <row r="60" spans="1:12">
      <c r="A60" s="109" t="s">
        <v>26</v>
      </c>
      <c r="B60" s="65">
        <f>IFERROR(((B44/B33)^(1/11)-1)*100,"n.a.")</f>
        <v>0.89903553234533806</v>
      </c>
      <c r="C60" s="65">
        <f t="shared" ref="C60:I60" si="2">IFERROR(((C44/C33)^(1/11)-1)*100,"n.a.")</f>
        <v>3.3568356393020915</v>
      </c>
      <c r="D60" s="65" t="str">
        <f t="shared" si="2"/>
        <v>n.a.</v>
      </c>
      <c r="E60" s="65" t="str">
        <f t="shared" si="2"/>
        <v>n.a.</v>
      </c>
      <c r="F60" s="65">
        <f t="shared" si="2"/>
        <v>0.96407844405170806</v>
      </c>
      <c r="G60" s="65">
        <f t="shared" si="2"/>
        <v>-1.8213259690625816</v>
      </c>
      <c r="H60" s="65" t="str">
        <f t="shared" si="2"/>
        <v>n.a.</v>
      </c>
      <c r="I60" s="65" t="str">
        <f t="shared" si="2"/>
        <v>n.a.</v>
      </c>
    </row>
    <row r="61" spans="1:12">
      <c r="A61" s="64" t="s">
        <v>1782</v>
      </c>
      <c r="B61" s="65">
        <f>IFERROR(((B55/B44)^(1/11)-1)*100,"n.a.")</f>
        <v>0.76384617764759799</v>
      </c>
      <c r="C61" s="65">
        <f t="shared" ref="C61:I61" si="3">IFERROR(((C55/C44)^(1/11)-1)*100,"n.a.")</f>
        <v>-1.684535533705811</v>
      </c>
      <c r="D61" s="65" t="str">
        <f t="shared" si="3"/>
        <v>n.a.</v>
      </c>
      <c r="E61" s="65" t="str">
        <f t="shared" si="3"/>
        <v>n.a.</v>
      </c>
      <c r="F61" s="65">
        <f t="shared" si="3"/>
        <v>0.94154961501031753</v>
      </c>
      <c r="G61" s="65">
        <f t="shared" si="3"/>
        <v>-0.36893858992481654</v>
      </c>
      <c r="H61" s="65" t="str">
        <f t="shared" si="3"/>
        <v>n.a.</v>
      </c>
      <c r="I61" s="65" t="str">
        <f t="shared" si="3"/>
        <v>n.a.</v>
      </c>
    </row>
    <row r="63" spans="1:12">
      <c r="A63" s="137" t="s">
        <v>500</v>
      </c>
      <c r="B63" s="137"/>
      <c r="C63" s="137"/>
      <c r="D63" s="137"/>
      <c r="E63" s="137"/>
      <c r="F63" s="137"/>
      <c r="G63" s="137"/>
      <c r="H63" s="137"/>
      <c r="I63" s="137"/>
    </row>
    <row r="64" spans="1:12">
      <c r="A64" s="137" t="s">
        <v>686</v>
      </c>
      <c r="B64" s="137"/>
      <c r="C64" s="137"/>
      <c r="D64" s="137"/>
      <c r="E64" s="137"/>
      <c r="F64" s="137"/>
      <c r="G64" s="137"/>
      <c r="H64" s="137"/>
      <c r="I64" s="137"/>
    </row>
    <row r="65" spans="1:9">
      <c r="A65" s="137" t="s">
        <v>693</v>
      </c>
      <c r="B65" s="137"/>
      <c r="C65" s="137"/>
      <c r="D65" s="137"/>
      <c r="E65" s="137"/>
      <c r="F65" s="137"/>
      <c r="G65" s="137"/>
      <c r="H65" s="137"/>
      <c r="I65" s="137"/>
    </row>
    <row r="66" spans="1:9">
      <c r="A66" s="137" t="s">
        <v>193</v>
      </c>
      <c r="B66" s="137"/>
      <c r="C66" s="137"/>
      <c r="D66" s="137"/>
      <c r="E66" s="137"/>
      <c r="F66" s="137"/>
      <c r="G66" s="137"/>
      <c r="H66" s="137"/>
      <c r="I66" s="137"/>
    </row>
    <row r="67" spans="1:9">
      <c r="A67" s="137" t="s">
        <v>514</v>
      </c>
      <c r="B67" s="137"/>
      <c r="C67" s="137"/>
      <c r="D67" s="137"/>
      <c r="E67" s="137"/>
      <c r="F67" s="137"/>
      <c r="G67" s="137"/>
      <c r="H67" s="137"/>
      <c r="I67" s="137"/>
    </row>
    <row r="68" spans="1:9">
      <c r="A68" s="137" t="s">
        <v>515</v>
      </c>
      <c r="B68" s="137"/>
      <c r="C68" s="137"/>
      <c r="D68" s="137"/>
      <c r="E68" s="137"/>
      <c r="F68" s="137"/>
      <c r="G68" s="137"/>
      <c r="H68" s="137"/>
      <c r="I68" s="137"/>
    </row>
    <row r="69" spans="1:9">
      <c r="A69" s="137" t="s">
        <v>516</v>
      </c>
      <c r="B69" s="137"/>
      <c r="C69" s="137"/>
      <c r="D69" s="137"/>
      <c r="E69" s="137"/>
      <c r="F69" s="137"/>
      <c r="G69" s="137"/>
      <c r="H69" s="137"/>
      <c r="I69" s="137"/>
    </row>
  </sheetData>
  <mergeCells count="10">
    <mergeCell ref="A66:I66"/>
    <mergeCell ref="A67:I67"/>
    <mergeCell ref="A68:I68"/>
    <mergeCell ref="A69:I69"/>
    <mergeCell ref="A1:I1"/>
    <mergeCell ref="B2:E2"/>
    <mergeCell ref="F2:I2"/>
    <mergeCell ref="A63:I63"/>
    <mergeCell ref="A64:I64"/>
    <mergeCell ref="A65:I65"/>
  </mergeCells>
  <pageMargins left="0.7" right="0.7" top="0.75" bottom="0.75" header="0.3" footer="0.3"/>
  <pageSetup scale="72" orientation="portrait" horizontalDpi="0" verticalDpi="0" r:id="rId1"/>
</worksheet>
</file>

<file path=xl/worksheets/sheet193.xml><?xml version="1.0" encoding="utf-8"?>
<worksheet xmlns="http://schemas.openxmlformats.org/spreadsheetml/2006/main" xmlns:r="http://schemas.openxmlformats.org/officeDocument/2006/relationships">
  <sheetPr codeName="Sheet187"/>
  <dimension ref="A1:M69"/>
  <sheetViews>
    <sheetView view="pageBreakPreview" zoomScaleNormal="85" zoomScaleSheetLayoutView="100"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5703125" style="64" customWidth="1"/>
    <col min="2" max="9" width="14.28515625" style="64" customWidth="1"/>
    <col min="10" max="10" width="9.140625" style="64"/>
    <col min="11" max="12" width="9.140625" style="64" hidden="1" customWidth="1" outlineLevel="1"/>
    <col min="13" max="13" width="9.140625" style="64" collapsed="1"/>
    <col min="14" max="16384" width="9.140625" style="64"/>
  </cols>
  <sheetData>
    <row r="1" spans="1:12">
      <c r="A1" s="140" t="s">
        <v>2043</v>
      </c>
      <c r="B1" s="140"/>
      <c r="C1" s="140"/>
      <c r="D1" s="140"/>
      <c r="E1" s="140"/>
      <c r="F1" s="140"/>
      <c r="G1" s="140"/>
      <c r="H1" s="140"/>
      <c r="I1" s="140"/>
    </row>
    <row r="2" spans="1:12">
      <c r="A2" s="66"/>
      <c r="B2" s="105" t="s">
        <v>1928</v>
      </c>
      <c r="C2" s="106"/>
      <c r="D2" s="106"/>
      <c r="E2" s="136"/>
      <c r="F2" s="105" t="s">
        <v>677</v>
      </c>
      <c r="G2" s="106"/>
      <c r="H2" s="106"/>
      <c r="I2" s="136"/>
    </row>
    <row r="3" spans="1:12" ht="60">
      <c r="B3" s="73" t="s">
        <v>7</v>
      </c>
      <c r="C3" s="73" t="s">
        <v>192</v>
      </c>
      <c r="D3" s="73" t="s">
        <v>1</v>
      </c>
      <c r="E3" s="73" t="s">
        <v>2</v>
      </c>
      <c r="F3" s="73" t="s">
        <v>7</v>
      </c>
      <c r="G3" s="73" t="s">
        <v>192</v>
      </c>
      <c r="H3" s="73" t="s">
        <v>1</v>
      </c>
      <c r="I3" s="73" t="s">
        <v>2</v>
      </c>
      <c r="K3" s="73" t="s">
        <v>7</v>
      </c>
      <c r="L3" s="73" t="s">
        <v>192</v>
      </c>
    </row>
    <row r="4" spans="1:12" hidden="1" outlineLevel="1"/>
    <row r="5" spans="1:12" hidden="1" outlineLevel="1" collapsed="1">
      <c r="A5" s="64">
        <v>1961</v>
      </c>
      <c r="B5" s="56">
        <v>9044.7000000000007</v>
      </c>
      <c r="C5" s="56">
        <v>129.19999999999999</v>
      </c>
      <c r="D5" s="56" t="s">
        <v>188</v>
      </c>
      <c r="E5" s="56" t="s">
        <v>188</v>
      </c>
      <c r="F5" s="56" t="s">
        <v>22</v>
      </c>
      <c r="G5" s="56" t="s">
        <v>22</v>
      </c>
      <c r="H5" s="56" t="s">
        <v>22</v>
      </c>
      <c r="I5" s="56" t="s">
        <v>22</v>
      </c>
      <c r="K5" s="64">
        <v>8105932.2000000002</v>
      </c>
      <c r="L5" s="64">
        <v>128526.2</v>
      </c>
    </row>
    <row r="6" spans="1:12" hidden="1" outlineLevel="1">
      <c r="A6" s="64">
        <v>1962</v>
      </c>
      <c r="B6" s="56">
        <v>9316.2000000000007</v>
      </c>
      <c r="C6" s="56">
        <v>132</v>
      </c>
      <c r="D6" s="56" t="s">
        <v>188</v>
      </c>
      <c r="E6" s="56" t="s">
        <v>188</v>
      </c>
      <c r="F6" s="56" t="s">
        <v>22</v>
      </c>
      <c r="G6" s="56" t="s">
        <v>22</v>
      </c>
      <c r="H6" s="56" t="s">
        <v>22</v>
      </c>
      <c r="I6" s="56" t="s">
        <v>22</v>
      </c>
      <c r="K6" s="64">
        <v>8270661.2999999998</v>
      </c>
      <c r="L6" s="64">
        <v>131503.4</v>
      </c>
    </row>
    <row r="7" spans="1:12" hidden="1" outlineLevel="1">
      <c r="A7" s="64">
        <v>1963</v>
      </c>
      <c r="B7" s="56">
        <v>9625.7000000000007</v>
      </c>
      <c r="C7" s="56">
        <v>125.3</v>
      </c>
      <c r="D7" s="56" t="s">
        <v>188</v>
      </c>
      <c r="E7" s="56" t="s">
        <v>188</v>
      </c>
      <c r="F7" s="56" t="s">
        <v>22</v>
      </c>
      <c r="G7" s="56" t="s">
        <v>22</v>
      </c>
      <c r="H7" s="56" t="s">
        <v>22</v>
      </c>
      <c r="I7" s="56" t="s">
        <v>22</v>
      </c>
      <c r="K7" s="64">
        <v>8485489.1999999993</v>
      </c>
      <c r="L7" s="64">
        <v>124443.9</v>
      </c>
    </row>
    <row r="8" spans="1:12" hidden="1" outlineLevel="1">
      <c r="A8" s="64">
        <v>1964</v>
      </c>
      <c r="B8" s="56">
        <v>10224.4</v>
      </c>
      <c r="C8" s="56">
        <v>125</v>
      </c>
      <c r="D8" s="56" t="s">
        <v>188</v>
      </c>
      <c r="E8" s="56" t="s">
        <v>188</v>
      </c>
      <c r="F8" s="56" t="s">
        <v>22</v>
      </c>
      <c r="G8" s="56" t="s">
        <v>22</v>
      </c>
      <c r="H8" s="56" t="s">
        <v>22</v>
      </c>
      <c r="I8" s="56" t="s">
        <v>22</v>
      </c>
      <c r="K8" s="64">
        <v>8968905.3000000007</v>
      </c>
      <c r="L8" s="64">
        <v>123948.2</v>
      </c>
    </row>
    <row r="9" spans="1:12" hidden="1" outlineLevel="1">
      <c r="A9" s="64">
        <v>1965</v>
      </c>
      <c r="B9" s="56">
        <v>11128.4</v>
      </c>
      <c r="C9" s="56">
        <v>131.80000000000001</v>
      </c>
      <c r="D9" s="56" t="s">
        <v>188</v>
      </c>
      <c r="E9" s="56" t="s">
        <v>188</v>
      </c>
      <c r="F9" s="56" t="s">
        <v>22</v>
      </c>
      <c r="G9" s="56" t="s">
        <v>22</v>
      </c>
      <c r="H9" s="56" t="s">
        <v>22</v>
      </c>
      <c r="I9" s="56" t="s">
        <v>22</v>
      </c>
      <c r="K9" s="64">
        <v>9732109.0999999996</v>
      </c>
      <c r="L9" s="64">
        <v>130346.4</v>
      </c>
    </row>
    <row r="10" spans="1:12" hidden="1" outlineLevel="1">
      <c r="A10" s="64">
        <v>1966</v>
      </c>
      <c r="B10" s="56">
        <v>12140.4</v>
      </c>
      <c r="C10" s="56">
        <v>137.19999999999999</v>
      </c>
      <c r="D10" s="56" t="s">
        <v>188</v>
      </c>
      <c r="E10" s="56" t="s">
        <v>188</v>
      </c>
      <c r="F10" s="56" t="s">
        <v>22</v>
      </c>
      <c r="G10" s="56" t="s">
        <v>22</v>
      </c>
      <c r="H10" s="56" t="s">
        <v>22</v>
      </c>
      <c r="I10" s="56" t="s">
        <v>22</v>
      </c>
      <c r="K10" s="64">
        <v>10591953.1</v>
      </c>
      <c r="L10" s="64">
        <v>135560</v>
      </c>
    </row>
    <row r="11" spans="1:12" hidden="1" outlineLevel="1">
      <c r="A11" s="64">
        <v>1967</v>
      </c>
      <c r="B11" s="56">
        <v>12965.2</v>
      </c>
      <c r="C11" s="56">
        <v>136.19999999999999</v>
      </c>
      <c r="D11" s="56" t="s">
        <v>188</v>
      </c>
      <c r="E11" s="56" t="s">
        <v>188</v>
      </c>
      <c r="F11" s="56" t="s">
        <v>22</v>
      </c>
      <c r="G11" s="56" t="s">
        <v>22</v>
      </c>
      <c r="H11" s="56" t="s">
        <v>22</v>
      </c>
      <c r="I11" s="56" t="s">
        <v>22</v>
      </c>
      <c r="K11" s="64">
        <v>11311390.5</v>
      </c>
      <c r="L11" s="64">
        <v>134425.29999999999</v>
      </c>
    </row>
    <row r="12" spans="1:12" hidden="1" outlineLevel="1">
      <c r="A12" s="64">
        <v>1968</v>
      </c>
      <c r="B12" s="56">
        <v>13430.2</v>
      </c>
      <c r="C12" s="56">
        <v>127.2</v>
      </c>
      <c r="D12" s="56" t="s">
        <v>188</v>
      </c>
      <c r="E12" s="56" t="s">
        <v>188</v>
      </c>
      <c r="F12" s="56" t="s">
        <v>22</v>
      </c>
      <c r="G12" s="56" t="s">
        <v>22</v>
      </c>
      <c r="H12" s="56" t="s">
        <v>22</v>
      </c>
      <c r="I12" s="56" t="s">
        <v>22</v>
      </c>
      <c r="K12" s="64">
        <v>11623459.9</v>
      </c>
      <c r="L12" s="64">
        <v>125404.2</v>
      </c>
    </row>
    <row r="13" spans="1:12" hidden="1" outlineLevel="1">
      <c r="A13" s="64">
        <v>1969</v>
      </c>
      <c r="B13" s="56">
        <v>14008.7</v>
      </c>
      <c r="C13" s="56">
        <v>125.7</v>
      </c>
      <c r="D13" s="56" t="s">
        <v>188</v>
      </c>
      <c r="E13" s="56" t="s">
        <v>188</v>
      </c>
      <c r="F13" s="56" t="s">
        <v>22</v>
      </c>
      <c r="G13" s="56" t="s">
        <v>22</v>
      </c>
      <c r="H13" s="56" t="s">
        <v>22</v>
      </c>
      <c r="I13" s="56" t="s">
        <v>22</v>
      </c>
      <c r="K13" s="64">
        <v>12139108.1</v>
      </c>
      <c r="L13" s="64">
        <v>124181</v>
      </c>
    </row>
    <row r="14" spans="1:12" hidden="1" outlineLevel="1">
      <c r="A14" s="64">
        <v>1970</v>
      </c>
      <c r="B14" s="56">
        <v>14802.9</v>
      </c>
      <c r="C14" s="56">
        <v>130.9</v>
      </c>
      <c r="D14" s="56" t="s">
        <v>188</v>
      </c>
      <c r="E14" s="56" t="s">
        <v>188</v>
      </c>
      <c r="F14" s="56" t="s">
        <v>22</v>
      </c>
      <c r="G14" s="56" t="s">
        <v>22</v>
      </c>
      <c r="H14" s="56" t="s">
        <v>22</v>
      </c>
      <c r="I14" s="56" t="s">
        <v>22</v>
      </c>
      <c r="K14" s="64">
        <v>12875441.6</v>
      </c>
      <c r="L14" s="64">
        <v>130438.8</v>
      </c>
    </row>
    <row r="15" spans="1:12" hidden="1" outlineLevel="1">
      <c r="A15" s="64">
        <v>1971</v>
      </c>
      <c r="B15" s="56">
        <v>15476.2</v>
      </c>
      <c r="C15" s="56">
        <v>134.69999999999999</v>
      </c>
      <c r="D15" s="56" t="s">
        <v>188</v>
      </c>
      <c r="E15" s="56" t="s">
        <v>188</v>
      </c>
      <c r="F15" s="56" t="s">
        <v>22</v>
      </c>
      <c r="G15" s="56" t="s">
        <v>22</v>
      </c>
      <c r="H15" s="56" t="s">
        <v>22</v>
      </c>
      <c r="I15" s="56" t="s">
        <v>22</v>
      </c>
      <c r="K15" s="64">
        <v>13471301.5</v>
      </c>
      <c r="L15" s="64">
        <v>134895.70000000001</v>
      </c>
    </row>
    <row r="16" spans="1:12" hidden="1" outlineLevel="1">
      <c r="A16" s="64">
        <v>1972</v>
      </c>
      <c r="B16" s="56">
        <v>15757.9</v>
      </c>
      <c r="C16" s="56">
        <v>132.80000000000001</v>
      </c>
      <c r="D16" s="56" t="s">
        <v>188</v>
      </c>
      <c r="E16" s="56" t="s">
        <v>188</v>
      </c>
      <c r="F16" s="56" t="s">
        <v>22</v>
      </c>
      <c r="G16" s="56" t="s">
        <v>22</v>
      </c>
      <c r="H16" s="56" t="s">
        <v>22</v>
      </c>
      <c r="I16" s="56" t="s">
        <v>22</v>
      </c>
      <c r="K16" s="64">
        <v>13670878.199999999</v>
      </c>
      <c r="L16" s="64">
        <v>132834.1</v>
      </c>
    </row>
    <row r="17" spans="1:12" hidden="1" outlineLevel="1">
      <c r="A17" s="64">
        <v>1973</v>
      </c>
      <c r="B17" s="56">
        <v>16324.1</v>
      </c>
      <c r="C17" s="56">
        <v>142.1</v>
      </c>
      <c r="D17" s="56" t="s">
        <v>188</v>
      </c>
      <c r="E17" s="56" t="s">
        <v>188</v>
      </c>
      <c r="F17" s="56" t="s">
        <v>22</v>
      </c>
      <c r="G17" s="56" t="s">
        <v>22</v>
      </c>
      <c r="H17" s="56" t="s">
        <v>22</v>
      </c>
      <c r="I17" s="56" t="s">
        <v>22</v>
      </c>
      <c r="K17" s="64">
        <v>14112856.1</v>
      </c>
      <c r="L17" s="64">
        <v>143196.20000000001</v>
      </c>
    </row>
    <row r="18" spans="1:12" hidden="1" outlineLevel="1">
      <c r="A18" s="64">
        <v>1974</v>
      </c>
      <c r="B18" s="56">
        <v>17599.8</v>
      </c>
      <c r="C18" s="56">
        <v>149.1</v>
      </c>
      <c r="D18" s="56" t="s">
        <v>188</v>
      </c>
      <c r="E18" s="56" t="s">
        <v>188</v>
      </c>
      <c r="F18" s="56" t="s">
        <v>22</v>
      </c>
      <c r="G18" s="56" t="s">
        <v>22</v>
      </c>
      <c r="H18" s="56" t="s">
        <v>22</v>
      </c>
      <c r="I18" s="56" t="s">
        <v>22</v>
      </c>
      <c r="K18" s="64">
        <v>15284996.9</v>
      </c>
      <c r="L18" s="64">
        <v>151715.4</v>
      </c>
    </row>
    <row r="19" spans="1:12" hidden="1" outlineLevel="1">
      <c r="A19" s="64">
        <v>1975</v>
      </c>
      <c r="B19" s="56">
        <v>18739.099999999999</v>
      </c>
      <c r="C19" s="56">
        <v>148.4</v>
      </c>
      <c r="D19" s="56" t="s">
        <v>188</v>
      </c>
      <c r="E19" s="56" t="s">
        <v>188</v>
      </c>
      <c r="F19" s="56" t="s">
        <v>22</v>
      </c>
      <c r="G19" s="56" t="s">
        <v>22</v>
      </c>
      <c r="H19" s="56" t="s">
        <v>22</v>
      </c>
      <c r="I19" s="56" t="s">
        <v>22</v>
      </c>
      <c r="K19" s="64">
        <v>16562083.5</v>
      </c>
      <c r="L19" s="64">
        <v>150978.79999999999</v>
      </c>
    </row>
    <row r="20" spans="1:12" hidden="1" outlineLevel="1">
      <c r="A20" s="64">
        <v>1976</v>
      </c>
      <c r="B20" s="56">
        <v>19683.5</v>
      </c>
      <c r="C20" s="56">
        <v>145.9</v>
      </c>
      <c r="D20" s="56" t="s">
        <v>188</v>
      </c>
      <c r="E20" s="56" t="s">
        <v>188</v>
      </c>
      <c r="F20" s="56" t="s">
        <v>22</v>
      </c>
      <c r="G20" s="56" t="s">
        <v>22</v>
      </c>
      <c r="H20" s="56" t="s">
        <v>22</v>
      </c>
      <c r="I20" s="56" t="s">
        <v>22</v>
      </c>
      <c r="K20" s="64">
        <v>17383505.699999999</v>
      </c>
      <c r="L20" s="64">
        <v>147586.29999999999</v>
      </c>
    </row>
    <row r="21" spans="1:12" hidden="1" outlineLevel="1">
      <c r="A21" s="64">
        <v>1977</v>
      </c>
      <c r="B21" s="56">
        <v>20541.099999999999</v>
      </c>
      <c r="C21" s="56">
        <v>141</v>
      </c>
      <c r="D21" s="56" t="s">
        <v>188</v>
      </c>
      <c r="E21" s="56" t="s">
        <v>188</v>
      </c>
      <c r="F21" s="56" t="s">
        <v>22</v>
      </c>
      <c r="G21" s="56" t="s">
        <v>22</v>
      </c>
      <c r="H21" s="56" t="s">
        <v>22</v>
      </c>
      <c r="I21" s="56" t="s">
        <v>22</v>
      </c>
      <c r="K21" s="64">
        <v>18086473.600000001</v>
      </c>
      <c r="L21" s="64">
        <v>141873.79999999999</v>
      </c>
    </row>
    <row r="22" spans="1:12" hidden="1" outlineLevel="1">
      <c r="A22" s="64">
        <v>1978</v>
      </c>
      <c r="B22" s="56">
        <v>21406.2</v>
      </c>
      <c r="C22" s="56">
        <v>136.80000000000001</v>
      </c>
      <c r="D22" s="56" t="s">
        <v>188</v>
      </c>
      <c r="E22" s="56" t="s">
        <v>188</v>
      </c>
      <c r="F22" s="56" t="s">
        <v>22</v>
      </c>
      <c r="G22" s="56" t="s">
        <v>22</v>
      </c>
      <c r="H22" s="56" t="s">
        <v>22</v>
      </c>
      <c r="I22" s="56" t="s">
        <v>22</v>
      </c>
      <c r="K22" s="64">
        <v>18815313.100000001</v>
      </c>
      <c r="L22" s="64">
        <v>136972.4</v>
      </c>
    </row>
    <row r="23" spans="1:12" hidden="1" outlineLevel="1">
      <c r="A23" s="64">
        <v>1979</v>
      </c>
      <c r="B23" s="56">
        <v>22614.1</v>
      </c>
      <c r="C23" s="56">
        <v>132.80000000000001</v>
      </c>
      <c r="D23" s="56" t="s">
        <v>188</v>
      </c>
      <c r="E23" s="56" t="s">
        <v>188</v>
      </c>
      <c r="F23" s="56" t="s">
        <v>22</v>
      </c>
      <c r="G23" s="56" t="s">
        <v>22</v>
      </c>
      <c r="H23" s="56" t="s">
        <v>22</v>
      </c>
      <c r="I23" s="56" t="s">
        <v>22</v>
      </c>
      <c r="K23" s="64">
        <v>19866207.899999999</v>
      </c>
      <c r="L23" s="64">
        <v>132502.39999999999</v>
      </c>
    </row>
    <row r="24" spans="1:12" hidden="1" outlineLevel="1">
      <c r="A24" s="64">
        <v>1980</v>
      </c>
      <c r="B24" s="56">
        <v>23281.200000000001</v>
      </c>
      <c r="C24" s="56">
        <v>130.5</v>
      </c>
      <c r="D24" s="56" t="s">
        <v>188</v>
      </c>
      <c r="E24" s="56" t="s">
        <v>188</v>
      </c>
      <c r="F24" s="56" t="s">
        <v>22</v>
      </c>
      <c r="G24" s="56" t="s">
        <v>22</v>
      </c>
      <c r="H24" s="56" t="s">
        <v>22</v>
      </c>
      <c r="I24" s="56" t="s">
        <v>22</v>
      </c>
      <c r="K24" s="64">
        <v>20358177.100000001</v>
      </c>
      <c r="L24" s="64">
        <v>129603.5</v>
      </c>
    </row>
    <row r="25" spans="1:12" hidden="1" outlineLevel="1">
      <c r="A25" s="64">
        <v>1981</v>
      </c>
      <c r="B25" s="56">
        <v>23694.2</v>
      </c>
      <c r="C25" s="56">
        <v>123</v>
      </c>
      <c r="D25" s="56" t="s">
        <v>188</v>
      </c>
      <c r="E25" s="56" t="s">
        <v>188</v>
      </c>
      <c r="F25" s="56" t="s">
        <v>22</v>
      </c>
      <c r="G25" s="56" t="s">
        <v>22</v>
      </c>
      <c r="H25" s="56" t="s">
        <v>22</v>
      </c>
      <c r="I25" s="56" t="s">
        <v>22</v>
      </c>
      <c r="K25" s="64">
        <v>20664656.300000001</v>
      </c>
      <c r="L25" s="64">
        <v>122135.9</v>
      </c>
    </row>
    <row r="26" spans="1:12" hidden="1" outlineLevel="1">
      <c r="A26" s="64">
        <v>1982</v>
      </c>
      <c r="B26" s="56">
        <v>24152.400000000001</v>
      </c>
      <c r="C26" s="56">
        <v>111.8</v>
      </c>
      <c r="D26" s="56" t="s">
        <v>188</v>
      </c>
      <c r="E26" s="56" t="s">
        <v>188</v>
      </c>
      <c r="F26" s="56" t="s">
        <v>22</v>
      </c>
      <c r="G26" s="56" t="s">
        <v>22</v>
      </c>
      <c r="H26" s="56" t="s">
        <v>22</v>
      </c>
      <c r="I26" s="56" t="s">
        <v>22</v>
      </c>
      <c r="K26" s="64">
        <v>21035904.600000001</v>
      </c>
      <c r="L26" s="64">
        <v>109873.3</v>
      </c>
    </row>
    <row r="27" spans="1:12" hidden="1" outlineLevel="1">
      <c r="A27" s="64">
        <v>1983</v>
      </c>
      <c r="B27" s="56">
        <v>24039.5</v>
      </c>
      <c r="C27" s="56">
        <v>103.2</v>
      </c>
      <c r="D27" s="56" t="s">
        <v>188</v>
      </c>
      <c r="E27" s="56" t="s">
        <v>188</v>
      </c>
      <c r="F27" s="56" t="s">
        <v>22</v>
      </c>
      <c r="G27" s="56" t="s">
        <v>22</v>
      </c>
      <c r="H27" s="56" t="s">
        <v>22</v>
      </c>
      <c r="I27" s="56" t="s">
        <v>22</v>
      </c>
      <c r="K27" s="64">
        <v>20774488.600000001</v>
      </c>
      <c r="L27" s="64">
        <v>100354.8</v>
      </c>
    </row>
    <row r="28" spans="1:12" collapsed="1">
      <c r="A28" s="66">
        <v>1984</v>
      </c>
      <c r="B28" s="56">
        <v>24050.7</v>
      </c>
      <c r="C28" s="56">
        <v>96.8</v>
      </c>
      <c r="D28" s="56" t="s">
        <v>188</v>
      </c>
      <c r="E28" s="56" t="s">
        <v>188</v>
      </c>
      <c r="F28" s="56">
        <f>'804'!H5/'834'!B28*1000</f>
        <v>614.28103403067416</v>
      </c>
      <c r="G28" s="56">
        <f>'804'!J5/'834'!C28*1000</f>
        <v>2009.6646251343234</v>
      </c>
      <c r="H28" s="56" t="s">
        <v>22</v>
      </c>
      <c r="I28" s="56" t="s">
        <v>22</v>
      </c>
      <c r="K28" s="64">
        <v>20642441.600000001</v>
      </c>
      <c r="L28" s="64">
        <v>93449</v>
      </c>
    </row>
    <row r="29" spans="1:12">
      <c r="A29" s="66">
        <v>1985</v>
      </c>
      <c r="B29" s="56">
        <v>24169.9</v>
      </c>
      <c r="C29" s="56">
        <v>93.2</v>
      </c>
      <c r="D29" s="56" t="s">
        <v>188</v>
      </c>
      <c r="E29" s="56" t="s">
        <v>188</v>
      </c>
      <c r="F29" s="56">
        <f>'804'!H6/'834'!B29*1000</f>
        <v>637.99298718634839</v>
      </c>
      <c r="G29" s="56">
        <f>'804'!J6/'834'!C29*1000</f>
        <v>2078.6347113727279</v>
      </c>
      <c r="H29" s="56" t="s">
        <v>22</v>
      </c>
      <c r="I29" s="56" t="s">
        <v>22</v>
      </c>
      <c r="K29" s="64">
        <v>20640094.800000001</v>
      </c>
      <c r="L29" s="64">
        <v>90189.1</v>
      </c>
    </row>
    <row r="30" spans="1:12">
      <c r="A30" s="66">
        <v>1986</v>
      </c>
      <c r="B30" s="56">
        <v>24109.200000000001</v>
      </c>
      <c r="C30" s="56">
        <v>88.7</v>
      </c>
      <c r="D30" s="56" t="s">
        <v>188</v>
      </c>
      <c r="E30" s="56" t="s">
        <v>188</v>
      </c>
      <c r="F30" s="56">
        <f>'804'!H7/'834'!B30*1000</f>
        <v>670.36101091646947</v>
      </c>
      <c r="G30" s="56">
        <f>'804'!J7/'834'!C30*1000</f>
        <v>2183.6723271638239</v>
      </c>
      <c r="H30" s="56" t="s">
        <v>22</v>
      </c>
      <c r="I30" s="56" t="s">
        <v>22</v>
      </c>
      <c r="K30" s="64">
        <v>20455831.600000001</v>
      </c>
      <c r="L30" s="64">
        <v>85948.3</v>
      </c>
    </row>
    <row r="31" spans="1:12">
      <c r="A31" s="66">
        <v>1987</v>
      </c>
      <c r="B31" s="56">
        <v>24147.4</v>
      </c>
      <c r="C31" s="56">
        <v>87.1</v>
      </c>
      <c r="D31" s="56" t="s">
        <v>188</v>
      </c>
      <c r="E31" s="56" t="s">
        <v>188</v>
      </c>
      <c r="F31" s="56">
        <f>'804'!H8/'834'!B31*1000</f>
        <v>701.62484039020285</v>
      </c>
      <c r="G31" s="56">
        <f>'804'!J8/'834'!C31*1000</f>
        <v>2280.1699213264101</v>
      </c>
      <c r="H31" s="56" t="s">
        <v>22</v>
      </c>
      <c r="I31" s="56" t="s">
        <v>22</v>
      </c>
      <c r="K31" s="64">
        <v>20375794.899999999</v>
      </c>
      <c r="L31" s="64">
        <v>85124.7</v>
      </c>
    </row>
    <row r="32" spans="1:12">
      <c r="A32" s="66">
        <v>1988</v>
      </c>
      <c r="B32" s="56">
        <v>24480.799999999999</v>
      </c>
      <c r="C32" s="56">
        <v>85.7</v>
      </c>
      <c r="D32" s="56" t="s">
        <v>188</v>
      </c>
      <c r="E32" s="56" t="s">
        <v>188</v>
      </c>
      <c r="F32" s="56">
        <f>'804'!H9/'834'!B32*1000</f>
        <v>707.55342152293031</v>
      </c>
      <c r="G32" s="56">
        <f>'804'!J9/'834'!C32*1000</f>
        <v>2327.1602015984554</v>
      </c>
      <c r="H32" s="56" t="s">
        <v>22</v>
      </c>
      <c r="I32" s="56" t="s">
        <v>22</v>
      </c>
      <c r="K32" s="64">
        <v>20628395.5</v>
      </c>
      <c r="L32" s="64">
        <v>83791</v>
      </c>
    </row>
    <row r="33" spans="1:12">
      <c r="A33" s="66">
        <v>1989</v>
      </c>
      <c r="B33" s="56">
        <v>25125.599999999999</v>
      </c>
      <c r="C33" s="56">
        <v>82.4</v>
      </c>
      <c r="D33" s="56" t="s">
        <v>188</v>
      </c>
      <c r="E33" s="56" t="s">
        <v>188</v>
      </c>
      <c r="F33" s="56">
        <f>'804'!H10/'834'!B33*1000</f>
        <v>701.86918065811142</v>
      </c>
      <c r="G33" s="56">
        <f>'804'!J10/'834'!C33*1000</f>
        <v>2466.3330551292447</v>
      </c>
      <c r="H33" s="56" t="s">
        <v>22</v>
      </c>
      <c r="I33" s="56" t="s">
        <v>22</v>
      </c>
      <c r="K33" s="64">
        <v>21240600.800000001</v>
      </c>
      <c r="L33" s="64">
        <v>80380.600000000006</v>
      </c>
    </row>
    <row r="34" spans="1:12">
      <c r="A34" s="66">
        <v>1990</v>
      </c>
      <c r="B34" s="56">
        <v>25664.799999999999</v>
      </c>
      <c r="C34" s="56">
        <v>77.7</v>
      </c>
      <c r="D34" s="56" t="s">
        <v>188</v>
      </c>
      <c r="E34" s="56" t="s">
        <v>188</v>
      </c>
      <c r="F34" s="56">
        <f>'804'!H11/'834'!B34*1000</f>
        <v>686.51601172571156</v>
      </c>
      <c r="G34" s="56">
        <f>'804'!J11/'834'!C34*1000</f>
        <v>2620.7097124621359</v>
      </c>
      <c r="H34" s="56" t="s">
        <v>22</v>
      </c>
      <c r="I34" s="56" t="s">
        <v>22</v>
      </c>
      <c r="K34" s="64">
        <v>21617852.600000001</v>
      </c>
      <c r="L34" s="64">
        <v>74853.5</v>
      </c>
    </row>
    <row r="35" spans="1:12">
      <c r="A35" s="66">
        <v>1991</v>
      </c>
      <c r="B35" s="56">
        <v>26143.1</v>
      </c>
      <c r="C35" s="56">
        <v>70.8</v>
      </c>
      <c r="D35" s="56" t="s">
        <v>188</v>
      </c>
      <c r="E35" s="56" t="s">
        <v>188</v>
      </c>
      <c r="F35" s="56">
        <f>'804'!H12/'834'!B35*1000</f>
        <v>672.02651712923137</v>
      </c>
      <c r="G35" s="56">
        <f>'804'!J12/'834'!C35*1000</f>
        <v>2863.1133891493287</v>
      </c>
      <c r="H35" s="56" t="s">
        <v>22</v>
      </c>
      <c r="I35" s="56" t="s">
        <v>22</v>
      </c>
      <c r="K35" s="64">
        <v>21918658.199999999</v>
      </c>
      <c r="L35" s="64">
        <v>67332.899999999994</v>
      </c>
    </row>
    <row r="36" spans="1:12">
      <c r="A36" s="66">
        <v>1992</v>
      </c>
      <c r="B36" s="56">
        <v>26350.5</v>
      </c>
      <c r="C36" s="56">
        <v>64.599999999999994</v>
      </c>
      <c r="D36" s="56" t="s">
        <v>188</v>
      </c>
      <c r="E36" s="56" t="s">
        <v>188</v>
      </c>
      <c r="F36" s="56">
        <f>'804'!H13/'834'!B36*1000</f>
        <v>667.84811453054806</v>
      </c>
      <c r="G36" s="56">
        <f>'804'!J13/'834'!C36*1000</f>
        <v>3112.4671685346048</v>
      </c>
      <c r="H36" s="56" t="s">
        <v>22</v>
      </c>
      <c r="I36" s="56" t="s">
        <v>22</v>
      </c>
      <c r="K36" s="64">
        <v>22000219.800000001</v>
      </c>
      <c r="L36" s="64">
        <v>60634.7</v>
      </c>
    </row>
    <row r="37" spans="1:12">
      <c r="A37" s="66">
        <v>1993</v>
      </c>
      <c r="B37" s="56">
        <v>26281.200000000001</v>
      </c>
      <c r="C37" s="56">
        <v>60.8</v>
      </c>
      <c r="D37" s="56" t="s">
        <v>188</v>
      </c>
      <c r="E37" s="56" t="s">
        <v>188</v>
      </c>
      <c r="F37" s="56">
        <f>'804'!H14/'834'!B37*1000</f>
        <v>676.20589476247073</v>
      </c>
      <c r="G37" s="56">
        <f>'804'!J14/'834'!C37*1000</f>
        <v>3254.6061623604337</v>
      </c>
      <c r="H37" s="56" t="s">
        <v>22</v>
      </c>
      <c r="I37" s="56" t="s">
        <v>22</v>
      </c>
      <c r="K37" s="64">
        <v>21786220.899999999</v>
      </c>
      <c r="L37" s="64">
        <v>56722.1</v>
      </c>
    </row>
    <row r="38" spans="1:12">
      <c r="A38" s="66">
        <v>1994</v>
      </c>
      <c r="B38" s="56">
        <v>26140.799999999999</v>
      </c>
      <c r="C38" s="56">
        <v>65.900000000000006</v>
      </c>
      <c r="D38" s="56" t="s">
        <v>188</v>
      </c>
      <c r="E38" s="56" t="s">
        <v>188</v>
      </c>
      <c r="F38" s="56">
        <f>'804'!H15/'834'!B38*1000</f>
        <v>697.58659035809603</v>
      </c>
      <c r="G38" s="56">
        <f>'804'!J15/'834'!C38*1000</f>
        <v>2986.8835723369348</v>
      </c>
      <c r="H38" s="56" t="s">
        <v>22</v>
      </c>
      <c r="I38" s="56" t="s">
        <v>22</v>
      </c>
      <c r="K38" s="64">
        <v>21563020.699999999</v>
      </c>
      <c r="L38" s="64">
        <v>62534.6</v>
      </c>
    </row>
    <row r="39" spans="1:12">
      <c r="A39" s="66">
        <v>1995</v>
      </c>
      <c r="B39" s="56">
        <v>26387</v>
      </c>
      <c r="C39" s="56">
        <v>74.900000000000006</v>
      </c>
      <c r="D39" s="56" t="s">
        <v>188</v>
      </c>
      <c r="E39" s="56" t="s">
        <v>188</v>
      </c>
      <c r="F39" s="56">
        <f>'804'!H16/'834'!B39*1000</f>
        <v>712.88281911676108</v>
      </c>
      <c r="G39" s="56">
        <f>'804'!J16/'834'!C39*1000</f>
        <v>2656.5593976991931</v>
      </c>
      <c r="H39" s="56" t="s">
        <v>22</v>
      </c>
      <c r="I39" s="56" t="s">
        <v>22</v>
      </c>
      <c r="K39" s="64">
        <v>21676924.100000001</v>
      </c>
      <c r="L39" s="64">
        <v>72735.399999999994</v>
      </c>
    </row>
    <row r="40" spans="1:12">
      <c r="A40" s="66">
        <v>1996</v>
      </c>
      <c r="B40" s="56">
        <v>26745.8</v>
      </c>
      <c r="C40" s="56">
        <v>90.5</v>
      </c>
      <c r="D40" s="56" t="s">
        <v>188</v>
      </c>
      <c r="E40" s="56" t="s">
        <v>188</v>
      </c>
      <c r="F40" s="56">
        <f>'804'!H17/'834'!B40*1000</f>
        <v>717.70521202276836</v>
      </c>
      <c r="G40" s="56">
        <f>'804'!J17/'834'!C40*1000</f>
        <v>2225.4441768723746</v>
      </c>
      <c r="H40" s="56" t="s">
        <v>22</v>
      </c>
      <c r="I40" s="56" t="s">
        <v>22</v>
      </c>
      <c r="K40" s="64">
        <v>21877771</v>
      </c>
      <c r="L40" s="64">
        <v>89859.4</v>
      </c>
    </row>
    <row r="41" spans="1:12">
      <c r="A41" s="66">
        <v>1997</v>
      </c>
      <c r="B41" s="56">
        <v>26713.3</v>
      </c>
      <c r="C41" s="56">
        <v>99.8</v>
      </c>
      <c r="D41" s="56" t="s">
        <v>188</v>
      </c>
      <c r="E41" s="56" t="s">
        <v>188</v>
      </c>
      <c r="F41" s="56">
        <f>'804'!H18/'834'!B41*1000</f>
        <v>724.44220426628351</v>
      </c>
      <c r="G41" s="56">
        <f>'804'!J18/'834'!C41*1000</f>
        <v>1953.10740029571</v>
      </c>
      <c r="H41" s="56" t="s">
        <v>22</v>
      </c>
      <c r="I41" s="56" t="s">
        <v>22</v>
      </c>
      <c r="K41" s="64">
        <v>21753590.100000001</v>
      </c>
      <c r="L41" s="64">
        <v>99843.4</v>
      </c>
    </row>
    <row r="42" spans="1:12">
      <c r="A42" s="66">
        <v>1998</v>
      </c>
      <c r="B42" s="56">
        <v>27114.2</v>
      </c>
      <c r="C42" s="56">
        <v>116</v>
      </c>
      <c r="D42" s="56" t="s">
        <v>188</v>
      </c>
      <c r="E42" s="56" t="s">
        <v>188</v>
      </c>
      <c r="F42" s="56">
        <f>'804'!H19/'834'!B42*1000</f>
        <v>742.77291585221133</v>
      </c>
      <c r="G42" s="56">
        <f>'804'!J19/'834'!C42*1000</f>
        <v>1653.2547011013321</v>
      </c>
      <c r="H42" s="56" t="s">
        <v>22</v>
      </c>
      <c r="I42" s="56" t="s">
        <v>22</v>
      </c>
      <c r="K42" s="64">
        <v>21955054.199999999</v>
      </c>
      <c r="L42" s="64">
        <v>115705.4</v>
      </c>
    </row>
    <row r="43" spans="1:12">
      <c r="A43" s="66">
        <v>1999</v>
      </c>
      <c r="B43" s="56">
        <v>28243.5</v>
      </c>
      <c r="C43" s="56">
        <v>119.1</v>
      </c>
      <c r="D43" s="56" t="s">
        <v>188</v>
      </c>
      <c r="E43" s="56" t="s">
        <v>188</v>
      </c>
      <c r="F43" s="56">
        <f>'804'!H20/'834'!B43*1000</f>
        <v>757.20133666683148</v>
      </c>
      <c r="G43" s="56">
        <f>'804'!J20/'834'!C43*1000</f>
        <v>1811.1624609021403</v>
      </c>
      <c r="H43" s="56" t="s">
        <v>22</v>
      </c>
      <c r="I43" s="56" t="s">
        <v>22</v>
      </c>
      <c r="K43" s="64">
        <v>22905993.899999999</v>
      </c>
      <c r="L43" s="64">
        <v>117704.1</v>
      </c>
    </row>
    <row r="44" spans="1:12">
      <c r="A44" s="66">
        <v>2000</v>
      </c>
      <c r="B44" s="56">
        <v>29017.7</v>
      </c>
      <c r="C44" s="56">
        <v>121.4</v>
      </c>
      <c r="D44" s="56" t="s">
        <v>188</v>
      </c>
      <c r="E44" s="56" t="s">
        <v>188</v>
      </c>
      <c r="F44" s="56">
        <f>'804'!H21/'834'!B44*1000</f>
        <v>756.30242330108365</v>
      </c>
      <c r="G44" s="56">
        <f>'804'!J21/'834'!C44*1000</f>
        <v>1711.1379558337296</v>
      </c>
      <c r="H44" s="56" t="s">
        <v>22</v>
      </c>
      <c r="I44" s="56" t="s">
        <v>22</v>
      </c>
      <c r="K44" s="64">
        <v>23584181.600000001</v>
      </c>
      <c r="L44" s="64">
        <v>122621</v>
      </c>
    </row>
    <row r="45" spans="1:12">
      <c r="A45" s="66">
        <v>2001</v>
      </c>
      <c r="B45" s="56">
        <v>28843.9</v>
      </c>
      <c r="C45" s="56">
        <v>112.9</v>
      </c>
      <c r="D45" s="56" t="s">
        <v>188</v>
      </c>
      <c r="E45" s="56" t="s">
        <v>188</v>
      </c>
      <c r="F45" s="56">
        <f>'804'!H22/'834'!B45*1000</f>
        <v>773.60677835432216</v>
      </c>
      <c r="G45" s="56">
        <f>'804'!J22/'834'!C45*1000</f>
        <v>2147.5784843105498</v>
      </c>
      <c r="H45" s="56" t="s">
        <v>22</v>
      </c>
      <c r="I45" s="56" t="s">
        <v>22</v>
      </c>
      <c r="K45" s="64">
        <v>23387150.399999999</v>
      </c>
      <c r="L45" s="64">
        <v>114244.5</v>
      </c>
    </row>
    <row r="46" spans="1:12">
      <c r="A46" s="66">
        <v>2002</v>
      </c>
      <c r="B46" s="56">
        <v>28593.5</v>
      </c>
      <c r="C46" s="56">
        <v>112.2</v>
      </c>
      <c r="D46" s="56" t="s">
        <v>188</v>
      </c>
      <c r="E46" s="56" t="s">
        <v>188</v>
      </c>
      <c r="F46" s="56">
        <f>'804'!H23/'834'!B46*1000</f>
        <v>811.76418001274681</v>
      </c>
      <c r="G46" s="56">
        <f>'804'!J23/'834'!C46*1000</f>
        <v>2415.9276744804674</v>
      </c>
      <c r="H46" s="56" t="s">
        <v>22</v>
      </c>
      <c r="I46" s="56" t="s">
        <v>22</v>
      </c>
      <c r="K46" s="64">
        <v>23122967.600000001</v>
      </c>
      <c r="L46" s="64">
        <v>114314.5</v>
      </c>
    </row>
    <row r="47" spans="1:12">
      <c r="A47" s="66">
        <v>2003</v>
      </c>
      <c r="B47" s="56">
        <v>28700.400000000001</v>
      </c>
      <c r="C47" s="56">
        <v>123.6</v>
      </c>
      <c r="D47" s="56" t="s">
        <v>188</v>
      </c>
      <c r="E47" s="56" t="s">
        <v>188</v>
      </c>
      <c r="F47" s="56">
        <f>'804'!H24/'834'!B47*1000</f>
        <v>829.64938840494051</v>
      </c>
      <c r="G47" s="56">
        <f>'804'!J24/'834'!C47*1000</f>
        <v>1947.9729455254496</v>
      </c>
      <c r="H47" s="56" t="s">
        <v>22</v>
      </c>
      <c r="I47" s="56" t="s">
        <v>22</v>
      </c>
      <c r="K47" s="64">
        <v>23192520.899999999</v>
      </c>
      <c r="L47" s="64">
        <v>128153.60000000001</v>
      </c>
    </row>
    <row r="48" spans="1:12">
      <c r="A48" s="66">
        <v>2004</v>
      </c>
      <c r="B48" s="56">
        <v>29048.7</v>
      </c>
      <c r="C48" s="56">
        <v>131.80000000000001</v>
      </c>
      <c r="D48" s="56" t="s">
        <v>188</v>
      </c>
      <c r="E48" s="56" t="s">
        <v>188</v>
      </c>
      <c r="F48" s="56">
        <f>'804'!H25/'834'!B48*1000</f>
        <v>843.79165904637989</v>
      </c>
      <c r="G48" s="56">
        <f>'804'!J25/'834'!C48*1000</f>
        <v>2086.0005121660597</v>
      </c>
      <c r="H48" s="56" t="s">
        <v>22</v>
      </c>
      <c r="I48" s="56" t="s">
        <v>22</v>
      </c>
      <c r="K48" s="64">
        <v>23506206.600000001</v>
      </c>
      <c r="L48" s="64">
        <v>136100.29999999999</v>
      </c>
    </row>
    <row r="49" spans="1:12">
      <c r="A49" s="66">
        <v>2005</v>
      </c>
      <c r="B49" s="56">
        <v>29575.3</v>
      </c>
      <c r="C49" s="56">
        <v>127.2</v>
      </c>
      <c r="D49" s="56" t="s">
        <v>188</v>
      </c>
      <c r="E49" s="56" t="s">
        <v>188</v>
      </c>
      <c r="F49" s="56">
        <f>'804'!H26/'834'!B49*1000</f>
        <v>841.49110169092421</v>
      </c>
      <c r="G49" s="56">
        <f>'804'!J26/'834'!C49*1000</f>
        <v>1861.1675789233614</v>
      </c>
      <c r="H49" s="56" t="s">
        <v>22</v>
      </c>
      <c r="I49" s="56" t="s">
        <v>22</v>
      </c>
      <c r="K49" s="64">
        <v>24013867.899999999</v>
      </c>
      <c r="L49" s="64">
        <v>130429.5</v>
      </c>
    </row>
    <row r="50" spans="1:12">
      <c r="A50" s="66">
        <v>2006</v>
      </c>
      <c r="B50" s="56">
        <v>30834</v>
      </c>
      <c r="C50" s="56">
        <v>120.6</v>
      </c>
      <c r="D50" s="56" t="s">
        <v>188</v>
      </c>
      <c r="E50" s="56" t="s">
        <v>188</v>
      </c>
      <c r="F50" s="56">
        <f>'804'!H27/'834'!B50*1000</f>
        <v>829.21281174052831</v>
      </c>
      <c r="G50" s="56">
        <f>'804'!J27/'834'!C50*1000</f>
        <v>1810.6844901480508</v>
      </c>
      <c r="H50" s="56" t="s">
        <v>22</v>
      </c>
      <c r="I50" s="56" t="s">
        <v>22</v>
      </c>
      <c r="K50" s="64">
        <v>24576491</v>
      </c>
      <c r="L50" s="64">
        <v>122171.5</v>
      </c>
    </row>
    <row r="51" spans="1:12">
      <c r="A51" s="66">
        <v>2007</v>
      </c>
      <c r="B51" s="56">
        <v>32299.8</v>
      </c>
      <c r="C51" s="56">
        <v>106</v>
      </c>
      <c r="D51" s="56" t="s">
        <v>188</v>
      </c>
      <c r="E51" s="56" t="s">
        <v>188</v>
      </c>
      <c r="F51" s="56">
        <f>'804'!H28/'834'!B51*1000</f>
        <v>801.04830370466698</v>
      </c>
      <c r="G51" s="56">
        <f>'804'!J28/'834'!C51*1000</f>
        <v>2180.1886792452829</v>
      </c>
      <c r="H51" s="56" t="s">
        <v>22</v>
      </c>
      <c r="I51" s="56" t="s">
        <v>22</v>
      </c>
      <c r="K51" s="64">
        <v>25610395.600000001</v>
      </c>
      <c r="L51" s="64">
        <v>109666.2</v>
      </c>
    </row>
    <row r="52" spans="1:12">
      <c r="A52" s="66">
        <v>2008</v>
      </c>
      <c r="B52" s="56">
        <v>33545.300000000003</v>
      </c>
      <c r="C52" s="56">
        <v>104.2</v>
      </c>
      <c r="D52" s="56" t="s">
        <v>188</v>
      </c>
      <c r="E52" s="56" t="s">
        <v>188</v>
      </c>
      <c r="F52" s="56"/>
      <c r="G52" s="56"/>
      <c r="H52" s="56"/>
      <c r="I52" s="56"/>
    </row>
    <row r="53" spans="1:12">
      <c r="A53" s="66">
        <v>2009</v>
      </c>
      <c r="B53" s="56">
        <v>33956.199999999997</v>
      </c>
      <c r="C53" s="56">
        <v>101.8</v>
      </c>
      <c r="D53" s="56" t="s">
        <v>188</v>
      </c>
      <c r="E53" s="56" t="s">
        <v>188</v>
      </c>
      <c r="F53" s="56"/>
      <c r="G53" s="56"/>
      <c r="H53" s="56"/>
      <c r="I53" s="56"/>
    </row>
    <row r="54" spans="1:12">
      <c r="A54" s="66">
        <v>2010</v>
      </c>
      <c r="B54" s="56">
        <v>34531.699999999997</v>
      </c>
      <c r="C54" s="56">
        <v>117.7</v>
      </c>
      <c r="D54" s="56" t="s">
        <v>188</v>
      </c>
      <c r="E54" s="56" t="s">
        <v>188</v>
      </c>
      <c r="F54" s="56"/>
      <c r="G54" s="56"/>
      <c r="H54" s="56"/>
      <c r="I54" s="56"/>
    </row>
    <row r="55" spans="1:12">
      <c r="A55" s="66">
        <v>2011</v>
      </c>
      <c r="B55" s="56">
        <v>34684.1</v>
      </c>
      <c r="C55" s="56">
        <v>105.3</v>
      </c>
      <c r="D55" s="56" t="s">
        <v>188</v>
      </c>
      <c r="E55" s="56" t="s">
        <v>188</v>
      </c>
      <c r="F55" s="56"/>
      <c r="G55" s="56"/>
      <c r="H55" s="56"/>
      <c r="I55" s="56"/>
    </row>
    <row r="57" spans="1:12">
      <c r="A57" s="66" t="s">
        <v>23</v>
      </c>
    </row>
    <row r="58" spans="1:12">
      <c r="A58" s="64" t="s">
        <v>2143</v>
      </c>
      <c r="B58" s="65">
        <f>IFERROR(((B55/B28)^(1/27)-1)*100,"n.a.")</f>
        <v>1.3652251145007455</v>
      </c>
      <c r="C58" s="65">
        <f t="shared" ref="C58:I58" si="0">IFERROR(((C55/C28)^(1/27)-1)*100,"n.a.")</f>
        <v>0.31221387489881458</v>
      </c>
      <c r="D58" s="65" t="str">
        <f t="shared" si="0"/>
        <v>n.a.</v>
      </c>
      <c r="E58" s="65" t="str">
        <f t="shared" si="0"/>
        <v>n.a.</v>
      </c>
      <c r="F58" s="65">
        <f t="shared" si="0"/>
        <v>-100</v>
      </c>
      <c r="G58" s="65">
        <f t="shared" si="0"/>
        <v>-100</v>
      </c>
      <c r="H58" s="65" t="str">
        <f t="shared" si="0"/>
        <v>n.a.</v>
      </c>
      <c r="I58" s="65" t="str">
        <f t="shared" si="0"/>
        <v>n.a.</v>
      </c>
    </row>
    <row r="59" spans="1:12">
      <c r="A59" s="109" t="s">
        <v>682</v>
      </c>
      <c r="B59" s="65">
        <f>IFERROR(((B33/B28)^(1/5)-1)*100,"n.a.")</f>
        <v>0.87829748663510454</v>
      </c>
      <c r="C59" s="65">
        <f t="shared" ref="C59:I59" si="1">IFERROR(((C33/C28)^(1/5)-1)*100,"n.a.")</f>
        <v>-3.169902115352663</v>
      </c>
      <c r="D59" s="65" t="str">
        <f t="shared" si="1"/>
        <v>n.a.</v>
      </c>
      <c r="E59" s="65" t="str">
        <f t="shared" si="1"/>
        <v>n.a.</v>
      </c>
      <c r="F59" s="65">
        <f t="shared" si="1"/>
        <v>2.7017427518646775</v>
      </c>
      <c r="G59" s="65">
        <f t="shared" si="1"/>
        <v>4.1803056197166955</v>
      </c>
      <c r="H59" s="65" t="str">
        <f t="shared" si="1"/>
        <v>n.a.</v>
      </c>
      <c r="I59" s="65" t="str">
        <f t="shared" si="1"/>
        <v>n.a.</v>
      </c>
    </row>
    <row r="60" spans="1:12">
      <c r="A60" s="109" t="s">
        <v>26</v>
      </c>
      <c r="B60" s="65">
        <f>IFERROR(((B44/B33)^(1/11)-1)*100,"n.a.")</f>
        <v>1.3178696435672599</v>
      </c>
      <c r="C60" s="65">
        <f t="shared" ref="C60:I60" si="2">IFERROR(((C44/C33)^(1/11)-1)*100,"n.a.")</f>
        <v>3.58556161022483</v>
      </c>
      <c r="D60" s="65" t="str">
        <f t="shared" si="2"/>
        <v>n.a.</v>
      </c>
      <c r="E60" s="65" t="str">
        <f t="shared" si="2"/>
        <v>n.a.</v>
      </c>
      <c r="F60" s="65">
        <f t="shared" si="2"/>
        <v>0.68134972164570762</v>
      </c>
      <c r="G60" s="65">
        <f t="shared" si="2"/>
        <v>-3.2687803352609124</v>
      </c>
      <c r="H60" s="65" t="str">
        <f t="shared" si="2"/>
        <v>n.a.</v>
      </c>
      <c r="I60" s="65" t="str">
        <f t="shared" si="2"/>
        <v>n.a.</v>
      </c>
    </row>
    <row r="61" spans="1:12">
      <c r="A61" s="64" t="s">
        <v>1782</v>
      </c>
      <c r="B61" s="65">
        <f>IFERROR(((B55/B44)^(1/11)-1)*100,"n.a.")</f>
        <v>1.6348135628116101</v>
      </c>
      <c r="C61" s="65">
        <f t="shared" ref="C61:I61" si="3">IFERROR(((C55/C44)^(1/11)-1)*100,"n.a.")</f>
        <v>-1.2851025733981669</v>
      </c>
      <c r="D61" s="65" t="str">
        <f t="shared" si="3"/>
        <v>n.a.</v>
      </c>
      <c r="E61" s="65" t="str">
        <f t="shared" si="3"/>
        <v>n.a.</v>
      </c>
      <c r="F61" s="65">
        <f t="shared" si="3"/>
        <v>-100</v>
      </c>
      <c r="G61" s="65">
        <f t="shared" si="3"/>
        <v>-100</v>
      </c>
      <c r="H61" s="65" t="str">
        <f t="shared" si="3"/>
        <v>n.a.</v>
      </c>
      <c r="I61" s="65" t="str">
        <f t="shared" si="3"/>
        <v>n.a.</v>
      </c>
    </row>
    <row r="63" spans="1:12">
      <c r="A63" s="137" t="s">
        <v>500</v>
      </c>
      <c r="B63" s="137"/>
      <c r="C63" s="137"/>
      <c r="D63" s="137"/>
      <c r="E63" s="137"/>
      <c r="F63" s="137"/>
      <c r="G63" s="137"/>
      <c r="H63" s="137"/>
      <c r="I63" s="137"/>
    </row>
    <row r="64" spans="1:12">
      <c r="A64" s="137" t="s">
        <v>686</v>
      </c>
      <c r="B64" s="137"/>
      <c r="C64" s="137"/>
      <c r="D64" s="137"/>
      <c r="E64" s="137"/>
      <c r="F64" s="137"/>
      <c r="G64" s="137"/>
      <c r="H64" s="137"/>
      <c r="I64" s="137"/>
    </row>
    <row r="65" spans="1:9">
      <c r="A65" s="137" t="s">
        <v>692</v>
      </c>
      <c r="B65" s="137"/>
      <c r="C65" s="137"/>
      <c r="D65" s="137"/>
      <c r="E65" s="137"/>
      <c r="F65" s="137"/>
      <c r="G65" s="137"/>
      <c r="H65" s="137"/>
      <c r="I65" s="137"/>
    </row>
    <row r="66" spans="1:9">
      <c r="A66" s="137" t="s">
        <v>193</v>
      </c>
      <c r="B66" s="137"/>
      <c r="C66" s="137"/>
      <c r="D66" s="137"/>
      <c r="E66" s="137"/>
      <c r="F66" s="137"/>
      <c r="G66" s="137"/>
      <c r="H66" s="137"/>
      <c r="I66" s="137"/>
    </row>
    <row r="67" spans="1:9">
      <c r="A67" s="137" t="s">
        <v>514</v>
      </c>
      <c r="B67" s="137"/>
      <c r="C67" s="137"/>
      <c r="D67" s="137"/>
      <c r="E67" s="137"/>
      <c r="F67" s="137"/>
      <c r="G67" s="137"/>
      <c r="H67" s="137"/>
      <c r="I67" s="137"/>
    </row>
    <row r="68" spans="1:9">
      <c r="A68" s="137" t="s">
        <v>515</v>
      </c>
      <c r="B68" s="137"/>
      <c r="C68" s="137"/>
      <c r="D68" s="137"/>
      <c r="E68" s="137"/>
      <c r="F68" s="137"/>
      <c r="G68" s="137"/>
      <c r="H68" s="137"/>
      <c r="I68" s="137"/>
    </row>
    <row r="69" spans="1:9">
      <c r="A69" s="137" t="s">
        <v>516</v>
      </c>
      <c r="B69" s="137"/>
      <c r="C69" s="137"/>
      <c r="D69" s="137"/>
      <c r="E69" s="137"/>
      <c r="F69" s="137"/>
      <c r="G69" s="137"/>
      <c r="H69" s="137"/>
      <c r="I69" s="137"/>
    </row>
  </sheetData>
  <mergeCells count="10">
    <mergeCell ref="A66:I66"/>
    <mergeCell ref="A67:I67"/>
    <mergeCell ref="A68:I68"/>
    <mergeCell ref="A69:I69"/>
    <mergeCell ref="A1:I1"/>
    <mergeCell ref="B2:E2"/>
    <mergeCell ref="F2:I2"/>
    <mergeCell ref="A63:I63"/>
    <mergeCell ref="A64:I64"/>
    <mergeCell ref="A65:I65"/>
  </mergeCells>
  <pageMargins left="0.7" right="0.7" top="0.75" bottom="0.75" header="0.3" footer="0.3"/>
  <pageSetup scale="72" orientation="portrait" horizontalDpi="0" verticalDpi="0" r:id="rId1"/>
</worksheet>
</file>

<file path=xl/worksheets/sheet194.xml><?xml version="1.0" encoding="utf-8"?>
<worksheet xmlns="http://schemas.openxmlformats.org/spreadsheetml/2006/main" xmlns:r="http://schemas.openxmlformats.org/officeDocument/2006/relationships">
  <sheetPr codeName="Sheet188"/>
  <dimension ref="A1:O68"/>
  <sheetViews>
    <sheetView view="pageBreakPreview" zoomScaleNormal="85" zoomScaleSheetLayoutView="100"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140625" style="64" customWidth="1"/>
    <col min="2" max="9" width="14.28515625" style="64" customWidth="1"/>
    <col min="10" max="10" width="9.140625" style="64"/>
    <col min="11" max="14" width="9.140625" style="64" hidden="1" customWidth="1" outlineLevel="1"/>
    <col min="15" max="15" width="9.140625" style="64" collapsed="1"/>
    <col min="16" max="16384" width="9.140625" style="64"/>
  </cols>
  <sheetData>
    <row r="1" spans="1:14">
      <c r="A1" s="93" t="s">
        <v>2044</v>
      </c>
      <c r="B1" s="93"/>
      <c r="C1" s="93"/>
      <c r="D1" s="93"/>
      <c r="E1" s="93"/>
      <c r="F1" s="93"/>
      <c r="G1" s="93"/>
      <c r="H1" s="93"/>
      <c r="I1" s="93"/>
    </row>
    <row r="2" spans="1:14">
      <c r="A2" s="66"/>
      <c r="B2" s="105" t="s">
        <v>1928</v>
      </c>
      <c r="C2" s="106"/>
      <c r="D2" s="106"/>
      <c r="E2" s="136"/>
      <c r="F2" s="105" t="s">
        <v>677</v>
      </c>
      <c r="G2" s="106"/>
      <c r="H2" s="106"/>
      <c r="I2" s="136"/>
    </row>
    <row r="3" spans="1:14" ht="75">
      <c r="B3" s="73" t="s">
        <v>7</v>
      </c>
      <c r="C3" s="73" t="s">
        <v>192</v>
      </c>
      <c r="D3" s="73" t="s">
        <v>1</v>
      </c>
      <c r="E3" s="73" t="s">
        <v>2</v>
      </c>
      <c r="F3" s="73" t="s">
        <v>7</v>
      </c>
      <c r="G3" s="73" t="s">
        <v>192</v>
      </c>
      <c r="H3" s="73" t="s">
        <v>1</v>
      </c>
      <c r="I3" s="73" t="s">
        <v>2</v>
      </c>
      <c r="K3" s="73" t="s">
        <v>7</v>
      </c>
      <c r="L3" s="73" t="s">
        <v>192</v>
      </c>
      <c r="M3" s="73" t="s">
        <v>1</v>
      </c>
      <c r="N3" s="73" t="s">
        <v>2</v>
      </c>
    </row>
    <row r="4" spans="1:14" hidden="1" outlineLevel="1"/>
    <row r="5" spans="1:14" hidden="1" outlineLevel="1" collapsed="1">
      <c r="A5" s="64">
        <v>1961</v>
      </c>
      <c r="B5" s="56">
        <v>89196.7</v>
      </c>
      <c r="C5" s="56">
        <v>851.4</v>
      </c>
      <c r="D5" s="56">
        <v>357.3</v>
      </c>
      <c r="E5" s="56">
        <v>2416.8000000000002</v>
      </c>
      <c r="F5" s="57" t="s">
        <v>22</v>
      </c>
      <c r="G5" s="57" t="s">
        <v>22</v>
      </c>
      <c r="H5" s="57" t="s">
        <v>22</v>
      </c>
      <c r="I5" s="57" t="s">
        <v>22</v>
      </c>
      <c r="K5" s="64">
        <v>83812408.799999997</v>
      </c>
      <c r="L5" s="64">
        <v>811492.2</v>
      </c>
      <c r="M5" s="64">
        <v>327355.09999999998</v>
      </c>
      <c r="N5" s="64">
        <v>2346357.2000000002</v>
      </c>
    </row>
    <row r="6" spans="1:14" hidden="1" outlineLevel="1">
      <c r="A6" s="64">
        <v>1962</v>
      </c>
      <c r="B6" s="56">
        <v>93319.8</v>
      </c>
      <c r="C6" s="56">
        <v>860</v>
      </c>
      <c r="D6" s="56">
        <v>358.2</v>
      </c>
      <c r="E6" s="56">
        <v>2485.9</v>
      </c>
      <c r="F6" s="57" t="s">
        <v>22</v>
      </c>
      <c r="G6" s="57" t="s">
        <v>22</v>
      </c>
      <c r="H6" s="57" t="s">
        <v>22</v>
      </c>
      <c r="I6" s="57" t="s">
        <v>22</v>
      </c>
      <c r="K6" s="64">
        <v>87016593.200000003</v>
      </c>
      <c r="L6" s="64">
        <v>821878.9</v>
      </c>
      <c r="M6" s="64">
        <v>327710.3</v>
      </c>
      <c r="N6" s="64">
        <v>2372193.7999999998</v>
      </c>
    </row>
    <row r="7" spans="1:14" hidden="1" outlineLevel="1">
      <c r="A7" s="64">
        <v>1963</v>
      </c>
      <c r="B7" s="56">
        <v>97358</v>
      </c>
      <c r="C7" s="56">
        <v>851.3</v>
      </c>
      <c r="D7" s="56">
        <v>371.7</v>
      </c>
      <c r="E7" s="56">
        <v>2606.6999999999998</v>
      </c>
      <c r="F7" s="57" t="s">
        <v>22</v>
      </c>
      <c r="G7" s="57" t="s">
        <v>22</v>
      </c>
      <c r="H7" s="57" t="s">
        <v>22</v>
      </c>
      <c r="I7" s="57" t="s">
        <v>22</v>
      </c>
      <c r="K7" s="64">
        <v>90191156.5</v>
      </c>
      <c r="L7" s="64">
        <v>812772.3</v>
      </c>
      <c r="M7" s="64">
        <v>341177.9</v>
      </c>
      <c r="N7" s="64">
        <v>2461859.9</v>
      </c>
    </row>
    <row r="8" spans="1:14" hidden="1" outlineLevel="1">
      <c r="A8" s="64">
        <v>1964</v>
      </c>
      <c r="B8" s="56">
        <v>103378.5</v>
      </c>
      <c r="C8" s="56">
        <v>876.3</v>
      </c>
      <c r="D8" s="56">
        <v>402.8</v>
      </c>
      <c r="E8" s="56">
        <v>2851.9</v>
      </c>
      <c r="F8" s="57" t="s">
        <v>22</v>
      </c>
      <c r="G8" s="57" t="s">
        <v>22</v>
      </c>
      <c r="H8" s="57" t="s">
        <v>22</v>
      </c>
      <c r="I8" s="57" t="s">
        <v>22</v>
      </c>
      <c r="K8" s="64">
        <v>95460133.599999994</v>
      </c>
      <c r="L8" s="64">
        <v>834923.5</v>
      </c>
      <c r="M8" s="64">
        <v>372261.3</v>
      </c>
      <c r="N8" s="64">
        <v>2688326.8</v>
      </c>
    </row>
    <row r="9" spans="1:14" hidden="1" outlineLevel="1">
      <c r="A9" s="64">
        <v>1965</v>
      </c>
      <c r="B9" s="56">
        <v>110464.3</v>
      </c>
      <c r="C9" s="56">
        <v>887.6</v>
      </c>
      <c r="D9" s="56">
        <v>417</v>
      </c>
      <c r="E9" s="56">
        <v>3115.8</v>
      </c>
      <c r="F9" s="57" t="s">
        <v>22</v>
      </c>
      <c r="G9" s="57" t="s">
        <v>22</v>
      </c>
      <c r="H9" s="57" t="s">
        <v>22</v>
      </c>
      <c r="I9" s="57" t="s">
        <v>22</v>
      </c>
      <c r="K9" s="64">
        <v>101655295.7</v>
      </c>
      <c r="L9" s="64">
        <v>843548.8</v>
      </c>
      <c r="M9" s="64">
        <v>386898.5</v>
      </c>
      <c r="N9" s="64">
        <v>2923562.5</v>
      </c>
    </row>
    <row r="10" spans="1:14" hidden="1" outlineLevel="1">
      <c r="A10" s="64">
        <v>1966</v>
      </c>
      <c r="B10" s="56">
        <v>117680.8</v>
      </c>
      <c r="C10" s="56">
        <v>895.4</v>
      </c>
      <c r="D10" s="56">
        <v>453.7</v>
      </c>
      <c r="E10" s="56">
        <v>3474.9</v>
      </c>
      <c r="F10" s="57" t="s">
        <v>22</v>
      </c>
      <c r="G10" s="57" t="s">
        <v>22</v>
      </c>
      <c r="H10" s="57" t="s">
        <v>22</v>
      </c>
      <c r="I10" s="57" t="s">
        <v>22</v>
      </c>
      <c r="K10" s="64">
        <v>107734285.5</v>
      </c>
      <c r="L10" s="64">
        <v>846351.8</v>
      </c>
      <c r="M10" s="64">
        <v>424442.4</v>
      </c>
      <c r="N10" s="64">
        <v>3255704.1</v>
      </c>
    </row>
    <row r="11" spans="1:14" hidden="1" outlineLevel="1">
      <c r="A11" s="64">
        <v>1967</v>
      </c>
      <c r="B11" s="56">
        <v>122593.60000000001</v>
      </c>
      <c r="C11" s="56">
        <v>917.1</v>
      </c>
      <c r="D11" s="56">
        <v>487.8</v>
      </c>
      <c r="E11" s="56">
        <v>3828.4</v>
      </c>
      <c r="F11" s="57" t="s">
        <v>22</v>
      </c>
      <c r="G11" s="57" t="s">
        <v>22</v>
      </c>
      <c r="H11" s="57" t="s">
        <v>22</v>
      </c>
      <c r="I11" s="57" t="s">
        <v>22</v>
      </c>
      <c r="K11" s="64">
        <v>111572437.59999999</v>
      </c>
      <c r="L11" s="64">
        <v>862616</v>
      </c>
      <c r="M11" s="64">
        <v>457002.8</v>
      </c>
      <c r="N11" s="64">
        <v>3590571.3</v>
      </c>
    </row>
    <row r="12" spans="1:14" hidden="1" outlineLevel="1">
      <c r="A12" s="64">
        <v>1968</v>
      </c>
      <c r="B12" s="56">
        <v>126568.8</v>
      </c>
      <c r="C12" s="56">
        <v>902</v>
      </c>
      <c r="D12" s="56">
        <v>499.5</v>
      </c>
      <c r="E12" s="56">
        <v>3937.3</v>
      </c>
      <c r="F12" s="57" t="s">
        <v>22</v>
      </c>
      <c r="G12" s="57" t="s">
        <v>22</v>
      </c>
      <c r="H12" s="57" t="s">
        <v>22</v>
      </c>
      <c r="I12" s="57" t="s">
        <v>22</v>
      </c>
      <c r="K12" s="64">
        <v>114582085.3</v>
      </c>
      <c r="L12" s="64">
        <v>844593.8</v>
      </c>
      <c r="M12" s="64">
        <v>467490.5</v>
      </c>
      <c r="N12" s="64">
        <v>3683827.8</v>
      </c>
    </row>
    <row r="13" spans="1:14" hidden="1" outlineLevel="1">
      <c r="A13" s="64">
        <v>1969</v>
      </c>
      <c r="B13" s="56">
        <v>130270</v>
      </c>
      <c r="C13" s="56">
        <v>893.2</v>
      </c>
      <c r="D13" s="56">
        <v>534.29999999999995</v>
      </c>
      <c r="E13" s="56">
        <v>4037.2</v>
      </c>
      <c r="F13" s="57" t="s">
        <v>22</v>
      </c>
      <c r="G13" s="57" t="s">
        <v>22</v>
      </c>
      <c r="H13" s="57" t="s">
        <v>22</v>
      </c>
      <c r="I13" s="57" t="s">
        <v>22</v>
      </c>
      <c r="K13" s="64">
        <v>117486237.90000001</v>
      </c>
      <c r="L13" s="64">
        <v>836340.9</v>
      </c>
      <c r="M13" s="64">
        <v>503878.5</v>
      </c>
      <c r="N13" s="64">
        <v>3760805.2</v>
      </c>
    </row>
    <row r="14" spans="1:14" hidden="1" outlineLevel="1">
      <c r="A14" s="64">
        <v>1970</v>
      </c>
      <c r="B14" s="56">
        <v>133134.5</v>
      </c>
      <c r="C14" s="56">
        <v>851.6</v>
      </c>
      <c r="D14" s="56">
        <v>549.5</v>
      </c>
      <c r="E14" s="56">
        <v>4011.4</v>
      </c>
      <c r="F14" s="57" t="s">
        <v>22</v>
      </c>
      <c r="G14" s="57" t="s">
        <v>22</v>
      </c>
      <c r="H14" s="57" t="s">
        <v>22</v>
      </c>
      <c r="I14" s="57" t="s">
        <v>22</v>
      </c>
      <c r="K14" s="64">
        <v>119642064.90000001</v>
      </c>
      <c r="L14" s="64">
        <v>798134.8</v>
      </c>
      <c r="M14" s="64">
        <v>517369.9</v>
      </c>
      <c r="N14" s="64">
        <v>3713885.9</v>
      </c>
    </row>
    <row r="15" spans="1:14" hidden="1" outlineLevel="1">
      <c r="A15" s="64">
        <v>1971</v>
      </c>
      <c r="B15" s="56">
        <v>137622</v>
      </c>
      <c r="C15" s="56">
        <v>810.2</v>
      </c>
      <c r="D15" s="56">
        <v>570.79999999999995</v>
      </c>
      <c r="E15" s="56">
        <v>3819.5</v>
      </c>
      <c r="F15" s="57" t="s">
        <v>22</v>
      </c>
      <c r="G15" s="57" t="s">
        <v>22</v>
      </c>
      <c r="H15" s="57" t="s">
        <v>22</v>
      </c>
      <c r="I15" s="57" t="s">
        <v>22</v>
      </c>
      <c r="K15" s="64">
        <v>123426399.40000001</v>
      </c>
      <c r="L15" s="64">
        <v>756632.1</v>
      </c>
      <c r="M15" s="64">
        <v>534551.6</v>
      </c>
      <c r="N15" s="64">
        <v>3503745</v>
      </c>
    </row>
    <row r="16" spans="1:14" hidden="1" outlineLevel="1">
      <c r="A16" s="64">
        <v>1972</v>
      </c>
      <c r="B16" s="56">
        <v>143104.1</v>
      </c>
      <c r="C16" s="56">
        <v>778.9</v>
      </c>
      <c r="D16" s="56">
        <v>672.2</v>
      </c>
      <c r="E16" s="56">
        <v>3819.3</v>
      </c>
      <c r="F16" s="57" t="s">
        <v>22</v>
      </c>
      <c r="G16" s="57" t="s">
        <v>22</v>
      </c>
      <c r="H16" s="57" t="s">
        <v>22</v>
      </c>
      <c r="I16" s="57" t="s">
        <v>22</v>
      </c>
      <c r="K16" s="64">
        <v>128271472.59999999</v>
      </c>
      <c r="L16" s="64">
        <v>724262.3</v>
      </c>
      <c r="M16" s="64">
        <v>640830.9</v>
      </c>
      <c r="N16" s="64">
        <v>3489904.1</v>
      </c>
    </row>
    <row r="17" spans="1:14" hidden="1" outlineLevel="1">
      <c r="A17" s="64">
        <v>1973</v>
      </c>
      <c r="B17" s="56">
        <v>149795.4</v>
      </c>
      <c r="C17" s="56">
        <v>788.4</v>
      </c>
      <c r="D17" s="56">
        <v>832.3</v>
      </c>
      <c r="E17" s="56">
        <v>4095.2</v>
      </c>
      <c r="F17" s="57" t="s">
        <v>22</v>
      </c>
      <c r="G17" s="57" t="s">
        <v>22</v>
      </c>
      <c r="H17" s="57" t="s">
        <v>22</v>
      </c>
      <c r="I17" s="57" t="s">
        <v>22</v>
      </c>
      <c r="K17" s="64">
        <v>134361199.5</v>
      </c>
      <c r="L17" s="64">
        <v>731560.8</v>
      </c>
      <c r="M17" s="64">
        <v>811945.7</v>
      </c>
      <c r="N17" s="64">
        <v>3780675.3</v>
      </c>
    </row>
    <row r="18" spans="1:14" hidden="1" outlineLevel="1">
      <c r="A18" s="64">
        <v>1974</v>
      </c>
      <c r="B18" s="56">
        <v>157223</v>
      </c>
      <c r="C18" s="56">
        <v>857.5</v>
      </c>
      <c r="D18" s="56">
        <v>975.6</v>
      </c>
      <c r="E18" s="56">
        <v>4411.7</v>
      </c>
      <c r="F18" s="57" t="s">
        <v>22</v>
      </c>
      <c r="G18" s="57" t="s">
        <v>22</v>
      </c>
      <c r="H18" s="57" t="s">
        <v>22</v>
      </c>
      <c r="I18" s="57" t="s">
        <v>22</v>
      </c>
      <c r="K18" s="64">
        <v>140940168.90000001</v>
      </c>
      <c r="L18" s="64">
        <v>799052.3</v>
      </c>
      <c r="M18" s="64">
        <v>956080.8</v>
      </c>
      <c r="N18" s="64">
        <v>4130541.8</v>
      </c>
    </row>
    <row r="19" spans="1:14" hidden="1" outlineLevel="1">
      <c r="A19" s="64">
        <v>1975</v>
      </c>
      <c r="B19" s="56">
        <v>166215.70000000001</v>
      </c>
      <c r="C19" s="56">
        <v>872.7</v>
      </c>
      <c r="D19" s="56">
        <v>1053.3</v>
      </c>
      <c r="E19" s="56">
        <v>4494</v>
      </c>
      <c r="F19" s="57" t="s">
        <v>22</v>
      </c>
      <c r="G19" s="57" t="s">
        <v>22</v>
      </c>
      <c r="H19" s="57" t="s">
        <v>22</v>
      </c>
      <c r="I19" s="57" t="s">
        <v>22</v>
      </c>
      <c r="K19" s="64">
        <v>148830178.59999999</v>
      </c>
      <c r="L19" s="64">
        <v>815146.1</v>
      </c>
      <c r="M19" s="64">
        <v>1028528.1</v>
      </c>
      <c r="N19" s="64">
        <v>4211928.3</v>
      </c>
    </row>
    <row r="20" spans="1:14" hidden="1" outlineLevel="1">
      <c r="A20" s="64">
        <v>1976</v>
      </c>
      <c r="B20" s="56">
        <v>172596.9</v>
      </c>
      <c r="C20" s="56">
        <v>832.2</v>
      </c>
      <c r="D20" s="56">
        <v>1071.7</v>
      </c>
      <c r="E20" s="56">
        <v>4493.7</v>
      </c>
      <c r="F20" s="57" t="s">
        <v>22</v>
      </c>
      <c r="G20" s="57" t="s">
        <v>22</v>
      </c>
      <c r="H20" s="57" t="s">
        <v>22</v>
      </c>
      <c r="I20" s="57" t="s">
        <v>22</v>
      </c>
      <c r="K20" s="64">
        <v>154080819.5</v>
      </c>
      <c r="L20" s="64">
        <v>770725.2</v>
      </c>
      <c r="M20" s="64">
        <v>1040371.6</v>
      </c>
      <c r="N20" s="64">
        <v>4209094.9000000004</v>
      </c>
    </row>
    <row r="21" spans="1:14" hidden="1" outlineLevel="1">
      <c r="A21" s="64">
        <v>1977</v>
      </c>
      <c r="B21" s="56">
        <v>179458.5</v>
      </c>
      <c r="C21" s="56">
        <v>787.9</v>
      </c>
      <c r="D21" s="56">
        <v>1073.8</v>
      </c>
      <c r="E21" s="56">
        <v>4533.2</v>
      </c>
      <c r="F21" s="57" t="s">
        <v>22</v>
      </c>
      <c r="G21" s="57" t="s">
        <v>22</v>
      </c>
      <c r="H21" s="57" t="s">
        <v>22</v>
      </c>
      <c r="I21" s="57" t="s">
        <v>22</v>
      </c>
      <c r="K21" s="64">
        <v>159769677.19999999</v>
      </c>
      <c r="L21" s="64">
        <v>724060.3</v>
      </c>
      <c r="M21" s="64">
        <v>1035188.6</v>
      </c>
      <c r="N21" s="64">
        <v>4213974.2</v>
      </c>
    </row>
    <row r="22" spans="1:14" hidden="1" outlineLevel="1">
      <c r="A22" s="64">
        <v>1978</v>
      </c>
      <c r="B22" s="56">
        <v>185335.8</v>
      </c>
      <c r="C22" s="56">
        <v>761.2</v>
      </c>
      <c r="D22" s="56">
        <v>1054.5</v>
      </c>
      <c r="E22" s="56">
        <v>4526.8999999999996</v>
      </c>
      <c r="F22" s="57" t="s">
        <v>22</v>
      </c>
      <c r="G22" s="57" t="s">
        <v>22</v>
      </c>
      <c r="H22" s="57" t="s">
        <v>22</v>
      </c>
      <c r="I22" s="57" t="s">
        <v>22</v>
      </c>
      <c r="K22" s="64">
        <v>164163550.19999999</v>
      </c>
      <c r="L22" s="64">
        <v>696322.1</v>
      </c>
      <c r="M22" s="64">
        <v>1009532.7</v>
      </c>
      <c r="N22" s="64">
        <v>4195134.8</v>
      </c>
    </row>
    <row r="23" spans="1:14" hidden="1" outlineLevel="1">
      <c r="A23" s="64">
        <v>1979</v>
      </c>
      <c r="B23" s="56">
        <v>191034.2</v>
      </c>
      <c r="C23" s="56">
        <v>761.9</v>
      </c>
      <c r="D23" s="56">
        <v>1069.7</v>
      </c>
      <c r="E23" s="56">
        <v>4494</v>
      </c>
      <c r="F23" s="57" t="s">
        <v>22</v>
      </c>
      <c r="G23" s="57" t="s">
        <v>22</v>
      </c>
      <c r="H23" s="57" t="s">
        <v>22</v>
      </c>
      <c r="I23" s="57" t="s">
        <v>22</v>
      </c>
      <c r="K23" s="64">
        <v>168457013.5</v>
      </c>
      <c r="L23" s="64">
        <v>696407.6</v>
      </c>
      <c r="M23" s="64">
        <v>1019475</v>
      </c>
      <c r="N23" s="64">
        <v>4136136.7</v>
      </c>
    </row>
    <row r="24" spans="1:14" hidden="1" outlineLevel="1">
      <c r="A24" s="64">
        <v>1980</v>
      </c>
      <c r="B24" s="56">
        <v>196904.2</v>
      </c>
      <c r="C24" s="56">
        <v>774.9</v>
      </c>
      <c r="D24" s="56">
        <v>1094</v>
      </c>
      <c r="E24" s="56">
        <v>4649.8999999999996</v>
      </c>
      <c r="F24" s="57" t="s">
        <v>22</v>
      </c>
      <c r="G24" s="57" t="s">
        <v>22</v>
      </c>
      <c r="H24" s="57" t="s">
        <v>22</v>
      </c>
      <c r="I24" s="57" t="s">
        <v>22</v>
      </c>
      <c r="K24" s="64">
        <v>172631995.09999999</v>
      </c>
      <c r="L24" s="64">
        <v>708192.6</v>
      </c>
      <c r="M24" s="64">
        <v>1035646.8</v>
      </c>
      <c r="N24" s="64">
        <v>4263209.5999999996</v>
      </c>
    </row>
    <row r="25" spans="1:14" hidden="1" outlineLevel="1">
      <c r="A25" s="64">
        <v>1981</v>
      </c>
      <c r="B25" s="56">
        <v>201504.5</v>
      </c>
      <c r="C25" s="56">
        <v>766.4</v>
      </c>
      <c r="D25" s="56">
        <v>1084.3</v>
      </c>
      <c r="E25" s="56">
        <v>4856.7</v>
      </c>
      <c r="F25" s="57" t="s">
        <v>22</v>
      </c>
      <c r="G25" s="57" t="s">
        <v>22</v>
      </c>
      <c r="H25" s="57" t="s">
        <v>22</v>
      </c>
      <c r="I25" s="57" t="s">
        <v>22</v>
      </c>
      <c r="K25" s="64">
        <v>176068862.5</v>
      </c>
      <c r="L25" s="64">
        <v>702174.1</v>
      </c>
      <c r="M25" s="64">
        <v>1031047.7</v>
      </c>
      <c r="N25" s="64">
        <v>4514901.3</v>
      </c>
    </row>
    <row r="26" spans="1:14" hidden="1" outlineLevel="1">
      <c r="A26" s="64">
        <v>1982</v>
      </c>
      <c r="B26" s="56">
        <v>203537.3</v>
      </c>
      <c r="C26" s="56">
        <v>725.4</v>
      </c>
      <c r="D26" s="56">
        <v>1159.9000000000001</v>
      </c>
      <c r="E26" s="56">
        <v>4972</v>
      </c>
      <c r="F26" s="57" t="s">
        <v>22</v>
      </c>
      <c r="G26" s="57" t="s">
        <v>22</v>
      </c>
      <c r="H26" s="57" t="s">
        <v>22</v>
      </c>
      <c r="I26" s="57" t="s">
        <v>22</v>
      </c>
      <c r="K26" s="64">
        <v>177215478.69999999</v>
      </c>
      <c r="L26" s="64">
        <v>660669.69999999995</v>
      </c>
      <c r="M26" s="64">
        <v>1114652.3</v>
      </c>
      <c r="N26" s="64">
        <v>4650632</v>
      </c>
    </row>
    <row r="27" spans="1:14" hidden="1" outlineLevel="1">
      <c r="A27" s="64">
        <v>1983</v>
      </c>
      <c r="B27" s="56">
        <v>204776</v>
      </c>
      <c r="C27" s="56">
        <v>684.6</v>
      </c>
      <c r="D27" s="56">
        <v>1155.8</v>
      </c>
      <c r="E27" s="56">
        <v>4931.1000000000004</v>
      </c>
      <c r="F27" s="57" t="s">
        <v>22</v>
      </c>
      <c r="G27" s="57" t="s">
        <v>22</v>
      </c>
      <c r="H27" s="57" t="s">
        <v>22</v>
      </c>
      <c r="I27" s="57" t="s">
        <v>22</v>
      </c>
      <c r="K27" s="64">
        <v>177356490.30000001</v>
      </c>
      <c r="L27" s="64">
        <v>619907.30000000005</v>
      </c>
      <c r="M27" s="64">
        <v>1111224.2</v>
      </c>
      <c r="N27" s="64">
        <v>4620481.9000000004</v>
      </c>
    </row>
    <row r="28" spans="1:14" collapsed="1">
      <c r="A28" s="66">
        <v>1984</v>
      </c>
      <c r="B28" s="56">
        <v>207056.4</v>
      </c>
      <c r="C28" s="56">
        <v>650</v>
      </c>
      <c r="D28" s="56">
        <v>1125.8</v>
      </c>
      <c r="E28" s="56">
        <v>4964.2</v>
      </c>
      <c r="F28" s="56">
        <f>'805'!H5/'835'!B28*1000</f>
        <v>816.13295837695671</v>
      </c>
      <c r="G28" s="56">
        <f>'805'!J5/'835'!C28*1000</f>
        <v>1962.1070363105332</v>
      </c>
      <c r="H28" s="56">
        <f>'805'!K5/'835'!D28*1000</f>
        <v>3864.0875228850259</v>
      </c>
      <c r="I28" s="56">
        <f>'805'!L5/'835'!E28*1000</f>
        <v>521.47885697932486</v>
      </c>
      <c r="K28" s="64">
        <v>178735318.90000001</v>
      </c>
      <c r="L28" s="64">
        <v>586327.4</v>
      </c>
      <c r="M28" s="64">
        <v>1078664.6000000001</v>
      </c>
      <c r="N28" s="64">
        <v>4663103.5999999996</v>
      </c>
    </row>
    <row r="29" spans="1:14">
      <c r="A29" s="66">
        <v>1985</v>
      </c>
      <c r="B29" s="56">
        <v>210606.4</v>
      </c>
      <c r="C29" s="56">
        <v>618.20000000000005</v>
      </c>
      <c r="D29" s="56">
        <v>1144.0999999999999</v>
      </c>
      <c r="E29" s="56">
        <v>5222.5</v>
      </c>
      <c r="F29" s="56">
        <f>'805'!H6/'835'!B29*1000</f>
        <v>833.98594454556917</v>
      </c>
      <c r="G29" s="56">
        <f>'805'!J6/'835'!C29*1000</f>
        <v>1989.39723300688</v>
      </c>
      <c r="H29" s="56">
        <f>'805'!K6/'835'!D29*1000</f>
        <v>3671.2177433945749</v>
      </c>
      <c r="I29" s="56">
        <f>'805'!L6/'835'!E29*1000</f>
        <v>483.89836167985601</v>
      </c>
      <c r="K29" s="64">
        <v>181229076.90000001</v>
      </c>
      <c r="L29" s="64">
        <v>555069.6</v>
      </c>
      <c r="M29" s="64">
        <v>1099688</v>
      </c>
      <c r="N29" s="64">
        <v>4969930.7</v>
      </c>
    </row>
    <row r="30" spans="1:14">
      <c r="A30" s="66">
        <v>1986</v>
      </c>
      <c r="B30" s="56">
        <v>213734.8</v>
      </c>
      <c r="C30" s="56">
        <v>589.9</v>
      </c>
      <c r="D30" s="56">
        <v>1158.0999999999999</v>
      </c>
      <c r="E30" s="56">
        <v>5799.4</v>
      </c>
      <c r="F30" s="56">
        <f>'805'!H7/'835'!B30*1000</f>
        <v>846.34960427375802</v>
      </c>
      <c r="G30" s="56">
        <f>'805'!J7/'835'!C30*1000</f>
        <v>2158.8521503910774</v>
      </c>
      <c r="H30" s="56">
        <f>'805'!K7/'835'!D30*1000</f>
        <v>3599.0156874389127</v>
      </c>
      <c r="I30" s="56">
        <f>'805'!L7/'835'!E30*1000</f>
        <v>436.12772414748065</v>
      </c>
      <c r="K30" s="64">
        <v>183286935.5</v>
      </c>
      <c r="L30" s="64">
        <v>528170.9</v>
      </c>
      <c r="M30" s="64">
        <v>1117533.3999999999</v>
      </c>
      <c r="N30" s="64">
        <v>5641077</v>
      </c>
    </row>
    <row r="31" spans="1:14">
      <c r="A31" s="66">
        <v>1987</v>
      </c>
      <c r="B31" s="56">
        <v>218720.6</v>
      </c>
      <c r="C31" s="56">
        <v>562.20000000000005</v>
      </c>
      <c r="D31" s="56">
        <v>1193.2</v>
      </c>
      <c r="E31" s="56">
        <v>6437.2</v>
      </c>
      <c r="F31" s="56">
        <f>'805'!H8/'835'!B31*1000</f>
        <v>865.67953543104124</v>
      </c>
      <c r="G31" s="56">
        <f>'805'!J8/'835'!C31*1000</f>
        <v>1846.2344454556437</v>
      </c>
      <c r="H31" s="56">
        <f>'805'!K8/'835'!D31*1000</f>
        <v>3269.6704606800995</v>
      </c>
      <c r="I31" s="56">
        <f>'805'!L8/'835'!E31*1000</f>
        <v>387.41647051068048</v>
      </c>
      <c r="K31" s="64">
        <v>186879195.40000001</v>
      </c>
      <c r="L31" s="64">
        <v>502213.4</v>
      </c>
      <c r="M31" s="64">
        <v>1156781.6000000001</v>
      </c>
      <c r="N31" s="64">
        <v>6369101.5999999996</v>
      </c>
    </row>
    <row r="32" spans="1:14">
      <c r="A32" s="66">
        <v>1988</v>
      </c>
      <c r="B32" s="56">
        <v>225192.5</v>
      </c>
      <c r="C32" s="56">
        <v>547.5</v>
      </c>
      <c r="D32" s="56">
        <v>1305.5999999999999</v>
      </c>
      <c r="E32" s="56">
        <v>6796.9</v>
      </c>
      <c r="F32" s="56">
        <f>'805'!H9/'835'!B32*1000</f>
        <v>876.27393274198721</v>
      </c>
      <c r="G32" s="56">
        <f>'805'!J9/'835'!C32*1000</f>
        <v>1841.8362932128698</v>
      </c>
      <c r="H32" s="56">
        <f>'805'!K9/'835'!D32*1000</f>
        <v>2671.799465111073</v>
      </c>
      <c r="I32" s="56">
        <f>'805'!L9/'835'!E32*1000</f>
        <v>372.42592160729146</v>
      </c>
      <c r="K32" s="64">
        <v>192044698.19999999</v>
      </c>
      <c r="L32" s="64">
        <v>489423.6</v>
      </c>
      <c r="M32" s="64">
        <v>1290545.2</v>
      </c>
      <c r="N32" s="64">
        <v>6779593</v>
      </c>
    </row>
    <row r="33" spans="1:14">
      <c r="A33" s="66">
        <v>1989</v>
      </c>
      <c r="B33" s="56">
        <v>232982.1</v>
      </c>
      <c r="C33" s="56">
        <v>542</v>
      </c>
      <c r="D33" s="56">
        <v>1378</v>
      </c>
      <c r="E33" s="56">
        <v>7587.3</v>
      </c>
      <c r="F33" s="56">
        <f>'805'!H10/'835'!B33*1000</f>
        <v>860.47895773963569</v>
      </c>
      <c r="G33" s="56">
        <f>'805'!J10/'835'!C33*1000</f>
        <v>1834.738007084394</v>
      </c>
      <c r="H33" s="56">
        <f>'805'!K10/'835'!D33*1000</f>
        <v>2812.6432785952411</v>
      </c>
      <c r="I33" s="56">
        <f>'805'!L10/'835'!E33*1000</f>
        <v>318.33722254838699</v>
      </c>
      <c r="K33" s="64">
        <v>198741402.09999999</v>
      </c>
      <c r="L33" s="64">
        <v>484156.5</v>
      </c>
      <c r="M33" s="64">
        <v>1373792.1</v>
      </c>
      <c r="N33" s="64">
        <v>7656577.7999999998</v>
      </c>
    </row>
    <row r="34" spans="1:14">
      <c r="A34" s="66">
        <v>1990</v>
      </c>
      <c r="B34" s="56">
        <v>239767.4</v>
      </c>
      <c r="C34" s="56">
        <v>529.5</v>
      </c>
      <c r="D34" s="56">
        <v>1370.7</v>
      </c>
      <c r="E34" s="56">
        <v>7942.5</v>
      </c>
      <c r="F34" s="56">
        <f>'805'!H11/'835'!B34*1000</f>
        <v>840.17465711457771</v>
      </c>
      <c r="G34" s="56">
        <f>'805'!J11/'835'!C34*1000</f>
        <v>2205.4088027891858</v>
      </c>
      <c r="H34" s="56">
        <f>'805'!K11/'835'!D34*1000</f>
        <v>2996.5196775333297</v>
      </c>
      <c r="I34" s="56">
        <f>'805'!L11/'835'!E34*1000</f>
        <v>327.51365014135087</v>
      </c>
      <c r="K34" s="64">
        <v>204536100.90000001</v>
      </c>
      <c r="L34" s="64">
        <v>471437.2</v>
      </c>
      <c r="M34" s="64">
        <v>1365881.7</v>
      </c>
      <c r="N34" s="64">
        <v>8064794.9000000004</v>
      </c>
    </row>
    <row r="35" spans="1:14">
      <c r="A35" s="66">
        <v>1991</v>
      </c>
      <c r="B35" s="56">
        <v>244869.3</v>
      </c>
      <c r="C35" s="56">
        <v>505.3</v>
      </c>
      <c r="D35" s="56">
        <v>1362.5</v>
      </c>
      <c r="E35" s="56">
        <v>7874.9</v>
      </c>
      <c r="F35" s="56">
        <f>'805'!H12/'835'!B35*1000</f>
        <v>801.67266142616518</v>
      </c>
      <c r="G35" s="56">
        <f>'805'!J12/'835'!C35*1000</f>
        <v>2749.1639528287442</v>
      </c>
      <c r="H35" s="56">
        <f>'805'!K12/'835'!D35*1000</f>
        <v>3147.3595171990755</v>
      </c>
      <c r="I35" s="56">
        <f>'805'!L12/'835'!E35*1000</f>
        <v>330.19703308545655</v>
      </c>
      <c r="K35" s="64">
        <v>208322127.90000001</v>
      </c>
      <c r="L35" s="64">
        <v>446456.9</v>
      </c>
      <c r="M35" s="64">
        <v>1351062.2</v>
      </c>
      <c r="N35" s="64">
        <v>7956935.4000000004</v>
      </c>
    </row>
    <row r="36" spans="1:14">
      <c r="A36" s="66">
        <v>1992</v>
      </c>
      <c r="B36" s="56">
        <v>247894</v>
      </c>
      <c r="C36" s="56">
        <v>483.3</v>
      </c>
      <c r="D36" s="56">
        <v>1314.2</v>
      </c>
      <c r="E36" s="56">
        <v>7374.1</v>
      </c>
      <c r="F36" s="56">
        <f>'805'!H13/'835'!B36*1000</f>
        <v>797.41962444370506</v>
      </c>
      <c r="G36" s="56">
        <f>'805'!J13/'835'!C36*1000</f>
        <v>3011.2138466701317</v>
      </c>
      <c r="H36" s="56">
        <f>'805'!K13/'835'!D36*1000</f>
        <v>3217.6548064500516</v>
      </c>
      <c r="I36" s="57" t="s">
        <v>22</v>
      </c>
      <c r="K36" s="64">
        <v>209756296.80000001</v>
      </c>
      <c r="L36" s="64">
        <v>426245.9</v>
      </c>
      <c r="M36" s="64">
        <v>1289253.3</v>
      </c>
      <c r="N36" s="64">
        <v>7358219.7999999998</v>
      </c>
    </row>
    <row r="37" spans="1:14">
      <c r="A37" s="66">
        <v>1993</v>
      </c>
      <c r="B37" s="56">
        <v>250248.3</v>
      </c>
      <c r="C37" s="56">
        <v>477.3</v>
      </c>
      <c r="D37" s="56">
        <v>1282.5</v>
      </c>
      <c r="E37" s="56">
        <v>6835.9</v>
      </c>
      <c r="F37" s="56">
        <f>'805'!H14/'835'!B37*1000</f>
        <v>808.87578995748027</v>
      </c>
      <c r="G37" s="56">
        <f>'805'!J14/'835'!C37*1000</f>
        <v>3222.4128117123118</v>
      </c>
      <c r="H37" s="56">
        <f>'805'!K14/'835'!D37*1000</f>
        <v>3066.3679850917551</v>
      </c>
      <c r="I37" s="57" t="s">
        <v>22</v>
      </c>
      <c r="K37" s="64">
        <v>210514804.69999999</v>
      </c>
      <c r="L37" s="64">
        <v>422765.3</v>
      </c>
      <c r="M37" s="64">
        <v>1244205.3999999999</v>
      </c>
      <c r="N37" s="64">
        <v>6742162.2000000002</v>
      </c>
    </row>
    <row r="38" spans="1:14">
      <c r="A38" s="66">
        <v>1994</v>
      </c>
      <c r="B38" s="56">
        <v>252988.6</v>
      </c>
      <c r="C38" s="56">
        <v>541.1</v>
      </c>
      <c r="D38" s="56">
        <v>1420.6</v>
      </c>
      <c r="E38" s="56">
        <v>6749</v>
      </c>
      <c r="F38" s="56">
        <f>'805'!H15/'835'!B38*1000</f>
        <v>827.79911490507527</v>
      </c>
      <c r="G38" s="56">
        <f>'805'!J15/'835'!C38*1000</f>
        <v>2946.8229914771987</v>
      </c>
      <c r="H38" s="57" t="s">
        <v>22</v>
      </c>
      <c r="I38" s="57" t="s">
        <v>22</v>
      </c>
      <c r="K38" s="64">
        <v>211702333.40000001</v>
      </c>
      <c r="L38" s="64">
        <v>493398.9</v>
      </c>
      <c r="M38" s="64">
        <v>1387442.4</v>
      </c>
      <c r="N38" s="64">
        <v>6622613.5999999996</v>
      </c>
    </row>
    <row r="39" spans="1:14">
      <c r="A39" s="66">
        <v>1995</v>
      </c>
      <c r="B39" s="56">
        <v>254838.9</v>
      </c>
      <c r="C39" s="56">
        <v>518.29999999999995</v>
      </c>
      <c r="D39" s="56">
        <v>1609</v>
      </c>
      <c r="E39" s="56">
        <v>6962</v>
      </c>
      <c r="F39" s="56">
        <f>'805'!H16/'835'!B39*1000</f>
        <v>830.06243525411594</v>
      </c>
      <c r="G39" s="56">
        <f>'805'!J16/'835'!C39*1000</f>
        <v>2751.0074105774474</v>
      </c>
      <c r="H39" s="56">
        <f>'805'!K16/'835'!D39*1000</f>
        <v>2664.3938760714914</v>
      </c>
      <c r="I39" s="57" t="s">
        <v>22</v>
      </c>
      <c r="K39" s="64">
        <v>211876135.5</v>
      </c>
      <c r="L39" s="64">
        <v>470918.40000000002</v>
      </c>
      <c r="M39" s="64">
        <v>1584087.5</v>
      </c>
      <c r="N39" s="64">
        <v>6794450.0999999996</v>
      </c>
    </row>
    <row r="40" spans="1:14">
      <c r="A40" s="66">
        <v>1996</v>
      </c>
      <c r="B40" s="56">
        <v>256893.3</v>
      </c>
      <c r="C40" s="56">
        <v>511.5</v>
      </c>
      <c r="D40" s="56">
        <v>1773.7</v>
      </c>
      <c r="E40" s="56">
        <v>7109</v>
      </c>
      <c r="F40" s="56">
        <f>'805'!H17/'835'!B40*1000</f>
        <v>826.54504701751955</v>
      </c>
      <c r="G40" s="56">
        <f>'805'!J17/'835'!C40*1000</f>
        <v>2805.9332169850868</v>
      </c>
      <c r="H40" s="56">
        <f>'805'!K17/'835'!D40*1000</f>
        <v>2115.9719442427236</v>
      </c>
      <c r="I40" s="57" t="s">
        <v>22</v>
      </c>
      <c r="K40" s="64">
        <v>211811610</v>
      </c>
      <c r="L40" s="64">
        <v>464426.5</v>
      </c>
      <c r="M40" s="64">
        <v>1741751.8</v>
      </c>
      <c r="N40" s="64">
        <v>6865908.0999999996</v>
      </c>
    </row>
    <row r="41" spans="1:14">
      <c r="A41" s="66">
        <v>1997</v>
      </c>
      <c r="B41" s="56">
        <v>259365.1</v>
      </c>
      <c r="C41" s="56">
        <v>510.5</v>
      </c>
      <c r="D41" s="56">
        <v>2052.6</v>
      </c>
      <c r="E41" s="56">
        <v>7031</v>
      </c>
      <c r="F41" s="56">
        <f>'805'!H18/'835'!B41*1000</f>
        <v>843.90640315769326</v>
      </c>
      <c r="G41" s="56">
        <f>'805'!J18/'835'!C41*1000</f>
        <v>2782.1916351465024</v>
      </c>
      <c r="H41" s="56">
        <f>'805'!K18/'835'!D41*1000</f>
        <v>1589.396666352902</v>
      </c>
      <c r="I41" s="56">
        <f>'805'!L18/'835'!E41*1000</f>
        <v>435.37376849311056</v>
      </c>
      <c r="K41" s="64">
        <v>212702038</v>
      </c>
      <c r="L41" s="64">
        <v>464241.3</v>
      </c>
      <c r="M41" s="64">
        <v>2018710.2</v>
      </c>
      <c r="N41" s="64">
        <v>6731527.0999999996</v>
      </c>
    </row>
    <row r="42" spans="1:14">
      <c r="A42" s="66">
        <v>1998</v>
      </c>
      <c r="B42" s="56">
        <v>263685</v>
      </c>
      <c r="C42" s="56">
        <v>490.9</v>
      </c>
      <c r="D42" s="56">
        <v>2110.1999999999998</v>
      </c>
      <c r="E42" s="56">
        <v>6986.9</v>
      </c>
      <c r="F42" s="56">
        <f>'805'!H19/'835'!B42*1000</f>
        <v>857.63653823653294</v>
      </c>
      <c r="G42" s="56">
        <f>'805'!J19/'835'!C42*1000</f>
        <v>2517.1707532369692</v>
      </c>
      <c r="H42" s="56">
        <f>'805'!K19/'835'!D42*1000</f>
        <v>1437.01121024798</v>
      </c>
      <c r="I42" s="56">
        <f>'805'!L19/'835'!E42*1000</f>
        <v>464.12212526488366</v>
      </c>
      <c r="K42" s="64">
        <v>214529697.80000001</v>
      </c>
      <c r="L42" s="64">
        <v>441656.7</v>
      </c>
      <c r="M42" s="64">
        <v>2047794.3</v>
      </c>
      <c r="N42" s="64">
        <v>6595159.5999999996</v>
      </c>
    </row>
    <row r="43" spans="1:14">
      <c r="A43" s="66">
        <v>1999</v>
      </c>
      <c r="B43" s="56">
        <v>268453.5</v>
      </c>
      <c r="C43" s="56">
        <v>526.20000000000005</v>
      </c>
      <c r="D43" s="56">
        <v>2237.4</v>
      </c>
      <c r="E43" s="56">
        <v>6777.4</v>
      </c>
      <c r="F43" s="56">
        <f>'805'!H20/'835'!B43*1000</f>
        <v>896.42669032000731</v>
      </c>
      <c r="G43" s="56">
        <f>'805'!J20/'835'!C43*1000</f>
        <v>2110.6575722840057</v>
      </c>
      <c r="H43" s="56">
        <f>'805'!K20/'835'!D43*1000</f>
        <v>1305.1233358728093</v>
      </c>
      <c r="I43" s="56">
        <f>'805'!L20/'835'!E43*1000</f>
        <v>501.38500964348907</v>
      </c>
      <c r="K43" s="64">
        <v>217612116.69999999</v>
      </c>
      <c r="L43" s="64">
        <v>475466.5</v>
      </c>
      <c r="M43" s="64">
        <v>2168395.6</v>
      </c>
      <c r="N43" s="64">
        <v>6344005.7000000002</v>
      </c>
    </row>
    <row r="44" spans="1:14">
      <c r="A44" s="66">
        <v>2000</v>
      </c>
      <c r="B44" s="56">
        <v>273126.59999999998</v>
      </c>
      <c r="C44" s="56">
        <v>584.6</v>
      </c>
      <c r="D44" s="56">
        <v>2414.5</v>
      </c>
      <c r="E44" s="56">
        <v>6755.4</v>
      </c>
      <c r="F44" s="56">
        <f>'805'!H21/'835'!B44*1000</f>
        <v>921.03612828430096</v>
      </c>
      <c r="G44" s="56">
        <f>'805'!J21/'835'!C44*1000</f>
        <v>1494.858370296407</v>
      </c>
      <c r="H44" s="56">
        <f>'805'!K21/'835'!D44*1000</f>
        <v>1119.2979559547302</v>
      </c>
      <c r="I44" s="56">
        <f>'805'!L21/'835'!E44*1000</f>
        <v>486.1429111527089</v>
      </c>
      <c r="K44" s="64">
        <v>220004834.40000001</v>
      </c>
      <c r="L44" s="64">
        <v>539374.69999999995</v>
      </c>
      <c r="M44" s="64">
        <v>2363839.2999999998</v>
      </c>
      <c r="N44" s="64">
        <v>6254520.0999999996</v>
      </c>
    </row>
    <row r="45" spans="1:14">
      <c r="A45" s="66">
        <v>2001</v>
      </c>
      <c r="B45" s="56">
        <v>275814.90000000002</v>
      </c>
      <c r="C45" s="56">
        <v>583.79999999999995</v>
      </c>
      <c r="D45" s="56">
        <v>2263.4</v>
      </c>
      <c r="E45" s="56">
        <v>6491.3</v>
      </c>
      <c r="F45" s="56">
        <f>'805'!H22/'835'!B45*1000</f>
        <v>923.53843987634832</v>
      </c>
      <c r="G45" s="56">
        <f>'805'!J22/'835'!C45*1000</f>
        <v>1452.1141165334764</v>
      </c>
      <c r="H45" s="56">
        <f>'805'!K22/'835'!D45*1000</f>
        <v>1104.5991966791564</v>
      </c>
      <c r="I45" s="56">
        <f>'805'!L22/'835'!E45*1000</f>
        <v>499.32693842253309</v>
      </c>
      <c r="K45" s="64">
        <v>220309172.19999999</v>
      </c>
      <c r="L45" s="64">
        <v>541471.4</v>
      </c>
      <c r="M45" s="64">
        <v>2189785.9</v>
      </c>
      <c r="N45" s="64">
        <v>5841142.7999999998</v>
      </c>
    </row>
    <row r="46" spans="1:14">
      <c r="A46" s="66">
        <v>2002</v>
      </c>
      <c r="B46" s="56">
        <v>277818.8</v>
      </c>
      <c r="C46" s="56">
        <v>614.6</v>
      </c>
      <c r="D46" s="56">
        <v>2099.3000000000002</v>
      </c>
      <c r="E46" s="56">
        <v>6243.3</v>
      </c>
      <c r="F46" s="56">
        <f>'805'!H23/'835'!B46*1000</f>
        <v>940.09229330803566</v>
      </c>
      <c r="G46" s="56">
        <f>'805'!J23/'835'!C46*1000</f>
        <v>1357.0992334611342</v>
      </c>
      <c r="H46" s="56">
        <f>'805'!K23/'835'!D46*1000</f>
        <v>1090.3013171703387</v>
      </c>
      <c r="I46" s="56">
        <f>'805'!L23/'835'!E46*1000</f>
        <v>545.03812806028873</v>
      </c>
      <c r="K46" s="64">
        <v>220485609.90000001</v>
      </c>
      <c r="L46" s="64">
        <v>577683.19999999995</v>
      </c>
      <c r="M46" s="64">
        <v>2007422</v>
      </c>
      <c r="N46" s="64">
        <v>5469539.2000000002</v>
      </c>
    </row>
    <row r="47" spans="1:14">
      <c r="A47" s="66">
        <v>2003</v>
      </c>
      <c r="B47" s="56">
        <v>281139.09999999998</v>
      </c>
      <c r="C47" s="56">
        <v>568</v>
      </c>
      <c r="D47" s="56">
        <v>2011.2</v>
      </c>
      <c r="E47" s="56">
        <v>6459.5</v>
      </c>
      <c r="F47" s="56">
        <f>'805'!H24/'835'!B47*1000</f>
        <v>941.25349812392403</v>
      </c>
      <c r="G47" s="56">
        <f>'805'!J24/'835'!C47*1000</f>
        <v>1577.2216126748051</v>
      </c>
      <c r="H47" s="56">
        <f>'805'!K24/'835'!D47*1000</f>
        <v>1174.5086546890241</v>
      </c>
      <c r="I47" s="56">
        <f>'805'!L24/'835'!E47*1000</f>
        <v>506.58434077710422</v>
      </c>
      <c r="K47" s="64">
        <v>222197158.80000001</v>
      </c>
      <c r="L47" s="64">
        <v>527919.30000000005</v>
      </c>
      <c r="M47" s="64">
        <v>1900553.6</v>
      </c>
      <c r="N47" s="64">
        <v>5663985.7000000002</v>
      </c>
    </row>
    <row r="48" spans="1:14">
      <c r="A48" s="66">
        <v>2004</v>
      </c>
      <c r="B48" s="56">
        <v>286935.5</v>
      </c>
      <c r="C48" s="56">
        <v>530.6</v>
      </c>
      <c r="D48" s="56">
        <v>2035.3</v>
      </c>
      <c r="E48" s="56">
        <v>5975.3</v>
      </c>
      <c r="F48" s="56">
        <f>'805'!H25/'835'!B48*1000</f>
        <v>944.42045682827154</v>
      </c>
      <c r="G48" s="56">
        <f>'805'!J25/'835'!C48*1000</f>
        <v>1482.5629878985817</v>
      </c>
      <c r="H48" s="56">
        <f>'805'!K25/'835'!D48*1000</f>
        <v>1239.0484931961757</v>
      </c>
      <c r="I48" s="56">
        <f>'805'!L25/'835'!E48*1000</f>
        <v>518.87377600777393</v>
      </c>
      <c r="K48" s="64">
        <v>226602673</v>
      </c>
      <c r="L48" s="64">
        <v>485491.6</v>
      </c>
      <c r="M48" s="64">
        <v>1923162.1</v>
      </c>
      <c r="N48" s="64">
        <v>5081196.8</v>
      </c>
    </row>
    <row r="49" spans="1:14">
      <c r="A49" s="66">
        <v>2005</v>
      </c>
      <c r="B49" s="56">
        <v>292290.2</v>
      </c>
      <c r="C49" s="56">
        <v>514.4</v>
      </c>
      <c r="D49" s="56">
        <v>2056.1</v>
      </c>
      <c r="E49" s="56">
        <v>5545.7</v>
      </c>
      <c r="F49" s="56">
        <f>'805'!H26/'835'!B49*1000</f>
        <v>942.95806238284194</v>
      </c>
      <c r="G49" s="56">
        <f>'805'!J26/'835'!C49*1000</f>
        <v>1416.556401558109</v>
      </c>
      <c r="H49" s="56">
        <f>'805'!K26/'835'!D49*1000</f>
        <v>1114.7410215689338</v>
      </c>
      <c r="I49" s="56">
        <f>'805'!L26/'835'!E49*1000</f>
        <v>592.0373941127815</v>
      </c>
      <c r="K49" s="64">
        <v>230082417.09999999</v>
      </c>
      <c r="L49" s="64">
        <v>465767.8</v>
      </c>
      <c r="M49" s="64">
        <v>1918000.4</v>
      </c>
      <c r="N49" s="64">
        <v>4591834.8</v>
      </c>
    </row>
    <row r="50" spans="1:14">
      <c r="A50" s="66">
        <v>2006</v>
      </c>
      <c r="B50" s="56">
        <v>297601.09999999998</v>
      </c>
      <c r="C50" s="56">
        <v>495.7</v>
      </c>
      <c r="D50" s="56">
        <v>2102</v>
      </c>
      <c r="E50" s="56">
        <v>5173.6000000000004</v>
      </c>
      <c r="F50" s="56">
        <f>'805'!H27/'835'!B50*1000</f>
        <v>940.1708023289375</v>
      </c>
      <c r="G50" s="56">
        <f>'805'!J27/'835'!C50*1000</f>
        <v>1561.2494896255123</v>
      </c>
      <c r="H50" s="56">
        <f>'805'!K27/'835'!D50*1000</f>
        <v>1093.1567987024332</v>
      </c>
      <c r="I50" s="56">
        <f>'805'!L27/'835'!E50*1000</f>
        <v>600.86636029271108</v>
      </c>
      <c r="K50" s="64">
        <v>234370838</v>
      </c>
      <c r="L50" s="64">
        <v>437924.6</v>
      </c>
      <c r="M50" s="64">
        <v>1956274.8</v>
      </c>
      <c r="N50" s="64">
        <v>4132354.9</v>
      </c>
    </row>
    <row r="51" spans="1:14">
      <c r="A51" s="66">
        <v>2007</v>
      </c>
      <c r="B51" s="56">
        <v>304175.3</v>
      </c>
      <c r="C51" s="56">
        <v>462.9</v>
      </c>
      <c r="D51" s="56">
        <v>2166.3000000000002</v>
      </c>
      <c r="E51" s="56">
        <v>4810</v>
      </c>
      <c r="F51" s="56">
        <f>'805'!H28/'835'!B51*1000</f>
        <v>939.48982708326412</v>
      </c>
      <c r="G51" s="56">
        <f>'805'!J28/'835'!C51*1000</f>
        <v>1880.5357528623895</v>
      </c>
      <c r="H51" s="56">
        <f>'805'!K28/'835'!D51*1000</f>
        <v>1183.0771361307297</v>
      </c>
      <c r="I51" s="56">
        <f>'805'!L28/'835'!E51*1000</f>
        <v>648.06652806652801</v>
      </c>
      <c r="K51" s="64">
        <v>241219635.69999999</v>
      </c>
      <c r="L51" s="64">
        <v>421575.3</v>
      </c>
      <c r="M51" s="64">
        <v>2204280.5</v>
      </c>
      <c r="N51" s="64">
        <v>3807715.4</v>
      </c>
    </row>
    <row r="52" spans="1:14">
      <c r="A52" s="66">
        <v>2008</v>
      </c>
      <c r="B52" s="56">
        <v>311469.09999999998</v>
      </c>
      <c r="C52" s="56">
        <v>450.8</v>
      </c>
      <c r="D52" s="56">
        <v>2063.3000000000002</v>
      </c>
      <c r="E52" s="56">
        <v>4438</v>
      </c>
      <c r="F52" s="56">
        <f>'805'!H29/'835'!B52*1000</f>
        <v>931.8722146113372</v>
      </c>
      <c r="G52" s="56">
        <f>'805'!J29/'835'!C52*1000</f>
        <v>1916.1490683229811</v>
      </c>
      <c r="H52" s="56">
        <f>'805'!K29/'835'!D52*1000</f>
        <v>1183.8317258760235</v>
      </c>
      <c r="I52" s="56">
        <f>'805'!L29/'835'!E52*1000</f>
        <v>658.94547093285257</v>
      </c>
    </row>
    <row r="53" spans="1:14">
      <c r="A53" s="66">
        <v>2009</v>
      </c>
      <c r="B53" s="56">
        <v>315602.8</v>
      </c>
      <c r="C53" s="56">
        <v>426.1</v>
      </c>
      <c r="D53" s="56">
        <v>1958.4</v>
      </c>
      <c r="E53" s="56">
        <v>3987.4</v>
      </c>
      <c r="F53" s="56">
        <f>'805'!H30/'835'!B53*1000</f>
        <v>913.52389776009602</v>
      </c>
      <c r="G53" s="56">
        <f>'805'!J30/'835'!C53*1000</f>
        <v>1802.8631776578268</v>
      </c>
      <c r="H53" s="56">
        <f>'805'!K30/'835'!D53*1000</f>
        <v>1083.7928921568628</v>
      </c>
      <c r="I53" s="56">
        <f>'805'!L30/'835'!E53*1000</f>
        <v>650.64954607012089</v>
      </c>
    </row>
    <row r="54" spans="1:14">
      <c r="A54" s="66">
        <v>2010</v>
      </c>
      <c r="B54" s="56">
        <v>321282.7</v>
      </c>
      <c r="C54" s="56">
        <v>408.2</v>
      </c>
      <c r="D54" s="56">
        <v>1935.2</v>
      </c>
      <c r="E54" s="56">
        <v>3571.8</v>
      </c>
      <c r="F54" s="56">
        <f>'805'!H31/'835'!B54*1000</f>
        <v>919.43450425435299</v>
      </c>
      <c r="G54" s="56">
        <f>'805'!J31/'835'!C54*1000</f>
        <v>2135.9627633512982</v>
      </c>
      <c r="H54" s="56">
        <f>'805'!K31/'835'!D54*1000</f>
        <v>1188.0942538238942</v>
      </c>
      <c r="I54" s="56">
        <f>'805'!L31/'835'!E54*1000</f>
        <v>695.47567053026478</v>
      </c>
    </row>
    <row r="55" spans="1:14">
      <c r="A55" s="66">
        <v>2011</v>
      </c>
      <c r="B55" s="56">
        <v>328359.59999999998</v>
      </c>
      <c r="C55" s="56">
        <v>406.3</v>
      </c>
      <c r="D55" s="56">
        <v>1953.6</v>
      </c>
      <c r="E55" s="56">
        <v>3343.4</v>
      </c>
      <c r="F55" s="56">
        <f>'805'!H32/'835'!B55*1000</f>
        <v>914.46907597646009</v>
      </c>
      <c r="G55" s="56">
        <f>'805'!J32/'835'!C55*1000</f>
        <v>2372.6310607925179</v>
      </c>
      <c r="H55" s="56">
        <f>'805'!K32/'835'!D55*1000</f>
        <v>1130.7330057330059</v>
      </c>
      <c r="I55" s="56">
        <f>'805'!L32/'835'!E55*1000</f>
        <v>719.02853382783996</v>
      </c>
    </row>
    <row r="56" spans="1:14">
      <c r="F56" s="56"/>
      <c r="G56" s="56"/>
      <c r="H56" s="56"/>
      <c r="I56" s="56"/>
    </row>
    <row r="57" spans="1:14">
      <c r="A57" s="66" t="s">
        <v>23</v>
      </c>
    </row>
    <row r="58" spans="1:14">
      <c r="A58" s="64" t="s">
        <v>2143</v>
      </c>
      <c r="B58" s="65">
        <f>IFERROR(((B55/B28)^(1/27)-1)*100,"n.a.")</f>
        <v>1.722511972904317</v>
      </c>
      <c r="C58" s="65">
        <f t="shared" ref="C58:I58" si="0">IFERROR(((C55/C28)^(1/27)-1)*100,"n.a.")</f>
        <v>-1.7252426426099587</v>
      </c>
      <c r="D58" s="65">
        <f t="shared" si="0"/>
        <v>2.0623863790853569</v>
      </c>
      <c r="E58" s="65">
        <f t="shared" si="0"/>
        <v>-1.4532768747130387</v>
      </c>
      <c r="F58" s="65">
        <f t="shared" si="0"/>
        <v>0.42224588663990481</v>
      </c>
      <c r="G58" s="65">
        <f t="shared" si="0"/>
        <v>0.70611307231409626</v>
      </c>
      <c r="H58" s="65">
        <f t="shared" si="0"/>
        <v>-4.449311873782646</v>
      </c>
      <c r="I58" s="65">
        <f t="shared" si="0"/>
        <v>1.1968549706095288</v>
      </c>
    </row>
    <row r="59" spans="1:14">
      <c r="A59" s="109" t="s">
        <v>682</v>
      </c>
      <c r="B59" s="65">
        <f>IFERROR(((B33/B28)^(1/5)-1)*100,"n.a.")</f>
        <v>2.3874623703507902</v>
      </c>
      <c r="C59" s="65">
        <f t="shared" ref="C59:I59" si="1">IFERROR(((C33/C28)^(1/5)-1)*100,"n.a.")</f>
        <v>-3.5688855350984539</v>
      </c>
      <c r="D59" s="65">
        <f t="shared" si="1"/>
        <v>4.1256186303102238</v>
      </c>
      <c r="E59" s="65">
        <f t="shared" si="1"/>
        <v>8.8548032605473495</v>
      </c>
      <c r="F59" s="65">
        <f t="shared" si="1"/>
        <v>1.06385675701135</v>
      </c>
      <c r="G59" s="65">
        <f t="shared" si="1"/>
        <v>-1.3333751049741882</v>
      </c>
      <c r="H59" s="65">
        <f t="shared" si="1"/>
        <v>-6.1544810884754497</v>
      </c>
      <c r="I59" s="65">
        <f t="shared" si="1"/>
        <v>-9.3995940576483648</v>
      </c>
    </row>
    <row r="60" spans="1:14">
      <c r="A60" s="109" t="s">
        <v>26</v>
      </c>
      <c r="B60" s="65">
        <f>IFERROR(((B44/B33)^(1/11)-1)*100,"n.a.")</f>
        <v>1.4557100826132707</v>
      </c>
      <c r="C60" s="65">
        <f t="shared" ref="C60:I60" si="2">IFERROR(((C44/C33)^(1/11)-1)*100,"n.a.")</f>
        <v>0.69020602937697184</v>
      </c>
      <c r="D60" s="65">
        <f t="shared" si="2"/>
        <v>5.2309409644486493</v>
      </c>
      <c r="E60" s="65">
        <f t="shared" si="2"/>
        <v>-1.050206521974395</v>
      </c>
      <c r="F60" s="65">
        <f t="shared" si="2"/>
        <v>0.62018890115429492</v>
      </c>
      <c r="G60" s="65">
        <f t="shared" si="2"/>
        <v>-1.8452200784862205</v>
      </c>
      <c r="H60" s="65">
        <f t="shared" si="2"/>
        <v>-8.0353324850217955</v>
      </c>
      <c r="I60" s="65">
        <f t="shared" si="2"/>
        <v>3.9240465087503784</v>
      </c>
    </row>
    <row r="61" spans="1:14">
      <c r="A61" s="64" t="s">
        <v>1782</v>
      </c>
      <c r="B61" s="65">
        <f>IFERROR(((B55/B44)^(1/11)-1)*100,"n.a.")</f>
        <v>1.6884035108100548</v>
      </c>
      <c r="C61" s="65">
        <f t="shared" ref="C61:I61" si="3">IFERROR(((C55/C44)^(1/11)-1)*100,"n.a.")</f>
        <v>-3.2534974917044712</v>
      </c>
      <c r="D61" s="65">
        <f t="shared" si="3"/>
        <v>-1.9072001720593756</v>
      </c>
      <c r="E61" s="65">
        <f t="shared" si="3"/>
        <v>-6.1939906557623159</v>
      </c>
      <c r="F61" s="65">
        <f t="shared" si="3"/>
        <v>-6.5029852674680644E-2</v>
      </c>
      <c r="G61" s="65">
        <f t="shared" si="3"/>
        <v>4.289144723627758</v>
      </c>
      <c r="H61" s="65">
        <f t="shared" si="3"/>
        <v>9.2446672291290888E-2</v>
      </c>
      <c r="I61" s="65">
        <f t="shared" si="3"/>
        <v>3.6222276320125202</v>
      </c>
    </row>
    <row r="63" spans="1:14">
      <c r="A63" s="137" t="s">
        <v>500</v>
      </c>
      <c r="B63" s="137"/>
      <c r="C63" s="137"/>
      <c r="D63" s="137"/>
      <c r="E63" s="137"/>
      <c r="F63" s="137"/>
      <c r="G63" s="137"/>
      <c r="H63" s="137"/>
      <c r="I63" s="137"/>
    </row>
    <row r="64" spans="1:14">
      <c r="A64" s="137" t="s">
        <v>686</v>
      </c>
      <c r="B64" s="137"/>
      <c r="C64" s="137"/>
      <c r="D64" s="137"/>
      <c r="E64" s="137"/>
      <c r="F64" s="137"/>
      <c r="G64" s="137"/>
      <c r="H64" s="137"/>
      <c r="I64" s="137"/>
    </row>
    <row r="65" spans="1:9">
      <c r="A65" s="137" t="s">
        <v>691</v>
      </c>
      <c r="B65" s="137"/>
      <c r="C65" s="137"/>
      <c r="D65" s="137"/>
      <c r="E65" s="137"/>
      <c r="F65" s="137"/>
      <c r="G65" s="137"/>
      <c r="H65" s="137"/>
      <c r="I65" s="137"/>
    </row>
    <row r="66" spans="1:9">
      <c r="A66" s="137" t="s">
        <v>193</v>
      </c>
      <c r="B66" s="137"/>
      <c r="C66" s="137"/>
      <c r="D66" s="137"/>
      <c r="E66" s="137"/>
      <c r="F66" s="137"/>
      <c r="G66" s="137"/>
      <c r="H66" s="137"/>
      <c r="I66" s="137"/>
    </row>
    <row r="67" spans="1:9">
      <c r="A67" s="137" t="s">
        <v>514</v>
      </c>
      <c r="B67" s="137"/>
      <c r="C67" s="137"/>
      <c r="D67" s="137"/>
      <c r="E67" s="137"/>
      <c r="F67" s="137"/>
      <c r="G67" s="137"/>
      <c r="H67" s="137"/>
      <c r="I67" s="137"/>
    </row>
    <row r="68" spans="1:9">
      <c r="A68" s="137" t="s">
        <v>515</v>
      </c>
      <c r="B68" s="137"/>
      <c r="C68" s="137"/>
      <c r="D68" s="137"/>
      <c r="E68" s="137"/>
      <c r="F68" s="137"/>
      <c r="G68" s="137"/>
      <c r="H68" s="137"/>
      <c r="I68" s="137"/>
    </row>
  </sheetData>
  <mergeCells count="9">
    <mergeCell ref="A66:I66"/>
    <mergeCell ref="A67:I67"/>
    <mergeCell ref="A68:I68"/>
    <mergeCell ref="A1:I1"/>
    <mergeCell ref="B2:E2"/>
    <mergeCell ref="F2:I2"/>
    <mergeCell ref="A63:I63"/>
    <mergeCell ref="A64:I64"/>
    <mergeCell ref="A65:I65"/>
  </mergeCells>
  <pageMargins left="0.7" right="0.7" top="0.75" bottom="0.75" header="0.3" footer="0.3"/>
  <pageSetup scale="72" orientation="portrait" horizontalDpi="0" verticalDpi="0" r:id="rId1"/>
</worksheet>
</file>

<file path=xl/worksheets/sheet195.xml><?xml version="1.0" encoding="utf-8"?>
<worksheet xmlns="http://schemas.openxmlformats.org/spreadsheetml/2006/main" xmlns:r="http://schemas.openxmlformats.org/officeDocument/2006/relationships">
  <sheetPr codeName="Sheet189"/>
  <dimension ref="A1:O68"/>
  <sheetViews>
    <sheetView view="pageBreakPreview" zoomScaleNormal="85" zoomScaleSheetLayoutView="100"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5703125" style="64" customWidth="1"/>
    <col min="2" max="9" width="14.28515625" style="64" customWidth="1"/>
    <col min="10" max="10" width="9.140625" style="64"/>
    <col min="11" max="14" width="9.140625" style="64" hidden="1" customWidth="1" outlineLevel="1"/>
    <col min="15" max="15" width="9.140625" style="64" collapsed="1"/>
    <col min="16" max="16384" width="9.140625" style="64"/>
  </cols>
  <sheetData>
    <row r="1" spans="1:14">
      <c r="A1" s="93" t="s">
        <v>2045</v>
      </c>
      <c r="B1" s="93"/>
      <c r="C1" s="93"/>
      <c r="D1" s="93"/>
      <c r="E1" s="93"/>
      <c r="F1" s="93"/>
      <c r="G1" s="93"/>
      <c r="H1" s="93"/>
      <c r="I1" s="93"/>
    </row>
    <row r="2" spans="1:14">
      <c r="A2" s="66"/>
      <c r="B2" s="105" t="s">
        <v>1928</v>
      </c>
      <c r="C2" s="106"/>
      <c r="D2" s="106"/>
      <c r="E2" s="136"/>
      <c r="F2" s="105" t="s">
        <v>677</v>
      </c>
      <c r="G2" s="106"/>
      <c r="H2" s="106"/>
      <c r="I2" s="136"/>
    </row>
    <row r="3" spans="1:14" ht="75">
      <c r="B3" s="73" t="s">
        <v>7</v>
      </c>
      <c r="C3" s="73" t="s">
        <v>192</v>
      </c>
      <c r="D3" s="73" t="s">
        <v>1</v>
      </c>
      <c r="E3" s="73" t="s">
        <v>2</v>
      </c>
      <c r="F3" s="73" t="s">
        <v>7</v>
      </c>
      <c r="G3" s="73" t="s">
        <v>192</v>
      </c>
      <c r="H3" s="73" t="s">
        <v>1</v>
      </c>
      <c r="I3" s="73" t="s">
        <v>2</v>
      </c>
      <c r="K3" s="73" t="s">
        <v>7</v>
      </c>
      <c r="L3" s="73" t="s">
        <v>192</v>
      </c>
      <c r="M3" s="73" t="s">
        <v>1</v>
      </c>
      <c r="N3" s="73" t="s">
        <v>2</v>
      </c>
    </row>
    <row r="4" spans="1:14" hidden="1" outlineLevel="1"/>
    <row r="5" spans="1:14" hidden="1" outlineLevel="1" collapsed="1">
      <c r="A5" s="66">
        <v>1961</v>
      </c>
      <c r="B5" s="56">
        <v>132980.6</v>
      </c>
      <c r="C5" s="56">
        <v>442.9</v>
      </c>
      <c r="D5" s="56">
        <v>543</v>
      </c>
      <c r="E5" s="56">
        <v>2349.9</v>
      </c>
      <c r="F5" s="57" t="s">
        <v>22</v>
      </c>
      <c r="G5" s="57" t="s">
        <v>22</v>
      </c>
      <c r="H5" s="57" t="s">
        <v>22</v>
      </c>
      <c r="I5" s="57" t="s">
        <v>22</v>
      </c>
      <c r="K5" s="64">
        <v>121164347.5</v>
      </c>
      <c r="L5" s="64">
        <v>378153.4</v>
      </c>
      <c r="M5" s="64">
        <v>447455.3</v>
      </c>
      <c r="N5" s="64">
        <v>2205206.4</v>
      </c>
    </row>
    <row r="6" spans="1:14" hidden="1" outlineLevel="1">
      <c r="A6" s="66">
        <v>1962</v>
      </c>
      <c r="B6" s="56">
        <v>138950.29999999999</v>
      </c>
      <c r="C6" s="56">
        <v>441.8</v>
      </c>
      <c r="D6" s="56">
        <v>548.70000000000005</v>
      </c>
      <c r="E6" s="56">
        <v>2364.1999999999998</v>
      </c>
      <c r="F6" s="57" t="s">
        <v>22</v>
      </c>
      <c r="G6" s="57" t="s">
        <v>22</v>
      </c>
      <c r="H6" s="57" t="s">
        <v>22</v>
      </c>
      <c r="I6" s="57" t="s">
        <v>22</v>
      </c>
      <c r="K6" s="64">
        <v>125336072.40000001</v>
      </c>
      <c r="L6" s="64">
        <v>376055.3</v>
      </c>
      <c r="M6" s="64">
        <v>452636.4</v>
      </c>
      <c r="N6" s="64">
        <v>2211622.9</v>
      </c>
    </row>
    <row r="7" spans="1:14" hidden="1" outlineLevel="1">
      <c r="A7" s="66">
        <v>1963</v>
      </c>
      <c r="B7" s="56">
        <v>144980.5</v>
      </c>
      <c r="C7" s="56">
        <v>445.8</v>
      </c>
      <c r="D7" s="56">
        <v>550.9</v>
      </c>
      <c r="E7" s="56">
        <v>2393.5</v>
      </c>
      <c r="F7" s="57" t="s">
        <v>22</v>
      </c>
      <c r="G7" s="57" t="s">
        <v>22</v>
      </c>
      <c r="H7" s="57" t="s">
        <v>22</v>
      </c>
      <c r="I7" s="57" t="s">
        <v>22</v>
      </c>
      <c r="K7" s="64">
        <v>129764708.90000001</v>
      </c>
      <c r="L7" s="64">
        <v>378132.4</v>
      </c>
      <c r="M7" s="64">
        <v>454132.7</v>
      </c>
      <c r="N7" s="64">
        <v>2234569.2999999998</v>
      </c>
    </row>
    <row r="8" spans="1:14" hidden="1" outlineLevel="1">
      <c r="A8" s="66">
        <v>1964</v>
      </c>
      <c r="B8" s="56">
        <v>151852.29999999999</v>
      </c>
      <c r="C8" s="56">
        <v>454.7</v>
      </c>
      <c r="D8" s="56">
        <v>575.9</v>
      </c>
      <c r="E8" s="56">
        <v>2554.9</v>
      </c>
      <c r="F8" s="57" t="s">
        <v>22</v>
      </c>
      <c r="G8" s="57" t="s">
        <v>22</v>
      </c>
      <c r="H8" s="57" t="s">
        <v>22</v>
      </c>
      <c r="I8" s="57" t="s">
        <v>22</v>
      </c>
      <c r="K8" s="64">
        <v>135090219</v>
      </c>
      <c r="L8" s="64">
        <v>384710.7</v>
      </c>
      <c r="M8" s="64">
        <v>476975</v>
      </c>
      <c r="N8" s="64">
        <v>2392037.5</v>
      </c>
    </row>
    <row r="9" spans="1:14" hidden="1" outlineLevel="1">
      <c r="A9" s="66">
        <v>1965</v>
      </c>
      <c r="B9" s="56">
        <v>160515</v>
      </c>
      <c r="C9" s="56">
        <v>456.9</v>
      </c>
      <c r="D9" s="56">
        <v>616.5</v>
      </c>
      <c r="E9" s="56">
        <v>2899.9</v>
      </c>
      <c r="F9" s="57" t="s">
        <v>22</v>
      </c>
      <c r="G9" s="57" t="s">
        <v>22</v>
      </c>
      <c r="H9" s="57" t="s">
        <v>22</v>
      </c>
      <c r="I9" s="57" t="s">
        <v>22</v>
      </c>
      <c r="K9" s="64">
        <v>142208664.5</v>
      </c>
      <c r="L9" s="64">
        <v>385678.1</v>
      </c>
      <c r="M9" s="64">
        <v>515501.7</v>
      </c>
      <c r="N9" s="64">
        <v>2731628.4</v>
      </c>
    </row>
    <row r="10" spans="1:14" hidden="1" outlineLevel="1">
      <c r="A10" s="66">
        <v>1966</v>
      </c>
      <c r="B10" s="56">
        <v>171654.8</v>
      </c>
      <c r="C10" s="56">
        <v>475.2</v>
      </c>
      <c r="D10" s="56">
        <v>647.6</v>
      </c>
      <c r="E10" s="56">
        <v>3092.8</v>
      </c>
      <c r="F10" s="57" t="s">
        <v>22</v>
      </c>
      <c r="G10" s="57" t="s">
        <v>22</v>
      </c>
      <c r="H10" s="57" t="s">
        <v>22</v>
      </c>
      <c r="I10" s="57" t="s">
        <v>22</v>
      </c>
      <c r="K10" s="64">
        <v>151682003</v>
      </c>
      <c r="L10" s="64">
        <v>401217.4</v>
      </c>
      <c r="M10" s="64">
        <v>545033.1</v>
      </c>
      <c r="N10" s="64">
        <v>2915731.4</v>
      </c>
    </row>
    <row r="11" spans="1:14" hidden="1" outlineLevel="1">
      <c r="A11" s="66">
        <v>1967</v>
      </c>
      <c r="B11" s="56">
        <v>181558.5</v>
      </c>
      <c r="C11" s="56">
        <v>482</v>
      </c>
      <c r="D11" s="56">
        <v>650.9</v>
      </c>
      <c r="E11" s="56">
        <v>3195.1</v>
      </c>
      <c r="F11" s="57" t="s">
        <v>22</v>
      </c>
      <c r="G11" s="57" t="s">
        <v>22</v>
      </c>
      <c r="H11" s="57" t="s">
        <v>22</v>
      </c>
      <c r="I11" s="57" t="s">
        <v>22</v>
      </c>
      <c r="K11" s="64">
        <v>159713635.40000001</v>
      </c>
      <c r="L11" s="64">
        <v>407199.2</v>
      </c>
      <c r="M11" s="64">
        <v>545506.4</v>
      </c>
      <c r="N11" s="64">
        <v>3008975.7</v>
      </c>
    </row>
    <row r="12" spans="1:14" hidden="1" outlineLevel="1">
      <c r="A12" s="66">
        <v>1968</v>
      </c>
      <c r="B12" s="56">
        <v>190113.8</v>
      </c>
      <c r="C12" s="56">
        <v>467.8</v>
      </c>
      <c r="D12" s="56">
        <v>651</v>
      </c>
      <c r="E12" s="56">
        <v>3133.3</v>
      </c>
      <c r="F12" s="57" t="s">
        <v>22</v>
      </c>
      <c r="G12" s="57" t="s">
        <v>22</v>
      </c>
      <c r="H12" s="57" t="s">
        <v>22</v>
      </c>
      <c r="I12" s="57" t="s">
        <v>22</v>
      </c>
      <c r="K12" s="64">
        <v>166504967.19999999</v>
      </c>
      <c r="L12" s="64">
        <v>393582.5</v>
      </c>
      <c r="M12" s="64">
        <v>543503.19999999995</v>
      </c>
      <c r="N12" s="64">
        <v>2934606.1</v>
      </c>
    </row>
    <row r="13" spans="1:14" hidden="1" outlineLevel="1">
      <c r="A13" s="66">
        <v>1969</v>
      </c>
      <c r="B13" s="56">
        <v>199269.1</v>
      </c>
      <c r="C13" s="56">
        <v>463.8</v>
      </c>
      <c r="D13" s="56">
        <v>703.7</v>
      </c>
      <c r="E13" s="56">
        <v>3126.4</v>
      </c>
      <c r="F13" s="57" t="s">
        <v>22</v>
      </c>
      <c r="G13" s="57" t="s">
        <v>22</v>
      </c>
      <c r="H13" s="57" t="s">
        <v>22</v>
      </c>
      <c r="I13" s="57" t="s">
        <v>22</v>
      </c>
      <c r="K13" s="64">
        <v>173875213.19999999</v>
      </c>
      <c r="L13" s="64">
        <v>390882.2</v>
      </c>
      <c r="M13" s="64">
        <v>593651.69999999995</v>
      </c>
      <c r="N13" s="64">
        <v>2916792.5</v>
      </c>
    </row>
    <row r="14" spans="1:14" hidden="1" outlineLevel="1">
      <c r="A14" s="66">
        <v>1970</v>
      </c>
      <c r="B14" s="56">
        <v>209882.8</v>
      </c>
      <c r="C14" s="56">
        <v>458.5</v>
      </c>
      <c r="D14" s="56">
        <v>727</v>
      </c>
      <c r="E14" s="56">
        <v>3258.7</v>
      </c>
      <c r="F14" s="57" t="s">
        <v>22</v>
      </c>
      <c r="G14" s="57" t="s">
        <v>22</v>
      </c>
      <c r="H14" s="57" t="s">
        <v>22</v>
      </c>
      <c r="I14" s="57" t="s">
        <v>22</v>
      </c>
      <c r="K14" s="64">
        <v>182949563.40000001</v>
      </c>
      <c r="L14" s="64">
        <v>386140.5</v>
      </c>
      <c r="M14" s="64">
        <v>613773.80000000005</v>
      </c>
      <c r="N14" s="64">
        <v>3043920.3</v>
      </c>
    </row>
    <row r="15" spans="1:14" hidden="1" outlineLevel="1">
      <c r="A15" s="66">
        <v>1971</v>
      </c>
      <c r="B15" s="56">
        <v>219236.1</v>
      </c>
      <c r="C15" s="56">
        <v>444.8</v>
      </c>
      <c r="D15" s="56">
        <v>728.5</v>
      </c>
      <c r="E15" s="56">
        <v>3357.4</v>
      </c>
      <c r="F15" s="57" t="s">
        <v>22</v>
      </c>
      <c r="G15" s="57" t="s">
        <v>22</v>
      </c>
      <c r="H15" s="57" t="s">
        <v>22</v>
      </c>
      <c r="I15" s="57" t="s">
        <v>22</v>
      </c>
      <c r="K15" s="64">
        <v>190673632.90000001</v>
      </c>
      <c r="L15" s="64">
        <v>372865.5</v>
      </c>
      <c r="M15" s="64">
        <v>613730.30000000005</v>
      </c>
      <c r="N15" s="64">
        <v>3138802.9</v>
      </c>
    </row>
    <row r="16" spans="1:14" hidden="1" outlineLevel="1">
      <c r="A16" s="66">
        <v>1972</v>
      </c>
      <c r="B16" s="56">
        <v>228182.6</v>
      </c>
      <c r="C16" s="56">
        <v>438.4</v>
      </c>
      <c r="D16" s="56">
        <v>780.9</v>
      </c>
      <c r="E16" s="56">
        <v>3280.9</v>
      </c>
      <c r="F16" s="57" t="s">
        <v>22</v>
      </c>
      <c r="G16" s="57" t="s">
        <v>22</v>
      </c>
      <c r="H16" s="57" t="s">
        <v>22</v>
      </c>
      <c r="I16" s="57" t="s">
        <v>22</v>
      </c>
      <c r="K16" s="64">
        <v>197957659.90000001</v>
      </c>
      <c r="L16" s="64">
        <v>366614.1</v>
      </c>
      <c r="M16" s="64">
        <v>664478.80000000005</v>
      </c>
      <c r="N16" s="64">
        <v>3053644.6</v>
      </c>
    </row>
    <row r="17" spans="1:14" hidden="1" outlineLevel="1">
      <c r="A17" s="66">
        <v>1973</v>
      </c>
      <c r="B17" s="56">
        <v>237860.2</v>
      </c>
      <c r="C17" s="56">
        <v>468.5</v>
      </c>
      <c r="D17" s="56">
        <v>915</v>
      </c>
      <c r="E17" s="56">
        <v>3257.2</v>
      </c>
      <c r="F17" s="57" t="s">
        <v>22</v>
      </c>
      <c r="G17" s="57" t="s">
        <v>22</v>
      </c>
      <c r="H17" s="57" t="s">
        <v>22</v>
      </c>
      <c r="I17" s="57" t="s">
        <v>22</v>
      </c>
      <c r="K17" s="64">
        <v>206184105.5</v>
      </c>
      <c r="L17" s="64">
        <v>396629.3</v>
      </c>
      <c r="M17" s="64">
        <v>799063.7</v>
      </c>
      <c r="N17" s="64">
        <v>3019967.9</v>
      </c>
    </row>
    <row r="18" spans="1:14" hidden="1" outlineLevel="1">
      <c r="A18" s="66">
        <v>1974</v>
      </c>
      <c r="B18" s="56">
        <v>248397.9</v>
      </c>
      <c r="C18" s="56">
        <v>503.9</v>
      </c>
      <c r="D18" s="56">
        <v>1086.7</v>
      </c>
      <c r="E18" s="56">
        <v>3423.8</v>
      </c>
      <c r="F18" s="57" t="s">
        <v>22</v>
      </c>
      <c r="G18" s="57" t="s">
        <v>22</v>
      </c>
      <c r="H18" s="57" t="s">
        <v>22</v>
      </c>
      <c r="I18" s="57" t="s">
        <v>22</v>
      </c>
      <c r="K18" s="64">
        <v>215225915.19999999</v>
      </c>
      <c r="L18" s="64">
        <v>432555</v>
      </c>
      <c r="M18" s="64">
        <v>966963</v>
      </c>
      <c r="N18" s="64">
        <v>3194052</v>
      </c>
    </row>
    <row r="19" spans="1:14" hidden="1" outlineLevel="1">
      <c r="A19" s="66">
        <v>1975</v>
      </c>
      <c r="B19" s="56">
        <v>258495.8</v>
      </c>
      <c r="C19" s="56">
        <v>521.20000000000005</v>
      </c>
      <c r="D19" s="56">
        <v>1177.0999999999999</v>
      </c>
      <c r="E19" s="56">
        <v>3663.7</v>
      </c>
      <c r="F19" s="57" t="s">
        <v>22</v>
      </c>
      <c r="G19" s="57" t="s">
        <v>22</v>
      </c>
      <c r="H19" s="57" t="s">
        <v>22</v>
      </c>
      <c r="I19" s="57" t="s">
        <v>22</v>
      </c>
      <c r="K19" s="64">
        <v>224007791.40000001</v>
      </c>
      <c r="L19" s="64">
        <v>447210.4</v>
      </c>
      <c r="M19" s="64">
        <v>1050130</v>
      </c>
      <c r="N19" s="64">
        <v>3431352.4</v>
      </c>
    </row>
    <row r="20" spans="1:14" hidden="1" outlineLevel="1">
      <c r="A20" s="66">
        <v>1976</v>
      </c>
      <c r="B20" s="56">
        <v>265789.59999999998</v>
      </c>
      <c r="C20" s="56">
        <v>516</v>
      </c>
      <c r="D20" s="56">
        <v>1167.3</v>
      </c>
      <c r="E20" s="56">
        <v>4050</v>
      </c>
      <c r="F20" s="57" t="s">
        <v>22</v>
      </c>
      <c r="G20" s="57" t="s">
        <v>22</v>
      </c>
      <c r="H20" s="57" t="s">
        <v>22</v>
      </c>
      <c r="I20" s="57" t="s">
        <v>22</v>
      </c>
      <c r="K20" s="64">
        <v>229903283.59999999</v>
      </c>
      <c r="L20" s="64">
        <v>441289.8</v>
      </c>
      <c r="M20" s="64">
        <v>1033202</v>
      </c>
      <c r="N20" s="64">
        <v>3807700.2</v>
      </c>
    </row>
    <row r="21" spans="1:14" hidden="1" outlineLevel="1">
      <c r="A21" s="66">
        <v>1977</v>
      </c>
      <c r="B21" s="56">
        <v>272490.40000000002</v>
      </c>
      <c r="C21" s="56">
        <v>524.9</v>
      </c>
      <c r="D21" s="56">
        <v>1143.2</v>
      </c>
      <c r="E21" s="56">
        <v>4216.5</v>
      </c>
      <c r="F21" s="57" t="s">
        <v>22</v>
      </c>
      <c r="G21" s="57" t="s">
        <v>22</v>
      </c>
      <c r="H21" s="57" t="s">
        <v>22</v>
      </c>
      <c r="I21" s="57" t="s">
        <v>22</v>
      </c>
      <c r="K21" s="64">
        <v>234752130.5</v>
      </c>
      <c r="L21" s="64">
        <v>449213.9</v>
      </c>
      <c r="M21" s="64">
        <v>1003946.8</v>
      </c>
      <c r="N21" s="64">
        <v>3959729.4</v>
      </c>
    </row>
    <row r="22" spans="1:14" hidden="1" outlineLevel="1">
      <c r="A22" s="66">
        <v>1978</v>
      </c>
      <c r="B22" s="56">
        <v>278577.2</v>
      </c>
      <c r="C22" s="56">
        <v>507</v>
      </c>
      <c r="D22" s="56">
        <v>1112</v>
      </c>
      <c r="E22" s="56">
        <v>3998.9</v>
      </c>
      <c r="F22" s="57" t="s">
        <v>22</v>
      </c>
      <c r="G22" s="57" t="s">
        <v>22</v>
      </c>
      <c r="H22" s="57" t="s">
        <v>22</v>
      </c>
      <c r="I22" s="57" t="s">
        <v>22</v>
      </c>
      <c r="K22" s="64">
        <v>238487104.5</v>
      </c>
      <c r="L22" s="64">
        <v>431394.4</v>
      </c>
      <c r="M22" s="64">
        <v>971242.5</v>
      </c>
      <c r="N22" s="64">
        <v>3730687.6</v>
      </c>
    </row>
    <row r="23" spans="1:14" hidden="1" outlineLevel="1">
      <c r="A23" s="66">
        <v>1979</v>
      </c>
      <c r="B23" s="56">
        <v>284872.8</v>
      </c>
      <c r="C23" s="56">
        <v>512.6</v>
      </c>
      <c r="D23" s="56">
        <v>1095.2</v>
      </c>
      <c r="E23" s="56">
        <v>3942.5</v>
      </c>
      <c r="F23" s="57" t="s">
        <v>22</v>
      </c>
      <c r="G23" s="57" t="s">
        <v>22</v>
      </c>
      <c r="H23" s="57" t="s">
        <v>22</v>
      </c>
      <c r="I23" s="57" t="s">
        <v>22</v>
      </c>
      <c r="K23" s="64">
        <v>242938329.59999999</v>
      </c>
      <c r="L23" s="64">
        <v>434954.3</v>
      </c>
      <c r="M23" s="64">
        <v>950402</v>
      </c>
      <c r="N23" s="64">
        <v>3658381.7</v>
      </c>
    </row>
    <row r="24" spans="1:14" hidden="1" outlineLevel="1">
      <c r="A24" s="66">
        <v>1980</v>
      </c>
      <c r="B24" s="56">
        <v>293143.3</v>
      </c>
      <c r="C24" s="56">
        <v>522.5</v>
      </c>
      <c r="D24" s="56">
        <v>1109.8</v>
      </c>
      <c r="E24" s="56">
        <v>4058.1</v>
      </c>
      <c r="F24" s="57" t="s">
        <v>22</v>
      </c>
      <c r="G24" s="57" t="s">
        <v>22</v>
      </c>
      <c r="H24" s="57" t="s">
        <v>22</v>
      </c>
      <c r="I24" s="57" t="s">
        <v>22</v>
      </c>
      <c r="K24" s="64">
        <v>248550890.59999999</v>
      </c>
      <c r="L24" s="64">
        <v>443466.1</v>
      </c>
      <c r="M24" s="64">
        <v>956616.6</v>
      </c>
      <c r="N24" s="64">
        <v>3752078</v>
      </c>
    </row>
    <row r="25" spans="1:14" hidden="1" outlineLevel="1">
      <c r="A25" s="66">
        <v>1981</v>
      </c>
      <c r="B25" s="56">
        <v>302951.40000000002</v>
      </c>
      <c r="C25" s="56">
        <v>533</v>
      </c>
      <c r="D25" s="56">
        <v>1121.5999999999999</v>
      </c>
      <c r="E25" s="56">
        <v>4666.3999999999996</v>
      </c>
      <c r="F25" s="57" t="s">
        <v>22</v>
      </c>
      <c r="G25" s="57" t="s">
        <v>22</v>
      </c>
      <c r="H25" s="57" t="s">
        <v>22</v>
      </c>
      <c r="I25" s="57" t="s">
        <v>22</v>
      </c>
      <c r="K25" s="64">
        <v>256232364.09999999</v>
      </c>
      <c r="L25" s="64">
        <v>457569.8</v>
      </c>
      <c r="M25" s="64">
        <v>976940.9</v>
      </c>
      <c r="N25" s="64">
        <v>4426562.9000000004</v>
      </c>
    </row>
    <row r="26" spans="1:14" hidden="1" outlineLevel="1">
      <c r="A26" s="66">
        <v>1982</v>
      </c>
      <c r="B26" s="56">
        <v>308520.8</v>
      </c>
      <c r="C26" s="56">
        <v>497.1</v>
      </c>
      <c r="D26" s="56">
        <v>1092.7</v>
      </c>
      <c r="E26" s="56">
        <v>4962.3999999999996</v>
      </c>
      <c r="F26" s="57" t="s">
        <v>22</v>
      </c>
      <c r="G26" s="57" t="s">
        <v>22</v>
      </c>
      <c r="H26" s="57" t="s">
        <v>22</v>
      </c>
      <c r="I26" s="57" t="s">
        <v>22</v>
      </c>
      <c r="K26" s="64">
        <v>259880828.40000001</v>
      </c>
      <c r="L26" s="64">
        <v>421936.5</v>
      </c>
      <c r="M26" s="64">
        <v>951868.2</v>
      </c>
      <c r="N26" s="64">
        <v>4748141.0999999996</v>
      </c>
    </row>
    <row r="27" spans="1:14" hidden="1" outlineLevel="1">
      <c r="A27" s="66">
        <v>1983</v>
      </c>
      <c r="B27" s="56">
        <v>312937.59999999998</v>
      </c>
      <c r="C27" s="56">
        <v>464.8</v>
      </c>
      <c r="D27" s="56">
        <v>1044.3</v>
      </c>
      <c r="E27" s="56">
        <v>4711</v>
      </c>
      <c r="F27" s="57" t="s">
        <v>22</v>
      </c>
      <c r="G27" s="57" t="s">
        <v>22</v>
      </c>
      <c r="H27" s="57" t="s">
        <v>22</v>
      </c>
      <c r="I27" s="57" t="s">
        <v>22</v>
      </c>
      <c r="K27" s="64">
        <v>261813107.5</v>
      </c>
      <c r="L27" s="64">
        <v>390170.6</v>
      </c>
      <c r="M27" s="64">
        <v>906809.7</v>
      </c>
      <c r="N27" s="64">
        <v>4496246.5</v>
      </c>
    </row>
    <row r="28" spans="1:14" collapsed="1">
      <c r="A28" s="66">
        <v>1984</v>
      </c>
      <c r="B28" s="56">
        <v>318633.3</v>
      </c>
      <c r="C28" s="56">
        <v>460.2</v>
      </c>
      <c r="D28" s="56">
        <v>1031</v>
      </c>
      <c r="E28" s="56">
        <v>4577.8999999999996</v>
      </c>
      <c r="F28" s="56">
        <f>'806'!H5/'836'!B28*1000</f>
        <v>783.34412530523707</v>
      </c>
      <c r="G28" s="56">
        <f>'806'!J5/'836'!C28*1000</f>
        <v>547.5819650563717</v>
      </c>
      <c r="H28" s="56">
        <f>'806'!K5/'836'!D28*1000</f>
        <v>1375.4284719988461</v>
      </c>
      <c r="I28" s="56">
        <f>'806'!L5/'836'!E28*1000</f>
        <v>809.17640226358424</v>
      </c>
      <c r="K28" s="64">
        <v>264992146</v>
      </c>
      <c r="L28" s="64">
        <v>386409.5</v>
      </c>
      <c r="M28" s="64">
        <v>896730.9</v>
      </c>
      <c r="N28" s="64">
        <v>4360695.5</v>
      </c>
    </row>
    <row r="29" spans="1:14">
      <c r="A29" s="66">
        <v>1985</v>
      </c>
      <c r="B29" s="56">
        <v>327085.5</v>
      </c>
      <c r="C29" s="56">
        <v>458.1</v>
      </c>
      <c r="D29" s="56">
        <v>991.1</v>
      </c>
      <c r="E29" s="56">
        <v>4785.8999999999996</v>
      </c>
      <c r="F29" s="56">
        <f>'806'!H6/'836'!B29*1000</f>
        <v>804.13896222062465</v>
      </c>
      <c r="G29" s="56">
        <f>'806'!J6/'836'!C29*1000</f>
        <v>578.06295197830445</v>
      </c>
      <c r="H29" s="56">
        <f>'806'!K6/'836'!D29*1000</f>
        <v>1233.7140529875032</v>
      </c>
      <c r="I29" s="56">
        <f>'806'!L6/'836'!E29*1000</f>
        <v>734.91444661816411</v>
      </c>
      <c r="K29" s="64">
        <v>270701364.89999998</v>
      </c>
      <c r="L29" s="64">
        <v>384527.8</v>
      </c>
      <c r="M29" s="64">
        <v>859350.9</v>
      </c>
      <c r="N29" s="64">
        <v>4588914.4000000004</v>
      </c>
    </row>
    <row r="30" spans="1:14">
      <c r="A30" s="66">
        <v>1986</v>
      </c>
      <c r="B30" s="56">
        <v>338341.3</v>
      </c>
      <c r="C30" s="56">
        <v>456.9</v>
      </c>
      <c r="D30" s="56">
        <v>961.9</v>
      </c>
      <c r="E30" s="56">
        <v>4627.2</v>
      </c>
      <c r="F30" s="56">
        <f>'806'!H7/'836'!B30*1000</f>
        <v>812.6274906496202</v>
      </c>
      <c r="G30" s="56">
        <f>'806'!J7/'836'!C30*1000</f>
        <v>561.14753130734414</v>
      </c>
      <c r="H30" s="57" t="s">
        <v>22</v>
      </c>
      <c r="I30" s="56">
        <f>'806'!L7/'836'!E30*1000</f>
        <v>781.02328077758375</v>
      </c>
      <c r="K30" s="64">
        <v>279850331.19999999</v>
      </c>
      <c r="L30" s="64">
        <v>384392.8</v>
      </c>
      <c r="M30" s="64">
        <v>832219</v>
      </c>
      <c r="N30" s="64">
        <v>4419766.5</v>
      </c>
    </row>
    <row r="31" spans="1:14">
      <c r="A31" s="66">
        <v>1987</v>
      </c>
      <c r="B31" s="56">
        <v>351991.7</v>
      </c>
      <c r="C31" s="56">
        <v>445.2</v>
      </c>
      <c r="D31" s="56">
        <v>1032.9000000000001</v>
      </c>
      <c r="E31" s="56">
        <v>4561.6000000000004</v>
      </c>
      <c r="F31" s="56">
        <f>'806'!H8/'836'!B31*1000</f>
        <v>821.48081753966187</v>
      </c>
      <c r="G31" s="56">
        <f>'806'!J8/'836'!C31*1000</f>
        <v>597.52736422257453</v>
      </c>
      <c r="H31" s="56">
        <f>'806'!K8/'836'!D31*1000</f>
        <v>1178.8297980072045</v>
      </c>
      <c r="I31" s="56">
        <f>'806'!L8/'836'!E31*1000</f>
        <v>821.09406695851135</v>
      </c>
      <c r="K31" s="64">
        <v>290424947.30000001</v>
      </c>
      <c r="L31" s="64">
        <v>374773.3</v>
      </c>
      <c r="M31" s="64">
        <v>906469.6</v>
      </c>
      <c r="N31" s="64">
        <v>4343508.2</v>
      </c>
    </row>
    <row r="32" spans="1:14">
      <c r="A32" s="66">
        <v>1988</v>
      </c>
      <c r="B32" s="56">
        <v>369171.9</v>
      </c>
      <c r="C32" s="56">
        <v>434.5</v>
      </c>
      <c r="D32" s="56">
        <v>1170.2</v>
      </c>
      <c r="E32" s="56">
        <v>4764.2</v>
      </c>
      <c r="F32" s="56">
        <f>'806'!H9/'836'!B32*1000</f>
        <v>825.27573124783396</v>
      </c>
      <c r="G32" s="56">
        <f>'806'!J9/'836'!C32*1000</f>
        <v>620.29932667965863</v>
      </c>
      <c r="H32" s="57" t="s">
        <v>22</v>
      </c>
      <c r="I32" s="56">
        <f>'806'!L9/'836'!E32*1000</f>
        <v>792.5309108609132</v>
      </c>
      <c r="K32" s="64">
        <v>304920208.5</v>
      </c>
      <c r="L32" s="64">
        <v>366796.7</v>
      </c>
      <c r="M32" s="64">
        <v>1056096.8999999999</v>
      </c>
      <c r="N32" s="64">
        <v>4567469.5</v>
      </c>
    </row>
    <row r="33" spans="1:14">
      <c r="A33" s="66">
        <v>1989</v>
      </c>
      <c r="B33" s="56">
        <v>386126.1</v>
      </c>
      <c r="C33" s="56">
        <v>420.8</v>
      </c>
      <c r="D33" s="56">
        <v>1229.8</v>
      </c>
      <c r="E33" s="56">
        <v>5390.4</v>
      </c>
      <c r="F33" s="56">
        <f>'806'!H10/'836'!B33*1000</f>
        <v>813.32755929762141</v>
      </c>
      <c r="G33" s="56">
        <f>'806'!J10/'836'!C33*1000</f>
        <v>705.20857592302229</v>
      </c>
      <c r="H33" s="57" t="s">
        <v>22</v>
      </c>
      <c r="I33" s="56">
        <f>'806'!L10/'836'!E33*1000</f>
        <v>739.73249007799359</v>
      </c>
      <c r="K33" s="64">
        <v>318820222.10000002</v>
      </c>
      <c r="L33" s="64">
        <v>355044.3</v>
      </c>
      <c r="M33" s="64">
        <v>1122937</v>
      </c>
      <c r="N33" s="64">
        <v>5260165.7</v>
      </c>
    </row>
    <row r="34" spans="1:14">
      <c r="A34" s="66">
        <v>1990</v>
      </c>
      <c r="B34" s="56">
        <v>399242.3</v>
      </c>
      <c r="C34" s="56">
        <v>413.5</v>
      </c>
      <c r="D34" s="56">
        <v>1190.0999999999999</v>
      </c>
      <c r="E34" s="56">
        <v>5588.9</v>
      </c>
      <c r="F34" s="56">
        <f>'806'!H11/'836'!B34*1000</f>
        <v>776.59872419412557</v>
      </c>
      <c r="G34" s="56">
        <f>'806'!J11/'836'!C34*1000</f>
        <v>853.83382646857763</v>
      </c>
      <c r="H34" s="57" t="s">
        <v>22</v>
      </c>
      <c r="I34" s="56">
        <f>'806'!L11/'836'!E34*1000</f>
        <v>694.08479175682555</v>
      </c>
      <c r="K34" s="64">
        <v>328793229</v>
      </c>
      <c r="L34" s="64">
        <v>349470.8</v>
      </c>
      <c r="M34" s="64">
        <v>1084494.8999999999</v>
      </c>
      <c r="N34" s="64">
        <v>5492301.9000000004</v>
      </c>
    </row>
    <row r="35" spans="1:14">
      <c r="A35" s="66">
        <v>1991</v>
      </c>
      <c r="B35" s="56">
        <v>410964.3</v>
      </c>
      <c r="C35" s="56">
        <v>377.1</v>
      </c>
      <c r="D35" s="56">
        <v>1120.5</v>
      </c>
      <c r="E35" s="56">
        <v>5428.5</v>
      </c>
      <c r="F35" s="56">
        <f>'806'!H12/'836'!B35*1000</f>
        <v>735.98367560808265</v>
      </c>
      <c r="G35" s="56">
        <f>'806'!J12/'836'!C35*1000</f>
        <v>1121.3330964146307</v>
      </c>
      <c r="H35" s="56">
        <f>'806'!K12/'836'!D35*1000</f>
        <v>829.75540184479246</v>
      </c>
      <c r="I35" s="56">
        <f>'806'!L12/'836'!E35*1000</f>
        <v>366.90085836689144</v>
      </c>
      <c r="K35" s="64">
        <v>336861495.39999998</v>
      </c>
      <c r="L35" s="64">
        <v>311984.8</v>
      </c>
      <c r="M35" s="64">
        <v>1010587.4</v>
      </c>
      <c r="N35" s="64">
        <v>5308542.2</v>
      </c>
    </row>
    <row r="36" spans="1:14">
      <c r="A36" s="66">
        <v>1992</v>
      </c>
      <c r="B36" s="56">
        <v>417456.3</v>
      </c>
      <c r="C36" s="56">
        <v>375.7</v>
      </c>
      <c r="D36" s="56">
        <v>1044.5</v>
      </c>
      <c r="E36" s="56">
        <v>5223.5</v>
      </c>
      <c r="F36" s="56">
        <f>'806'!H13/'836'!B36*1000</f>
        <v>729.25505491947115</v>
      </c>
      <c r="G36" s="56">
        <f>'806'!J13/'836'!C36*1000</f>
        <v>1088.0198512773866</v>
      </c>
      <c r="H36" s="57" t="s">
        <v>22</v>
      </c>
      <c r="I36" s="56">
        <f>'806'!L13/'836'!E36*1000</f>
        <v>679.81837360120085</v>
      </c>
      <c r="K36" s="64">
        <v>339537606.5</v>
      </c>
      <c r="L36" s="64">
        <v>312399.7</v>
      </c>
      <c r="M36" s="64">
        <v>927738.4</v>
      </c>
      <c r="N36" s="64">
        <v>5065446.8</v>
      </c>
    </row>
    <row r="37" spans="1:14">
      <c r="A37" s="66">
        <v>1993</v>
      </c>
      <c r="B37" s="56">
        <v>419301.6</v>
      </c>
      <c r="C37" s="56">
        <v>379.9</v>
      </c>
      <c r="D37" s="56">
        <v>995.4</v>
      </c>
      <c r="E37" s="56">
        <v>5038.8999999999996</v>
      </c>
      <c r="F37" s="56">
        <f>'806'!H14/'836'!B37*1000</f>
        <v>734.69884767271412</v>
      </c>
      <c r="G37" s="56">
        <f>'806'!J14/'836'!C37*1000</f>
        <v>1195.8145641934354</v>
      </c>
      <c r="H37" s="57" t="s">
        <v>22</v>
      </c>
      <c r="I37" s="56">
        <f>'806'!L14/'836'!E37*1000</f>
        <v>699.91326050616988</v>
      </c>
      <c r="K37" s="64">
        <v>338494927.69999999</v>
      </c>
      <c r="L37" s="64">
        <v>317092.09999999998</v>
      </c>
      <c r="M37" s="64">
        <v>870208.1</v>
      </c>
      <c r="N37" s="64">
        <v>4842614</v>
      </c>
    </row>
    <row r="38" spans="1:14">
      <c r="A38" s="66">
        <v>1994</v>
      </c>
      <c r="B38" s="56">
        <v>423550.1</v>
      </c>
      <c r="C38" s="56">
        <v>369.1</v>
      </c>
      <c r="D38" s="56">
        <v>1032</v>
      </c>
      <c r="E38" s="56">
        <v>4865.5</v>
      </c>
      <c r="F38" s="56">
        <f>'806'!H15/'836'!B38*1000</f>
        <v>761.24958215559525</v>
      </c>
      <c r="G38" s="56">
        <f>'806'!J15/'836'!C38*1000</f>
        <v>1136.9137256933943</v>
      </c>
      <c r="H38" s="57" t="s">
        <v>22</v>
      </c>
      <c r="I38" s="56">
        <f>'806'!L15/'836'!E38*1000</f>
        <v>433.62605144373498</v>
      </c>
      <c r="K38" s="64">
        <v>339614254.89999998</v>
      </c>
      <c r="L38" s="64">
        <v>307748.09999999998</v>
      </c>
      <c r="M38" s="64">
        <v>900763.7</v>
      </c>
      <c r="N38" s="64">
        <v>4654680.0999999996</v>
      </c>
    </row>
    <row r="39" spans="1:14">
      <c r="A39" s="66">
        <v>1995</v>
      </c>
      <c r="B39" s="56">
        <v>428787.1</v>
      </c>
      <c r="C39" s="56">
        <v>409.9</v>
      </c>
      <c r="D39" s="56">
        <v>1196.5999999999999</v>
      </c>
      <c r="E39" s="56">
        <v>5518.3</v>
      </c>
      <c r="F39" s="56">
        <f>'806'!H16/'836'!B39*1000</f>
        <v>781.04497271385378</v>
      </c>
      <c r="G39" s="56">
        <f>'806'!J16/'836'!C39*1000</f>
        <v>988.97171493310998</v>
      </c>
      <c r="H39" s="56" t="s">
        <v>22</v>
      </c>
      <c r="I39" s="56">
        <f>'806'!L16/'836'!E39*1000</f>
        <v>356.09370611912311</v>
      </c>
      <c r="K39" s="64">
        <v>341479077.60000002</v>
      </c>
      <c r="L39" s="64">
        <v>347538.9</v>
      </c>
      <c r="M39" s="64">
        <v>1060107.7</v>
      </c>
      <c r="N39" s="64">
        <v>5312640.8</v>
      </c>
    </row>
    <row r="40" spans="1:14">
      <c r="A40" s="66">
        <v>1996</v>
      </c>
      <c r="B40" s="56">
        <v>436083.6</v>
      </c>
      <c r="C40" s="56">
        <v>417.3</v>
      </c>
      <c r="D40" s="56">
        <v>1207.2</v>
      </c>
      <c r="E40" s="56">
        <v>5770.3</v>
      </c>
      <c r="F40" s="56">
        <f>'806'!H17/'836'!B40*1000</f>
        <v>777.09751945188236</v>
      </c>
      <c r="G40" s="56">
        <f>'806'!J17/'836'!C40*1000</f>
        <v>1182.1962515399396</v>
      </c>
      <c r="H40" s="57" t="s">
        <v>22</v>
      </c>
      <c r="I40" s="56">
        <f>'806'!L17/'836'!E40*1000</f>
        <v>327.99751677832853</v>
      </c>
      <c r="K40" s="64">
        <v>344281464.30000001</v>
      </c>
      <c r="L40" s="64">
        <v>354113.9</v>
      </c>
      <c r="M40" s="64">
        <v>1061935.2</v>
      </c>
      <c r="N40" s="64">
        <v>5514987.7999999998</v>
      </c>
    </row>
    <row r="41" spans="1:14">
      <c r="A41" s="66">
        <v>1997</v>
      </c>
      <c r="B41" s="56">
        <v>445674.9</v>
      </c>
      <c r="C41" s="56">
        <v>412.9</v>
      </c>
      <c r="D41" s="56">
        <v>1306.9000000000001</v>
      </c>
      <c r="E41" s="56">
        <v>5520.1</v>
      </c>
      <c r="F41" s="56">
        <f>'806'!H18/'836'!B41*1000</f>
        <v>793.41825173461609</v>
      </c>
      <c r="G41" s="56">
        <f>'806'!J18/'836'!C41*1000</f>
        <v>985.87364049695395</v>
      </c>
      <c r="H41" s="56">
        <f>'806'!K18/'836'!D41*1000</f>
        <v>1276.7379430746253</v>
      </c>
      <c r="I41" s="56">
        <f>'806'!L18/'836'!E41*1000</f>
        <v>666.32850854151184</v>
      </c>
      <c r="K41" s="64">
        <v>350512779.80000001</v>
      </c>
      <c r="L41" s="64">
        <v>349323.6</v>
      </c>
      <c r="M41" s="64">
        <v>1151719.2</v>
      </c>
      <c r="N41" s="64">
        <v>5231461.9000000004</v>
      </c>
    </row>
    <row r="42" spans="1:14">
      <c r="A42" s="66">
        <v>1998</v>
      </c>
      <c r="B42" s="56">
        <v>454818.3</v>
      </c>
      <c r="C42" s="56">
        <v>412.6</v>
      </c>
      <c r="D42" s="56">
        <v>1303.9000000000001</v>
      </c>
      <c r="E42" s="56">
        <v>5271.7</v>
      </c>
      <c r="F42" s="56">
        <f>'806'!H19/'836'!B42*1000</f>
        <v>814.23416779843706</v>
      </c>
      <c r="G42" s="56">
        <f>'806'!J19/'836'!C42*1000</f>
        <v>989.31031756771381</v>
      </c>
      <c r="H42" s="56">
        <f>'806'!K19/'836'!D42*1000</f>
        <v>1168.9475432358565</v>
      </c>
      <c r="I42" s="56">
        <f>'806'!L19/'836'!E42*1000</f>
        <v>670.59961682189805</v>
      </c>
      <c r="K42" s="64">
        <v>355830615.60000002</v>
      </c>
      <c r="L42" s="64">
        <v>345921.7</v>
      </c>
      <c r="M42" s="64">
        <v>1143475.3</v>
      </c>
      <c r="N42" s="64">
        <v>4937366.5</v>
      </c>
    </row>
    <row r="43" spans="1:14">
      <c r="A43" s="66">
        <v>1999</v>
      </c>
      <c r="B43" s="56">
        <v>465659.7</v>
      </c>
      <c r="C43" s="56">
        <v>389.6</v>
      </c>
      <c r="D43" s="56">
        <v>1286.5</v>
      </c>
      <c r="E43" s="56">
        <v>5011.8999999999996</v>
      </c>
      <c r="F43" s="56">
        <f>'806'!H20/'836'!B43*1000</f>
        <v>856.29913861989746</v>
      </c>
      <c r="G43" s="56">
        <f>'806'!J20/'836'!C43*1000</f>
        <v>979.89496483827168</v>
      </c>
      <c r="H43" s="56">
        <f>'806'!K20/'836'!D43*1000</f>
        <v>1192.6596245630333</v>
      </c>
      <c r="I43" s="56">
        <f>'806'!L20/'836'!E43*1000</f>
        <v>686.88521319260167</v>
      </c>
      <c r="K43" s="64">
        <v>363235868.5</v>
      </c>
      <c r="L43" s="64">
        <v>324805.09999999998</v>
      </c>
      <c r="M43" s="64">
        <v>1125502</v>
      </c>
      <c r="N43" s="64">
        <v>4678568.5999999996</v>
      </c>
    </row>
    <row r="44" spans="1:14">
      <c r="A44" s="66">
        <v>2000</v>
      </c>
      <c r="B44" s="56">
        <v>474551.7</v>
      </c>
      <c r="C44" s="56">
        <v>365.8</v>
      </c>
      <c r="D44" s="56">
        <v>1288.4000000000001</v>
      </c>
      <c r="E44" s="56">
        <v>4980.7</v>
      </c>
      <c r="F44" s="56">
        <f>'806'!H21/'836'!B44*1000</f>
        <v>891.72286180831259</v>
      </c>
      <c r="G44" s="56">
        <f>'806'!J21/'836'!C44*1000</f>
        <v>844.57006399447994</v>
      </c>
      <c r="H44" s="56">
        <f>'806'!K21/'836'!D44*1000</f>
        <v>997.74486843358193</v>
      </c>
      <c r="I44" s="56">
        <f>'806'!L21/'836'!E44*1000</f>
        <v>773.38526713112617</v>
      </c>
      <c r="K44" s="64">
        <v>368564778.30000001</v>
      </c>
      <c r="L44" s="64">
        <v>303671.09999999998</v>
      </c>
      <c r="M44" s="64">
        <v>1132373.8999999999</v>
      </c>
      <c r="N44" s="64">
        <v>4608814.9000000004</v>
      </c>
    </row>
    <row r="45" spans="1:14">
      <c r="A45" s="66">
        <v>2001</v>
      </c>
      <c r="B45" s="56">
        <v>481220.2</v>
      </c>
      <c r="C45" s="56">
        <v>349.4</v>
      </c>
      <c r="D45" s="56">
        <v>1222.3</v>
      </c>
      <c r="E45" s="56">
        <v>4800.3999999999996</v>
      </c>
      <c r="F45" s="56">
        <f>'806'!H22/'836'!B45*1000</f>
        <v>892.06147206621813</v>
      </c>
      <c r="G45" s="56">
        <f>'806'!J22/'836'!C45*1000</f>
        <v>957.50219376124346</v>
      </c>
      <c r="H45" s="56">
        <f>'806'!K22/'836'!D45*1000</f>
        <v>1047.8478058306939</v>
      </c>
      <c r="I45" s="56">
        <f>'806'!L22/'836'!E45*1000</f>
        <v>801.9540038330141</v>
      </c>
      <c r="K45" s="64">
        <v>371719351.10000002</v>
      </c>
      <c r="L45" s="64">
        <v>288396.7</v>
      </c>
      <c r="M45" s="64">
        <v>1062622.2</v>
      </c>
      <c r="N45" s="64">
        <v>4341795</v>
      </c>
    </row>
    <row r="46" spans="1:14">
      <c r="A46" s="66">
        <v>2002</v>
      </c>
      <c r="B46" s="56">
        <v>484900.5</v>
      </c>
      <c r="C46" s="56">
        <v>350.8</v>
      </c>
      <c r="D46" s="56">
        <v>1170.2</v>
      </c>
      <c r="E46" s="56">
        <v>4508.6000000000004</v>
      </c>
      <c r="F46" s="56">
        <f>'806'!H23/'836'!B46*1000</f>
        <v>907.85800385852338</v>
      </c>
      <c r="G46" s="56">
        <f>'806'!J23/'836'!C46*1000</f>
        <v>930.66065343241712</v>
      </c>
      <c r="H46" s="56">
        <f>'806'!K23/'836'!D46*1000</f>
        <v>999.73599320017024</v>
      </c>
      <c r="I46" s="56">
        <f>'806'!L23/'836'!E46*1000</f>
        <v>891.14137426252057</v>
      </c>
      <c r="K46" s="64">
        <v>373236395.60000002</v>
      </c>
      <c r="L46" s="64">
        <v>290904.5</v>
      </c>
      <c r="M46" s="64">
        <v>1009611.9</v>
      </c>
      <c r="N46" s="64">
        <v>4005894</v>
      </c>
    </row>
    <row r="47" spans="1:14">
      <c r="A47" s="66">
        <v>2003</v>
      </c>
      <c r="B47" s="56">
        <v>491687.7</v>
      </c>
      <c r="C47" s="56">
        <v>350.1</v>
      </c>
      <c r="D47" s="56">
        <v>1115.5999999999999</v>
      </c>
      <c r="E47" s="56">
        <v>4356.8</v>
      </c>
      <c r="F47" s="56">
        <f>'806'!H24/'836'!B47*1000</f>
        <v>909.85904264027738</v>
      </c>
      <c r="G47" s="56">
        <f>'806'!J24/'836'!C47*1000</f>
        <v>989.72007329280291</v>
      </c>
      <c r="H47" s="56">
        <f>'806'!K24/'836'!D47*1000</f>
        <v>1025.6182451902982</v>
      </c>
      <c r="I47" s="56">
        <f>'806'!L24/'836'!E47*1000</f>
        <v>942.64138817480728</v>
      </c>
      <c r="K47" s="64">
        <v>377430001.89999998</v>
      </c>
      <c r="L47" s="64">
        <v>291619.40000000002</v>
      </c>
      <c r="M47" s="64">
        <v>955825.7</v>
      </c>
      <c r="N47" s="64">
        <v>3794063.9</v>
      </c>
    </row>
    <row r="48" spans="1:14">
      <c r="A48" s="66">
        <v>2004</v>
      </c>
      <c r="B48" s="56">
        <v>501503.4</v>
      </c>
      <c r="C48" s="56">
        <v>335.9</v>
      </c>
      <c r="D48" s="56">
        <v>1138</v>
      </c>
      <c r="E48" s="56">
        <v>4153.8999999999996</v>
      </c>
      <c r="F48" s="56">
        <f>'806'!H25/'836'!B48*1000</f>
        <v>914.55052946799537</v>
      </c>
      <c r="G48" s="56">
        <f>'806'!J25/'836'!C48*1000</f>
        <v>1098.5356094900328</v>
      </c>
      <c r="H48" s="56">
        <f>'806'!K25/'836'!D48*1000</f>
        <v>1009.9382150389207</v>
      </c>
      <c r="I48" s="56">
        <f>'806'!L25/'836'!E48*1000</f>
        <v>990.20197886323729</v>
      </c>
      <c r="K48" s="64">
        <v>382828675.60000002</v>
      </c>
      <c r="L48" s="64">
        <v>278819.5</v>
      </c>
      <c r="M48" s="64">
        <v>975352.7</v>
      </c>
      <c r="N48" s="64">
        <v>3526539.1</v>
      </c>
    </row>
    <row r="49" spans="1:14">
      <c r="A49" s="66">
        <v>2005</v>
      </c>
      <c r="B49" s="56">
        <v>514137.3</v>
      </c>
      <c r="C49" s="56">
        <v>326.7</v>
      </c>
      <c r="D49" s="56">
        <v>1180.4000000000001</v>
      </c>
      <c r="E49" s="56">
        <v>3924</v>
      </c>
      <c r="F49" s="56">
        <f>'806'!H26/'836'!B49*1000</f>
        <v>916.09789836294669</v>
      </c>
      <c r="G49" s="56">
        <f>'806'!J26/'836'!C49*1000</f>
        <v>1078.2726520722561</v>
      </c>
      <c r="H49" s="56">
        <f>'806'!K26/'836'!D49*1000</f>
        <v>955.2248253599513</v>
      </c>
      <c r="I49" s="56">
        <f>'806'!L26/'836'!E49*1000</f>
        <v>998.44546381243629</v>
      </c>
      <c r="K49" s="64">
        <v>390928821.80000001</v>
      </c>
      <c r="L49" s="64">
        <v>270468.2</v>
      </c>
      <c r="M49" s="64">
        <v>1007634.8</v>
      </c>
      <c r="N49" s="64">
        <v>3274554.2</v>
      </c>
    </row>
    <row r="50" spans="1:14">
      <c r="A50" s="66">
        <v>2006</v>
      </c>
      <c r="B50" s="56">
        <v>528344.5</v>
      </c>
      <c r="C50" s="56">
        <v>317.8</v>
      </c>
      <c r="D50" s="56">
        <v>1200.9000000000001</v>
      </c>
      <c r="E50" s="56">
        <v>3689</v>
      </c>
      <c r="F50" s="56">
        <f>'806'!H27/'836'!B50*1000</f>
        <v>910.84037025084956</v>
      </c>
      <c r="G50" s="56">
        <f>'806'!J27/'836'!C50*1000</f>
        <v>1301.225803927061</v>
      </c>
      <c r="H50" s="56">
        <f>'806'!K27/'836'!D50*1000</f>
        <v>926.61347107468839</v>
      </c>
      <c r="I50" s="56">
        <f>'806'!L27/'836'!E50*1000</f>
        <v>903.1444835998916</v>
      </c>
      <c r="K50" s="64">
        <v>402535852.30000001</v>
      </c>
      <c r="L50" s="64">
        <v>262957.8</v>
      </c>
      <c r="M50" s="64">
        <v>1005297</v>
      </c>
      <c r="N50" s="64">
        <v>3051659</v>
      </c>
    </row>
    <row r="51" spans="1:14">
      <c r="A51" s="66">
        <v>2007</v>
      </c>
      <c r="B51" s="56">
        <v>539562.5</v>
      </c>
      <c r="C51" s="56">
        <v>299.89999999999998</v>
      </c>
      <c r="D51" s="56">
        <v>1178.8</v>
      </c>
      <c r="E51" s="56">
        <v>3485.1</v>
      </c>
      <c r="F51" s="56">
        <f>'806'!H28/'836'!B51*1000</f>
        <v>1032.7048303023282</v>
      </c>
      <c r="G51" s="56">
        <f>'806'!J28/'836'!C51*1000</f>
        <v>1768.5895298432813</v>
      </c>
      <c r="H51" s="56">
        <f>'806'!K28/'836'!D51*1000</f>
        <v>1391.7543264336614</v>
      </c>
      <c r="I51" s="56">
        <f>'806'!L28/'836'!E51*1000</f>
        <v>896.33009095865259</v>
      </c>
    </row>
    <row r="52" spans="1:14">
      <c r="A52" s="66">
        <v>2008</v>
      </c>
      <c r="B52" s="56">
        <v>548986</v>
      </c>
      <c r="C52" s="56">
        <v>285.60000000000002</v>
      </c>
      <c r="D52" s="56">
        <v>1146.8</v>
      </c>
      <c r="E52" s="56">
        <v>3299.9</v>
      </c>
      <c r="F52" s="56">
        <f>'806'!H29/'836'!B52*1000</f>
        <v>1013.397791564812</v>
      </c>
      <c r="G52" s="56">
        <f>'806'!J29/'836'!C52*1000</f>
        <v>1743.6974789915964</v>
      </c>
      <c r="H52" s="56">
        <f>'806'!K29/'836'!D52*1000</f>
        <v>1263.864666899198</v>
      </c>
      <c r="I52" s="56">
        <f>'806'!L29/'836'!E52*1000</f>
        <v>884.75408345707444</v>
      </c>
    </row>
    <row r="53" spans="1:14">
      <c r="A53" s="66">
        <v>2009</v>
      </c>
      <c r="B53" s="56">
        <v>551388.69999999995</v>
      </c>
      <c r="C53" s="56">
        <v>275.8</v>
      </c>
      <c r="D53" s="56">
        <v>1045.2</v>
      </c>
      <c r="E53" s="56">
        <v>3015.3</v>
      </c>
      <c r="F53" s="56">
        <f>'806'!H30/'836'!B53*1000</f>
        <v>975.39739207568095</v>
      </c>
      <c r="G53" s="56">
        <f>'806'!J30/'836'!C53*1000</f>
        <v>1369.4706308919506</v>
      </c>
      <c r="H53" s="56">
        <f>'806'!K30/'836'!D53*1000</f>
        <v>1001.4351320321471</v>
      </c>
      <c r="I53" s="56">
        <f>'806'!L30/'836'!E53*1000</f>
        <v>795.90753822173576</v>
      </c>
    </row>
    <row r="54" spans="1:14">
      <c r="A54" s="66">
        <v>2010</v>
      </c>
      <c r="B54" s="56">
        <v>561248.1</v>
      </c>
      <c r="C54" s="56">
        <v>250.7</v>
      </c>
      <c r="D54" s="56">
        <v>985.2</v>
      </c>
      <c r="E54" s="56">
        <v>2760.7</v>
      </c>
      <c r="F54" s="56">
        <f>'806'!H31/'836'!B54*1000</f>
        <v>992.18616508456785</v>
      </c>
      <c r="G54" s="56">
        <f>'806'!J31/'836'!C54*1000</f>
        <v>1729.9561228560033</v>
      </c>
      <c r="H54" s="56">
        <f>'806'!K31/'836'!D54*1000</f>
        <v>1128.1973203410473</v>
      </c>
      <c r="I54" s="56">
        <f>'806'!L31/'836'!E54*1000</f>
        <v>887.09385300829501</v>
      </c>
    </row>
    <row r="55" spans="1:14">
      <c r="A55" s="66">
        <v>2011</v>
      </c>
      <c r="B55" s="56">
        <v>573178.4</v>
      </c>
      <c r="C55" s="56">
        <v>246.2</v>
      </c>
      <c r="D55" s="56">
        <v>977</v>
      </c>
      <c r="E55" s="56">
        <v>2568.4</v>
      </c>
      <c r="F55" s="56">
        <f>'806'!H32/'836'!B55*1000</f>
        <v>988.76963960958756</v>
      </c>
      <c r="G55" s="56">
        <f>'806'!J32/'836'!C55*1000</f>
        <v>1981.7221770917952</v>
      </c>
      <c r="H55" s="56">
        <f>'806'!K32/'836'!D55*1000</f>
        <v>1102.3541453428863</v>
      </c>
      <c r="I55" s="56">
        <f>'806'!L32/'836'!E55*1000</f>
        <v>966.94440118361626</v>
      </c>
    </row>
    <row r="56" spans="1:14">
      <c r="A56" s="66"/>
      <c r="B56" s="56"/>
      <c r="C56" s="56"/>
      <c r="D56" s="56"/>
      <c r="E56" s="56"/>
      <c r="F56" s="56"/>
      <c r="G56" s="56"/>
      <c r="H56" s="56"/>
      <c r="I56" s="56"/>
      <c r="K56" s="64">
        <v>417420663.19999999</v>
      </c>
      <c r="L56" s="64">
        <v>252030.4</v>
      </c>
      <c r="M56" s="64">
        <v>1001746.3</v>
      </c>
      <c r="N56" s="64">
        <v>2898873.6</v>
      </c>
    </row>
    <row r="57" spans="1:14">
      <c r="A57" s="66" t="s">
        <v>23</v>
      </c>
    </row>
    <row r="58" spans="1:14">
      <c r="A58" s="64" t="s">
        <v>2143</v>
      </c>
      <c r="B58" s="65">
        <f>IFERROR(((B55/B28)^(1/27)-1)*100,"n.a.")</f>
        <v>2.1984701235273407</v>
      </c>
      <c r="C58" s="65">
        <f t="shared" ref="C58:I58" si="0">IFERROR(((C55/C28)^(1/27)-1)*100,"n.a.")</f>
        <v>-2.2900993637500089</v>
      </c>
      <c r="D58" s="65">
        <f t="shared" si="0"/>
        <v>-0.19905285604737699</v>
      </c>
      <c r="E58" s="65">
        <f t="shared" si="0"/>
        <v>-2.117834510053318</v>
      </c>
      <c r="F58" s="65">
        <f t="shared" si="0"/>
        <v>0.8662836196733803</v>
      </c>
      <c r="G58" s="65">
        <f t="shared" si="0"/>
        <v>4.8790278449206692</v>
      </c>
      <c r="H58" s="65">
        <f t="shared" si="0"/>
        <v>-0.816343277770748</v>
      </c>
      <c r="I58" s="65">
        <f t="shared" si="0"/>
        <v>0.66189965788991945</v>
      </c>
    </row>
    <row r="59" spans="1:14">
      <c r="A59" s="109" t="s">
        <v>682</v>
      </c>
      <c r="B59" s="65">
        <f>IFERROR(((B33/B28)^(1/5)-1)*100,"n.a.")</f>
        <v>3.9172390151639869</v>
      </c>
      <c r="C59" s="65">
        <f t="shared" ref="C59:I59" si="1">IFERROR(((C33/C28)^(1/5)-1)*100,"n.a.")</f>
        <v>-1.7741437386881054</v>
      </c>
      <c r="D59" s="65">
        <f t="shared" si="1"/>
        <v>3.5893635262002066</v>
      </c>
      <c r="E59" s="65">
        <f t="shared" si="1"/>
        <v>3.3215561097011292</v>
      </c>
      <c r="F59" s="65">
        <f t="shared" si="1"/>
        <v>0.75406556246080392</v>
      </c>
      <c r="G59" s="65">
        <f t="shared" si="1"/>
        <v>5.1898146398812406</v>
      </c>
      <c r="H59" s="65" t="str">
        <f t="shared" si="1"/>
        <v>n.a.</v>
      </c>
      <c r="I59" s="65">
        <f t="shared" si="1"/>
        <v>-1.7785599904818872</v>
      </c>
    </row>
    <row r="60" spans="1:14">
      <c r="A60" s="109" t="s">
        <v>26</v>
      </c>
      <c r="B60" s="65">
        <f>IFERROR(((B44/B33)^(1/11)-1)*100,"n.a.")</f>
        <v>1.8922862045599675</v>
      </c>
      <c r="C60" s="65">
        <f t="shared" ref="C60:I60" si="2">IFERROR(((C44/C33)^(1/11)-1)*100,"n.a.")</f>
        <v>-1.2652989709201257</v>
      </c>
      <c r="D60" s="65">
        <f t="shared" si="2"/>
        <v>0.42407469842722367</v>
      </c>
      <c r="E60" s="65">
        <f t="shared" si="2"/>
        <v>-0.71605267737376854</v>
      </c>
      <c r="F60" s="65">
        <f t="shared" si="2"/>
        <v>0.8400676659298778</v>
      </c>
      <c r="G60" s="65">
        <f t="shared" si="2"/>
        <v>1.6529126976296604</v>
      </c>
      <c r="H60" s="65" t="str">
        <f t="shared" si="2"/>
        <v>n.a.</v>
      </c>
      <c r="I60" s="65">
        <f t="shared" si="2"/>
        <v>0.40526177875810365</v>
      </c>
    </row>
    <row r="61" spans="1:14">
      <c r="A61" s="64" t="s">
        <v>1782</v>
      </c>
      <c r="B61" s="65">
        <f>IFERROR(((B55/B44)^(1/11)-1)*100,"n.a.")</f>
        <v>1.7314223447696175</v>
      </c>
      <c r="C61" s="65">
        <f t="shared" ref="C61:I61" si="3">IFERROR(((C55/C44)^(1/11)-1)*100,"n.a.")</f>
        <v>-3.5354666013192149</v>
      </c>
      <c r="D61" s="65">
        <f t="shared" si="3"/>
        <v>-2.4838125713668502</v>
      </c>
      <c r="E61" s="65">
        <f t="shared" si="3"/>
        <v>-5.8431273703691939</v>
      </c>
      <c r="F61" s="65">
        <f t="shared" si="3"/>
        <v>0.94356917784457206</v>
      </c>
      <c r="G61" s="65">
        <f t="shared" si="3"/>
        <v>8.0620921353280917</v>
      </c>
      <c r="H61" s="65">
        <f t="shared" si="3"/>
        <v>0.9105358697293342</v>
      </c>
      <c r="I61" s="65">
        <f t="shared" si="3"/>
        <v>2.051335306581592</v>
      </c>
    </row>
    <row r="63" spans="1:14">
      <c r="A63" s="137" t="s">
        <v>500</v>
      </c>
      <c r="B63" s="137"/>
      <c r="C63" s="137"/>
      <c r="D63" s="137"/>
      <c r="E63" s="137"/>
      <c r="F63" s="137"/>
      <c r="G63" s="137"/>
      <c r="H63" s="137"/>
      <c r="I63" s="137"/>
    </row>
    <row r="64" spans="1:14">
      <c r="A64" s="137" t="s">
        <v>686</v>
      </c>
      <c r="B64" s="137"/>
      <c r="C64" s="137"/>
      <c r="D64" s="137"/>
      <c r="E64" s="137"/>
      <c r="F64" s="137"/>
      <c r="G64" s="137"/>
      <c r="H64" s="137"/>
      <c r="I64" s="137"/>
    </row>
    <row r="65" spans="1:9">
      <c r="A65" s="137" t="s">
        <v>689</v>
      </c>
      <c r="B65" s="137"/>
      <c r="C65" s="137"/>
      <c r="D65" s="137"/>
      <c r="E65" s="137"/>
      <c r="F65" s="137"/>
      <c r="G65" s="137"/>
      <c r="H65" s="137"/>
      <c r="I65" s="137"/>
    </row>
    <row r="66" spans="1:9">
      <c r="A66" s="137" t="s">
        <v>193</v>
      </c>
      <c r="B66" s="137"/>
      <c r="C66" s="137"/>
      <c r="D66" s="137"/>
      <c r="E66" s="137"/>
      <c r="F66" s="137"/>
      <c r="G66" s="137"/>
      <c r="H66" s="137"/>
      <c r="I66" s="137"/>
    </row>
    <row r="67" spans="1:9">
      <c r="A67" s="137" t="s">
        <v>514</v>
      </c>
      <c r="B67" s="137"/>
      <c r="C67" s="137"/>
      <c r="D67" s="137"/>
      <c r="E67" s="137"/>
      <c r="F67" s="137"/>
      <c r="G67" s="137"/>
      <c r="H67" s="137"/>
      <c r="I67" s="137"/>
    </row>
    <row r="68" spans="1:9">
      <c r="A68" s="137" t="s">
        <v>515</v>
      </c>
      <c r="B68" s="137"/>
      <c r="C68" s="137"/>
      <c r="D68" s="137"/>
      <c r="E68" s="137"/>
      <c r="F68" s="137"/>
      <c r="G68" s="137"/>
      <c r="H68" s="137"/>
      <c r="I68" s="137"/>
    </row>
  </sheetData>
  <mergeCells count="9">
    <mergeCell ref="A66:I66"/>
    <mergeCell ref="A67:I67"/>
    <mergeCell ref="A68:I68"/>
    <mergeCell ref="A1:I1"/>
    <mergeCell ref="B2:E2"/>
    <mergeCell ref="F2:I2"/>
    <mergeCell ref="A63:I63"/>
    <mergeCell ref="A64:I64"/>
    <mergeCell ref="A65:I65"/>
  </mergeCells>
  <pageMargins left="0.7" right="0.7" top="0.75" bottom="0.75" header="0.3" footer="0.3"/>
  <pageSetup scale="72" orientation="portrait" horizontalDpi="0" verticalDpi="0" r:id="rId1"/>
</worksheet>
</file>

<file path=xl/worksheets/sheet196.xml><?xml version="1.0" encoding="utf-8"?>
<worksheet xmlns="http://schemas.openxmlformats.org/spreadsheetml/2006/main" xmlns:r="http://schemas.openxmlformats.org/officeDocument/2006/relationships">
  <sheetPr codeName="Sheet190"/>
  <dimension ref="A1:M69"/>
  <sheetViews>
    <sheetView view="pageBreakPreview" zoomScaleNormal="85" zoomScaleSheetLayoutView="100"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3.140625" style="64" customWidth="1"/>
    <col min="2" max="9" width="14.28515625" style="64" customWidth="1"/>
    <col min="10" max="10" width="9.140625" style="64"/>
    <col min="11" max="12" width="9.140625" style="64" hidden="1" customWidth="1" outlineLevel="1"/>
    <col min="13" max="13" width="9.140625" style="64" collapsed="1"/>
    <col min="14" max="16384" width="9.140625" style="64"/>
  </cols>
  <sheetData>
    <row r="1" spans="1:12">
      <c r="A1" s="93" t="s">
        <v>2046</v>
      </c>
      <c r="B1" s="93"/>
      <c r="C1" s="93"/>
      <c r="D1" s="93"/>
      <c r="E1" s="93"/>
      <c r="F1" s="93"/>
      <c r="G1" s="93"/>
      <c r="H1" s="93"/>
      <c r="I1" s="93"/>
    </row>
    <row r="2" spans="1:12">
      <c r="A2" s="66"/>
      <c r="B2" s="105" t="s">
        <v>1928</v>
      </c>
      <c r="C2" s="106"/>
      <c r="D2" s="106"/>
      <c r="E2" s="136"/>
      <c r="F2" s="105" t="s">
        <v>677</v>
      </c>
      <c r="G2" s="106"/>
      <c r="H2" s="106"/>
      <c r="I2" s="136"/>
    </row>
    <row r="3" spans="1:12" ht="60">
      <c r="B3" s="73" t="s">
        <v>7</v>
      </c>
      <c r="C3" s="73" t="s">
        <v>192</v>
      </c>
      <c r="D3" s="73" t="s">
        <v>1</v>
      </c>
      <c r="E3" s="73" t="s">
        <v>2</v>
      </c>
      <c r="F3" s="73" t="s">
        <v>7</v>
      </c>
      <c r="G3" s="73" t="s">
        <v>192</v>
      </c>
      <c r="H3" s="73" t="s">
        <v>1</v>
      </c>
      <c r="I3" s="73" t="s">
        <v>2</v>
      </c>
      <c r="K3" s="73" t="s">
        <v>7</v>
      </c>
      <c r="L3" s="73" t="s">
        <v>192</v>
      </c>
    </row>
    <row r="4" spans="1:12" hidden="1" outlineLevel="1"/>
    <row r="5" spans="1:12" hidden="1" outlineLevel="1" collapsed="1">
      <c r="A5" s="64">
        <v>1961</v>
      </c>
      <c r="B5" s="56">
        <v>22339.599999999999</v>
      </c>
      <c r="C5" s="56">
        <v>31.3</v>
      </c>
      <c r="D5" s="65" t="s">
        <v>188</v>
      </c>
      <c r="E5" s="65" t="s">
        <v>188</v>
      </c>
      <c r="F5" s="65" t="s">
        <v>22</v>
      </c>
      <c r="G5" s="65" t="s">
        <v>22</v>
      </c>
      <c r="H5" s="65" t="s">
        <v>22</v>
      </c>
      <c r="I5" s="65" t="s">
        <v>22</v>
      </c>
      <c r="K5" s="138">
        <v>18306739.399999999</v>
      </c>
      <c r="L5" s="138">
        <v>27231.7</v>
      </c>
    </row>
    <row r="6" spans="1:12" hidden="1" outlineLevel="1">
      <c r="A6" s="64">
        <v>1962</v>
      </c>
      <c r="B6" s="56">
        <v>23118.1</v>
      </c>
      <c r="C6" s="56">
        <v>32</v>
      </c>
      <c r="D6" s="65" t="s">
        <v>188</v>
      </c>
      <c r="E6" s="65" t="s">
        <v>188</v>
      </c>
      <c r="F6" s="65" t="s">
        <v>22</v>
      </c>
      <c r="G6" s="65" t="s">
        <v>22</v>
      </c>
      <c r="H6" s="65" t="s">
        <v>22</v>
      </c>
      <c r="I6" s="65" t="s">
        <v>22</v>
      </c>
      <c r="K6" s="138">
        <v>18825888.100000001</v>
      </c>
      <c r="L6" s="138">
        <v>27949.5</v>
      </c>
    </row>
    <row r="7" spans="1:12" hidden="1" outlineLevel="1">
      <c r="A7" s="64">
        <v>1963</v>
      </c>
      <c r="B7" s="56">
        <v>24130.2</v>
      </c>
      <c r="C7" s="56">
        <v>32.5</v>
      </c>
      <c r="D7" s="65" t="s">
        <v>188</v>
      </c>
      <c r="E7" s="65" t="s">
        <v>188</v>
      </c>
      <c r="F7" s="65" t="s">
        <v>22</v>
      </c>
      <c r="G7" s="65" t="s">
        <v>22</v>
      </c>
      <c r="H7" s="65" t="s">
        <v>22</v>
      </c>
      <c r="I7" s="65" t="s">
        <v>22</v>
      </c>
      <c r="K7" s="138">
        <v>19602254.399999999</v>
      </c>
      <c r="L7" s="138">
        <v>28329.8</v>
      </c>
    </row>
    <row r="8" spans="1:12" hidden="1" outlineLevel="1">
      <c r="A8" s="64">
        <v>1964</v>
      </c>
      <c r="B8" s="56">
        <v>25054.9</v>
      </c>
      <c r="C8" s="56">
        <v>33.700000000000003</v>
      </c>
      <c r="D8" s="65" t="s">
        <v>188</v>
      </c>
      <c r="E8" s="65" t="s">
        <v>188</v>
      </c>
      <c r="F8" s="65" t="s">
        <v>22</v>
      </c>
      <c r="G8" s="65" t="s">
        <v>22</v>
      </c>
      <c r="H8" s="65" t="s">
        <v>22</v>
      </c>
      <c r="I8" s="65" t="s">
        <v>22</v>
      </c>
      <c r="K8" s="138">
        <v>20304050.699999999</v>
      </c>
      <c r="L8" s="138">
        <v>29394.400000000001</v>
      </c>
    </row>
    <row r="9" spans="1:12" hidden="1" outlineLevel="1">
      <c r="A9" s="64">
        <v>1965</v>
      </c>
      <c r="B9" s="56">
        <v>25790.7</v>
      </c>
      <c r="C9" s="56">
        <v>31.1</v>
      </c>
      <c r="D9" s="65" t="s">
        <v>188</v>
      </c>
      <c r="E9" s="65" t="s">
        <v>188</v>
      </c>
      <c r="F9" s="65" t="s">
        <v>22</v>
      </c>
      <c r="G9" s="65" t="s">
        <v>22</v>
      </c>
      <c r="H9" s="65" t="s">
        <v>22</v>
      </c>
      <c r="I9" s="65" t="s">
        <v>22</v>
      </c>
      <c r="K9" s="138">
        <v>20808183.100000001</v>
      </c>
      <c r="L9" s="138">
        <v>26996.6</v>
      </c>
    </row>
    <row r="10" spans="1:12" hidden="1" outlineLevel="1">
      <c r="A10" s="64">
        <v>1966</v>
      </c>
      <c r="B10" s="56">
        <v>27079.3</v>
      </c>
      <c r="C10" s="56">
        <v>30.9</v>
      </c>
      <c r="D10" s="65" t="s">
        <v>188</v>
      </c>
      <c r="E10" s="65" t="s">
        <v>188</v>
      </c>
      <c r="F10" s="65" t="s">
        <v>22</v>
      </c>
      <c r="G10" s="65" t="s">
        <v>22</v>
      </c>
      <c r="H10" s="65" t="s">
        <v>22</v>
      </c>
      <c r="I10" s="65" t="s">
        <v>22</v>
      </c>
      <c r="K10" s="138">
        <v>21758401.399999999</v>
      </c>
      <c r="L10" s="138">
        <v>26756.9</v>
      </c>
    </row>
    <row r="11" spans="1:12" hidden="1" outlineLevel="1">
      <c r="A11" s="64">
        <v>1967</v>
      </c>
      <c r="B11" s="56">
        <v>28445.5</v>
      </c>
      <c r="C11" s="56">
        <v>30.1</v>
      </c>
      <c r="D11" s="65" t="s">
        <v>188</v>
      </c>
      <c r="E11" s="65" t="s">
        <v>188</v>
      </c>
      <c r="F11" s="65" t="s">
        <v>22</v>
      </c>
      <c r="G11" s="65" t="s">
        <v>22</v>
      </c>
      <c r="H11" s="65" t="s">
        <v>22</v>
      </c>
      <c r="I11" s="65" t="s">
        <v>22</v>
      </c>
      <c r="K11" s="138">
        <v>22808097.600000001</v>
      </c>
      <c r="L11" s="138">
        <v>26047.4</v>
      </c>
    </row>
    <row r="12" spans="1:12" hidden="1" outlineLevel="1">
      <c r="A12" s="64">
        <v>1968</v>
      </c>
      <c r="B12" s="56">
        <v>30196.1</v>
      </c>
      <c r="C12" s="56">
        <v>27.5</v>
      </c>
      <c r="D12" s="65" t="s">
        <v>188</v>
      </c>
      <c r="E12" s="65" t="s">
        <v>188</v>
      </c>
      <c r="F12" s="65" t="s">
        <v>22</v>
      </c>
      <c r="G12" s="65" t="s">
        <v>22</v>
      </c>
      <c r="H12" s="65" t="s">
        <v>22</v>
      </c>
      <c r="I12" s="65" t="s">
        <v>22</v>
      </c>
      <c r="K12" s="138">
        <v>24248563</v>
      </c>
      <c r="L12" s="138">
        <v>23627.9</v>
      </c>
    </row>
    <row r="13" spans="1:12" hidden="1" outlineLevel="1">
      <c r="A13" s="64">
        <v>1969</v>
      </c>
      <c r="B13" s="56">
        <v>31793</v>
      </c>
      <c r="C13" s="56">
        <v>27.1</v>
      </c>
      <c r="D13" s="65" t="s">
        <v>188</v>
      </c>
      <c r="E13" s="65" t="s">
        <v>188</v>
      </c>
      <c r="F13" s="65" t="s">
        <v>22</v>
      </c>
      <c r="G13" s="65" t="s">
        <v>22</v>
      </c>
      <c r="H13" s="65" t="s">
        <v>22</v>
      </c>
      <c r="I13" s="65" t="s">
        <v>22</v>
      </c>
      <c r="K13" s="138">
        <v>25567306</v>
      </c>
      <c r="L13" s="138">
        <v>23281.200000000001</v>
      </c>
    </row>
    <row r="14" spans="1:12" hidden="1" outlineLevel="1">
      <c r="A14" s="64">
        <v>1970</v>
      </c>
      <c r="B14" s="56">
        <v>32992.9</v>
      </c>
      <c r="C14" s="56">
        <v>24.8</v>
      </c>
      <c r="D14" s="65" t="s">
        <v>188</v>
      </c>
      <c r="E14" s="65" t="s">
        <v>188</v>
      </c>
      <c r="F14" s="65" t="s">
        <v>22</v>
      </c>
      <c r="G14" s="65" t="s">
        <v>22</v>
      </c>
      <c r="H14" s="65" t="s">
        <v>22</v>
      </c>
      <c r="I14" s="65" t="s">
        <v>22</v>
      </c>
      <c r="K14" s="138">
        <v>26534794.5</v>
      </c>
      <c r="L14" s="138">
        <v>21120.799999999999</v>
      </c>
    </row>
    <row r="15" spans="1:12" hidden="1" outlineLevel="1">
      <c r="A15" s="64">
        <v>1971</v>
      </c>
      <c r="B15" s="56">
        <v>33575.5</v>
      </c>
      <c r="C15" s="56">
        <v>24</v>
      </c>
      <c r="D15" s="65" t="s">
        <v>188</v>
      </c>
      <c r="E15" s="65" t="s">
        <v>188</v>
      </c>
      <c r="F15" s="65" t="s">
        <v>22</v>
      </c>
      <c r="G15" s="65" t="s">
        <v>22</v>
      </c>
      <c r="H15" s="65" t="s">
        <v>22</v>
      </c>
      <c r="I15" s="65" t="s">
        <v>22</v>
      </c>
      <c r="K15" s="64">
        <v>26948427</v>
      </c>
      <c r="L15" s="64">
        <v>20430</v>
      </c>
    </row>
    <row r="16" spans="1:12" hidden="1" outlineLevel="1">
      <c r="A16" s="64">
        <v>1972</v>
      </c>
      <c r="B16" s="56">
        <v>34535.5</v>
      </c>
      <c r="C16" s="56">
        <v>27.1</v>
      </c>
      <c r="D16" s="65" t="s">
        <v>188</v>
      </c>
      <c r="E16" s="65" t="s">
        <v>188</v>
      </c>
      <c r="F16" s="65" t="s">
        <v>22</v>
      </c>
      <c r="G16" s="65" t="s">
        <v>22</v>
      </c>
      <c r="H16" s="65" t="s">
        <v>22</v>
      </c>
      <c r="I16" s="65" t="s">
        <v>22</v>
      </c>
      <c r="K16" s="64">
        <v>27692551.600000001</v>
      </c>
      <c r="L16" s="64">
        <v>23362.7</v>
      </c>
    </row>
    <row r="17" spans="1:12" hidden="1" outlineLevel="1">
      <c r="A17" s="64">
        <v>1973</v>
      </c>
      <c r="B17" s="56">
        <v>35749.4</v>
      </c>
      <c r="C17" s="56">
        <v>29.1</v>
      </c>
      <c r="D17" s="65" t="s">
        <v>188</v>
      </c>
      <c r="E17" s="65" t="s">
        <v>188</v>
      </c>
      <c r="F17" s="65" t="s">
        <v>22</v>
      </c>
      <c r="G17" s="65" t="s">
        <v>22</v>
      </c>
      <c r="H17" s="65" t="s">
        <v>22</v>
      </c>
      <c r="I17" s="65" t="s">
        <v>22</v>
      </c>
      <c r="K17" s="64">
        <v>28690589.800000001</v>
      </c>
      <c r="L17" s="64">
        <v>25310.799999999999</v>
      </c>
    </row>
    <row r="18" spans="1:12" hidden="1" outlineLevel="1">
      <c r="A18" s="64">
        <v>1974</v>
      </c>
      <c r="B18" s="56">
        <v>36938</v>
      </c>
      <c r="C18" s="56">
        <v>34.700000000000003</v>
      </c>
      <c r="D18" s="65" t="s">
        <v>188</v>
      </c>
      <c r="E18" s="65" t="s">
        <v>188</v>
      </c>
      <c r="F18" s="65" t="s">
        <v>22</v>
      </c>
      <c r="G18" s="65" t="s">
        <v>22</v>
      </c>
      <c r="H18" s="65" t="s">
        <v>22</v>
      </c>
      <c r="I18" s="65" t="s">
        <v>22</v>
      </c>
      <c r="K18" s="64">
        <v>29700319.300000001</v>
      </c>
      <c r="L18" s="64">
        <v>30841</v>
      </c>
    </row>
    <row r="19" spans="1:12" hidden="1" outlineLevel="1">
      <c r="A19" s="64">
        <v>1975</v>
      </c>
      <c r="B19" s="56">
        <v>38008.199999999997</v>
      </c>
      <c r="C19" s="56">
        <v>42.4</v>
      </c>
      <c r="D19" s="65" t="s">
        <v>188</v>
      </c>
      <c r="E19" s="65" t="s">
        <v>188</v>
      </c>
      <c r="F19" s="65" t="s">
        <v>22</v>
      </c>
      <c r="G19" s="65" t="s">
        <v>22</v>
      </c>
      <c r="H19" s="65" t="s">
        <v>22</v>
      </c>
      <c r="I19" s="65" t="s">
        <v>22</v>
      </c>
      <c r="K19" s="64">
        <v>30572771.199999999</v>
      </c>
      <c r="L19" s="64">
        <v>38844.199999999997</v>
      </c>
    </row>
    <row r="20" spans="1:12" hidden="1" outlineLevel="1">
      <c r="A20" s="64">
        <v>1976</v>
      </c>
      <c r="B20" s="56">
        <v>39168.199999999997</v>
      </c>
      <c r="C20" s="56">
        <v>40.1</v>
      </c>
      <c r="D20" s="65" t="s">
        <v>188</v>
      </c>
      <c r="E20" s="65" t="s">
        <v>188</v>
      </c>
      <c r="F20" s="65" t="s">
        <v>22</v>
      </c>
      <c r="G20" s="65" t="s">
        <v>22</v>
      </c>
      <c r="H20" s="65" t="s">
        <v>22</v>
      </c>
      <c r="I20" s="65" t="s">
        <v>22</v>
      </c>
      <c r="K20" s="64">
        <v>31465346.899999999</v>
      </c>
      <c r="L20" s="64">
        <v>36438.1</v>
      </c>
    </row>
    <row r="21" spans="1:12" hidden="1" outlineLevel="1">
      <c r="A21" s="64">
        <v>1977</v>
      </c>
      <c r="B21" s="56">
        <v>40019.1</v>
      </c>
      <c r="C21" s="56">
        <v>38.1</v>
      </c>
      <c r="D21" s="65" t="s">
        <v>188</v>
      </c>
      <c r="E21" s="65" t="s">
        <v>188</v>
      </c>
      <c r="F21" s="65" t="s">
        <v>22</v>
      </c>
      <c r="G21" s="65" t="s">
        <v>22</v>
      </c>
      <c r="H21" s="65" t="s">
        <v>22</v>
      </c>
      <c r="I21" s="65" t="s">
        <v>22</v>
      </c>
      <c r="K21" s="64">
        <v>32025816</v>
      </c>
      <c r="L21" s="64">
        <v>34088.699999999997</v>
      </c>
    </row>
    <row r="22" spans="1:12" hidden="1" outlineLevel="1">
      <c r="A22" s="64">
        <v>1978</v>
      </c>
      <c r="B22" s="56">
        <v>40570.300000000003</v>
      </c>
      <c r="C22" s="56">
        <v>35.200000000000003</v>
      </c>
      <c r="D22" s="65" t="s">
        <v>188</v>
      </c>
      <c r="E22" s="65" t="s">
        <v>188</v>
      </c>
      <c r="F22" s="65" t="s">
        <v>22</v>
      </c>
      <c r="G22" s="65" t="s">
        <v>22</v>
      </c>
      <c r="H22" s="65" t="s">
        <v>22</v>
      </c>
      <c r="I22" s="65" t="s">
        <v>22</v>
      </c>
      <c r="K22" s="64">
        <v>32312687.300000001</v>
      </c>
      <c r="L22" s="64">
        <v>31268.2</v>
      </c>
    </row>
    <row r="23" spans="1:12" hidden="1" outlineLevel="1">
      <c r="A23" s="64">
        <v>1979</v>
      </c>
      <c r="B23" s="56">
        <v>41092.6</v>
      </c>
      <c r="C23" s="56">
        <v>32.5</v>
      </c>
      <c r="D23" s="65" t="s">
        <v>188</v>
      </c>
      <c r="E23" s="65" t="s">
        <v>188</v>
      </c>
      <c r="F23" s="65" t="s">
        <v>22</v>
      </c>
      <c r="G23" s="65" t="s">
        <v>22</v>
      </c>
      <c r="H23" s="65" t="s">
        <v>22</v>
      </c>
      <c r="I23" s="65" t="s">
        <v>22</v>
      </c>
      <c r="K23" s="64">
        <v>32545651.699999999</v>
      </c>
      <c r="L23" s="64">
        <v>28516.9</v>
      </c>
    </row>
    <row r="24" spans="1:12" hidden="1" outlineLevel="1">
      <c r="A24" s="64">
        <v>1980</v>
      </c>
      <c r="B24" s="56">
        <v>41511.9</v>
      </c>
      <c r="C24" s="56">
        <v>33.700000000000003</v>
      </c>
      <c r="D24" s="65" t="s">
        <v>188</v>
      </c>
      <c r="E24" s="65" t="s">
        <v>188</v>
      </c>
      <c r="F24" s="65" t="s">
        <v>22</v>
      </c>
      <c r="G24" s="65" t="s">
        <v>22</v>
      </c>
      <c r="H24" s="65" t="s">
        <v>22</v>
      </c>
      <c r="I24" s="65" t="s">
        <v>22</v>
      </c>
      <c r="K24" s="64">
        <v>32618715</v>
      </c>
      <c r="L24" s="64">
        <v>29696.2</v>
      </c>
    </row>
    <row r="25" spans="1:12" hidden="1" outlineLevel="1">
      <c r="A25" s="64">
        <v>1981</v>
      </c>
      <c r="B25" s="56">
        <v>41877.5</v>
      </c>
      <c r="C25" s="56">
        <v>34.200000000000003</v>
      </c>
      <c r="D25" s="65" t="s">
        <v>188</v>
      </c>
      <c r="E25" s="65" t="s">
        <v>188</v>
      </c>
      <c r="F25" s="65" t="s">
        <v>22</v>
      </c>
      <c r="G25" s="65" t="s">
        <v>22</v>
      </c>
      <c r="H25" s="65" t="s">
        <v>22</v>
      </c>
      <c r="I25" s="65" t="s">
        <v>22</v>
      </c>
      <c r="K25" s="64">
        <v>32804797.699999999</v>
      </c>
      <c r="L25" s="64">
        <v>29982.2</v>
      </c>
    </row>
    <row r="26" spans="1:12" hidden="1" outlineLevel="1">
      <c r="A26" s="64">
        <v>1982</v>
      </c>
      <c r="B26" s="56">
        <v>41419.199999999997</v>
      </c>
      <c r="C26" s="56">
        <v>32.700000000000003</v>
      </c>
      <c r="D26" s="65" t="s">
        <v>188</v>
      </c>
      <c r="E26" s="65" t="s">
        <v>188</v>
      </c>
      <c r="F26" s="65" t="s">
        <v>22</v>
      </c>
      <c r="G26" s="65" t="s">
        <v>22</v>
      </c>
      <c r="H26" s="65" t="s">
        <v>22</v>
      </c>
      <c r="I26" s="65" t="s">
        <v>22</v>
      </c>
      <c r="K26" s="64">
        <v>32225877</v>
      </c>
      <c r="L26" s="64">
        <v>28558</v>
      </c>
    </row>
    <row r="27" spans="1:12" hidden="1" outlineLevel="1">
      <c r="A27" s="64">
        <v>1983</v>
      </c>
      <c r="B27" s="56">
        <v>41095.699999999997</v>
      </c>
      <c r="C27" s="56">
        <v>30.3</v>
      </c>
      <c r="D27" s="65" t="s">
        <v>188</v>
      </c>
      <c r="E27" s="65" t="s">
        <v>188</v>
      </c>
      <c r="F27" s="65" t="s">
        <v>22</v>
      </c>
      <c r="G27" s="65" t="s">
        <v>22</v>
      </c>
      <c r="H27" s="65" t="s">
        <v>22</v>
      </c>
      <c r="I27" s="65" t="s">
        <v>22</v>
      </c>
      <c r="K27" s="64">
        <v>31722226.699999999</v>
      </c>
      <c r="L27" s="64">
        <v>26291.7</v>
      </c>
    </row>
    <row r="28" spans="1:12" collapsed="1">
      <c r="A28" s="66">
        <v>1984</v>
      </c>
      <c r="B28" s="56">
        <v>41347.800000000003</v>
      </c>
      <c r="C28" s="56">
        <v>28.5</v>
      </c>
      <c r="D28" s="65" t="s">
        <v>188</v>
      </c>
      <c r="E28" s="65" t="s">
        <v>188</v>
      </c>
      <c r="F28" s="56">
        <f>'807'!H5/'837'!B28*1000</f>
        <v>583.40014487103963</v>
      </c>
      <c r="G28" s="56">
        <f>'807'!J5/'837'!C28*1000</f>
        <v>710.1284571541612</v>
      </c>
      <c r="H28" s="65" t="s">
        <v>22</v>
      </c>
      <c r="I28" s="65" t="s">
        <v>22</v>
      </c>
      <c r="K28" s="64">
        <v>31720174.300000001</v>
      </c>
      <c r="L28" s="64">
        <v>24620.6</v>
      </c>
    </row>
    <row r="29" spans="1:12">
      <c r="A29" s="66">
        <v>1985</v>
      </c>
      <c r="B29" s="56">
        <v>42010.5</v>
      </c>
      <c r="C29" s="56">
        <v>27.4</v>
      </c>
      <c r="D29" s="65" t="s">
        <v>188</v>
      </c>
      <c r="E29" s="65" t="s">
        <v>188</v>
      </c>
      <c r="F29" s="56">
        <f>'807'!H6/'837'!B29*1000</f>
        <v>616.56907844967998</v>
      </c>
      <c r="G29" s="56">
        <f>'807'!J6/'837'!C29*1000</f>
        <v>769.20836553540983</v>
      </c>
      <c r="H29" s="65" t="s">
        <v>22</v>
      </c>
      <c r="I29" s="65" t="s">
        <v>22</v>
      </c>
      <c r="K29" s="64">
        <v>32035312.100000001</v>
      </c>
      <c r="L29" s="64">
        <v>23733.8</v>
      </c>
    </row>
    <row r="30" spans="1:12">
      <c r="A30" s="66">
        <v>1986</v>
      </c>
      <c r="B30" s="56">
        <v>42848.9</v>
      </c>
      <c r="C30" s="56">
        <v>26.6</v>
      </c>
      <c r="D30" s="65" t="s">
        <v>188</v>
      </c>
      <c r="E30" s="65" t="s">
        <v>188</v>
      </c>
      <c r="F30" s="56">
        <f>'807'!H7/'837'!B30*1000</f>
        <v>610.31153715389451</v>
      </c>
      <c r="G30" s="56">
        <f>'807'!J7/'837'!C30*1000</f>
        <v>920.099994319345</v>
      </c>
      <c r="H30" s="65" t="s">
        <v>22</v>
      </c>
      <c r="I30" s="65" t="s">
        <v>22</v>
      </c>
      <c r="K30" s="64">
        <v>32582472.399999999</v>
      </c>
      <c r="L30" s="64">
        <v>23087.1</v>
      </c>
    </row>
    <row r="31" spans="1:12">
      <c r="A31" s="66">
        <v>1987</v>
      </c>
      <c r="B31" s="56">
        <v>43300.4</v>
      </c>
      <c r="C31" s="56">
        <v>27.3</v>
      </c>
      <c r="D31" s="65" t="s">
        <v>188</v>
      </c>
      <c r="E31" s="65" t="s">
        <v>188</v>
      </c>
      <c r="F31" s="56">
        <f>'807'!H8/'837'!B31*1000</f>
        <v>613.16770968470075</v>
      </c>
      <c r="G31" s="56">
        <f>'807'!J8/'837'!C31*1000</f>
        <v>640.36263340906794</v>
      </c>
      <c r="H31" s="65" t="s">
        <v>22</v>
      </c>
      <c r="I31" s="65" t="s">
        <v>22</v>
      </c>
      <c r="K31" s="64">
        <v>32786339.600000001</v>
      </c>
      <c r="L31" s="64">
        <v>23746.2</v>
      </c>
    </row>
    <row r="32" spans="1:12">
      <c r="A32" s="66">
        <v>1988</v>
      </c>
      <c r="B32" s="56">
        <v>44031.1</v>
      </c>
      <c r="C32" s="56">
        <v>30.5</v>
      </c>
      <c r="D32" s="65" t="s">
        <v>188</v>
      </c>
      <c r="E32" s="65" t="s">
        <v>188</v>
      </c>
      <c r="F32" s="56">
        <f>'807'!H9/'837'!B32*1000</f>
        <v>602.58011335037759</v>
      </c>
      <c r="G32" s="56">
        <f>'807'!J9/'837'!C32*1000</f>
        <v>611.07304865918297</v>
      </c>
      <c r="H32" s="65" t="s">
        <v>22</v>
      </c>
      <c r="I32" s="65" t="s">
        <v>22</v>
      </c>
      <c r="K32" s="64">
        <v>33221692.199999999</v>
      </c>
      <c r="L32" s="64">
        <v>26661.200000000001</v>
      </c>
    </row>
    <row r="33" spans="1:12">
      <c r="A33" s="66">
        <v>1989</v>
      </c>
      <c r="B33" s="56">
        <v>44754.2</v>
      </c>
      <c r="C33" s="56">
        <v>32.200000000000003</v>
      </c>
      <c r="D33" s="65" t="s">
        <v>188</v>
      </c>
      <c r="E33" s="65" t="s">
        <v>188</v>
      </c>
      <c r="F33" s="56">
        <f>'807'!H10/'837'!B33*1000</f>
        <v>598.43723729562453</v>
      </c>
      <c r="G33" s="56">
        <f>'807'!J10/'837'!C33*1000</f>
        <v>795.86571360697144</v>
      </c>
      <c r="H33" s="65" t="s">
        <v>22</v>
      </c>
      <c r="I33" s="65" t="s">
        <v>22</v>
      </c>
      <c r="K33" s="64">
        <v>33695622.299999997</v>
      </c>
      <c r="L33" s="64">
        <v>27913.1</v>
      </c>
    </row>
    <row r="34" spans="1:12">
      <c r="A34" s="66">
        <v>1990</v>
      </c>
      <c r="B34" s="56">
        <v>45496</v>
      </c>
      <c r="C34" s="56">
        <v>33.9</v>
      </c>
      <c r="D34" s="65" t="s">
        <v>188</v>
      </c>
      <c r="E34" s="65" t="s">
        <v>188</v>
      </c>
      <c r="F34" s="56">
        <f>'807'!H11/'837'!B34*1000</f>
        <v>602.38479235591467</v>
      </c>
      <c r="G34" s="56">
        <f>'807'!J11/'837'!C34*1000</f>
        <v>662.40157448008335</v>
      </c>
      <c r="H34" s="65" t="s">
        <v>22</v>
      </c>
      <c r="I34" s="65" t="s">
        <v>22</v>
      </c>
      <c r="K34" s="64">
        <v>34183642.100000001</v>
      </c>
      <c r="L34" s="64">
        <v>30071.7</v>
      </c>
    </row>
    <row r="35" spans="1:12">
      <c r="A35" s="66">
        <v>1991</v>
      </c>
      <c r="B35" s="56">
        <v>45951.199999999997</v>
      </c>
      <c r="C35" s="56">
        <v>31.5</v>
      </c>
      <c r="D35" s="65" t="s">
        <v>188</v>
      </c>
      <c r="E35" s="65" t="s">
        <v>188</v>
      </c>
      <c r="F35" s="56">
        <f>'807'!H12/'837'!B35*1000</f>
        <v>568.13705119289352</v>
      </c>
      <c r="G35" s="56">
        <f>'807'!J12/'837'!C35*1000</f>
        <v>1018.5930831421475</v>
      </c>
      <c r="H35" s="65" t="s">
        <v>22</v>
      </c>
      <c r="I35" s="65" t="s">
        <v>22</v>
      </c>
      <c r="K35" s="64">
        <v>34413051.899999999</v>
      </c>
      <c r="L35" s="64">
        <v>27565</v>
      </c>
    </row>
    <row r="36" spans="1:12">
      <c r="A36" s="66">
        <v>1992</v>
      </c>
      <c r="B36" s="56">
        <v>46241.7</v>
      </c>
      <c r="C36" s="56">
        <v>33.700000000000003</v>
      </c>
      <c r="D36" s="65" t="s">
        <v>188</v>
      </c>
      <c r="E36" s="65" t="s">
        <v>188</v>
      </c>
      <c r="F36" s="56">
        <f>'807'!H13/'837'!B36*1000</f>
        <v>573.97907325882386</v>
      </c>
      <c r="G36" s="56">
        <f>'807'!J13/'837'!C36*1000</f>
        <v>836.48556605219369</v>
      </c>
      <c r="H36" s="65" t="s">
        <v>22</v>
      </c>
      <c r="I36" s="65" t="s">
        <v>22</v>
      </c>
      <c r="K36" s="64">
        <v>34539511.100000001</v>
      </c>
      <c r="L36" s="64">
        <v>29793.9</v>
      </c>
    </row>
    <row r="37" spans="1:12">
      <c r="A37" s="66">
        <v>1993</v>
      </c>
      <c r="B37" s="56">
        <v>46387.4</v>
      </c>
      <c r="C37" s="56">
        <v>34.700000000000003</v>
      </c>
      <c r="D37" s="65" t="s">
        <v>188</v>
      </c>
      <c r="E37" s="65" t="s">
        <v>188</v>
      </c>
      <c r="F37" s="56">
        <f>'807'!H14/'837'!B37*1000</f>
        <v>573.92452646803588</v>
      </c>
      <c r="G37" s="56">
        <f>'807'!J14/'837'!C37*1000</f>
        <v>858.36309078010981</v>
      </c>
      <c r="H37" s="65" t="s">
        <v>22</v>
      </c>
      <c r="I37" s="65" t="s">
        <v>22</v>
      </c>
      <c r="K37" s="64">
        <v>34566480.799999997</v>
      </c>
      <c r="L37" s="64">
        <v>30852.3</v>
      </c>
    </row>
    <row r="38" spans="1:12">
      <c r="A38" s="66">
        <v>1994</v>
      </c>
      <c r="B38" s="56">
        <v>46378.9</v>
      </c>
      <c r="C38" s="56">
        <v>34.299999999999997</v>
      </c>
      <c r="D38" s="65" t="s">
        <v>188</v>
      </c>
      <c r="E38" s="65" t="s">
        <v>188</v>
      </c>
      <c r="F38" s="56">
        <f>'807'!H15/'837'!B38*1000</f>
        <v>589.02908019519077</v>
      </c>
      <c r="G38" s="56">
        <f>'807'!J15/'837'!C38*1000</f>
        <v>931.65541026056144</v>
      </c>
      <c r="H38" s="65" t="s">
        <v>22</v>
      </c>
      <c r="I38" s="65" t="s">
        <v>22</v>
      </c>
      <c r="K38" s="64">
        <v>34449908.299999997</v>
      </c>
      <c r="L38" s="64">
        <v>30346.5</v>
      </c>
    </row>
    <row r="39" spans="1:12">
      <c r="A39" s="66">
        <v>1995</v>
      </c>
      <c r="B39" s="56">
        <v>46644.3</v>
      </c>
      <c r="C39" s="56">
        <v>33.200000000000003</v>
      </c>
      <c r="D39" s="65" t="s">
        <v>188</v>
      </c>
      <c r="E39" s="65" t="s">
        <v>188</v>
      </c>
      <c r="F39" s="56">
        <f>'807'!H16/'837'!B39*1000</f>
        <v>591.46307451012626</v>
      </c>
      <c r="G39" s="56">
        <f>'807'!J16/'837'!C39*1000</f>
        <v>759.56328200358951</v>
      </c>
      <c r="H39" s="65" t="s">
        <v>22</v>
      </c>
      <c r="I39" s="65" t="s">
        <v>22</v>
      </c>
      <c r="K39" s="64">
        <v>34535602</v>
      </c>
      <c r="L39" s="64">
        <v>29185</v>
      </c>
    </row>
    <row r="40" spans="1:12">
      <c r="A40" s="66">
        <v>1996</v>
      </c>
      <c r="B40" s="56">
        <v>47092.4</v>
      </c>
      <c r="C40" s="56">
        <v>36.700000000000003</v>
      </c>
      <c r="D40" s="65" t="s">
        <v>188</v>
      </c>
      <c r="E40" s="65" t="s">
        <v>188</v>
      </c>
      <c r="F40" s="56">
        <f>'807'!H17/'837'!B40*1000</f>
        <v>605.78960994580632</v>
      </c>
      <c r="G40" s="56">
        <f>'807'!J17/'837'!C40*1000</f>
        <v>660.73806395262795</v>
      </c>
      <c r="H40" s="65" t="s">
        <v>22</v>
      </c>
      <c r="I40" s="65" t="s">
        <v>22</v>
      </c>
      <c r="K40" s="64">
        <v>34686536.399999999</v>
      </c>
      <c r="L40" s="64">
        <v>32455.200000000001</v>
      </c>
    </row>
    <row r="41" spans="1:12">
      <c r="A41" s="66">
        <v>1997</v>
      </c>
      <c r="B41" s="56">
        <v>48243.7</v>
      </c>
      <c r="C41" s="56">
        <v>39.200000000000003</v>
      </c>
      <c r="D41" s="65" t="s">
        <v>188</v>
      </c>
      <c r="E41" s="65" t="s">
        <v>188</v>
      </c>
      <c r="F41" s="56">
        <f>'807'!H18/'837'!B41*1000</f>
        <v>615.0730561710651</v>
      </c>
      <c r="G41" s="56">
        <f>'807'!J18/'837'!C41*1000</f>
        <v>837.23087543685574</v>
      </c>
      <c r="H41" s="65" t="s">
        <v>22</v>
      </c>
      <c r="I41" s="65" t="s">
        <v>22</v>
      </c>
      <c r="K41" s="64">
        <v>35495478.100000001</v>
      </c>
      <c r="L41" s="64">
        <v>34758.6</v>
      </c>
    </row>
    <row r="42" spans="1:12">
      <c r="A42" s="66">
        <v>1998</v>
      </c>
      <c r="B42" s="56">
        <v>49213.8</v>
      </c>
      <c r="C42" s="56">
        <v>47.2</v>
      </c>
      <c r="D42" s="65" t="s">
        <v>188</v>
      </c>
      <c r="E42" s="65" t="s">
        <v>188</v>
      </c>
      <c r="F42" s="56">
        <f>'807'!H19/'837'!B42*1000</f>
        <v>628.92115626104896</v>
      </c>
      <c r="G42" s="56">
        <f>'807'!J19/'837'!C42*1000</f>
        <v>1336.9505305222547</v>
      </c>
      <c r="H42" s="65" t="s">
        <v>22</v>
      </c>
      <c r="I42" s="65" t="s">
        <v>22</v>
      </c>
      <c r="K42" s="64">
        <v>36035611.700000003</v>
      </c>
      <c r="L42" s="64">
        <v>41360.300000000003</v>
      </c>
    </row>
    <row r="43" spans="1:12">
      <c r="A43" s="66">
        <v>1999</v>
      </c>
      <c r="B43" s="56">
        <v>50245.7</v>
      </c>
      <c r="C43" s="56">
        <v>50.1</v>
      </c>
      <c r="D43" s="65" t="s">
        <v>188</v>
      </c>
      <c r="E43" s="65" t="s">
        <v>188</v>
      </c>
      <c r="F43" s="56">
        <f>'807'!H20/'837'!B43*1000</f>
        <v>624.59076100044422</v>
      </c>
      <c r="G43" s="56">
        <f>'807'!J20/'837'!C43*1000</f>
        <v>585.73212742756459</v>
      </c>
      <c r="H43" s="65" t="s">
        <v>22</v>
      </c>
      <c r="I43" s="65" t="s">
        <v>22</v>
      </c>
      <c r="K43" s="64">
        <v>36743943.799999997</v>
      </c>
      <c r="L43" s="64">
        <v>43051.6</v>
      </c>
    </row>
    <row r="44" spans="1:12">
      <c r="A44" s="66">
        <v>2000</v>
      </c>
      <c r="B44" s="56">
        <v>50795.9</v>
      </c>
      <c r="C44" s="56">
        <v>48.5</v>
      </c>
      <c r="D44" s="65" t="s">
        <v>188</v>
      </c>
      <c r="E44" s="65" t="s">
        <v>188</v>
      </c>
      <c r="F44" s="56">
        <f>'807'!H21/'837'!B44*1000</f>
        <v>645.64462879878124</v>
      </c>
      <c r="G44" s="56">
        <f>'807'!J21/'837'!C44*1000</f>
        <v>542.49868949851475</v>
      </c>
      <c r="H44" s="65" t="s">
        <v>22</v>
      </c>
      <c r="I44" s="65" t="s">
        <v>22</v>
      </c>
      <c r="K44" s="64">
        <v>37069577.700000003</v>
      </c>
      <c r="L44" s="64">
        <v>42156.6</v>
      </c>
    </row>
    <row r="45" spans="1:12">
      <c r="A45" s="66">
        <v>2001</v>
      </c>
      <c r="B45" s="56">
        <v>51343</v>
      </c>
      <c r="C45" s="56">
        <v>43.3</v>
      </c>
      <c r="D45" s="65" t="s">
        <v>188</v>
      </c>
      <c r="E45" s="65" t="s">
        <v>188</v>
      </c>
      <c r="F45" s="56">
        <f>'807'!H22/'837'!B45*1000</f>
        <v>643.65931090898493</v>
      </c>
      <c r="G45" s="56">
        <f>'807'!J22/'837'!C45*1000</f>
        <v>594.54842799091546</v>
      </c>
      <c r="H45" s="65" t="s">
        <v>22</v>
      </c>
      <c r="I45" s="65" t="s">
        <v>22</v>
      </c>
      <c r="K45" s="64">
        <v>37333535.700000003</v>
      </c>
      <c r="L45" s="64">
        <v>37580</v>
      </c>
    </row>
    <row r="46" spans="1:12">
      <c r="A46" s="66">
        <v>2002</v>
      </c>
      <c r="B46" s="56">
        <v>51607.5</v>
      </c>
      <c r="C46" s="56">
        <v>40.200000000000003</v>
      </c>
      <c r="D46" s="65" t="s">
        <v>188</v>
      </c>
      <c r="E46" s="65" t="s">
        <v>188</v>
      </c>
      <c r="F46" s="56">
        <f>'807'!H23/'837'!B46*1000</f>
        <v>651.34718790873444</v>
      </c>
      <c r="G46" s="56">
        <f>'807'!J23/'837'!C46*1000</f>
        <v>582.44223828069312</v>
      </c>
      <c r="H46" s="65" t="s">
        <v>22</v>
      </c>
      <c r="I46" s="65" t="s">
        <v>22</v>
      </c>
      <c r="K46" s="64">
        <v>37488189.799999997</v>
      </c>
      <c r="L46" s="64">
        <v>34912.9</v>
      </c>
    </row>
    <row r="47" spans="1:12">
      <c r="A47" s="66">
        <v>2003</v>
      </c>
      <c r="B47" s="56">
        <v>51848</v>
      </c>
      <c r="C47" s="56">
        <v>39.700000000000003</v>
      </c>
      <c r="D47" s="65" t="s">
        <v>188</v>
      </c>
      <c r="E47" s="65" t="s">
        <v>188</v>
      </c>
      <c r="F47" s="56">
        <f>'807'!H24/'837'!B47*1000</f>
        <v>656.35318623669207</v>
      </c>
      <c r="G47" s="56">
        <f>'807'!J24/'837'!C47*1000</f>
        <v>616.75500003973013</v>
      </c>
      <c r="H47" s="65" t="s">
        <v>22</v>
      </c>
      <c r="I47" s="65" t="s">
        <v>22</v>
      </c>
      <c r="K47" s="64">
        <v>37840188.399999999</v>
      </c>
      <c r="L47" s="64">
        <v>34167.5</v>
      </c>
    </row>
    <row r="48" spans="1:12">
      <c r="A48" s="66">
        <v>2004</v>
      </c>
      <c r="B48" s="56">
        <v>52402.5</v>
      </c>
      <c r="C48" s="56">
        <v>40.299999999999997</v>
      </c>
      <c r="D48" s="65" t="s">
        <v>188</v>
      </c>
      <c r="E48" s="65" t="s">
        <v>188</v>
      </c>
      <c r="F48" s="56">
        <f>'807'!H25/'837'!B48*1000</f>
        <v>662.19741424550364</v>
      </c>
      <c r="G48" s="56">
        <f>'807'!J25/'837'!C48*1000</f>
        <v>625.32628661660931</v>
      </c>
      <c r="H48" s="65" t="s">
        <v>22</v>
      </c>
      <c r="I48" s="65" t="s">
        <v>22</v>
      </c>
      <c r="K48" s="64">
        <v>38339279.100000001</v>
      </c>
      <c r="L48" s="64">
        <v>34663.199999999997</v>
      </c>
    </row>
    <row r="49" spans="1:12">
      <c r="A49" s="66">
        <v>2005</v>
      </c>
      <c r="B49" s="56">
        <v>52898.3</v>
      </c>
      <c r="C49" s="56">
        <v>38.1</v>
      </c>
      <c r="D49" s="65" t="s">
        <v>188</v>
      </c>
      <c r="E49" s="65" t="s">
        <v>188</v>
      </c>
      <c r="F49" s="56">
        <f>'807'!H26/'837'!B49*1000</f>
        <v>674.92906199254037</v>
      </c>
      <c r="G49" s="56">
        <f>'807'!J26/'837'!C49*1000</f>
        <v>719.86496387598186</v>
      </c>
      <c r="H49" s="65" t="s">
        <v>22</v>
      </c>
      <c r="I49" s="65" t="s">
        <v>22</v>
      </c>
      <c r="K49" s="64">
        <v>38657474.5</v>
      </c>
      <c r="L49" s="64">
        <v>32234.799999999999</v>
      </c>
    </row>
    <row r="50" spans="1:12">
      <c r="A50" s="66">
        <v>2006</v>
      </c>
      <c r="B50" s="56">
        <v>53939.1</v>
      </c>
      <c r="C50" s="56">
        <v>36.5</v>
      </c>
      <c r="D50" s="65" t="s">
        <v>188</v>
      </c>
      <c r="E50" s="65" t="s">
        <v>188</v>
      </c>
      <c r="F50" s="56">
        <f>'807'!H27/'837'!B50*1000</f>
        <v>686.06446900300523</v>
      </c>
      <c r="G50" s="56">
        <f>'807'!J27/'837'!C50*1000</f>
        <v>884.20812804374441</v>
      </c>
      <c r="H50" s="65" t="s">
        <v>22</v>
      </c>
      <c r="I50" s="65" t="s">
        <v>22</v>
      </c>
      <c r="K50" s="64">
        <v>39587479.5</v>
      </c>
      <c r="L50" s="64">
        <v>30227.4</v>
      </c>
    </row>
    <row r="51" spans="1:12">
      <c r="A51" s="66">
        <v>2007</v>
      </c>
      <c r="B51" s="56">
        <v>55170.2</v>
      </c>
      <c r="C51" s="56">
        <v>33.700000000000003</v>
      </c>
      <c r="D51" s="65" t="s">
        <v>188</v>
      </c>
      <c r="E51" s="65" t="s">
        <v>188</v>
      </c>
      <c r="F51" s="56">
        <f>'807'!H28/'837'!B51*1000</f>
        <v>830.35225538424731</v>
      </c>
      <c r="G51" s="56">
        <f>'807'!J28/'837'!C51*1000</f>
        <v>1169.1394658753709</v>
      </c>
      <c r="H51" s="65" t="s">
        <v>22</v>
      </c>
      <c r="I51" s="65" t="s">
        <v>22</v>
      </c>
      <c r="K51" s="64">
        <v>41038186</v>
      </c>
      <c r="L51" s="64">
        <v>29124.400000000001</v>
      </c>
    </row>
    <row r="52" spans="1:12">
      <c r="A52" s="66">
        <v>2008</v>
      </c>
      <c r="B52" s="56">
        <v>56748.2</v>
      </c>
      <c r="C52" s="56">
        <v>32.700000000000003</v>
      </c>
      <c r="D52" s="65" t="s">
        <v>188</v>
      </c>
      <c r="E52" s="65" t="s">
        <v>188</v>
      </c>
      <c r="F52" s="56">
        <f>'807'!H29/'837'!B52*1000</f>
        <v>839.15789399487562</v>
      </c>
      <c r="G52" s="56">
        <f>'807'!J29/'837'!C52*1000</f>
        <v>1064.2201834862383</v>
      </c>
      <c r="H52" s="65" t="s">
        <v>22</v>
      </c>
      <c r="I52" s="65" t="s">
        <v>22</v>
      </c>
    </row>
    <row r="53" spans="1:12">
      <c r="A53" s="66">
        <v>2009</v>
      </c>
      <c r="B53" s="56">
        <v>57696.6</v>
      </c>
      <c r="C53" s="56">
        <v>30.6</v>
      </c>
      <c r="D53" s="65" t="s">
        <v>188</v>
      </c>
      <c r="E53" s="65" t="s">
        <v>188</v>
      </c>
      <c r="F53" s="56">
        <f>'807'!H30/'837'!B53*1000</f>
        <v>822.46960826114537</v>
      </c>
      <c r="G53" s="56">
        <f>'807'!J30/'837'!C53*1000</f>
        <v>967.32026143790847</v>
      </c>
      <c r="H53" s="65" t="s">
        <v>22</v>
      </c>
      <c r="I53" s="65" t="s">
        <v>22</v>
      </c>
    </row>
    <row r="54" spans="1:12">
      <c r="A54" s="66">
        <v>2010</v>
      </c>
      <c r="B54" s="56">
        <v>59997.4</v>
      </c>
      <c r="C54" s="56">
        <v>28.1</v>
      </c>
      <c r="D54" s="65" t="s">
        <v>188</v>
      </c>
      <c r="E54" s="65" t="s">
        <v>188</v>
      </c>
      <c r="F54" s="56">
        <f>'807'!H31/'837'!B54*1000</f>
        <v>811.52183261274649</v>
      </c>
      <c r="G54" s="56">
        <f>'807'!J31/'837'!C54*1000</f>
        <v>982.20640569395016</v>
      </c>
      <c r="H54" s="65" t="s">
        <v>22</v>
      </c>
      <c r="I54" s="65" t="s">
        <v>22</v>
      </c>
    </row>
    <row r="55" spans="1:12">
      <c r="A55" s="66">
        <v>2011</v>
      </c>
      <c r="B55" s="56">
        <v>61739.4</v>
      </c>
      <c r="C55" s="56">
        <v>25.9</v>
      </c>
      <c r="D55" s="65" t="s">
        <v>188</v>
      </c>
      <c r="E55" s="65" t="s">
        <v>188</v>
      </c>
      <c r="F55" s="56">
        <f>'807'!H32/'837'!B55*1000</f>
        <v>802.43896118200041</v>
      </c>
      <c r="G55" s="56">
        <f>'807'!J32/'837'!C55*1000</f>
        <v>1084.9420849420851</v>
      </c>
      <c r="H55" s="65" t="s">
        <v>22</v>
      </c>
      <c r="I55" s="65" t="s">
        <v>22</v>
      </c>
    </row>
    <row r="57" spans="1:12">
      <c r="A57" s="66" t="s">
        <v>23</v>
      </c>
    </row>
    <row r="58" spans="1:12">
      <c r="A58" s="64" t="s">
        <v>2143</v>
      </c>
      <c r="B58" s="65">
        <f>IFERROR(((B55/B28)^(1/27)-1)*100,"n.a.")</f>
        <v>1.4959045494362222</v>
      </c>
      <c r="C58" s="65">
        <f t="shared" ref="C58:I58" si="0">IFERROR(((C55/C28)^(1/27)-1)*100,"n.a.")</f>
        <v>-0.35367353573136917</v>
      </c>
      <c r="D58" s="65" t="str">
        <f t="shared" si="0"/>
        <v>n.a.</v>
      </c>
      <c r="E58" s="65" t="str">
        <f t="shared" si="0"/>
        <v>n.a.</v>
      </c>
      <c r="F58" s="65">
        <f t="shared" si="0"/>
        <v>1.1876733619933466</v>
      </c>
      <c r="G58" s="65">
        <f t="shared" si="0"/>
        <v>1.5821484923226548</v>
      </c>
      <c r="H58" s="65" t="str">
        <f t="shared" si="0"/>
        <v>n.a.</v>
      </c>
      <c r="I58" s="65" t="str">
        <f t="shared" si="0"/>
        <v>n.a.</v>
      </c>
    </row>
    <row r="59" spans="1:12">
      <c r="A59" s="109" t="s">
        <v>682</v>
      </c>
      <c r="B59" s="65">
        <f>IFERROR(((B33/B28)^(1/5)-1)*100,"n.a.")</f>
        <v>1.5959225402223387</v>
      </c>
      <c r="C59" s="65">
        <f t="shared" ref="C59:I59" si="1">IFERROR(((C33/C28)^(1/5)-1)*100,"n.a.")</f>
        <v>2.4712897192700645</v>
      </c>
      <c r="D59" s="65" t="str">
        <f t="shared" si="1"/>
        <v>n.a.</v>
      </c>
      <c r="E59" s="65" t="str">
        <f t="shared" si="1"/>
        <v>n.a.</v>
      </c>
      <c r="F59" s="65">
        <f t="shared" si="1"/>
        <v>0.51026437837016214</v>
      </c>
      <c r="G59" s="65">
        <f t="shared" si="1"/>
        <v>2.3058753810241139</v>
      </c>
      <c r="H59" s="65" t="str">
        <f t="shared" si="1"/>
        <v>n.a.</v>
      </c>
      <c r="I59" s="65" t="str">
        <f t="shared" si="1"/>
        <v>n.a.</v>
      </c>
    </row>
    <row r="60" spans="1:12">
      <c r="A60" s="109" t="s">
        <v>26</v>
      </c>
      <c r="B60" s="65">
        <f>IFERROR(((B44/B33)^(1/11)-1)*100,"n.a.")</f>
        <v>1.1578366121555161</v>
      </c>
      <c r="C60" s="65">
        <f t="shared" ref="C60:I60" si="2">IFERROR(((C44/C33)^(1/11)-1)*100,"n.a.")</f>
        <v>3.793807223962431</v>
      </c>
      <c r="D60" s="65" t="str">
        <f t="shared" si="2"/>
        <v>n.a.</v>
      </c>
      <c r="E60" s="65" t="str">
        <f t="shared" si="2"/>
        <v>n.a.</v>
      </c>
      <c r="F60" s="65">
        <f t="shared" si="2"/>
        <v>0.69263853399392783</v>
      </c>
      <c r="G60" s="65">
        <f t="shared" si="2"/>
        <v>-3.4240495970605855</v>
      </c>
      <c r="H60" s="65" t="str">
        <f t="shared" si="2"/>
        <v>n.a.</v>
      </c>
      <c r="I60" s="65" t="str">
        <f t="shared" si="2"/>
        <v>n.a.</v>
      </c>
    </row>
    <row r="61" spans="1:12">
      <c r="A61" s="64" t="s">
        <v>1782</v>
      </c>
      <c r="B61" s="65">
        <f>IFERROR(((B55/B44)^(1/11)-1)*100,"n.a.")</f>
        <v>1.7895203106674584</v>
      </c>
      <c r="C61" s="65">
        <f t="shared" ref="C61:I61" si="3">IFERROR(((C55/C44)^(1/11)-1)*100,"n.a.")</f>
        <v>-5.5433480540386988</v>
      </c>
      <c r="D61" s="65" t="str">
        <f t="shared" si="3"/>
        <v>n.a.</v>
      </c>
      <c r="E61" s="65" t="str">
        <f t="shared" si="3"/>
        <v>n.a.</v>
      </c>
      <c r="F61" s="65">
        <f t="shared" si="3"/>
        <v>1.9960837279081378</v>
      </c>
      <c r="G61" s="65">
        <f t="shared" si="3"/>
        <v>6.5036155049765343</v>
      </c>
      <c r="H61" s="65" t="str">
        <f t="shared" si="3"/>
        <v>n.a.</v>
      </c>
      <c r="I61" s="65" t="str">
        <f t="shared" si="3"/>
        <v>n.a.</v>
      </c>
    </row>
    <row r="63" spans="1:12">
      <c r="A63" s="137" t="s">
        <v>500</v>
      </c>
      <c r="B63" s="137"/>
      <c r="C63" s="137"/>
      <c r="D63" s="137"/>
      <c r="E63" s="137"/>
      <c r="F63" s="137"/>
      <c r="G63" s="137"/>
      <c r="H63" s="137"/>
      <c r="I63" s="137"/>
    </row>
    <row r="64" spans="1:12">
      <c r="A64" s="137" t="s">
        <v>686</v>
      </c>
      <c r="B64" s="137"/>
      <c r="C64" s="137"/>
      <c r="D64" s="137"/>
      <c r="E64" s="137"/>
      <c r="F64" s="137"/>
      <c r="G64" s="137"/>
      <c r="H64" s="137"/>
      <c r="I64" s="137"/>
    </row>
    <row r="65" spans="1:9">
      <c r="A65" s="137" t="s">
        <v>690</v>
      </c>
      <c r="B65" s="137"/>
      <c r="C65" s="137"/>
      <c r="D65" s="137"/>
      <c r="E65" s="137"/>
      <c r="F65" s="137"/>
      <c r="G65" s="137"/>
      <c r="H65" s="137"/>
      <c r="I65" s="137"/>
    </row>
    <row r="66" spans="1:9">
      <c r="A66" s="137" t="s">
        <v>193</v>
      </c>
      <c r="B66" s="137"/>
      <c r="C66" s="137"/>
      <c r="D66" s="137"/>
      <c r="E66" s="137"/>
      <c r="F66" s="137"/>
      <c r="G66" s="137"/>
      <c r="H66" s="137"/>
      <c r="I66" s="137"/>
    </row>
    <row r="67" spans="1:9">
      <c r="A67" s="137" t="s">
        <v>514</v>
      </c>
      <c r="B67" s="137"/>
      <c r="C67" s="137"/>
      <c r="D67" s="137"/>
      <c r="E67" s="137"/>
      <c r="F67" s="137"/>
      <c r="G67" s="137"/>
      <c r="H67" s="137"/>
      <c r="I67" s="137"/>
    </row>
    <row r="68" spans="1:9">
      <c r="A68" s="137" t="s">
        <v>515</v>
      </c>
      <c r="B68" s="137"/>
      <c r="C68" s="137"/>
      <c r="D68" s="137"/>
      <c r="E68" s="137"/>
      <c r="F68" s="137"/>
      <c r="G68" s="137"/>
      <c r="H68" s="137"/>
      <c r="I68" s="137"/>
    </row>
    <row r="69" spans="1:9">
      <c r="A69" s="137" t="s">
        <v>516</v>
      </c>
      <c r="B69" s="137"/>
      <c r="C69" s="137"/>
      <c r="D69" s="137"/>
      <c r="E69" s="137"/>
      <c r="F69" s="137"/>
      <c r="G69" s="137"/>
      <c r="H69" s="137"/>
      <c r="I69" s="137"/>
    </row>
  </sheetData>
  <mergeCells count="10">
    <mergeCell ref="A66:I66"/>
    <mergeCell ref="A67:I67"/>
    <mergeCell ref="A68:I68"/>
    <mergeCell ref="A69:I69"/>
    <mergeCell ref="A1:I1"/>
    <mergeCell ref="B2:E2"/>
    <mergeCell ref="F2:I2"/>
    <mergeCell ref="A63:I63"/>
    <mergeCell ref="A64:I64"/>
    <mergeCell ref="A65:I65"/>
  </mergeCells>
  <pageMargins left="0.7" right="0.7" top="0.75" bottom="0.75" header="0.3" footer="0.3"/>
  <pageSetup scale="71" orientation="portrait" horizontalDpi="0" verticalDpi="0" r:id="rId1"/>
</worksheet>
</file>

<file path=xl/worksheets/sheet197.xml><?xml version="1.0" encoding="utf-8"?>
<worksheet xmlns="http://schemas.openxmlformats.org/spreadsheetml/2006/main" xmlns:r="http://schemas.openxmlformats.org/officeDocument/2006/relationships">
  <sheetPr codeName="Sheet191"/>
  <dimension ref="A1:M69"/>
  <sheetViews>
    <sheetView view="pageBreakPreview" zoomScaleNormal="85" zoomScaleSheetLayoutView="100"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7109375" style="64" customWidth="1"/>
    <col min="2" max="9" width="14.28515625" style="64" customWidth="1"/>
    <col min="10" max="10" width="9.140625" style="64"/>
    <col min="11" max="12" width="9.140625" style="64" hidden="1" customWidth="1" outlineLevel="1"/>
    <col min="13" max="13" width="9.140625" style="64" collapsed="1"/>
    <col min="14" max="16384" width="9.140625" style="64"/>
  </cols>
  <sheetData>
    <row r="1" spans="1:12">
      <c r="A1" s="93" t="s">
        <v>2154</v>
      </c>
      <c r="B1" s="93"/>
      <c r="C1" s="93"/>
      <c r="D1" s="93"/>
      <c r="E1" s="93"/>
      <c r="F1" s="93"/>
      <c r="G1" s="93"/>
      <c r="H1" s="93"/>
      <c r="I1" s="93"/>
    </row>
    <row r="2" spans="1:12">
      <c r="A2" s="66"/>
      <c r="B2" s="105" t="s">
        <v>1928</v>
      </c>
      <c r="C2" s="106"/>
      <c r="D2" s="106"/>
      <c r="E2" s="136"/>
      <c r="F2" s="105" t="s">
        <v>677</v>
      </c>
      <c r="G2" s="106"/>
      <c r="H2" s="106"/>
      <c r="I2" s="136"/>
    </row>
    <row r="3" spans="1:12" ht="60">
      <c r="B3" s="73" t="s">
        <v>7</v>
      </c>
      <c r="C3" s="73" t="s">
        <v>192</v>
      </c>
      <c r="D3" s="73" t="s">
        <v>1</v>
      </c>
      <c r="E3" s="73" t="s">
        <v>2</v>
      </c>
      <c r="F3" s="73" t="s">
        <v>7</v>
      </c>
      <c r="G3" s="73" t="s">
        <v>192</v>
      </c>
      <c r="H3" s="73" t="s">
        <v>1</v>
      </c>
      <c r="I3" s="73" t="s">
        <v>2</v>
      </c>
      <c r="K3" s="73" t="s">
        <v>7</v>
      </c>
      <c r="L3" s="73" t="s">
        <v>192</v>
      </c>
    </row>
    <row r="4" spans="1:12" hidden="1" outlineLevel="1"/>
    <row r="5" spans="1:12" hidden="1" outlineLevel="1" collapsed="1">
      <c r="A5" s="64">
        <v>1961</v>
      </c>
      <c r="B5" s="56">
        <v>24124.400000000001</v>
      </c>
      <c r="C5" s="56">
        <v>23.3</v>
      </c>
      <c r="D5" s="65" t="s">
        <v>188</v>
      </c>
      <c r="E5" s="65" t="s">
        <v>188</v>
      </c>
      <c r="F5" s="65" t="s">
        <v>22</v>
      </c>
      <c r="G5" s="65" t="s">
        <v>22</v>
      </c>
      <c r="H5" s="65" t="s">
        <v>22</v>
      </c>
      <c r="I5" s="65" t="s">
        <v>22</v>
      </c>
      <c r="K5" s="138">
        <v>19879738.600000001</v>
      </c>
      <c r="L5" s="139">
        <v>21667.200000000001</v>
      </c>
    </row>
    <row r="6" spans="1:12" hidden="1" outlineLevel="1">
      <c r="A6" s="64">
        <v>1962</v>
      </c>
      <c r="B6" s="56">
        <v>25075.7</v>
      </c>
      <c r="C6" s="56">
        <v>23.6</v>
      </c>
      <c r="D6" s="65" t="s">
        <v>188</v>
      </c>
      <c r="E6" s="65" t="s">
        <v>188</v>
      </c>
      <c r="F6" s="65" t="s">
        <v>22</v>
      </c>
      <c r="G6" s="65" t="s">
        <v>22</v>
      </c>
      <c r="H6" s="65" t="s">
        <v>22</v>
      </c>
      <c r="I6" s="65" t="s">
        <v>22</v>
      </c>
      <c r="K6" s="138">
        <v>20587133.699999999</v>
      </c>
      <c r="L6" s="139">
        <v>21972</v>
      </c>
    </row>
    <row r="7" spans="1:12" hidden="1" outlineLevel="1">
      <c r="A7" s="64">
        <v>1963</v>
      </c>
      <c r="B7" s="56">
        <v>26461.200000000001</v>
      </c>
      <c r="C7" s="56">
        <v>23.7</v>
      </c>
      <c r="D7" s="65" t="s">
        <v>188</v>
      </c>
      <c r="E7" s="65" t="s">
        <v>188</v>
      </c>
      <c r="F7" s="65" t="s">
        <v>22</v>
      </c>
      <c r="G7" s="65" t="s">
        <v>22</v>
      </c>
      <c r="H7" s="65" t="s">
        <v>22</v>
      </c>
      <c r="I7" s="65" t="s">
        <v>22</v>
      </c>
      <c r="K7" s="138">
        <v>21650097.800000001</v>
      </c>
      <c r="L7" s="139">
        <v>22100.3</v>
      </c>
    </row>
    <row r="8" spans="1:12" hidden="1" outlineLevel="1">
      <c r="A8" s="64">
        <v>1964</v>
      </c>
      <c r="B8" s="56">
        <v>27789.3</v>
      </c>
      <c r="C8" s="56">
        <v>24.9</v>
      </c>
      <c r="D8" s="65" t="s">
        <v>188</v>
      </c>
      <c r="E8" s="65" t="s">
        <v>188</v>
      </c>
      <c r="F8" s="65" t="s">
        <v>22</v>
      </c>
      <c r="G8" s="65" t="s">
        <v>22</v>
      </c>
      <c r="H8" s="65" t="s">
        <v>22</v>
      </c>
      <c r="I8" s="65" t="s">
        <v>22</v>
      </c>
      <c r="K8" s="138">
        <v>22665942.800000001</v>
      </c>
      <c r="L8" s="139">
        <v>23232</v>
      </c>
    </row>
    <row r="9" spans="1:12" hidden="1" outlineLevel="1">
      <c r="A9" s="64">
        <v>1965</v>
      </c>
      <c r="B9" s="56">
        <v>29340.799999999999</v>
      </c>
      <c r="C9" s="56">
        <v>23.6</v>
      </c>
      <c r="D9" s="65" t="s">
        <v>188</v>
      </c>
      <c r="E9" s="65" t="s">
        <v>188</v>
      </c>
      <c r="F9" s="65" t="s">
        <v>22</v>
      </c>
      <c r="G9" s="65" t="s">
        <v>22</v>
      </c>
      <c r="H9" s="65" t="s">
        <v>22</v>
      </c>
      <c r="I9" s="65" t="s">
        <v>22</v>
      </c>
      <c r="K9" s="138">
        <v>23860101.399999999</v>
      </c>
      <c r="L9" s="139">
        <v>21943.9</v>
      </c>
    </row>
    <row r="10" spans="1:12" hidden="1" outlineLevel="1">
      <c r="A10" s="64">
        <v>1966</v>
      </c>
      <c r="B10" s="56">
        <v>31451.1</v>
      </c>
      <c r="C10" s="56">
        <v>22.6</v>
      </c>
      <c r="D10" s="65" t="s">
        <v>188</v>
      </c>
      <c r="E10" s="65" t="s">
        <v>188</v>
      </c>
      <c r="F10" s="65" t="s">
        <v>22</v>
      </c>
      <c r="G10" s="65" t="s">
        <v>22</v>
      </c>
      <c r="H10" s="65" t="s">
        <v>22</v>
      </c>
      <c r="I10" s="65" t="s">
        <v>22</v>
      </c>
      <c r="K10" s="138">
        <v>25506854.100000001</v>
      </c>
      <c r="L10" s="139">
        <v>20873.900000000001</v>
      </c>
    </row>
    <row r="11" spans="1:12" hidden="1" outlineLevel="1">
      <c r="A11" s="64">
        <v>1967</v>
      </c>
      <c r="B11" s="56">
        <v>33429.300000000003</v>
      </c>
      <c r="C11" s="56">
        <v>29.9</v>
      </c>
      <c r="D11" s="65" t="s">
        <v>188</v>
      </c>
      <c r="E11" s="65" t="s">
        <v>188</v>
      </c>
      <c r="F11" s="65" t="s">
        <v>22</v>
      </c>
      <c r="G11" s="65" t="s">
        <v>22</v>
      </c>
      <c r="H11" s="65" t="s">
        <v>22</v>
      </c>
      <c r="I11" s="65" t="s">
        <v>22</v>
      </c>
      <c r="K11" s="138">
        <v>27072599.100000001</v>
      </c>
      <c r="L11" s="139">
        <v>28915.200000000001</v>
      </c>
    </row>
    <row r="12" spans="1:12" hidden="1" outlineLevel="1">
      <c r="A12" s="64">
        <v>1968</v>
      </c>
      <c r="B12" s="56">
        <v>34991.5</v>
      </c>
      <c r="C12" s="56">
        <v>32.4</v>
      </c>
      <c r="D12" s="65" t="s">
        <v>188</v>
      </c>
      <c r="E12" s="65" t="s">
        <v>188</v>
      </c>
      <c r="F12" s="65" t="s">
        <v>22</v>
      </c>
      <c r="G12" s="65" t="s">
        <v>22</v>
      </c>
      <c r="H12" s="65" t="s">
        <v>22</v>
      </c>
      <c r="I12" s="65" t="s">
        <v>22</v>
      </c>
      <c r="K12" s="138">
        <v>28304623.800000001</v>
      </c>
      <c r="L12" s="139">
        <v>31179.1</v>
      </c>
    </row>
    <row r="13" spans="1:12" hidden="1" outlineLevel="1">
      <c r="A13" s="64">
        <v>1969</v>
      </c>
      <c r="B13" s="56">
        <v>35255.699999999997</v>
      </c>
      <c r="C13" s="56">
        <v>34</v>
      </c>
      <c r="D13" s="65" t="s">
        <v>188</v>
      </c>
      <c r="E13" s="65" t="s">
        <v>188</v>
      </c>
      <c r="F13" s="65" t="s">
        <v>22</v>
      </c>
      <c r="G13" s="65" t="s">
        <v>22</v>
      </c>
      <c r="H13" s="65" t="s">
        <v>22</v>
      </c>
      <c r="I13" s="65" t="s">
        <v>22</v>
      </c>
      <c r="K13" s="138">
        <v>28413096.899999999</v>
      </c>
      <c r="L13" s="139">
        <v>32733.200000000001</v>
      </c>
    </row>
    <row r="14" spans="1:12" hidden="1" outlineLevel="1">
      <c r="A14" s="64">
        <v>1970</v>
      </c>
      <c r="B14" s="56">
        <v>34874.800000000003</v>
      </c>
      <c r="C14" s="56">
        <v>35.799999999999997</v>
      </c>
      <c r="D14" s="65" t="s">
        <v>188</v>
      </c>
      <c r="E14" s="65" t="s">
        <v>188</v>
      </c>
      <c r="F14" s="65" t="s">
        <v>22</v>
      </c>
      <c r="G14" s="65" t="s">
        <v>22</v>
      </c>
      <c r="H14" s="65" t="s">
        <v>22</v>
      </c>
      <c r="I14" s="65" t="s">
        <v>22</v>
      </c>
      <c r="K14" s="138">
        <v>27948804</v>
      </c>
      <c r="L14" s="139">
        <v>34388.5</v>
      </c>
    </row>
    <row r="15" spans="1:12" hidden="1" outlineLevel="1">
      <c r="A15" s="64">
        <v>1971</v>
      </c>
      <c r="B15" s="56">
        <v>34749.199999999997</v>
      </c>
      <c r="C15" s="56">
        <v>44.1</v>
      </c>
      <c r="D15" s="65" t="s">
        <v>188</v>
      </c>
      <c r="E15" s="65" t="s">
        <v>188</v>
      </c>
      <c r="F15" s="65" t="s">
        <v>22</v>
      </c>
      <c r="G15" s="65" t="s">
        <v>22</v>
      </c>
      <c r="H15" s="65" t="s">
        <v>22</v>
      </c>
      <c r="I15" s="65" t="s">
        <v>22</v>
      </c>
      <c r="K15" s="64">
        <v>27706798.100000001</v>
      </c>
      <c r="L15" s="139">
        <v>43225.2</v>
      </c>
    </row>
    <row r="16" spans="1:12" hidden="1" outlineLevel="1">
      <c r="A16" s="64">
        <v>1972</v>
      </c>
      <c r="B16" s="56">
        <v>35085.300000000003</v>
      </c>
      <c r="C16" s="56">
        <v>47.7</v>
      </c>
      <c r="D16" s="65" t="s">
        <v>188</v>
      </c>
      <c r="E16" s="65" t="s">
        <v>188</v>
      </c>
      <c r="F16" s="65" t="s">
        <v>22</v>
      </c>
      <c r="G16" s="65" t="s">
        <v>22</v>
      </c>
      <c r="H16" s="65" t="s">
        <v>22</v>
      </c>
      <c r="I16" s="65" t="s">
        <v>22</v>
      </c>
      <c r="K16" s="64">
        <v>27844473.399999999</v>
      </c>
      <c r="L16" s="139">
        <v>46969.5</v>
      </c>
    </row>
    <row r="17" spans="1:12" hidden="1" outlineLevel="1">
      <c r="A17" s="64">
        <v>1973</v>
      </c>
      <c r="B17" s="56">
        <v>35539.9</v>
      </c>
      <c r="C17" s="56">
        <v>51.5</v>
      </c>
      <c r="D17" s="65" t="s">
        <v>188</v>
      </c>
      <c r="E17" s="65" t="s">
        <v>188</v>
      </c>
      <c r="F17" s="65" t="s">
        <v>22</v>
      </c>
      <c r="G17" s="65" t="s">
        <v>22</v>
      </c>
      <c r="H17" s="65" t="s">
        <v>22</v>
      </c>
      <c r="I17" s="65" t="s">
        <v>22</v>
      </c>
      <c r="K17" s="64">
        <v>28129478.699999999</v>
      </c>
      <c r="L17" s="139">
        <v>51371.4</v>
      </c>
    </row>
    <row r="18" spans="1:12" hidden="1" outlineLevel="1">
      <c r="A18" s="64">
        <v>1974</v>
      </c>
      <c r="B18" s="56">
        <v>36129.1</v>
      </c>
      <c r="C18" s="56">
        <v>55.3</v>
      </c>
      <c r="D18" s="65" t="s">
        <v>188</v>
      </c>
      <c r="E18" s="65" t="s">
        <v>188</v>
      </c>
      <c r="F18" s="65" t="s">
        <v>22</v>
      </c>
      <c r="G18" s="65" t="s">
        <v>22</v>
      </c>
      <c r="H18" s="65" t="s">
        <v>22</v>
      </c>
      <c r="I18" s="65" t="s">
        <v>22</v>
      </c>
      <c r="K18" s="64">
        <v>28507181.600000001</v>
      </c>
      <c r="L18" s="139">
        <v>56950.3</v>
      </c>
    </row>
    <row r="19" spans="1:12" hidden="1" outlineLevel="1">
      <c r="A19" s="64">
        <v>1975</v>
      </c>
      <c r="B19" s="56">
        <v>37394.400000000001</v>
      </c>
      <c r="C19" s="56">
        <v>57</v>
      </c>
      <c r="D19" s="65" t="s">
        <v>188</v>
      </c>
      <c r="E19" s="65" t="s">
        <v>188</v>
      </c>
      <c r="F19" s="65" t="s">
        <v>22</v>
      </c>
      <c r="G19" s="65" t="s">
        <v>22</v>
      </c>
      <c r="H19" s="65" t="s">
        <v>22</v>
      </c>
      <c r="I19" s="65" t="s">
        <v>22</v>
      </c>
      <c r="K19" s="64">
        <v>29518944.100000001</v>
      </c>
      <c r="L19" s="139">
        <v>58048.4</v>
      </c>
    </row>
    <row r="20" spans="1:12" hidden="1" outlineLevel="1">
      <c r="A20" s="64">
        <v>1976</v>
      </c>
      <c r="B20" s="56">
        <v>38728.9</v>
      </c>
      <c r="C20" s="56">
        <v>56</v>
      </c>
      <c r="D20" s="65" t="s">
        <v>188</v>
      </c>
      <c r="E20" s="65" t="s">
        <v>188</v>
      </c>
      <c r="F20" s="65" t="s">
        <v>22</v>
      </c>
      <c r="G20" s="65" t="s">
        <v>22</v>
      </c>
      <c r="H20" s="65" t="s">
        <v>22</v>
      </c>
      <c r="I20" s="65" t="s">
        <v>22</v>
      </c>
      <c r="K20" s="64">
        <v>30609128.100000001</v>
      </c>
      <c r="L20" s="139">
        <v>55477.9</v>
      </c>
    </row>
    <row r="21" spans="1:12" hidden="1" outlineLevel="1">
      <c r="A21" s="64">
        <v>1977</v>
      </c>
      <c r="B21" s="56">
        <v>39753.5</v>
      </c>
      <c r="C21" s="56">
        <v>54.6</v>
      </c>
      <c r="D21" s="65" t="s">
        <v>188</v>
      </c>
      <c r="E21" s="65" t="s">
        <v>188</v>
      </c>
      <c r="F21" s="65" t="s">
        <v>22</v>
      </c>
      <c r="G21" s="65" t="s">
        <v>22</v>
      </c>
      <c r="H21" s="65" t="s">
        <v>22</v>
      </c>
      <c r="I21" s="65" t="s">
        <v>22</v>
      </c>
      <c r="K21" s="64">
        <v>31292153.300000001</v>
      </c>
      <c r="L21" s="139">
        <v>53670.7</v>
      </c>
    </row>
    <row r="22" spans="1:12" hidden="1" outlineLevel="1">
      <c r="A22" s="64">
        <v>1978</v>
      </c>
      <c r="B22" s="56">
        <v>40668</v>
      </c>
      <c r="C22" s="56">
        <v>52.1</v>
      </c>
      <c r="D22" s="65" t="s">
        <v>188</v>
      </c>
      <c r="E22" s="65" t="s">
        <v>188</v>
      </c>
      <c r="F22" s="65" t="s">
        <v>22</v>
      </c>
      <c r="G22" s="65" t="s">
        <v>22</v>
      </c>
      <c r="H22" s="65" t="s">
        <v>22</v>
      </c>
      <c r="I22" s="65" t="s">
        <v>22</v>
      </c>
      <c r="K22" s="64">
        <v>31873833.800000001</v>
      </c>
      <c r="L22" s="139">
        <v>50967.199999999997</v>
      </c>
    </row>
    <row r="23" spans="1:12" hidden="1" outlineLevel="1">
      <c r="A23" s="64">
        <v>1979</v>
      </c>
      <c r="B23" s="56">
        <v>42510.8</v>
      </c>
      <c r="C23" s="56">
        <v>53.3</v>
      </c>
      <c r="D23" s="65" t="s">
        <v>188</v>
      </c>
      <c r="E23" s="65" t="s">
        <v>188</v>
      </c>
      <c r="F23" s="65" t="s">
        <v>22</v>
      </c>
      <c r="G23" s="65" t="s">
        <v>22</v>
      </c>
      <c r="H23" s="65" t="s">
        <v>22</v>
      </c>
      <c r="I23" s="65" t="s">
        <v>22</v>
      </c>
      <c r="K23" s="64">
        <v>33272876.699999999</v>
      </c>
      <c r="L23" s="139">
        <v>52449.9</v>
      </c>
    </row>
    <row r="24" spans="1:12" hidden="1" outlineLevel="1">
      <c r="A24" s="64">
        <v>1980</v>
      </c>
      <c r="B24" s="56">
        <v>44331.4</v>
      </c>
      <c r="C24" s="56">
        <v>55.9</v>
      </c>
      <c r="D24" s="65" t="s">
        <v>188</v>
      </c>
      <c r="E24" s="65" t="s">
        <v>188</v>
      </c>
      <c r="F24" s="65" t="s">
        <v>22</v>
      </c>
      <c r="G24" s="65" t="s">
        <v>22</v>
      </c>
      <c r="H24" s="65" t="s">
        <v>22</v>
      </c>
      <c r="I24" s="65" t="s">
        <v>22</v>
      </c>
      <c r="K24" s="64">
        <v>34568872.899999999</v>
      </c>
      <c r="L24" s="139">
        <v>55676.2</v>
      </c>
    </row>
    <row r="25" spans="1:12" hidden="1" outlineLevel="1">
      <c r="A25" s="64">
        <v>1981</v>
      </c>
      <c r="B25" s="56">
        <v>46613.599999999999</v>
      </c>
      <c r="C25" s="56">
        <v>57.8</v>
      </c>
      <c r="D25" s="65" t="s">
        <v>188</v>
      </c>
      <c r="E25" s="65" t="s">
        <v>188</v>
      </c>
      <c r="F25" s="65" t="s">
        <v>22</v>
      </c>
      <c r="G25" s="65" t="s">
        <v>22</v>
      </c>
      <c r="H25" s="65" t="s">
        <v>22</v>
      </c>
      <c r="I25" s="65" t="s">
        <v>22</v>
      </c>
      <c r="K25" s="64">
        <v>36508133</v>
      </c>
      <c r="L25" s="139">
        <v>57623.5</v>
      </c>
    </row>
    <row r="26" spans="1:12" hidden="1" outlineLevel="1">
      <c r="A26" s="64">
        <v>1982</v>
      </c>
      <c r="B26" s="56">
        <v>47259</v>
      </c>
      <c r="C26" s="56">
        <v>55</v>
      </c>
      <c r="D26" s="65" t="s">
        <v>188</v>
      </c>
      <c r="E26" s="65" t="s">
        <v>188</v>
      </c>
      <c r="F26" s="65" t="s">
        <v>22</v>
      </c>
      <c r="G26" s="65" t="s">
        <v>22</v>
      </c>
      <c r="H26" s="65" t="s">
        <v>22</v>
      </c>
      <c r="I26" s="65" t="s">
        <v>22</v>
      </c>
      <c r="K26" s="64">
        <v>36887166</v>
      </c>
      <c r="L26" s="139">
        <v>54189.599999999999</v>
      </c>
    </row>
    <row r="27" spans="1:12" hidden="1" outlineLevel="1">
      <c r="A27" s="64">
        <v>1983</v>
      </c>
      <c r="B27" s="56">
        <v>48055.9</v>
      </c>
      <c r="C27" s="56">
        <v>49.9</v>
      </c>
      <c r="D27" s="65" t="s">
        <v>188</v>
      </c>
      <c r="E27" s="65" t="s">
        <v>188</v>
      </c>
      <c r="F27" s="65" t="s">
        <v>22</v>
      </c>
      <c r="G27" s="65" t="s">
        <v>22</v>
      </c>
      <c r="H27" s="65" t="s">
        <v>22</v>
      </c>
      <c r="I27" s="65" t="s">
        <v>22</v>
      </c>
      <c r="K27" s="64">
        <v>37307726.899999999</v>
      </c>
      <c r="L27" s="139">
        <v>48370.1</v>
      </c>
    </row>
    <row r="28" spans="1:12" collapsed="1">
      <c r="A28" s="66">
        <v>1984</v>
      </c>
      <c r="B28" s="56">
        <v>48769.3</v>
      </c>
      <c r="C28" s="56">
        <v>46.1</v>
      </c>
      <c r="D28" s="65" t="s">
        <v>188</v>
      </c>
      <c r="E28" s="65" t="s">
        <v>188</v>
      </c>
      <c r="F28" s="56">
        <f>'808'!H5/'838'!B28*1000</f>
        <v>481.84514679729745</v>
      </c>
      <c r="G28" s="56">
        <f>'808'!J5/'838'!C28*1000</f>
        <v>608.84399737681986</v>
      </c>
      <c r="H28" s="65" t="s">
        <v>22</v>
      </c>
      <c r="I28" s="65" t="s">
        <v>22</v>
      </c>
      <c r="K28" s="64">
        <v>37654439.700000003</v>
      </c>
      <c r="L28" s="139">
        <v>44511</v>
      </c>
    </row>
    <row r="29" spans="1:12">
      <c r="A29" s="66">
        <v>1985</v>
      </c>
      <c r="B29" s="56">
        <v>49713.2</v>
      </c>
      <c r="C29" s="56">
        <v>42.2</v>
      </c>
      <c r="D29" s="65" t="s">
        <v>188</v>
      </c>
      <c r="E29" s="65" t="s">
        <v>188</v>
      </c>
      <c r="F29" s="56">
        <f>'808'!H6/'838'!B29*1000</f>
        <v>490.59749942031749</v>
      </c>
      <c r="G29" s="56">
        <f>'808'!J6/'838'!C29*1000</f>
        <v>622.22937722685708</v>
      </c>
      <c r="H29" s="65" t="s">
        <v>22</v>
      </c>
      <c r="I29" s="65" t="s">
        <v>22</v>
      </c>
      <c r="K29" s="64">
        <v>38232154.899999999</v>
      </c>
      <c r="L29" s="139">
        <v>40430.6</v>
      </c>
    </row>
    <row r="30" spans="1:12">
      <c r="A30" s="66">
        <v>1986</v>
      </c>
      <c r="B30" s="56">
        <v>50061.9</v>
      </c>
      <c r="C30" s="56">
        <v>38.700000000000003</v>
      </c>
      <c r="D30" s="65" t="s">
        <v>188</v>
      </c>
      <c r="E30" s="65" t="s">
        <v>188</v>
      </c>
      <c r="F30" s="56">
        <f>'808'!H7/'838'!B30*1000</f>
        <v>521.4824137432953</v>
      </c>
      <c r="G30" s="56">
        <f>'808'!J7/'838'!C30*1000</f>
        <v>572.32247220056263</v>
      </c>
      <c r="H30" s="65" t="s">
        <v>22</v>
      </c>
      <c r="I30" s="65" t="s">
        <v>22</v>
      </c>
      <c r="K30" s="64">
        <v>38320933.799999997</v>
      </c>
      <c r="L30" s="139">
        <v>36872.400000000001</v>
      </c>
    </row>
    <row r="31" spans="1:12">
      <c r="A31" s="66">
        <v>1987</v>
      </c>
      <c r="B31" s="56">
        <v>50888</v>
      </c>
      <c r="C31" s="56">
        <v>36.700000000000003</v>
      </c>
      <c r="D31" s="65" t="s">
        <v>188</v>
      </c>
      <c r="E31" s="65" t="s">
        <v>188</v>
      </c>
      <c r="F31" s="56">
        <f>'808'!H8/'838'!B31*1000</f>
        <v>503.52668746633657</v>
      </c>
      <c r="G31" s="56">
        <f>'808'!J8/'838'!C31*1000</f>
        <v>560.58149348070901</v>
      </c>
      <c r="H31" s="65" t="s">
        <v>22</v>
      </c>
      <c r="I31" s="65" t="s">
        <v>22</v>
      </c>
      <c r="K31" s="64">
        <v>38766518.100000001</v>
      </c>
      <c r="L31" s="139">
        <v>34997.4</v>
      </c>
    </row>
    <row r="32" spans="1:12">
      <c r="A32" s="66">
        <v>1988</v>
      </c>
      <c r="B32" s="56">
        <v>51931.4</v>
      </c>
      <c r="C32" s="56">
        <v>33.700000000000003</v>
      </c>
      <c r="D32" s="65" t="s">
        <v>188</v>
      </c>
      <c r="E32" s="65" t="s">
        <v>188</v>
      </c>
      <c r="F32" s="56">
        <f>'808'!H9/'838'!B32*1000</f>
        <v>465.7392233937623</v>
      </c>
      <c r="G32" s="56">
        <f>'808'!J9/'838'!C32*1000</f>
        <v>763.10611315808671</v>
      </c>
      <c r="H32" s="65" t="s">
        <v>22</v>
      </c>
      <c r="I32" s="65" t="s">
        <v>22</v>
      </c>
      <c r="K32" s="64">
        <v>39442830.100000001</v>
      </c>
      <c r="L32" s="139">
        <v>31914.1</v>
      </c>
    </row>
    <row r="33" spans="1:12">
      <c r="A33" s="66">
        <v>1989</v>
      </c>
      <c r="B33" s="56">
        <v>52373.4</v>
      </c>
      <c r="C33" s="56">
        <v>30.6</v>
      </c>
      <c r="D33" s="65" t="s">
        <v>188</v>
      </c>
      <c r="E33" s="65" t="s">
        <v>188</v>
      </c>
      <c r="F33" s="56">
        <f>'808'!H10/'838'!B33*1000</f>
        <v>479.67058839199575</v>
      </c>
      <c r="G33" s="56">
        <f>'808'!J10/'838'!C33*1000</f>
        <v>882.49182283158473</v>
      </c>
      <c r="H33" s="65" t="s">
        <v>22</v>
      </c>
      <c r="I33" s="65" t="s">
        <v>22</v>
      </c>
      <c r="K33" s="64">
        <v>39622397.100000001</v>
      </c>
      <c r="L33" s="139">
        <v>28776.5</v>
      </c>
    </row>
    <row r="34" spans="1:12">
      <c r="A34" s="66">
        <v>1990</v>
      </c>
      <c r="B34" s="56">
        <v>53246.6</v>
      </c>
      <c r="C34" s="56">
        <v>28</v>
      </c>
      <c r="D34" s="65" t="s">
        <v>188</v>
      </c>
      <c r="E34" s="65" t="s">
        <v>188</v>
      </c>
      <c r="F34" s="56">
        <f>'808'!H11/'838'!B34*1000</f>
        <v>503.99825938341559</v>
      </c>
      <c r="G34" s="56">
        <f>'808'!J11/'838'!C34*1000</f>
        <v>1134.9033545507141</v>
      </c>
      <c r="H34" s="65" t="s">
        <v>22</v>
      </c>
      <c r="I34" s="65" t="s">
        <v>22</v>
      </c>
      <c r="K34" s="64">
        <v>40224118.100000001</v>
      </c>
      <c r="L34" s="139">
        <v>26017.3</v>
      </c>
    </row>
    <row r="35" spans="1:12">
      <c r="A35" s="66">
        <v>1991</v>
      </c>
      <c r="B35" s="56">
        <v>54315.9</v>
      </c>
      <c r="C35" s="56">
        <v>25.6</v>
      </c>
      <c r="D35" s="65" t="s">
        <v>188</v>
      </c>
      <c r="E35" s="65" t="s">
        <v>188</v>
      </c>
      <c r="F35" s="56">
        <f>'808'!H12/'838'!B35*1000</f>
        <v>495.2439104031742</v>
      </c>
      <c r="G35" s="56">
        <f>'808'!J12/'838'!C35*1000</f>
        <v>1851.6312153373437</v>
      </c>
      <c r="H35" s="65" t="s">
        <v>22</v>
      </c>
      <c r="I35" s="65" t="s">
        <v>22</v>
      </c>
      <c r="K35" s="64">
        <v>41034389.700000003</v>
      </c>
      <c r="L35" s="139">
        <v>23479.200000000001</v>
      </c>
    </row>
    <row r="36" spans="1:12">
      <c r="A36" s="66">
        <v>1992</v>
      </c>
      <c r="B36" s="56">
        <v>54482.3</v>
      </c>
      <c r="C36" s="56">
        <v>24</v>
      </c>
      <c r="D36" s="65" t="s">
        <v>188</v>
      </c>
      <c r="E36" s="65" t="s">
        <v>188</v>
      </c>
      <c r="F36" s="56">
        <f>'808'!H13/'838'!B36*1000</f>
        <v>473.13011029399701</v>
      </c>
      <c r="G36" s="56">
        <f>'808'!J13/'838'!C36*1000</f>
        <v>1592.9230991714364</v>
      </c>
      <c r="H36" s="65" t="s">
        <v>22</v>
      </c>
      <c r="I36" s="65" t="s">
        <v>22</v>
      </c>
      <c r="K36" s="64">
        <v>41030093.100000001</v>
      </c>
      <c r="L36" s="139">
        <v>21916.7</v>
      </c>
    </row>
    <row r="37" spans="1:12">
      <c r="A37" s="66">
        <v>1993</v>
      </c>
      <c r="B37" s="56">
        <v>54510.6</v>
      </c>
      <c r="C37" s="56">
        <v>23.8</v>
      </c>
      <c r="D37" s="65" t="s">
        <v>188</v>
      </c>
      <c r="E37" s="65" t="s">
        <v>188</v>
      </c>
      <c r="F37" s="56">
        <f>'808'!H14/'838'!B37*1000</f>
        <v>497.08047667926888</v>
      </c>
      <c r="G37" s="56">
        <f>'808'!J14/'838'!C37*1000</f>
        <v>1644.1045136282546</v>
      </c>
      <c r="H37" s="65" t="s">
        <v>22</v>
      </c>
      <c r="I37" s="65" t="s">
        <v>22</v>
      </c>
      <c r="K37" s="64">
        <v>40890915.700000003</v>
      </c>
      <c r="L37" s="139">
        <v>21903.200000000001</v>
      </c>
    </row>
    <row r="38" spans="1:12">
      <c r="A38" s="66">
        <v>1994</v>
      </c>
      <c r="B38" s="56">
        <v>54992.7</v>
      </c>
      <c r="C38" s="56">
        <v>30.1</v>
      </c>
      <c r="D38" s="65" t="s">
        <v>188</v>
      </c>
      <c r="E38" s="65" t="s">
        <v>188</v>
      </c>
      <c r="F38" s="56">
        <f>'808'!H15/'838'!B38*1000</f>
        <v>518.44824271254549</v>
      </c>
      <c r="G38" s="56">
        <f>'808'!J15/'838'!C38*1000</f>
        <v>773.62275830544456</v>
      </c>
      <c r="H38" s="65" t="s">
        <v>22</v>
      </c>
      <c r="I38" s="65" t="s">
        <v>22</v>
      </c>
      <c r="K38" s="64">
        <v>41099204.399999999</v>
      </c>
      <c r="L38" s="139">
        <v>28306.2</v>
      </c>
    </row>
    <row r="39" spans="1:12">
      <c r="A39" s="66">
        <v>1995</v>
      </c>
      <c r="B39" s="56">
        <v>55483.3</v>
      </c>
      <c r="C39" s="56">
        <v>40.299999999999997</v>
      </c>
      <c r="D39" s="65" t="s">
        <v>188</v>
      </c>
      <c r="E39" s="65" t="s">
        <v>188</v>
      </c>
      <c r="F39" s="56">
        <f>'808'!H16/'838'!B39*1000</f>
        <v>514.43449108460129</v>
      </c>
      <c r="G39" s="56">
        <f>'808'!J16/'838'!C39*1000</f>
        <v>663.79301972537598</v>
      </c>
      <c r="H39" s="65" t="s">
        <v>22</v>
      </c>
      <c r="I39" s="65" t="s">
        <v>22</v>
      </c>
      <c r="K39" s="64">
        <v>41309837.600000001</v>
      </c>
      <c r="L39" s="139">
        <v>38820.699999999997</v>
      </c>
    </row>
    <row r="40" spans="1:12">
      <c r="A40" s="66">
        <v>1996</v>
      </c>
      <c r="B40" s="56">
        <v>56512.7</v>
      </c>
      <c r="C40" s="56">
        <v>40</v>
      </c>
      <c r="D40" s="65" t="s">
        <v>188</v>
      </c>
      <c r="E40" s="65" t="s">
        <v>188</v>
      </c>
      <c r="F40" s="56">
        <f>'808'!H17/'838'!B40*1000</f>
        <v>523.34918026970911</v>
      </c>
      <c r="G40" s="56">
        <f>'808'!J17/'838'!C40*1000</f>
        <v>546.44415625464831</v>
      </c>
      <c r="H40" s="65" t="s">
        <v>22</v>
      </c>
      <c r="I40" s="65" t="s">
        <v>22</v>
      </c>
      <c r="K40" s="64">
        <v>41942977.399999999</v>
      </c>
      <c r="L40" s="139">
        <v>38630.9</v>
      </c>
    </row>
    <row r="41" spans="1:12">
      <c r="A41" s="66">
        <v>1997</v>
      </c>
      <c r="B41" s="56">
        <v>59591</v>
      </c>
      <c r="C41" s="56">
        <v>44.5</v>
      </c>
      <c r="D41" s="65" t="s">
        <v>188</v>
      </c>
      <c r="E41" s="65" t="s">
        <v>188</v>
      </c>
      <c r="F41" s="56">
        <f>'808'!H18/'838'!B41*1000</f>
        <v>523.55724857780513</v>
      </c>
      <c r="G41" s="56">
        <f>'808'!J18/'838'!C41*1000</f>
        <v>668.33472048827855</v>
      </c>
      <c r="H41" s="65" t="s">
        <v>22</v>
      </c>
      <c r="I41" s="65" t="s">
        <v>22</v>
      </c>
      <c r="K41" s="64">
        <v>44333224.600000001</v>
      </c>
      <c r="L41" s="139">
        <v>43621.1</v>
      </c>
    </row>
    <row r="42" spans="1:12">
      <c r="A42" s="66">
        <v>1998</v>
      </c>
      <c r="B42" s="56">
        <v>60908.6</v>
      </c>
      <c r="C42" s="56">
        <v>43.4</v>
      </c>
      <c r="D42" s="65" t="s">
        <v>188</v>
      </c>
      <c r="E42" s="65" t="s">
        <v>188</v>
      </c>
      <c r="F42" s="56">
        <f>'808'!H19/'838'!B42*1000</f>
        <v>531.91995875787632</v>
      </c>
      <c r="G42" s="56">
        <f>'808'!J19/'838'!C42*1000</f>
        <v>472.40170604961281</v>
      </c>
      <c r="H42" s="65" t="s">
        <v>22</v>
      </c>
      <c r="I42" s="65" t="s">
        <v>22</v>
      </c>
      <c r="K42" s="64">
        <v>45153730.200000003</v>
      </c>
      <c r="L42" s="139">
        <v>42011.199999999997</v>
      </c>
    </row>
    <row r="43" spans="1:12">
      <c r="A43" s="66">
        <v>1999</v>
      </c>
      <c r="B43" s="56">
        <v>61942.2</v>
      </c>
      <c r="C43" s="56">
        <v>60.3</v>
      </c>
      <c r="D43" s="65" t="s">
        <v>188</v>
      </c>
      <c r="E43" s="65" t="s">
        <v>188</v>
      </c>
      <c r="F43" s="56">
        <f>'808'!H20/'838'!B43*1000</f>
        <v>528.26828882409711</v>
      </c>
      <c r="G43" s="56">
        <f>'808'!J20/'838'!C43*1000</f>
        <v>247.94697317652754</v>
      </c>
      <c r="H43" s="65" t="s">
        <v>22</v>
      </c>
      <c r="I43" s="65" t="s">
        <v>22</v>
      </c>
      <c r="K43" s="64">
        <v>45850930.5</v>
      </c>
      <c r="L43" s="139">
        <v>59416.6</v>
      </c>
    </row>
    <row r="44" spans="1:12">
      <c r="A44" s="66">
        <v>2000</v>
      </c>
      <c r="B44" s="56">
        <v>62664.4</v>
      </c>
      <c r="C44" s="56">
        <v>52.7</v>
      </c>
      <c r="D44" s="65" t="s">
        <v>188</v>
      </c>
      <c r="E44" s="65" t="s">
        <v>188</v>
      </c>
      <c r="F44" s="56">
        <f>'808'!H21/'838'!B44*1000</f>
        <v>534.58422964234865</v>
      </c>
      <c r="G44" s="56">
        <f>'808'!J21/'838'!C44*1000</f>
        <v>377.39370191300333</v>
      </c>
      <c r="H44" s="65" t="s">
        <v>22</v>
      </c>
      <c r="I44" s="65" t="s">
        <v>22</v>
      </c>
      <c r="K44" s="64">
        <v>46359432.799999997</v>
      </c>
      <c r="L44" s="139">
        <v>51866.9</v>
      </c>
    </row>
    <row r="45" spans="1:12">
      <c r="A45" s="66">
        <v>2001</v>
      </c>
      <c r="B45" s="56">
        <v>63139.4</v>
      </c>
      <c r="C45" s="56">
        <v>47.6</v>
      </c>
      <c r="D45" s="65" t="s">
        <v>188</v>
      </c>
      <c r="E45" s="65" t="s">
        <v>188</v>
      </c>
      <c r="F45" s="56">
        <f>'808'!H22/'838'!B45*1000</f>
        <v>522.74649426507051</v>
      </c>
      <c r="G45" s="56">
        <f>'808'!J22/'838'!C45*1000</f>
        <v>402.46128272382515</v>
      </c>
      <c r="H45" s="65" t="s">
        <v>22</v>
      </c>
      <c r="I45" s="65" t="s">
        <v>22</v>
      </c>
      <c r="K45" s="64">
        <v>46633128</v>
      </c>
      <c r="L45" s="139">
        <v>46710.1</v>
      </c>
    </row>
    <row r="46" spans="1:12">
      <c r="A46" s="66">
        <v>2002</v>
      </c>
      <c r="B46" s="56">
        <v>62915.199999999997</v>
      </c>
      <c r="C46" s="56">
        <v>44.3</v>
      </c>
      <c r="D46" s="65" t="s">
        <v>188</v>
      </c>
      <c r="E46" s="65" t="s">
        <v>188</v>
      </c>
      <c r="F46" s="56">
        <f>'808'!H23/'838'!B46*1000</f>
        <v>520.2526575453943</v>
      </c>
      <c r="G46" s="56">
        <f>'808'!J23/'838'!C46*1000</f>
        <v>376.32882126426472</v>
      </c>
      <c r="H46" s="65" t="s">
        <v>22</v>
      </c>
      <c r="I46" s="65" t="s">
        <v>22</v>
      </c>
      <c r="K46" s="64">
        <v>46405539.899999999</v>
      </c>
      <c r="L46" s="139">
        <v>43974.1</v>
      </c>
    </row>
    <row r="47" spans="1:12">
      <c r="A47" s="66">
        <v>2003</v>
      </c>
      <c r="B47" s="56">
        <v>63190.8</v>
      </c>
      <c r="C47" s="56">
        <v>45.4</v>
      </c>
      <c r="D47" s="65" t="s">
        <v>188</v>
      </c>
      <c r="E47" s="65" t="s">
        <v>188</v>
      </c>
      <c r="F47" s="56">
        <f>'808'!H24/'838'!B47*1000</f>
        <v>541.45065420915682</v>
      </c>
      <c r="G47" s="56">
        <f>'808'!J24/'838'!C47*1000</f>
        <v>409.74478254213955</v>
      </c>
      <c r="H47" s="65" t="s">
        <v>22</v>
      </c>
      <c r="I47" s="65" t="s">
        <v>22</v>
      </c>
      <c r="K47" s="64">
        <v>46677227.899999999</v>
      </c>
      <c r="L47" s="139">
        <v>46045.7</v>
      </c>
    </row>
    <row r="48" spans="1:12">
      <c r="A48" s="66">
        <v>2004</v>
      </c>
      <c r="B48" s="56">
        <v>63401.9</v>
      </c>
      <c r="C48" s="56">
        <v>48.3</v>
      </c>
      <c r="D48" s="65" t="s">
        <v>188</v>
      </c>
      <c r="E48" s="65" t="s">
        <v>188</v>
      </c>
      <c r="F48" s="56">
        <f>'808'!H25/'838'!B48*1000</f>
        <v>565.17391434641536</v>
      </c>
      <c r="G48" s="56">
        <f>'808'!J25/'838'!C48*1000</f>
        <v>1012.711374552028</v>
      </c>
      <c r="H48" s="65" t="s">
        <v>22</v>
      </c>
      <c r="I48" s="65" t="s">
        <v>22</v>
      </c>
      <c r="K48" s="64">
        <v>46853331.299999997</v>
      </c>
      <c r="L48" s="139">
        <v>49229.3</v>
      </c>
    </row>
    <row r="49" spans="1:12">
      <c r="A49" s="66">
        <v>2005</v>
      </c>
      <c r="B49" s="56">
        <v>64766.5</v>
      </c>
      <c r="C49" s="56">
        <v>50.3</v>
      </c>
      <c r="D49" s="65" t="s">
        <v>188</v>
      </c>
      <c r="E49" s="65" t="s">
        <v>188</v>
      </c>
      <c r="F49" s="56">
        <f>'808'!H26/'838'!B49*1000</f>
        <v>568.50995499216413</v>
      </c>
      <c r="G49" s="56">
        <f>'808'!J26/'838'!C49*1000</f>
        <v>1514.3997674034842</v>
      </c>
      <c r="H49" s="65" t="s">
        <v>22</v>
      </c>
      <c r="I49" s="65" t="s">
        <v>22</v>
      </c>
      <c r="K49" s="64">
        <v>47972105.600000001</v>
      </c>
      <c r="L49" s="139">
        <v>51360.800000000003</v>
      </c>
    </row>
    <row r="50" spans="1:12">
      <c r="A50" s="66">
        <v>2006</v>
      </c>
      <c r="B50" s="56">
        <v>66746.100000000006</v>
      </c>
      <c r="C50" s="56">
        <v>50.2</v>
      </c>
      <c r="D50" s="65" t="s">
        <v>188</v>
      </c>
      <c r="E50" s="65" t="s">
        <v>188</v>
      </c>
      <c r="F50" s="56">
        <f>'808'!H27/'838'!B50*1000</f>
        <v>544.17261832526538</v>
      </c>
      <c r="G50" s="56">
        <f>'808'!J27/'838'!C50*1000</f>
        <v>1195.9700140248972</v>
      </c>
      <c r="H50" s="65" t="s">
        <v>22</v>
      </c>
      <c r="I50" s="65" t="s">
        <v>22</v>
      </c>
      <c r="K50" s="64">
        <v>49476950.899999999</v>
      </c>
      <c r="L50" s="139">
        <v>51484.800000000003</v>
      </c>
    </row>
    <row r="51" spans="1:12">
      <c r="A51" s="66">
        <v>2007</v>
      </c>
      <c r="B51" s="56">
        <v>68690.899999999994</v>
      </c>
      <c r="C51" s="56">
        <v>42.7</v>
      </c>
      <c r="D51" s="65" t="s">
        <v>188</v>
      </c>
      <c r="E51" s="65" t="s">
        <v>188</v>
      </c>
      <c r="F51" s="56">
        <f>'808'!H28/'838'!B51*1000</f>
        <v>715.85610321017793</v>
      </c>
      <c r="G51" s="56">
        <f>'808'!J28/'838'!C51*1000</f>
        <v>1028.103044496487</v>
      </c>
      <c r="H51" s="65" t="s">
        <v>22</v>
      </c>
      <c r="I51" s="65" t="s">
        <v>22</v>
      </c>
      <c r="K51" s="64">
        <v>50596282</v>
      </c>
      <c r="L51" s="139">
        <v>51320.1</v>
      </c>
    </row>
    <row r="52" spans="1:12">
      <c r="A52" s="66">
        <v>2008</v>
      </c>
      <c r="B52" s="56">
        <v>71919.3</v>
      </c>
      <c r="C52" s="56">
        <v>37.5</v>
      </c>
      <c r="D52" s="65" t="s">
        <v>188</v>
      </c>
      <c r="E52" s="65" t="s">
        <v>188</v>
      </c>
      <c r="F52" s="56">
        <f>'808'!H29/'838'!B52*1000</f>
        <v>719.21862420796629</v>
      </c>
      <c r="G52" s="56">
        <f>'808'!J29/'838'!C52*1000</f>
        <v>1021.3333333333333</v>
      </c>
      <c r="H52" s="65"/>
      <c r="I52" s="65"/>
      <c r="L52" s="139"/>
    </row>
    <row r="53" spans="1:12">
      <c r="A53" s="66">
        <v>2009</v>
      </c>
      <c r="B53" s="56">
        <v>74962.7</v>
      </c>
      <c r="C53" s="56">
        <v>32.1</v>
      </c>
      <c r="D53" s="65" t="s">
        <v>188</v>
      </c>
      <c r="E53" s="65" t="s">
        <v>188</v>
      </c>
      <c r="F53" s="56">
        <f>'808'!H30/'838'!B53*1000</f>
        <v>660.73127035178823</v>
      </c>
      <c r="G53" s="56">
        <f>'808'!J30/'838'!C53*1000</f>
        <v>1127.7258566978194</v>
      </c>
      <c r="H53" s="65"/>
      <c r="I53" s="65"/>
      <c r="L53" s="139"/>
    </row>
    <row r="54" spans="1:12">
      <c r="A54" s="66">
        <v>2010</v>
      </c>
      <c r="B54" s="56">
        <v>79495.7</v>
      </c>
      <c r="C54" s="56">
        <v>28.9</v>
      </c>
      <c r="D54" s="65" t="s">
        <v>188</v>
      </c>
      <c r="E54" s="65" t="s">
        <v>188</v>
      </c>
      <c r="F54" s="56">
        <f>'808'!H31/'838'!B54*1000</f>
        <v>650.88677752381579</v>
      </c>
      <c r="G54" s="56">
        <f>'808'!J31/'838'!C54*1000</f>
        <v>1543.2525951557095</v>
      </c>
      <c r="H54" s="65"/>
      <c r="I54" s="65"/>
      <c r="L54" s="139"/>
    </row>
    <row r="55" spans="1:12">
      <c r="A55" s="66">
        <v>2011</v>
      </c>
      <c r="B55" s="56">
        <v>84128.3</v>
      </c>
      <c r="C55" s="56">
        <v>26.3</v>
      </c>
      <c r="D55" s="65" t="s">
        <v>188</v>
      </c>
      <c r="E55" s="65" t="s">
        <v>188</v>
      </c>
      <c r="F55" s="56">
        <f>'808'!H32/'838'!B55*1000</f>
        <v>645.68284394193154</v>
      </c>
      <c r="G55" s="56">
        <f>'808'!J32/'838'!C55*1000</f>
        <v>1935.361216730038</v>
      </c>
      <c r="H55" s="65"/>
      <c r="I55" s="65"/>
      <c r="L55" s="139"/>
    </row>
    <row r="57" spans="1:12">
      <c r="A57" s="66" t="s">
        <v>23</v>
      </c>
    </row>
    <row r="58" spans="1:12">
      <c r="A58" s="64" t="s">
        <v>2143</v>
      </c>
      <c r="B58" s="65">
        <f>IFERROR(((B55/B28)^(1/27)-1)*100,"n.a.")</f>
        <v>2.0399429380904666</v>
      </c>
      <c r="C58" s="65">
        <f t="shared" ref="C58:I58" si="0">IFERROR(((C55/C28)^(1/27)-1)*100,"n.a.")</f>
        <v>-2.057225859338252</v>
      </c>
      <c r="D58" s="65" t="str">
        <f t="shared" si="0"/>
        <v>n.a.</v>
      </c>
      <c r="E58" s="65" t="str">
        <f t="shared" si="0"/>
        <v>n.a.</v>
      </c>
      <c r="F58" s="65">
        <f t="shared" si="0"/>
        <v>1.0899176811198563</v>
      </c>
      <c r="G58" s="65">
        <f t="shared" si="0"/>
        <v>4.376342450750248</v>
      </c>
      <c r="H58" s="65" t="str">
        <f t="shared" si="0"/>
        <v>n.a.</v>
      </c>
      <c r="I58" s="65" t="str">
        <f t="shared" si="0"/>
        <v>n.a.</v>
      </c>
    </row>
    <row r="59" spans="1:12">
      <c r="A59" s="109" t="s">
        <v>682</v>
      </c>
      <c r="B59" s="65">
        <f>IFERROR(((B33/B28)^(1/5)-1)*100,"n.a.")</f>
        <v>1.436171499676453</v>
      </c>
      <c r="C59" s="65">
        <f t="shared" ref="C59:I59" si="1">IFERROR(((C33/C28)^(1/5)-1)*100,"n.a.")</f>
        <v>-7.8693574224809932</v>
      </c>
      <c r="D59" s="65" t="str">
        <f t="shared" si="1"/>
        <v>n.a.</v>
      </c>
      <c r="E59" s="65" t="str">
        <f t="shared" si="1"/>
        <v>n.a.</v>
      </c>
      <c r="F59" s="65">
        <f t="shared" si="1"/>
        <v>-9.04230157736996E-2</v>
      </c>
      <c r="G59" s="65">
        <f t="shared" si="1"/>
        <v>7.7062566691930234</v>
      </c>
      <c r="H59" s="65" t="str">
        <f t="shared" si="1"/>
        <v>n.a.</v>
      </c>
      <c r="I59" s="65" t="str">
        <f t="shared" si="1"/>
        <v>n.a.</v>
      </c>
    </row>
    <row r="60" spans="1:12">
      <c r="A60" s="109" t="s">
        <v>26</v>
      </c>
      <c r="B60" s="65">
        <f>IFERROR(((B44/B33)^(1/11)-1)*100,"n.a.")</f>
        <v>1.6442317987396038</v>
      </c>
      <c r="C60" s="65">
        <f t="shared" ref="C60:I60" si="2">IFERROR(((C44/C33)^(1/11)-1)*100,"n.a.")</f>
        <v>5.0661101012213994</v>
      </c>
      <c r="D60" s="65" t="str">
        <f t="shared" si="2"/>
        <v>n.a.</v>
      </c>
      <c r="E60" s="65" t="str">
        <f t="shared" si="2"/>
        <v>n.a.</v>
      </c>
      <c r="F60" s="65">
        <f t="shared" si="2"/>
        <v>0.99023166426832621</v>
      </c>
      <c r="G60" s="65">
        <f t="shared" si="2"/>
        <v>-7.4317234534977068</v>
      </c>
      <c r="H60" s="65" t="str">
        <f t="shared" si="2"/>
        <v>n.a.</v>
      </c>
      <c r="I60" s="65" t="str">
        <f t="shared" si="2"/>
        <v>n.a.</v>
      </c>
    </row>
    <row r="61" spans="1:12">
      <c r="A61" s="64" t="s">
        <v>1782</v>
      </c>
      <c r="B61" s="65">
        <f>IFERROR(((B55/B44)^(1/11)-1)*100,"n.a.")</f>
        <v>2.7138959776837668</v>
      </c>
      <c r="C61" s="65">
        <f t="shared" ref="C61:I61" si="3">IFERROR(((C55/C44)^(1/11)-1)*100,"n.a.")</f>
        <v>-6.1231197623958238</v>
      </c>
      <c r="D61" s="65" t="str">
        <f t="shared" si="3"/>
        <v>n.a.</v>
      </c>
      <c r="E61" s="65" t="str">
        <f t="shared" si="3"/>
        <v>n.a.</v>
      </c>
      <c r="F61" s="65">
        <f t="shared" si="3"/>
        <v>1.7313546704091021</v>
      </c>
      <c r="G61" s="65">
        <f t="shared" si="3"/>
        <v>16.022572235225429</v>
      </c>
      <c r="H61" s="65" t="str">
        <f t="shared" si="3"/>
        <v>n.a.</v>
      </c>
      <c r="I61" s="65" t="str">
        <f t="shared" si="3"/>
        <v>n.a.</v>
      </c>
    </row>
    <row r="63" spans="1:12">
      <c r="A63" s="137" t="s">
        <v>500</v>
      </c>
      <c r="B63" s="137"/>
      <c r="C63" s="137"/>
      <c r="D63" s="137"/>
      <c r="E63" s="137"/>
      <c r="F63" s="137"/>
      <c r="G63" s="137"/>
      <c r="H63" s="137"/>
      <c r="I63" s="137"/>
    </row>
    <row r="64" spans="1:12">
      <c r="A64" s="137" t="s">
        <v>686</v>
      </c>
      <c r="B64" s="137"/>
      <c r="C64" s="137"/>
      <c r="D64" s="137"/>
      <c r="E64" s="137"/>
      <c r="F64" s="137"/>
      <c r="G64" s="137"/>
      <c r="H64" s="137"/>
      <c r="I64" s="137"/>
    </row>
    <row r="65" spans="1:9">
      <c r="A65" s="137" t="s">
        <v>685</v>
      </c>
      <c r="B65" s="137"/>
      <c r="C65" s="137"/>
      <c r="D65" s="137"/>
      <c r="E65" s="137"/>
      <c r="F65" s="137"/>
      <c r="G65" s="137"/>
      <c r="H65" s="137"/>
      <c r="I65" s="137"/>
    </row>
    <row r="66" spans="1:9">
      <c r="A66" s="137" t="s">
        <v>193</v>
      </c>
      <c r="B66" s="137"/>
      <c r="C66" s="137"/>
      <c r="D66" s="137"/>
      <c r="E66" s="137"/>
      <c r="F66" s="137"/>
      <c r="G66" s="137"/>
      <c r="H66" s="137"/>
      <c r="I66" s="137"/>
    </row>
    <row r="67" spans="1:9">
      <c r="A67" s="137" t="s">
        <v>514</v>
      </c>
      <c r="B67" s="137"/>
      <c r="C67" s="137"/>
      <c r="D67" s="137"/>
      <c r="E67" s="137"/>
      <c r="F67" s="137"/>
      <c r="G67" s="137"/>
      <c r="H67" s="137"/>
      <c r="I67" s="137"/>
    </row>
    <row r="68" spans="1:9">
      <c r="A68" s="137" t="s">
        <v>515</v>
      </c>
      <c r="B68" s="137"/>
      <c r="C68" s="137"/>
      <c r="D68" s="137"/>
      <c r="E68" s="137"/>
      <c r="F68" s="137"/>
      <c r="G68" s="137"/>
      <c r="H68" s="137"/>
      <c r="I68" s="137"/>
    </row>
    <row r="69" spans="1:9">
      <c r="A69" s="137" t="s">
        <v>516</v>
      </c>
      <c r="B69" s="137"/>
      <c r="C69" s="137"/>
      <c r="D69" s="137"/>
      <c r="E69" s="137"/>
      <c r="F69" s="137"/>
      <c r="G69" s="137"/>
      <c r="H69" s="137"/>
      <c r="I69" s="137"/>
    </row>
  </sheetData>
  <mergeCells count="10">
    <mergeCell ref="A66:I66"/>
    <mergeCell ref="A67:I67"/>
    <mergeCell ref="A68:I68"/>
    <mergeCell ref="A69:I69"/>
    <mergeCell ref="A1:I1"/>
    <mergeCell ref="B2:E2"/>
    <mergeCell ref="F2:I2"/>
    <mergeCell ref="A63:I63"/>
    <mergeCell ref="A64:I64"/>
    <mergeCell ref="A65:I65"/>
  </mergeCells>
  <pageMargins left="0.7" right="0.7" top="0.75" bottom="0.75" header="0.3" footer="0.3"/>
  <pageSetup scale="72" orientation="portrait" horizontalDpi="0" verticalDpi="0" r:id="rId1"/>
</worksheet>
</file>

<file path=xl/worksheets/sheet198.xml><?xml version="1.0" encoding="utf-8"?>
<worksheet xmlns="http://schemas.openxmlformats.org/spreadsheetml/2006/main" xmlns:r="http://schemas.openxmlformats.org/officeDocument/2006/relationships">
  <sheetPr codeName="Sheet192"/>
  <dimension ref="A1:O68"/>
  <sheetViews>
    <sheetView view="pageBreakPreview" zoomScaleNormal="85" zoomScaleSheetLayoutView="100"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2.28515625" style="64" customWidth="1"/>
    <col min="2" max="9" width="14.28515625" style="64" customWidth="1"/>
    <col min="10" max="10" width="9.140625" style="64"/>
    <col min="11" max="14" width="9.140625" style="64" hidden="1" customWidth="1" outlineLevel="1"/>
    <col min="15" max="15" width="9.140625" style="64" collapsed="1"/>
    <col min="16" max="16384" width="9.140625" style="64"/>
  </cols>
  <sheetData>
    <row r="1" spans="1:14">
      <c r="A1" s="93" t="s">
        <v>2153</v>
      </c>
      <c r="B1" s="93"/>
      <c r="C1" s="93"/>
      <c r="D1" s="93"/>
      <c r="E1" s="93"/>
      <c r="F1" s="93"/>
      <c r="G1" s="93"/>
      <c r="H1" s="93"/>
      <c r="I1" s="93"/>
    </row>
    <row r="2" spans="1:14">
      <c r="A2" s="66"/>
      <c r="B2" s="105" t="s">
        <v>1928</v>
      </c>
      <c r="C2" s="106"/>
      <c r="D2" s="106"/>
      <c r="E2" s="136"/>
      <c r="F2" s="105" t="s">
        <v>677</v>
      </c>
      <c r="G2" s="106"/>
      <c r="H2" s="106"/>
      <c r="I2" s="136"/>
    </row>
    <row r="3" spans="1:14" ht="75">
      <c r="B3" s="73" t="s">
        <v>7</v>
      </c>
      <c r="C3" s="73" t="s">
        <v>192</v>
      </c>
      <c r="D3" s="73" t="s">
        <v>1</v>
      </c>
      <c r="E3" s="73" t="s">
        <v>2</v>
      </c>
      <c r="F3" s="73" t="s">
        <v>7</v>
      </c>
      <c r="G3" s="73" t="s">
        <v>192</v>
      </c>
      <c r="H3" s="73" t="s">
        <v>1</v>
      </c>
      <c r="I3" s="73" t="s">
        <v>2</v>
      </c>
      <c r="K3" s="73" t="s">
        <v>7</v>
      </c>
      <c r="L3" s="73" t="s">
        <v>192</v>
      </c>
      <c r="M3" s="73" t="s">
        <v>1</v>
      </c>
      <c r="N3" s="73" t="s">
        <v>2</v>
      </c>
    </row>
    <row r="4" spans="1:14" hidden="1" outlineLevel="1"/>
    <row r="5" spans="1:14" hidden="1" outlineLevel="1" collapsed="1">
      <c r="A5" s="64">
        <v>1961</v>
      </c>
      <c r="B5" s="56">
        <v>51603.5</v>
      </c>
      <c r="C5" s="56">
        <v>39.700000000000003</v>
      </c>
      <c r="D5" s="56">
        <v>161.9</v>
      </c>
      <c r="E5" s="56">
        <v>259</v>
      </c>
      <c r="F5" s="56" t="s">
        <v>22</v>
      </c>
      <c r="G5" s="56" t="s">
        <v>22</v>
      </c>
      <c r="H5" s="56" t="s">
        <v>22</v>
      </c>
      <c r="I5" s="56" t="s">
        <v>22</v>
      </c>
      <c r="K5" s="64">
        <v>40579378.700000003</v>
      </c>
      <c r="L5" s="64">
        <v>37406.5</v>
      </c>
      <c r="M5" s="64">
        <v>135476.70000000001</v>
      </c>
      <c r="N5" s="64">
        <v>199342.5</v>
      </c>
    </row>
    <row r="6" spans="1:14" hidden="1" outlineLevel="1">
      <c r="A6" s="64">
        <v>1962</v>
      </c>
      <c r="B6" s="56">
        <v>53433.599999999999</v>
      </c>
      <c r="C6" s="56">
        <v>40.1</v>
      </c>
      <c r="D6" s="56">
        <v>156</v>
      </c>
      <c r="E6" s="56">
        <v>248</v>
      </c>
      <c r="F6" s="56" t="s">
        <v>22</v>
      </c>
      <c r="G6" s="56" t="s">
        <v>22</v>
      </c>
      <c r="H6" s="56" t="s">
        <v>22</v>
      </c>
      <c r="I6" s="56" t="s">
        <v>22</v>
      </c>
      <c r="K6" s="64">
        <v>41738937.399999999</v>
      </c>
      <c r="L6" s="64">
        <v>37697.800000000003</v>
      </c>
      <c r="M6" s="64">
        <v>129323.6</v>
      </c>
      <c r="N6" s="64">
        <v>189059.7</v>
      </c>
    </row>
    <row r="7" spans="1:14" hidden="1" outlineLevel="1">
      <c r="A7" s="64">
        <v>1963</v>
      </c>
      <c r="B7" s="56">
        <v>55270.1</v>
      </c>
      <c r="C7" s="56">
        <v>43</v>
      </c>
      <c r="D7" s="56">
        <v>153</v>
      </c>
      <c r="E7" s="56">
        <v>228.2</v>
      </c>
      <c r="F7" s="56" t="s">
        <v>22</v>
      </c>
      <c r="G7" s="56" t="s">
        <v>22</v>
      </c>
      <c r="H7" s="56" t="s">
        <v>22</v>
      </c>
      <c r="I7" s="56" t="s">
        <v>22</v>
      </c>
      <c r="K7" s="64">
        <v>42971463.700000003</v>
      </c>
      <c r="L7" s="64">
        <v>40526.5</v>
      </c>
      <c r="M7" s="64">
        <v>126570.4</v>
      </c>
      <c r="N7" s="64">
        <v>170858.5</v>
      </c>
    </row>
    <row r="8" spans="1:14" hidden="1" outlineLevel="1">
      <c r="A8" s="64">
        <v>1964</v>
      </c>
      <c r="B8" s="56">
        <v>57509.7</v>
      </c>
      <c r="C8" s="56">
        <v>46.9</v>
      </c>
      <c r="D8" s="56">
        <v>148.1</v>
      </c>
      <c r="E8" s="56">
        <v>212.5</v>
      </c>
      <c r="F8" s="56" t="s">
        <v>22</v>
      </c>
      <c r="G8" s="56" t="s">
        <v>22</v>
      </c>
      <c r="H8" s="56" t="s">
        <v>22</v>
      </c>
      <c r="I8" s="56" t="s">
        <v>22</v>
      </c>
      <c r="K8" s="64">
        <v>44553878.200000003</v>
      </c>
      <c r="L8" s="64">
        <v>44230.6</v>
      </c>
      <c r="M8" s="64">
        <v>121741.1</v>
      </c>
      <c r="N8" s="64">
        <v>156641.1</v>
      </c>
    </row>
    <row r="9" spans="1:14" hidden="1" outlineLevel="1">
      <c r="A9" s="64">
        <v>1965</v>
      </c>
      <c r="B9" s="56">
        <v>60277.4</v>
      </c>
      <c r="C9" s="56">
        <v>45.5</v>
      </c>
      <c r="D9" s="56">
        <v>146.19999999999999</v>
      </c>
      <c r="E9" s="56">
        <v>203.1</v>
      </c>
      <c r="F9" s="56" t="s">
        <v>22</v>
      </c>
      <c r="G9" s="56" t="s">
        <v>22</v>
      </c>
      <c r="H9" s="56" t="s">
        <v>22</v>
      </c>
      <c r="I9" s="56" t="s">
        <v>22</v>
      </c>
      <c r="K9" s="64">
        <v>46567624.600000001</v>
      </c>
      <c r="L9" s="64">
        <v>42795.3</v>
      </c>
      <c r="M9" s="64">
        <v>119562.9</v>
      </c>
      <c r="N9" s="64">
        <v>146880.5</v>
      </c>
    </row>
    <row r="10" spans="1:14" hidden="1" outlineLevel="1">
      <c r="A10" s="64">
        <v>1966</v>
      </c>
      <c r="B10" s="56">
        <v>64166.8</v>
      </c>
      <c r="C10" s="56">
        <v>46.1</v>
      </c>
      <c r="D10" s="56">
        <v>144.4</v>
      </c>
      <c r="E10" s="56">
        <v>194.1</v>
      </c>
      <c r="F10" s="56" t="s">
        <v>22</v>
      </c>
      <c r="G10" s="56" t="s">
        <v>22</v>
      </c>
      <c r="H10" s="56" t="s">
        <v>22</v>
      </c>
      <c r="I10" s="56" t="s">
        <v>22</v>
      </c>
      <c r="K10" s="64">
        <v>49429435.100000001</v>
      </c>
      <c r="L10" s="64">
        <v>43358.5</v>
      </c>
      <c r="M10" s="64">
        <v>117629</v>
      </c>
      <c r="N10" s="64">
        <v>139263.1</v>
      </c>
    </row>
    <row r="11" spans="1:14" hidden="1" outlineLevel="1">
      <c r="A11" s="64">
        <v>1967</v>
      </c>
      <c r="B11" s="56">
        <v>68029.399999999994</v>
      </c>
      <c r="C11" s="56">
        <v>46.1</v>
      </c>
      <c r="D11" s="56">
        <v>148</v>
      </c>
      <c r="E11" s="56">
        <v>189.1</v>
      </c>
      <c r="F11" s="56" t="s">
        <v>22</v>
      </c>
      <c r="G11" s="56" t="s">
        <v>22</v>
      </c>
      <c r="H11" s="56" t="s">
        <v>22</v>
      </c>
      <c r="I11" s="56" t="s">
        <v>22</v>
      </c>
      <c r="K11" s="64">
        <v>52218141.600000001</v>
      </c>
      <c r="L11" s="64">
        <v>43669.8</v>
      </c>
      <c r="M11" s="64">
        <v>120505.5</v>
      </c>
      <c r="N11" s="64">
        <v>135257.29999999999</v>
      </c>
    </row>
    <row r="12" spans="1:14" hidden="1" outlineLevel="1">
      <c r="A12" s="64">
        <v>1968</v>
      </c>
      <c r="B12" s="56">
        <v>71228.3</v>
      </c>
      <c r="C12" s="56">
        <v>46.3</v>
      </c>
      <c r="D12" s="56">
        <v>157</v>
      </c>
      <c r="E12" s="56">
        <v>179.9</v>
      </c>
      <c r="F12" s="56" t="s">
        <v>22</v>
      </c>
      <c r="G12" s="56" t="s">
        <v>22</v>
      </c>
      <c r="H12" s="56" t="s">
        <v>22</v>
      </c>
      <c r="I12" s="56" t="s">
        <v>22</v>
      </c>
      <c r="K12" s="64">
        <v>54536600.5</v>
      </c>
      <c r="L12" s="64">
        <v>43972.4</v>
      </c>
      <c r="M12" s="64">
        <v>129162.7</v>
      </c>
      <c r="N12" s="64">
        <v>127143</v>
      </c>
    </row>
    <row r="13" spans="1:14" hidden="1" outlineLevel="1">
      <c r="A13" s="64">
        <v>1969</v>
      </c>
      <c r="B13" s="56">
        <v>74324.5</v>
      </c>
      <c r="C13" s="56">
        <v>47.5</v>
      </c>
      <c r="D13" s="56">
        <v>159.9</v>
      </c>
      <c r="E13" s="56">
        <v>170.6</v>
      </c>
      <c r="F13" s="56" t="s">
        <v>22</v>
      </c>
      <c r="G13" s="56" t="s">
        <v>22</v>
      </c>
      <c r="H13" s="56" t="s">
        <v>22</v>
      </c>
      <c r="I13" s="56" t="s">
        <v>22</v>
      </c>
      <c r="K13" s="64">
        <v>56734182.5</v>
      </c>
      <c r="L13" s="64">
        <v>45236.2</v>
      </c>
      <c r="M13" s="64">
        <v>132094.1</v>
      </c>
      <c r="N13" s="64">
        <v>119432.5</v>
      </c>
    </row>
    <row r="14" spans="1:14" hidden="1" outlineLevel="1">
      <c r="A14" s="64">
        <v>1970</v>
      </c>
      <c r="B14" s="56">
        <v>77175.5</v>
      </c>
      <c r="C14" s="56">
        <v>42.6</v>
      </c>
      <c r="D14" s="56">
        <v>166.6</v>
      </c>
      <c r="E14" s="56">
        <v>163.80000000000001</v>
      </c>
      <c r="F14" s="56" t="s">
        <v>22</v>
      </c>
      <c r="G14" s="56" t="s">
        <v>22</v>
      </c>
      <c r="H14" s="56" t="s">
        <v>22</v>
      </c>
      <c r="I14" s="56" t="s">
        <v>22</v>
      </c>
      <c r="K14" s="64">
        <v>58794674.600000001</v>
      </c>
      <c r="L14" s="64">
        <v>40318.400000000001</v>
      </c>
      <c r="M14" s="64">
        <v>137716.20000000001</v>
      </c>
      <c r="N14" s="64">
        <v>113994.3</v>
      </c>
    </row>
    <row r="15" spans="1:14" hidden="1" outlineLevel="1">
      <c r="A15" s="64">
        <v>1971</v>
      </c>
      <c r="B15" s="56">
        <v>79547.199999999997</v>
      </c>
      <c r="C15" s="56">
        <v>43.6</v>
      </c>
      <c r="D15" s="56">
        <v>227.6</v>
      </c>
      <c r="E15" s="56">
        <v>248.5</v>
      </c>
      <c r="F15" s="56" t="s">
        <v>22</v>
      </c>
      <c r="G15" s="56" t="s">
        <v>22</v>
      </c>
      <c r="H15" s="56" t="s">
        <v>22</v>
      </c>
      <c r="I15" s="56" t="s">
        <v>22</v>
      </c>
      <c r="K15" s="64">
        <v>60348246.100000001</v>
      </c>
      <c r="L15" s="64">
        <v>41191.800000000003</v>
      </c>
      <c r="M15" s="64">
        <v>193274.1</v>
      </c>
      <c r="N15" s="64">
        <v>185057.4</v>
      </c>
    </row>
    <row r="16" spans="1:14" hidden="1" outlineLevel="1">
      <c r="A16" s="64">
        <v>1972</v>
      </c>
      <c r="B16" s="56">
        <v>82343</v>
      </c>
      <c r="C16" s="56">
        <v>49.2</v>
      </c>
      <c r="D16" s="56">
        <v>313.89999999999998</v>
      </c>
      <c r="E16" s="56">
        <v>435.9</v>
      </c>
      <c r="F16" s="56" t="s">
        <v>22</v>
      </c>
      <c r="G16" s="56" t="s">
        <v>22</v>
      </c>
      <c r="H16" s="56" t="s">
        <v>22</v>
      </c>
      <c r="I16" s="56" t="s">
        <v>22</v>
      </c>
      <c r="K16" s="64">
        <v>62218121.799999997</v>
      </c>
      <c r="L16" s="64">
        <v>46839.8</v>
      </c>
      <c r="M16" s="64">
        <v>277874.09999999998</v>
      </c>
      <c r="N16" s="64">
        <v>345270.4</v>
      </c>
    </row>
    <row r="17" spans="1:14" hidden="1" outlineLevel="1">
      <c r="A17" s="64">
        <v>1973</v>
      </c>
      <c r="B17" s="56">
        <v>86025.2</v>
      </c>
      <c r="C17" s="56">
        <v>54.6</v>
      </c>
      <c r="D17" s="56">
        <v>390.9</v>
      </c>
      <c r="E17" s="56">
        <v>589.79999999999995</v>
      </c>
      <c r="F17" s="56" t="s">
        <v>22</v>
      </c>
      <c r="G17" s="56" t="s">
        <v>22</v>
      </c>
      <c r="H17" s="56" t="s">
        <v>22</v>
      </c>
      <c r="I17" s="56" t="s">
        <v>22</v>
      </c>
      <c r="K17" s="64">
        <v>64922366.200000003</v>
      </c>
      <c r="L17" s="64">
        <v>52153.5</v>
      </c>
      <c r="M17" s="64">
        <v>358167.9</v>
      </c>
      <c r="N17" s="64">
        <v>484181.6</v>
      </c>
    </row>
    <row r="18" spans="1:14" hidden="1" outlineLevel="1">
      <c r="A18" s="64">
        <v>1974</v>
      </c>
      <c r="B18" s="56">
        <v>90822.8</v>
      </c>
      <c r="C18" s="56">
        <v>56.9</v>
      </c>
      <c r="D18" s="56">
        <v>393.3</v>
      </c>
      <c r="E18" s="56">
        <v>568.20000000000005</v>
      </c>
      <c r="F18" s="56" t="s">
        <v>22</v>
      </c>
      <c r="G18" s="56" t="s">
        <v>22</v>
      </c>
      <c r="H18" s="56" t="s">
        <v>22</v>
      </c>
      <c r="I18" s="56" t="s">
        <v>22</v>
      </c>
      <c r="K18" s="64">
        <v>68525900</v>
      </c>
      <c r="L18" s="64">
        <v>55164.2</v>
      </c>
      <c r="M18" s="64">
        <v>359185.7</v>
      </c>
      <c r="N18" s="64">
        <v>462305.2</v>
      </c>
    </row>
    <row r="19" spans="1:14" hidden="1" outlineLevel="1">
      <c r="A19" s="64">
        <v>1975</v>
      </c>
      <c r="B19" s="56">
        <v>96847.3</v>
      </c>
      <c r="C19" s="56">
        <v>57.4</v>
      </c>
      <c r="D19" s="56">
        <v>415.5</v>
      </c>
      <c r="E19" s="56">
        <v>538.79999999999995</v>
      </c>
      <c r="F19" s="56" t="s">
        <v>22</v>
      </c>
      <c r="G19" s="56" t="s">
        <v>22</v>
      </c>
      <c r="H19" s="56" t="s">
        <v>22</v>
      </c>
      <c r="I19" s="56" t="s">
        <v>22</v>
      </c>
      <c r="K19" s="64">
        <v>73000399.599999994</v>
      </c>
      <c r="L19" s="64">
        <v>57109</v>
      </c>
      <c r="M19" s="64">
        <v>375056</v>
      </c>
      <c r="N19" s="64">
        <v>432479.9</v>
      </c>
    </row>
    <row r="20" spans="1:14" hidden="1" outlineLevel="1">
      <c r="A20" s="64">
        <v>1976</v>
      </c>
      <c r="B20" s="56">
        <v>104629.1</v>
      </c>
      <c r="C20" s="56">
        <v>57</v>
      </c>
      <c r="D20" s="56">
        <v>462.7</v>
      </c>
      <c r="E20" s="56">
        <v>517.20000000000005</v>
      </c>
      <c r="F20" s="56" t="s">
        <v>22</v>
      </c>
      <c r="G20" s="56" t="s">
        <v>22</v>
      </c>
      <c r="H20" s="56" t="s">
        <v>22</v>
      </c>
      <c r="I20" s="56" t="s">
        <v>22</v>
      </c>
      <c r="K20" s="64">
        <v>79429325.599999994</v>
      </c>
      <c r="L20" s="64">
        <v>57244.2</v>
      </c>
      <c r="M20" s="64">
        <v>418289.9</v>
      </c>
      <c r="N20" s="64">
        <v>412816.4</v>
      </c>
    </row>
    <row r="21" spans="1:14" hidden="1" outlineLevel="1">
      <c r="A21" s="64">
        <v>1977</v>
      </c>
      <c r="B21" s="56">
        <v>112637.5</v>
      </c>
      <c r="C21" s="56">
        <v>64.400000000000006</v>
      </c>
      <c r="D21" s="56">
        <v>461.2</v>
      </c>
      <c r="E21" s="56">
        <v>511.9</v>
      </c>
      <c r="F21" s="56" t="s">
        <v>22</v>
      </c>
      <c r="G21" s="56" t="s">
        <v>22</v>
      </c>
      <c r="H21" s="56" t="s">
        <v>22</v>
      </c>
      <c r="I21" s="56" t="s">
        <v>22</v>
      </c>
      <c r="K21" s="64">
        <v>85499812.099999994</v>
      </c>
      <c r="L21" s="64">
        <v>65329.8</v>
      </c>
      <c r="M21" s="64">
        <v>413118</v>
      </c>
      <c r="N21" s="64">
        <v>403044.6</v>
      </c>
    </row>
    <row r="22" spans="1:14" hidden="1" outlineLevel="1">
      <c r="A22" s="64">
        <v>1978</v>
      </c>
      <c r="B22" s="56">
        <v>121065.8</v>
      </c>
      <c r="C22" s="56">
        <v>71.599999999999994</v>
      </c>
      <c r="D22" s="56">
        <v>466.3</v>
      </c>
      <c r="E22" s="56">
        <v>543.20000000000005</v>
      </c>
      <c r="F22" s="56" t="s">
        <v>22</v>
      </c>
      <c r="G22" s="56" t="s">
        <v>22</v>
      </c>
      <c r="H22" s="56" t="s">
        <v>22</v>
      </c>
      <c r="I22" s="56" t="s">
        <v>22</v>
      </c>
      <c r="K22" s="64">
        <v>91819612.799999997</v>
      </c>
      <c r="L22" s="64">
        <v>73738.600000000006</v>
      </c>
      <c r="M22" s="64">
        <v>415777.9</v>
      </c>
      <c r="N22" s="64">
        <v>429705</v>
      </c>
    </row>
    <row r="23" spans="1:14" hidden="1" outlineLevel="1">
      <c r="A23" s="64">
        <v>1979</v>
      </c>
      <c r="B23" s="56">
        <v>132175.29999999999</v>
      </c>
      <c r="C23" s="56">
        <v>73.7</v>
      </c>
      <c r="D23" s="56">
        <v>499</v>
      </c>
      <c r="E23" s="56">
        <v>543.29999999999995</v>
      </c>
      <c r="F23" s="56" t="s">
        <v>22</v>
      </c>
      <c r="G23" s="56" t="s">
        <v>22</v>
      </c>
      <c r="H23" s="56" t="s">
        <v>22</v>
      </c>
      <c r="I23" s="56" t="s">
        <v>22</v>
      </c>
      <c r="K23" s="64">
        <v>100319674.8</v>
      </c>
      <c r="L23" s="64">
        <v>75968.7</v>
      </c>
      <c r="M23" s="64">
        <v>444126.4</v>
      </c>
      <c r="N23" s="64">
        <v>430507.8</v>
      </c>
    </row>
    <row r="24" spans="1:14" hidden="1" outlineLevel="1">
      <c r="A24" s="64">
        <v>1980</v>
      </c>
      <c r="B24" s="56">
        <v>145665.1</v>
      </c>
      <c r="C24" s="56">
        <v>76.400000000000006</v>
      </c>
      <c r="D24" s="56">
        <v>512.70000000000005</v>
      </c>
      <c r="E24" s="56">
        <v>506.1</v>
      </c>
      <c r="F24" s="56" t="s">
        <v>22</v>
      </c>
      <c r="G24" s="56" t="s">
        <v>22</v>
      </c>
      <c r="H24" s="56" t="s">
        <v>22</v>
      </c>
      <c r="I24" s="56" t="s">
        <v>22</v>
      </c>
      <c r="K24" s="64">
        <v>110521088.7</v>
      </c>
      <c r="L24" s="64">
        <v>78863.7</v>
      </c>
      <c r="M24" s="64">
        <v>454764.2</v>
      </c>
      <c r="N24" s="64">
        <v>397000.5</v>
      </c>
    </row>
    <row r="25" spans="1:14" hidden="1" outlineLevel="1">
      <c r="A25" s="64">
        <v>1981</v>
      </c>
      <c r="B25" s="56">
        <v>162026.4</v>
      </c>
      <c r="C25" s="56">
        <v>76.7</v>
      </c>
      <c r="D25" s="56">
        <v>540.4</v>
      </c>
      <c r="E25" s="56">
        <v>482.7</v>
      </c>
      <c r="F25" s="56" t="s">
        <v>22</v>
      </c>
      <c r="G25" s="56" t="s">
        <v>22</v>
      </c>
      <c r="H25" s="56" t="s">
        <v>22</v>
      </c>
      <c r="I25" s="56" t="s">
        <v>22</v>
      </c>
      <c r="K25" s="64">
        <v>123355449</v>
      </c>
      <c r="L25" s="64">
        <v>79334.3</v>
      </c>
      <c r="M25" s="64">
        <v>485560.9</v>
      </c>
      <c r="N25" s="64">
        <v>379697.6</v>
      </c>
    </row>
    <row r="26" spans="1:14" hidden="1" outlineLevel="1">
      <c r="A26" s="64">
        <v>1982</v>
      </c>
      <c r="B26" s="56">
        <v>173328.9</v>
      </c>
      <c r="C26" s="56">
        <v>72.400000000000006</v>
      </c>
      <c r="D26" s="56">
        <v>533.9</v>
      </c>
      <c r="E26" s="56">
        <v>454.6</v>
      </c>
      <c r="F26" s="56" t="s">
        <v>22</v>
      </c>
      <c r="G26" s="56" t="s">
        <v>22</v>
      </c>
      <c r="H26" s="56" t="s">
        <v>22</v>
      </c>
      <c r="I26" s="56" t="s">
        <v>22</v>
      </c>
      <c r="K26" s="64">
        <v>132126001.7</v>
      </c>
      <c r="L26" s="64">
        <v>73766.7</v>
      </c>
      <c r="M26" s="64">
        <v>478704.9</v>
      </c>
      <c r="N26" s="64">
        <v>356037</v>
      </c>
    </row>
    <row r="27" spans="1:14" hidden="1" outlineLevel="1">
      <c r="A27" s="64">
        <v>1983</v>
      </c>
      <c r="B27" s="56">
        <v>177704.6</v>
      </c>
      <c r="C27" s="56">
        <v>66.5</v>
      </c>
      <c r="D27" s="56">
        <v>527.5</v>
      </c>
      <c r="E27" s="56">
        <v>413.9</v>
      </c>
      <c r="F27" s="56" t="s">
        <v>22</v>
      </c>
      <c r="G27" s="56" t="s">
        <v>22</v>
      </c>
      <c r="H27" s="56" t="s">
        <v>22</v>
      </c>
      <c r="I27" s="56" t="s">
        <v>22</v>
      </c>
      <c r="K27" s="64">
        <v>135013061.90000001</v>
      </c>
      <c r="L27" s="64">
        <v>66414.3</v>
      </c>
      <c r="M27" s="64">
        <v>473077.5</v>
      </c>
      <c r="N27" s="64">
        <v>320706.90000000002</v>
      </c>
    </row>
    <row r="28" spans="1:14" collapsed="1">
      <c r="A28" s="66">
        <v>1984</v>
      </c>
      <c r="B28" s="56">
        <v>179891.20000000001</v>
      </c>
      <c r="C28" s="56">
        <v>64.3</v>
      </c>
      <c r="D28" s="56">
        <v>494.6</v>
      </c>
      <c r="E28" s="56">
        <v>390.7</v>
      </c>
      <c r="F28" s="56">
        <f>'809'!H5/'839'!B28*1000</f>
        <v>443.93575878564451</v>
      </c>
      <c r="G28" s="56">
        <f>'809'!J5/'839'!C28*1000</f>
        <v>22482.32541115427</v>
      </c>
      <c r="H28" s="56" t="s">
        <v>22</v>
      </c>
      <c r="I28" s="56" t="s">
        <v>22</v>
      </c>
      <c r="K28" s="64">
        <v>136042467.40000001</v>
      </c>
      <c r="L28" s="64">
        <v>64346.7</v>
      </c>
      <c r="M28" s="64">
        <v>441281</v>
      </c>
      <c r="N28" s="64">
        <v>300795.59999999998</v>
      </c>
    </row>
    <row r="29" spans="1:14">
      <c r="A29" s="66">
        <v>1985</v>
      </c>
      <c r="B29" s="56">
        <v>183588</v>
      </c>
      <c r="C29" s="56">
        <v>60.5</v>
      </c>
      <c r="D29" s="56">
        <v>474</v>
      </c>
      <c r="E29" s="56">
        <v>394.6</v>
      </c>
      <c r="F29" s="56">
        <f>'809'!H6/'839'!B29*1000</f>
        <v>464.01608345982788</v>
      </c>
      <c r="G29" s="56">
        <f>'809'!J6/'839'!C29*1000</f>
        <v>23515.161611992029</v>
      </c>
      <c r="H29" s="56">
        <f>'809'!K6/'839'!D29*1000</f>
        <v>10471.46189068988</v>
      </c>
      <c r="I29" s="56" t="s">
        <v>22</v>
      </c>
      <c r="K29" s="64">
        <v>138314254.90000001</v>
      </c>
      <c r="L29" s="64">
        <v>60381.8</v>
      </c>
      <c r="M29" s="64">
        <v>419312</v>
      </c>
      <c r="N29" s="64">
        <v>306593.8</v>
      </c>
    </row>
    <row r="30" spans="1:14">
      <c r="A30" s="66">
        <v>1986</v>
      </c>
      <c r="B30" s="56">
        <v>184673.5</v>
      </c>
      <c r="C30" s="56">
        <v>57.6</v>
      </c>
      <c r="D30" s="56">
        <v>542</v>
      </c>
      <c r="E30" s="56">
        <v>385.4</v>
      </c>
      <c r="F30" s="56">
        <f>'809'!H7/'839'!B30*1000</f>
        <v>450.3248814538818</v>
      </c>
      <c r="G30" s="56">
        <f>'809'!J7/'839'!C30*1000</f>
        <v>21027.599118831553</v>
      </c>
      <c r="H30" s="56">
        <f>'809'!K7/'839'!D30*1000</f>
        <v>8372.0867884496365</v>
      </c>
      <c r="I30" s="56" t="s">
        <v>22</v>
      </c>
      <c r="K30" s="64">
        <v>138501190.19999999</v>
      </c>
      <c r="L30" s="64">
        <v>58014</v>
      </c>
      <c r="M30" s="64">
        <v>487754.2</v>
      </c>
      <c r="N30" s="64">
        <v>300383.5</v>
      </c>
    </row>
    <row r="31" spans="1:14">
      <c r="A31" s="66">
        <v>1987</v>
      </c>
      <c r="B31" s="56">
        <v>186202.8</v>
      </c>
      <c r="C31" s="56">
        <v>57.8</v>
      </c>
      <c r="D31" s="56">
        <v>584.70000000000005</v>
      </c>
      <c r="E31" s="56">
        <v>474.2</v>
      </c>
      <c r="F31" s="56">
        <f>'809'!H8/'839'!B31*1000</f>
        <v>449.04513466329604</v>
      </c>
      <c r="G31" s="56">
        <f>'809'!J8/'839'!C31*1000</f>
        <v>17667.445546361007</v>
      </c>
      <c r="H31" s="56">
        <f>'809'!K8/'839'!D31*1000</f>
        <v>6911.4297727657158</v>
      </c>
      <c r="I31" s="56" t="s">
        <v>22</v>
      </c>
      <c r="K31" s="64">
        <v>138985215.09999999</v>
      </c>
      <c r="L31" s="64">
        <v>58620.1</v>
      </c>
      <c r="M31" s="64">
        <v>532048.5</v>
      </c>
      <c r="N31" s="64">
        <v>381970.6</v>
      </c>
    </row>
    <row r="32" spans="1:14">
      <c r="A32" s="66">
        <v>1988</v>
      </c>
      <c r="B32" s="56">
        <v>190680.4</v>
      </c>
      <c r="C32" s="56">
        <v>56</v>
      </c>
      <c r="D32" s="56">
        <v>774.3</v>
      </c>
      <c r="E32" s="56">
        <v>1001.7</v>
      </c>
      <c r="F32" s="56">
        <f>'809'!H9/'839'!B32*1000</f>
        <v>466.60057158636687</v>
      </c>
      <c r="G32" s="56">
        <f>'809'!J9/'839'!C32*1000</f>
        <v>17528.651165805135</v>
      </c>
      <c r="H32" s="56">
        <f>'809'!K9/'839'!D32*1000</f>
        <v>4560.2038950695778</v>
      </c>
      <c r="I32" s="56" t="s">
        <v>22</v>
      </c>
      <c r="K32" s="64">
        <v>142050038.40000001</v>
      </c>
      <c r="L32" s="64">
        <v>56372.6</v>
      </c>
      <c r="M32" s="64">
        <v>722942.6</v>
      </c>
      <c r="N32" s="64">
        <v>850188.7</v>
      </c>
    </row>
    <row r="33" spans="1:14">
      <c r="A33" s="66">
        <v>1989</v>
      </c>
      <c r="B33" s="56">
        <v>192848</v>
      </c>
      <c r="C33" s="56">
        <v>57</v>
      </c>
      <c r="D33" s="56">
        <v>998.5</v>
      </c>
      <c r="E33" s="56">
        <v>1861</v>
      </c>
      <c r="F33" s="56">
        <f>'809'!H10/'839'!B33*1000</f>
        <v>464.07345794767809</v>
      </c>
      <c r="G33" s="56">
        <f>'809'!J10/'839'!C33*1000</f>
        <v>16045.119671340426</v>
      </c>
      <c r="H33" s="56">
        <f>'809'!K10/'839'!D33*1000</f>
        <v>3430.4618096085837</v>
      </c>
      <c r="I33" s="56" t="s">
        <v>22</v>
      </c>
      <c r="K33" s="64">
        <v>143288541.19999999</v>
      </c>
      <c r="L33" s="64">
        <v>57404.1</v>
      </c>
      <c r="M33" s="64">
        <v>941494.6</v>
      </c>
      <c r="N33" s="64">
        <v>1599607.2</v>
      </c>
    </row>
    <row r="34" spans="1:14">
      <c r="A34" s="66">
        <v>1990</v>
      </c>
      <c r="B34" s="56">
        <v>195786</v>
      </c>
      <c r="C34" s="56">
        <v>54.5</v>
      </c>
      <c r="D34" s="56">
        <v>1103.0999999999999</v>
      </c>
      <c r="E34" s="56">
        <v>2174.5</v>
      </c>
      <c r="F34" s="56">
        <f>'809'!H11/'839'!B34*1000</f>
        <v>470.33412710086566</v>
      </c>
      <c r="G34" s="56">
        <f>'809'!J11/'839'!C34*1000</f>
        <v>16781.134335163384</v>
      </c>
      <c r="H34" s="56">
        <f>'809'!K11/'839'!D34*1000</f>
        <v>2881.6151400932426</v>
      </c>
      <c r="I34" s="56" t="s">
        <v>22</v>
      </c>
      <c r="K34" s="64">
        <v>145102052.30000001</v>
      </c>
      <c r="L34" s="64">
        <v>54603.9</v>
      </c>
      <c r="M34" s="64">
        <v>1048742</v>
      </c>
      <c r="N34" s="64">
        <v>1882856.5</v>
      </c>
    </row>
    <row r="35" spans="1:14">
      <c r="A35" s="66">
        <v>1991</v>
      </c>
      <c r="B35" s="56">
        <v>197385.8</v>
      </c>
      <c r="C35" s="56">
        <v>53.9</v>
      </c>
      <c r="D35" s="56">
        <v>1117.8</v>
      </c>
      <c r="E35" s="56">
        <v>2286</v>
      </c>
      <c r="F35" s="56">
        <f>'809'!H12/'839'!B35*1000</f>
        <v>473.03189462665364</v>
      </c>
      <c r="G35" s="56">
        <f>'809'!J12/'839'!C35*1000</f>
        <v>13393.52672801989</v>
      </c>
      <c r="H35" s="56">
        <f>'809'!K12/'839'!D35*1000</f>
        <v>3246.1022723019614</v>
      </c>
      <c r="I35" s="56" t="s">
        <v>22</v>
      </c>
      <c r="K35" s="64">
        <v>145667552.30000001</v>
      </c>
      <c r="L35" s="64">
        <v>53876.7</v>
      </c>
      <c r="M35" s="64">
        <v>1042545.8</v>
      </c>
      <c r="N35" s="64">
        <v>1921864.8</v>
      </c>
    </row>
    <row r="36" spans="1:14">
      <c r="A36" s="66">
        <v>1992</v>
      </c>
      <c r="B36" s="56">
        <v>197609.4</v>
      </c>
      <c r="C36" s="56">
        <v>64.2</v>
      </c>
      <c r="D36" s="56">
        <v>1249.5999999999999</v>
      </c>
      <c r="E36" s="56">
        <v>2780.2</v>
      </c>
      <c r="F36" s="56">
        <f>'809'!H13/'839'!B36*1000</f>
        <v>478.47511965940117</v>
      </c>
      <c r="G36" s="56">
        <f>'809'!J13/'839'!C36*1000</f>
        <v>12172.353960663242</v>
      </c>
      <c r="H36" s="56">
        <f>'809'!K13/'839'!D36*1000</f>
        <v>2767.7487112574909</v>
      </c>
      <c r="I36" s="56" t="s">
        <v>22</v>
      </c>
      <c r="K36" s="64">
        <v>145149905.5</v>
      </c>
      <c r="L36" s="64">
        <v>66100.399999999994</v>
      </c>
      <c r="M36" s="64">
        <v>1150520.8</v>
      </c>
      <c r="N36" s="64">
        <v>2291628.7999999998</v>
      </c>
    </row>
    <row r="37" spans="1:14">
      <c r="A37" s="66">
        <v>1993</v>
      </c>
      <c r="B37" s="56">
        <v>200067.7</v>
      </c>
      <c r="C37" s="56">
        <v>84.4</v>
      </c>
      <c r="D37" s="56">
        <v>1395.2</v>
      </c>
      <c r="E37" s="56">
        <v>2979.6</v>
      </c>
      <c r="F37" s="56">
        <f>'809'!H14/'839'!B37*1000</f>
        <v>502.38485529907575</v>
      </c>
      <c r="G37" s="56">
        <f>'809'!J14/'839'!C37*1000</f>
        <v>9573.6938912302467</v>
      </c>
      <c r="H37" s="56">
        <f>'809'!K14/'839'!D37*1000</f>
        <v>1936.493721531793</v>
      </c>
      <c r="I37" s="56" t="s">
        <v>22</v>
      </c>
      <c r="K37" s="64">
        <v>146433860.59999999</v>
      </c>
      <c r="L37" s="64">
        <v>89402.4</v>
      </c>
      <c r="M37" s="64">
        <v>1271173</v>
      </c>
      <c r="N37" s="64">
        <v>2419440.7000000002</v>
      </c>
    </row>
    <row r="38" spans="1:14">
      <c r="A38" s="66">
        <v>1994</v>
      </c>
      <c r="B38" s="56">
        <v>205234</v>
      </c>
      <c r="C38" s="56">
        <v>83.4</v>
      </c>
      <c r="D38" s="56">
        <v>1486.4</v>
      </c>
      <c r="E38" s="56">
        <v>2824.4</v>
      </c>
      <c r="F38" s="56">
        <f>'809'!H15/'839'!B38*1000</f>
        <v>525.3043563718677</v>
      </c>
      <c r="G38" s="56">
        <f>'809'!J15/'839'!C38*1000</f>
        <v>7360.7994550201702</v>
      </c>
      <c r="H38" s="56">
        <f>'809'!K15/'839'!D38*1000</f>
        <v>1848.2111322001258</v>
      </c>
      <c r="I38" s="56" t="s">
        <v>22</v>
      </c>
      <c r="K38" s="64">
        <v>149557831.5</v>
      </c>
      <c r="L38" s="64">
        <v>88305.8</v>
      </c>
      <c r="M38" s="64">
        <v>1351783.8</v>
      </c>
      <c r="N38" s="64">
        <v>2260619.9</v>
      </c>
    </row>
    <row r="39" spans="1:14">
      <c r="A39" s="66">
        <v>1995</v>
      </c>
      <c r="B39" s="56">
        <v>209662.5</v>
      </c>
      <c r="C39" s="56">
        <v>111.5</v>
      </c>
      <c r="D39" s="56">
        <v>1857.3</v>
      </c>
      <c r="E39" s="56">
        <v>2661.7</v>
      </c>
      <c r="F39" s="56">
        <f>'809'!H16/'839'!B39*1000</f>
        <v>526.81343923055465</v>
      </c>
      <c r="G39" s="56">
        <f>'809'!J16/'839'!C39*1000</f>
        <v>4291.5424362331796</v>
      </c>
      <c r="H39" s="56">
        <f>'809'!K16/'839'!D39*1000</f>
        <v>1323.9064204732608</v>
      </c>
      <c r="I39" s="56" t="s">
        <v>22</v>
      </c>
      <c r="K39" s="64">
        <v>152408742.5</v>
      </c>
      <c r="L39" s="64">
        <v>118690.4</v>
      </c>
      <c r="M39" s="64">
        <v>1707901.3</v>
      </c>
      <c r="N39" s="64">
        <v>2098587.5</v>
      </c>
    </row>
    <row r="40" spans="1:14">
      <c r="A40" s="66">
        <v>1996</v>
      </c>
      <c r="B40" s="56">
        <v>213318.2</v>
      </c>
      <c r="C40" s="56">
        <v>130</v>
      </c>
      <c r="D40" s="56">
        <v>1770.4</v>
      </c>
      <c r="E40" s="56">
        <v>2468.9</v>
      </c>
      <c r="F40" s="56">
        <f>'809'!H17/'839'!B40*1000</f>
        <v>530.61085448194865</v>
      </c>
      <c r="G40" s="56">
        <f>'809'!J17/'839'!C40*1000</f>
        <v>3845.0466960149124</v>
      </c>
      <c r="H40" s="56">
        <f>'809'!K17/'839'!D40*1000</f>
        <v>1234.1904571878069</v>
      </c>
      <c r="I40" s="56" t="s">
        <v>22</v>
      </c>
      <c r="K40" s="64">
        <v>154583112</v>
      </c>
      <c r="L40" s="64">
        <v>139104.9</v>
      </c>
      <c r="M40" s="64">
        <v>1608859.1</v>
      </c>
      <c r="N40" s="64">
        <v>1910686.4</v>
      </c>
    </row>
    <row r="41" spans="1:14">
      <c r="A41" s="66">
        <v>1997</v>
      </c>
      <c r="B41" s="56">
        <v>223169</v>
      </c>
      <c r="C41" s="56">
        <v>145.4</v>
      </c>
      <c r="D41" s="56">
        <v>1672.1</v>
      </c>
      <c r="E41" s="56">
        <v>2267.5</v>
      </c>
      <c r="F41" s="56">
        <f>'809'!H18/'839'!B41*1000</f>
        <v>548.00890804726453</v>
      </c>
      <c r="G41" s="56">
        <f>'809'!J18/'839'!C41*1000</f>
        <v>3467.5512791624496</v>
      </c>
      <c r="H41" s="56">
        <f>'809'!K18/'839'!D41*1000</f>
        <v>1182.163963260813</v>
      </c>
      <c r="I41" s="56" t="s">
        <v>22</v>
      </c>
      <c r="K41" s="64">
        <v>161827039.69999999</v>
      </c>
      <c r="L41" s="64">
        <v>155504.5</v>
      </c>
      <c r="M41" s="64">
        <v>1501961.4</v>
      </c>
      <c r="N41" s="64">
        <v>1722231.5</v>
      </c>
    </row>
    <row r="42" spans="1:14">
      <c r="A42" s="66">
        <v>1998</v>
      </c>
      <c r="B42" s="56">
        <v>235392.3</v>
      </c>
      <c r="C42" s="56">
        <v>146.5</v>
      </c>
      <c r="D42" s="56">
        <v>1631.9</v>
      </c>
      <c r="E42" s="56">
        <v>2133</v>
      </c>
      <c r="F42" s="56">
        <f>'809'!H19/'839'!B42*1000</f>
        <v>543.77692048550421</v>
      </c>
      <c r="G42" s="56">
        <f>'809'!J19/'839'!C42*1000</f>
        <v>3751.5449325774844</v>
      </c>
      <c r="H42" s="56">
        <f>'809'!K19/'839'!D42*1000</f>
        <v>1091.3996655435967</v>
      </c>
      <c r="I42" s="56" t="s">
        <v>22</v>
      </c>
      <c r="K42" s="64">
        <v>170207330.19999999</v>
      </c>
      <c r="L42" s="64">
        <v>155036.70000000001</v>
      </c>
      <c r="M42" s="64">
        <v>1444521.3</v>
      </c>
      <c r="N42" s="64">
        <v>1590354.8</v>
      </c>
    </row>
    <row r="43" spans="1:14">
      <c r="A43" s="66">
        <v>1999</v>
      </c>
      <c r="B43" s="56">
        <v>242892.7</v>
      </c>
      <c r="C43" s="56">
        <v>165.2</v>
      </c>
      <c r="D43" s="56">
        <v>1482.3</v>
      </c>
      <c r="E43" s="56">
        <v>1965</v>
      </c>
      <c r="F43" s="56">
        <f>'809'!H20/'839'!B43*1000</f>
        <v>538.08739414564525</v>
      </c>
      <c r="G43" s="56">
        <f>'809'!J20/'839'!C43*1000</f>
        <v>2826.6465000701837</v>
      </c>
      <c r="H43" s="56">
        <f>'809'!K20/'839'!D43*1000</f>
        <v>1126.5914199723086</v>
      </c>
      <c r="I43" s="56">
        <f>'809'!L20/'839'!E43*1000</f>
        <v>258.01526717557249</v>
      </c>
      <c r="K43" s="64">
        <v>175999486.80000001</v>
      </c>
      <c r="L43" s="64">
        <v>171715.5</v>
      </c>
      <c r="M43" s="64">
        <v>1295495</v>
      </c>
      <c r="N43" s="64">
        <v>1439550.4</v>
      </c>
    </row>
    <row r="44" spans="1:14">
      <c r="A44" s="66">
        <v>2000</v>
      </c>
      <c r="B44" s="56">
        <v>255111.9</v>
      </c>
      <c r="C44" s="56">
        <v>165</v>
      </c>
      <c r="D44" s="56">
        <v>1641.6</v>
      </c>
      <c r="E44" s="56">
        <v>1854</v>
      </c>
      <c r="F44" s="56">
        <f>'809'!H21/'839'!B44*1000</f>
        <v>545.53119631032484</v>
      </c>
      <c r="G44" s="56">
        <f>'809'!J21/'839'!C44*1000</f>
        <v>2086.4108868315884</v>
      </c>
      <c r="H44" s="56">
        <f>'809'!K21/'839'!D44*1000</f>
        <v>897.08132861805075</v>
      </c>
      <c r="I44" s="56">
        <f>'809'!L21/'839'!E44*1000</f>
        <v>282.20064724919098</v>
      </c>
      <c r="K44" s="64">
        <v>185662902.69999999</v>
      </c>
      <c r="L44" s="64">
        <v>168295.7</v>
      </c>
      <c r="M44" s="64">
        <v>1453348.1</v>
      </c>
      <c r="N44" s="64">
        <v>1339788.8999999999</v>
      </c>
    </row>
    <row r="45" spans="1:14">
      <c r="A45" s="66">
        <v>2001</v>
      </c>
      <c r="B45" s="56">
        <v>269294.09999999998</v>
      </c>
      <c r="C45" s="56">
        <v>160.6</v>
      </c>
      <c r="D45" s="56">
        <v>1584.6</v>
      </c>
      <c r="E45" s="56">
        <v>1877.5</v>
      </c>
      <c r="F45" s="56">
        <f>'809'!H22/'839'!B45*1000</f>
        <v>526.95176017595622</v>
      </c>
      <c r="G45" s="56">
        <f>'809'!J22/'839'!C45*1000</f>
        <v>2095.9845323751247</v>
      </c>
      <c r="H45" s="56">
        <f>'809'!K22/'839'!D45*1000</f>
        <v>924.79438815576748</v>
      </c>
      <c r="I45" s="56">
        <f>'809'!L22/'839'!E45*1000</f>
        <v>248.20239680426101</v>
      </c>
      <c r="K45" s="64">
        <v>196419987.69999999</v>
      </c>
      <c r="L45" s="64">
        <v>165063.29999999999</v>
      </c>
      <c r="M45" s="64">
        <v>1393390.9</v>
      </c>
      <c r="N45" s="64">
        <v>1358957.6</v>
      </c>
    </row>
    <row r="46" spans="1:14">
      <c r="A46" s="66">
        <v>2002</v>
      </c>
      <c r="B46" s="56">
        <v>278276.40000000002</v>
      </c>
      <c r="C46" s="56">
        <v>154.9</v>
      </c>
      <c r="D46" s="56">
        <v>1458.4</v>
      </c>
      <c r="E46" s="56">
        <v>1777.8</v>
      </c>
      <c r="F46" s="56">
        <f>'809'!H23/'839'!B46*1000</f>
        <v>518.42772150279347</v>
      </c>
      <c r="G46" s="56">
        <f>'809'!J23/'839'!C46*1000</f>
        <v>1950.8333478392824</v>
      </c>
      <c r="H46" s="56">
        <f>'809'!K23/'839'!D46*1000</f>
        <v>918.05657184555787</v>
      </c>
      <c r="I46" s="56">
        <f>'809'!L23/'839'!E46*1000</f>
        <v>277.64652941838233</v>
      </c>
      <c r="K46" s="64">
        <v>203378043.69999999</v>
      </c>
      <c r="L46" s="64">
        <v>160902.20000000001</v>
      </c>
      <c r="M46" s="64">
        <v>1269869</v>
      </c>
      <c r="N46" s="64">
        <v>1270620.3999999999</v>
      </c>
    </row>
    <row r="47" spans="1:14">
      <c r="A47" s="66">
        <v>2003</v>
      </c>
      <c r="B47" s="56">
        <v>289550.09999999998</v>
      </c>
      <c r="C47" s="56">
        <v>164</v>
      </c>
      <c r="D47" s="56">
        <v>1383.4</v>
      </c>
      <c r="E47" s="56">
        <v>1659.5</v>
      </c>
      <c r="F47" s="56">
        <f>'809'!H24/'839'!B47*1000</f>
        <v>514.42910915934749</v>
      </c>
      <c r="G47" s="56">
        <f>'809'!J24/'839'!C47*1000</f>
        <v>1820.7075148509957</v>
      </c>
      <c r="H47" s="56">
        <f>'809'!K24/'839'!D47*1000</f>
        <v>966.86594982535701</v>
      </c>
      <c r="I47" s="56">
        <f>'809'!L24/'839'!E47*1000</f>
        <v>303.82645375112986</v>
      </c>
      <c r="K47" s="64">
        <v>212684190.30000001</v>
      </c>
      <c r="L47" s="64">
        <v>174075.8</v>
      </c>
      <c r="M47" s="64">
        <v>1195776.7</v>
      </c>
      <c r="N47" s="64">
        <v>1164829.8</v>
      </c>
    </row>
    <row r="48" spans="1:14">
      <c r="A48" s="66">
        <v>2004</v>
      </c>
      <c r="B48" s="56">
        <v>303933.09999999998</v>
      </c>
      <c r="C48" s="56">
        <v>177</v>
      </c>
      <c r="D48" s="56">
        <v>1384</v>
      </c>
      <c r="E48" s="56">
        <v>1582.1</v>
      </c>
      <c r="F48" s="56">
        <f>'809'!H25/'839'!B48*1000</f>
        <v>516.85091225667747</v>
      </c>
      <c r="G48" s="56">
        <f>'809'!J25/'839'!C48*1000</f>
        <v>1644.5943273135613</v>
      </c>
      <c r="H48" s="56">
        <f>'809'!K25/'839'!D48*1000</f>
        <v>852.12828531018204</v>
      </c>
      <c r="I48" s="56">
        <f>'809'!L25/'839'!E48*1000</f>
        <v>338.15814423867016</v>
      </c>
      <c r="K48" s="64">
        <v>224531955.90000001</v>
      </c>
      <c r="L48" s="64">
        <v>191253.6</v>
      </c>
      <c r="M48" s="64">
        <v>1196861.3</v>
      </c>
      <c r="N48" s="64">
        <v>1088662.3</v>
      </c>
    </row>
    <row r="49" spans="1:14">
      <c r="A49" s="66">
        <v>2005</v>
      </c>
      <c r="B49" s="56">
        <v>326725.40000000002</v>
      </c>
      <c r="C49" s="56">
        <v>187.7</v>
      </c>
      <c r="D49" s="56">
        <v>1446.2</v>
      </c>
      <c r="E49" s="56">
        <v>1545.4</v>
      </c>
      <c r="F49" s="56">
        <f>'809'!H26/'839'!B49*1000</f>
        <v>503.94735150680037</v>
      </c>
      <c r="G49" s="56">
        <f>'809'!J26/'839'!C49*1000</f>
        <v>1441.7546568000259</v>
      </c>
      <c r="H49" s="56">
        <f>'809'!K26/'839'!D49*1000</f>
        <v>776.07143246580006</v>
      </c>
      <c r="I49" s="56">
        <f>'809'!L26/'839'!E49*1000</f>
        <v>411.80276950951207</v>
      </c>
      <c r="K49" s="64">
        <v>243083243.80000001</v>
      </c>
      <c r="L49" s="64">
        <v>204463.4</v>
      </c>
      <c r="M49" s="64">
        <v>1249215</v>
      </c>
      <c r="N49" s="64">
        <v>1068191.7</v>
      </c>
    </row>
    <row r="50" spans="1:14">
      <c r="A50" s="66">
        <v>2006</v>
      </c>
      <c r="B50" s="56">
        <v>351289.59999999998</v>
      </c>
      <c r="C50" s="56">
        <v>189.3</v>
      </c>
      <c r="D50" s="56">
        <v>1390.8</v>
      </c>
      <c r="E50" s="56">
        <v>1570.3</v>
      </c>
      <c r="F50" s="56">
        <f>'809'!H27/'839'!B50*1000</f>
        <v>497.74715790049009</v>
      </c>
      <c r="G50" s="56">
        <f>'809'!J27/'839'!C50*1000</f>
        <v>1360.303853568513</v>
      </c>
      <c r="H50" s="56">
        <f>'809'!K27/'839'!D50*1000</f>
        <v>781.9738490181129</v>
      </c>
      <c r="I50" s="56" t="s">
        <v>22</v>
      </c>
      <c r="K50" s="64">
        <v>261604018.5</v>
      </c>
      <c r="L50" s="64">
        <v>224187.4</v>
      </c>
      <c r="M50" s="64">
        <v>1371222.7</v>
      </c>
      <c r="N50" s="64">
        <v>1114871</v>
      </c>
    </row>
    <row r="51" spans="1:14">
      <c r="A51" s="66">
        <v>2007</v>
      </c>
      <c r="B51" s="56">
        <v>373264.8</v>
      </c>
      <c r="C51" s="56">
        <v>167.9</v>
      </c>
      <c r="D51" s="56">
        <v>1347.9</v>
      </c>
      <c r="E51" s="56">
        <v>1579.1</v>
      </c>
      <c r="F51" s="56">
        <f>'809'!H28/'839'!B51*1000</f>
        <v>669.42020785244154</v>
      </c>
      <c r="G51" s="56">
        <f>'809'!J28/'839'!C51*1000</f>
        <v>1912.4478856462181</v>
      </c>
      <c r="H51" s="56">
        <f>'809'!K28/'839'!D51*1000</f>
        <v>942.57734253282877</v>
      </c>
      <c r="I51" s="56">
        <f>'809'!L28/'839'!E51*1000</f>
        <v>371.35076942562216</v>
      </c>
      <c r="K51" s="64">
        <v>278070899.39999998</v>
      </c>
      <c r="L51" s="64">
        <v>228688.4</v>
      </c>
      <c r="M51" s="64">
        <v>1506091</v>
      </c>
      <c r="N51" s="64">
        <v>1154025.8</v>
      </c>
    </row>
    <row r="52" spans="1:14">
      <c r="A52" s="66">
        <v>2008</v>
      </c>
      <c r="B52" s="56">
        <v>394883.2</v>
      </c>
      <c r="C52" s="56">
        <v>160.5</v>
      </c>
      <c r="D52" s="56">
        <v>1308.5999999999999</v>
      </c>
      <c r="E52" s="56">
        <v>1472</v>
      </c>
      <c r="F52" s="56">
        <f>'809'!H29/'839'!B52*1000</f>
        <v>643.60727425223467</v>
      </c>
      <c r="G52" s="56">
        <f>'809'!J29/'839'!C52*1000</f>
        <v>1869.1588785046729</v>
      </c>
      <c r="H52" s="56">
        <f>'809'!K29/'839'!D52*1000</f>
        <v>845.86581079015752</v>
      </c>
      <c r="I52" s="56">
        <f>'809'!L29/'839'!E52*1000</f>
        <v>380.0271739130435</v>
      </c>
    </row>
    <row r="53" spans="1:14">
      <c r="A53" s="66">
        <v>2009</v>
      </c>
      <c r="B53" s="56">
        <v>393947</v>
      </c>
      <c r="C53" s="56">
        <v>150.9</v>
      </c>
      <c r="D53" s="56">
        <v>1187.3</v>
      </c>
      <c r="E53" s="56">
        <v>1340.2</v>
      </c>
      <c r="F53" s="56">
        <f>'809'!H30/'839'!B53*1000</f>
        <v>615.45385546786758</v>
      </c>
      <c r="G53" s="56">
        <f>'809'!J30/'839'!C53*1000</f>
        <v>1840.2915838303511</v>
      </c>
      <c r="H53" s="56">
        <f>'809'!K30/'839'!D53*1000</f>
        <v>786.23768213593871</v>
      </c>
      <c r="I53" s="56">
        <f>'809'!L30/'839'!E53*1000</f>
        <v>359.87166094612746</v>
      </c>
    </row>
    <row r="54" spans="1:14">
      <c r="A54" s="66">
        <v>2010</v>
      </c>
      <c r="B54" s="56">
        <v>404033.7</v>
      </c>
      <c r="C54" s="56">
        <v>145.6</v>
      </c>
      <c r="D54" s="56">
        <v>1117.5999999999999</v>
      </c>
      <c r="E54" s="56">
        <v>1273.9000000000001</v>
      </c>
      <c r="F54" s="56">
        <f>'809'!H31/'839'!B54*1000</f>
        <v>625.89853272140419</v>
      </c>
      <c r="G54" s="56">
        <f>'809'!J31/'839'!C54*1000</f>
        <v>2165.5219780219782</v>
      </c>
      <c r="H54" s="56">
        <f>'809'!K31/'839'!D54*1000</f>
        <v>926.00214745884057</v>
      </c>
      <c r="I54" s="56">
        <f>'809'!L31/'839'!E54*1000</f>
        <v>403.56385901562129</v>
      </c>
    </row>
    <row r="55" spans="1:14">
      <c r="A55" s="66">
        <v>2011</v>
      </c>
      <c r="B55" s="56">
        <v>417954.7</v>
      </c>
      <c r="C55" s="56">
        <v>153.9</v>
      </c>
      <c r="D55" s="56">
        <v>1050.4000000000001</v>
      </c>
      <c r="E55" s="56">
        <v>1221.4000000000001</v>
      </c>
      <c r="F55" s="56">
        <f>'809'!H32/'839'!B55*1000</f>
        <v>637.36261369952297</v>
      </c>
      <c r="G55" s="56">
        <f>'809'!J32/'839'!C55*1000</f>
        <v>2164.3924626380767</v>
      </c>
      <c r="H55" s="56">
        <f>'809'!K32/'839'!D55*1000</f>
        <v>1080.15993907083</v>
      </c>
      <c r="I55" s="56">
        <f>'809'!L32/'839'!E55*1000</f>
        <v>379.89192729654491</v>
      </c>
    </row>
    <row r="57" spans="1:14">
      <c r="A57" s="66" t="s">
        <v>23</v>
      </c>
    </row>
    <row r="58" spans="1:14">
      <c r="A58" s="64" t="s">
        <v>2143</v>
      </c>
      <c r="B58" s="65">
        <f>IFERROR(((B55/B28)^(1/27)-1)*100,"n.a.")</f>
        <v>3.1715544297651999</v>
      </c>
      <c r="C58" s="65">
        <f t="shared" ref="C58:I58" si="0">IFERROR(((C55/C28)^(1/27)-1)*100,"n.a.")</f>
        <v>3.2851919577375099</v>
      </c>
      <c r="D58" s="65">
        <f t="shared" si="0"/>
        <v>2.8288164337782584</v>
      </c>
      <c r="E58" s="65">
        <f t="shared" si="0"/>
        <v>4.311903496512004</v>
      </c>
      <c r="F58" s="65">
        <f t="shared" si="0"/>
        <v>1.3484885253169709</v>
      </c>
      <c r="G58" s="65">
        <f t="shared" si="0"/>
        <v>-8.3037323765206885</v>
      </c>
      <c r="H58" s="65" t="str">
        <f t="shared" si="0"/>
        <v>n.a.</v>
      </c>
      <c r="I58" s="65" t="str">
        <f t="shared" si="0"/>
        <v>n.a.</v>
      </c>
    </row>
    <row r="59" spans="1:14">
      <c r="A59" s="109" t="s">
        <v>682</v>
      </c>
      <c r="B59" s="65">
        <f>IFERROR(((B33/B28)^(1/5)-1)*100,"n.a.")</f>
        <v>1.4007212466796481</v>
      </c>
      <c r="C59" s="65">
        <f t="shared" ref="C59:I59" si="1">IFERROR(((C33/C28)^(1/5)-1)*100,"n.a.")</f>
        <v>-2.3813546782484596</v>
      </c>
      <c r="D59" s="65">
        <f t="shared" si="1"/>
        <v>15.085018386688255</v>
      </c>
      <c r="E59" s="65">
        <f t="shared" si="1"/>
        <v>36.640861772625001</v>
      </c>
      <c r="F59" s="65">
        <f t="shared" si="1"/>
        <v>0.89120761074783506</v>
      </c>
      <c r="G59" s="65">
        <f t="shared" si="1"/>
        <v>-6.5239512904625592</v>
      </c>
      <c r="H59" s="65" t="str">
        <f t="shared" si="1"/>
        <v>n.a.</v>
      </c>
      <c r="I59" s="65" t="str">
        <f t="shared" si="1"/>
        <v>n.a.</v>
      </c>
    </row>
    <row r="60" spans="1:14">
      <c r="A60" s="109" t="s">
        <v>26</v>
      </c>
      <c r="B60" s="65">
        <f>IFERROR(((B44/B33)^(1/11)-1)*100,"n.a.")</f>
        <v>2.5762624528005151</v>
      </c>
      <c r="C60" s="65">
        <f t="shared" ref="C60:I60" si="2">IFERROR(((C44/C33)^(1/11)-1)*100,"n.a.")</f>
        <v>10.144917658097196</v>
      </c>
      <c r="D60" s="65">
        <f t="shared" si="2"/>
        <v>4.6234471014897194</v>
      </c>
      <c r="E60" s="65">
        <f t="shared" si="2"/>
        <v>-3.4253318723986848E-2</v>
      </c>
      <c r="F60" s="65">
        <f t="shared" si="2"/>
        <v>1.4810157432815885</v>
      </c>
      <c r="G60" s="65">
        <f t="shared" si="2"/>
        <v>-16.927034051815625</v>
      </c>
      <c r="H60" s="65">
        <f t="shared" si="2"/>
        <v>-11.479559533884142</v>
      </c>
      <c r="I60" s="65" t="str">
        <f t="shared" si="2"/>
        <v>n.a.</v>
      </c>
    </row>
    <row r="61" spans="1:14">
      <c r="A61" s="64" t="s">
        <v>1782</v>
      </c>
      <c r="B61" s="65">
        <f>IFERROR(((B55/B44)^(1/11)-1)*100,"n.a.")</f>
        <v>4.5901467537009299</v>
      </c>
      <c r="C61" s="65">
        <f t="shared" ref="C61:I61" si="3">IFERROR(((C55/C44)^(1/11)-1)*100,"n.a.")</f>
        <v>-0.63111309009763472</v>
      </c>
      <c r="D61" s="65">
        <f t="shared" si="3"/>
        <v>-3.9778161333806961</v>
      </c>
      <c r="E61" s="65">
        <f t="shared" si="3"/>
        <v>-3.7229970756275987</v>
      </c>
      <c r="F61" s="65">
        <f t="shared" si="3"/>
        <v>1.4244015908414287</v>
      </c>
      <c r="G61" s="65">
        <f t="shared" si="3"/>
        <v>0.33414241183058468</v>
      </c>
      <c r="H61" s="65">
        <f t="shared" si="3"/>
        <v>1.702677406555364</v>
      </c>
      <c r="I61" s="65">
        <f t="shared" si="3"/>
        <v>2.7392878074687044</v>
      </c>
    </row>
    <row r="63" spans="1:14">
      <c r="A63" s="137" t="s">
        <v>500</v>
      </c>
      <c r="B63" s="137"/>
      <c r="C63" s="137"/>
      <c r="D63" s="137"/>
      <c r="E63" s="137"/>
      <c r="F63" s="137"/>
      <c r="G63" s="137"/>
      <c r="H63" s="137"/>
      <c r="I63" s="137"/>
    </row>
    <row r="64" spans="1:14">
      <c r="A64" s="137" t="s">
        <v>686</v>
      </c>
      <c r="B64" s="137"/>
      <c r="C64" s="137"/>
      <c r="D64" s="137"/>
      <c r="E64" s="137"/>
      <c r="F64" s="137"/>
      <c r="G64" s="137"/>
      <c r="H64" s="137"/>
      <c r="I64" s="137"/>
    </row>
    <row r="65" spans="1:9">
      <c r="A65" s="137" t="s">
        <v>687</v>
      </c>
      <c r="B65" s="137"/>
      <c r="C65" s="137"/>
      <c r="D65" s="137"/>
      <c r="E65" s="137"/>
      <c r="F65" s="137"/>
      <c r="G65" s="137"/>
      <c r="H65" s="137"/>
      <c r="I65" s="137"/>
    </row>
    <row r="66" spans="1:9">
      <c r="A66" s="137" t="s">
        <v>193</v>
      </c>
      <c r="B66" s="137"/>
      <c r="C66" s="137"/>
      <c r="D66" s="137"/>
      <c r="E66" s="137"/>
      <c r="F66" s="137"/>
      <c r="G66" s="137"/>
      <c r="H66" s="137"/>
      <c r="I66" s="137"/>
    </row>
    <row r="67" spans="1:9">
      <c r="A67" s="137" t="s">
        <v>514</v>
      </c>
      <c r="B67" s="137"/>
      <c r="C67" s="137"/>
      <c r="D67" s="137"/>
      <c r="E67" s="137"/>
      <c r="F67" s="137"/>
      <c r="G67" s="137"/>
      <c r="H67" s="137"/>
      <c r="I67" s="137"/>
    </row>
    <row r="68" spans="1:9">
      <c r="A68" s="137" t="s">
        <v>515</v>
      </c>
      <c r="B68" s="137"/>
      <c r="C68" s="137"/>
      <c r="D68" s="137"/>
      <c r="E68" s="137"/>
      <c r="F68" s="137"/>
      <c r="G68" s="137"/>
      <c r="H68" s="137"/>
      <c r="I68" s="137"/>
    </row>
  </sheetData>
  <mergeCells count="9">
    <mergeCell ref="A66:I66"/>
    <mergeCell ref="A67:I67"/>
    <mergeCell ref="A68:I68"/>
    <mergeCell ref="A1:I1"/>
    <mergeCell ref="B2:E2"/>
    <mergeCell ref="F2:I2"/>
    <mergeCell ref="A63:I63"/>
    <mergeCell ref="A64:I64"/>
    <mergeCell ref="A65:I65"/>
  </mergeCells>
  <pageMargins left="0.7" right="0.7" top="0.75" bottom="0.75" header="0.3" footer="0.3"/>
  <pageSetup scale="72" orientation="portrait" horizontalDpi="0" verticalDpi="0" r:id="rId1"/>
</worksheet>
</file>

<file path=xl/worksheets/sheet199.xml><?xml version="1.0" encoding="utf-8"?>
<worksheet xmlns="http://schemas.openxmlformats.org/spreadsheetml/2006/main" xmlns:r="http://schemas.openxmlformats.org/officeDocument/2006/relationships">
  <sheetPr codeName="Sheet193"/>
  <dimension ref="A1:P69"/>
  <sheetViews>
    <sheetView view="pageBreakPreview" zoomScaleNormal="85" zoomScaleSheetLayoutView="100"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85546875" style="64" customWidth="1"/>
    <col min="2" max="9" width="14.28515625" style="64" customWidth="1"/>
    <col min="10" max="10" width="9.140625" style="64"/>
    <col min="11" max="14" width="9.140625" style="64" hidden="1" customWidth="1" outlineLevel="1"/>
    <col min="15" max="15" width="9.140625" style="64" collapsed="1"/>
    <col min="16" max="16384" width="9.140625" style="64"/>
  </cols>
  <sheetData>
    <row r="1" spans="1:14" ht="18.75" customHeight="1">
      <c r="A1" s="93" t="s">
        <v>2152</v>
      </c>
      <c r="B1" s="93"/>
      <c r="C1" s="93"/>
      <c r="D1" s="93"/>
      <c r="E1" s="93"/>
      <c r="F1" s="93"/>
      <c r="G1" s="93"/>
      <c r="H1" s="93"/>
      <c r="I1" s="93"/>
    </row>
    <row r="2" spans="1:14">
      <c r="A2" s="66"/>
      <c r="B2" s="105" t="s">
        <v>1928</v>
      </c>
      <c r="C2" s="106"/>
      <c r="D2" s="106"/>
      <c r="E2" s="136"/>
      <c r="F2" s="105" t="s">
        <v>677</v>
      </c>
      <c r="G2" s="106"/>
      <c r="H2" s="106"/>
      <c r="I2" s="136"/>
    </row>
    <row r="3" spans="1:14" ht="75">
      <c r="B3" s="73" t="s">
        <v>7</v>
      </c>
      <c r="C3" s="73" t="s">
        <v>192</v>
      </c>
      <c r="D3" s="73" t="s">
        <v>1</v>
      </c>
      <c r="E3" s="73" t="s">
        <v>2</v>
      </c>
      <c r="F3" s="73" t="s">
        <v>7</v>
      </c>
      <c r="G3" s="73" t="s">
        <v>192</v>
      </c>
      <c r="H3" s="73" t="s">
        <v>1</v>
      </c>
      <c r="I3" s="73" t="s">
        <v>2</v>
      </c>
      <c r="K3" s="73" t="s">
        <v>7</v>
      </c>
      <c r="L3" s="73" t="s">
        <v>192</v>
      </c>
      <c r="M3" s="73" t="s">
        <v>1</v>
      </c>
      <c r="N3" s="73" t="s">
        <v>2</v>
      </c>
    </row>
    <row r="4" spans="1:14" hidden="1" outlineLevel="1"/>
    <row r="5" spans="1:14" hidden="1" outlineLevel="1" collapsed="1">
      <c r="A5" s="64">
        <v>1961</v>
      </c>
      <c r="B5" s="30">
        <v>51857.2</v>
      </c>
      <c r="C5" s="30">
        <v>1130.8</v>
      </c>
      <c r="D5" s="30">
        <v>1590</v>
      </c>
      <c r="E5" s="30">
        <v>2918.5</v>
      </c>
      <c r="F5" s="57" t="s">
        <v>22</v>
      </c>
      <c r="G5" s="57" t="s">
        <v>22</v>
      </c>
      <c r="H5" s="57" t="s">
        <v>22</v>
      </c>
      <c r="I5" s="57" t="s">
        <v>22</v>
      </c>
      <c r="K5" s="64">
        <v>42564383.700000003</v>
      </c>
      <c r="L5" s="64">
        <v>947581.8</v>
      </c>
      <c r="M5" s="64">
        <v>1262502.5</v>
      </c>
      <c r="N5" s="64">
        <v>2363152.1</v>
      </c>
    </row>
    <row r="6" spans="1:14" hidden="1" outlineLevel="1">
      <c r="A6" s="64">
        <v>1962</v>
      </c>
      <c r="B6" s="30">
        <v>53569.3</v>
      </c>
      <c r="C6" s="30">
        <v>1181.3</v>
      </c>
      <c r="D6" s="30">
        <v>1593.8</v>
      </c>
      <c r="E6" s="30">
        <v>3108.9</v>
      </c>
      <c r="F6" s="57" t="s">
        <v>22</v>
      </c>
      <c r="G6" s="57" t="s">
        <v>22</v>
      </c>
      <c r="H6" s="57" t="s">
        <v>22</v>
      </c>
      <c r="I6" s="57" t="s">
        <v>22</v>
      </c>
      <c r="K6" s="64">
        <v>43708562.700000003</v>
      </c>
      <c r="L6" s="64">
        <v>991155.3</v>
      </c>
      <c r="M6" s="64">
        <v>1265407.7</v>
      </c>
      <c r="N6" s="64">
        <v>2521333.7999999998</v>
      </c>
    </row>
    <row r="7" spans="1:14" hidden="1" outlineLevel="1">
      <c r="A7" s="64">
        <v>1963</v>
      </c>
      <c r="B7" s="30">
        <v>55172.3</v>
      </c>
      <c r="C7" s="30">
        <v>1275.3</v>
      </c>
      <c r="D7" s="30">
        <v>1631.4</v>
      </c>
      <c r="E7" s="30">
        <v>3348.4</v>
      </c>
      <c r="F7" s="57" t="s">
        <v>22</v>
      </c>
      <c r="G7" s="57" t="s">
        <v>22</v>
      </c>
      <c r="H7" s="57" t="s">
        <v>22</v>
      </c>
      <c r="I7" s="57" t="s">
        <v>22</v>
      </c>
      <c r="K7" s="64">
        <v>44827262</v>
      </c>
      <c r="L7" s="64">
        <v>1069880.3</v>
      </c>
      <c r="M7" s="64">
        <v>1303443.3999999999</v>
      </c>
      <c r="N7" s="64">
        <v>2739722.6</v>
      </c>
    </row>
    <row r="8" spans="1:14" hidden="1" outlineLevel="1">
      <c r="A8" s="64">
        <v>1964</v>
      </c>
      <c r="B8" s="30">
        <v>57958.8</v>
      </c>
      <c r="C8" s="30">
        <v>1448.7</v>
      </c>
      <c r="D8" s="30">
        <v>1687.5</v>
      </c>
      <c r="E8" s="30">
        <v>3757.7</v>
      </c>
      <c r="F8" s="57" t="s">
        <v>22</v>
      </c>
      <c r="G8" s="57" t="s">
        <v>22</v>
      </c>
      <c r="H8" s="57" t="s">
        <v>22</v>
      </c>
      <c r="I8" s="57" t="s">
        <v>22</v>
      </c>
      <c r="K8" s="64">
        <v>46996059.700000003</v>
      </c>
      <c r="L8" s="64">
        <v>1213440.3999999999</v>
      </c>
      <c r="M8" s="64">
        <v>1357906.1</v>
      </c>
      <c r="N8" s="64">
        <v>3116217</v>
      </c>
    </row>
    <row r="9" spans="1:14" hidden="1" outlineLevel="1">
      <c r="A9" s="64">
        <v>1965</v>
      </c>
      <c r="B9" s="30">
        <v>62304.9</v>
      </c>
      <c r="C9" s="30">
        <v>1618</v>
      </c>
      <c r="D9" s="30">
        <v>1801.4</v>
      </c>
      <c r="E9" s="30">
        <v>4400.3</v>
      </c>
      <c r="F9" s="57" t="s">
        <v>22</v>
      </c>
      <c r="G9" s="57" t="s">
        <v>22</v>
      </c>
      <c r="H9" s="57" t="s">
        <v>22</v>
      </c>
      <c r="I9" s="57" t="s">
        <v>22</v>
      </c>
      <c r="K9" s="64">
        <v>50459673.899999999</v>
      </c>
      <c r="L9" s="64">
        <v>1354572.9</v>
      </c>
      <c r="M9" s="64">
        <v>1465152</v>
      </c>
      <c r="N9" s="64">
        <v>3703925.2</v>
      </c>
    </row>
    <row r="10" spans="1:14" hidden="1" outlineLevel="1">
      <c r="A10" s="64">
        <v>1966</v>
      </c>
      <c r="B10" s="30">
        <v>67449.2</v>
      </c>
      <c r="C10" s="30">
        <v>1707.6</v>
      </c>
      <c r="D10" s="30">
        <v>1844</v>
      </c>
      <c r="E10" s="30">
        <v>5394.3</v>
      </c>
      <c r="F10" s="57" t="s">
        <v>22</v>
      </c>
      <c r="G10" s="57" t="s">
        <v>22</v>
      </c>
      <c r="H10" s="57" t="s">
        <v>22</v>
      </c>
      <c r="I10" s="57" t="s">
        <v>22</v>
      </c>
      <c r="K10" s="64">
        <v>54673739.700000003</v>
      </c>
      <c r="L10" s="64">
        <v>1428011.9</v>
      </c>
      <c r="M10" s="64">
        <v>1500926.3</v>
      </c>
      <c r="N10" s="64">
        <v>4643996.2</v>
      </c>
    </row>
    <row r="11" spans="1:14" hidden="1" outlineLevel="1">
      <c r="A11" s="64">
        <v>1967</v>
      </c>
      <c r="B11" s="30">
        <v>72281.2</v>
      </c>
      <c r="C11" s="30">
        <v>1753.2</v>
      </c>
      <c r="D11" s="30">
        <v>1829.3</v>
      </c>
      <c r="E11" s="30">
        <v>5714.7</v>
      </c>
      <c r="F11" s="57" t="s">
        <v>22</v>
      </c>
      <c r="G11" s="57" t="s">
        <v>22</v>
      </c>
      <c r="H11" s="57" t="s">
        <v>22</v>
      </c>
      <c r="I11" s="57" t="s">
        <v>22</v>
      </c>
      <c r="K11" s="64">
        <v>58494050.399999999</v>
      </c>
      <c r="L11" s="64">
        <v>1466160.9</v>
      </c>
      <c r="M11" s="64">
        <v>1485668.5</v>
      </c>
      <c r="N11" s="64">
        <v>4915706.5</v>
      </c>
    </row>
    <row r="12" spans="1:14" hidden="1" outlineLevel="1">
      <c r="A12" s="64">
        <v>1968</v>
      </c>
      <c r="B12" s="30">
        <v>75370.5</v>
      </c>
      <c r="C12" s="30">
        <v>1807.3</v>
      </c>
      <c r="D12" s="30">
        <v>1845.2</v>
      </c>
      <c r="E12" s="30">
        <v>5640.4</v>
      </c>
      <c r="F12" s="57" t="s">
        <v>22</v>
      </c>
      <c r="G12" s="57" t="s">
        <v>22</v>
      </c>
      <c r="H12" s="57" t="s">
        <v>22</v>
      </c>
      <c r="I12" s="57" t="s">
        <v>22</v>
      </c>
      <c r="K12" s="64">
        <v>60760339.600000001</v>
      </c>
      <c r="L12" s="64">
        <v>1509545.1</v>
      </c>
      <c r="M12" s="64">
        <v>1498415</v>
      </c>
      <c r="N12" s="64">
        <v>4790059.9000000004</v>
      </c>
    </row>
    <row r="13" spans="1:14" hidden="1" outlineLevel="1">
      <c r="A13" s="64">
        <v>1969</v>
      </c>
      <c r="B13" s="30">
        <v>78783.5</v>
      </c>
      <c r="C13" s="30">
        <v>1949.1</v>
      </c>
      <c r="D13" s="30">
        <v>2149.5</v>
      </c>
      <c r="E13" s="30">
        <v>5630.6</v>
      </c>
      <c r="F13" s="57" t="s">
        <v>22</v>
      </c>
      <c r="G13" s="57" t="s">
        <v>22</v>
      </c>
      <c r="H13" s="57" t="s">
        <v>22</v>
      </c>
      <c r="I13" s="57" t="s">
        <v>22</v>
      </c>
      <c r="K13" s="64">
        <v>63338685.700000003</v>
      </c>
      <c r="L13" s="64">
        <v>1633910</v>
      </c>
      <c r="M13" s="64">
        <v>1792710.4</v>
      </c>
      <c r="N13" s="64">
        <v>4727002.5</v>
      </c>
    </row>
    <row r="14" spans="1:14" hidden="1" outlineLevel="1">
      <c r="A14" s="64">
        <v>1970</v>
      </c>
      <c r="B14" s="30">
        <v>81995.3</v>
      </c>
      <c r="C14" s="30">
        <v>2032.7</v>
      </c>
      <c r="D14" s="30">
        <v>2405.8000000000002</v>
      </c>
      <c r="E14" s="30">
        <v>5756.6</v>
      </c>
      <c r="F14" s="57" t="s">
        <v>22</v>
      </c>
      <c r="G14" s="57" t="s">
        <v>22</v>
      </c>
      <c r="H14" s="57" t="s">
        <v>22</v>
      </c>
      <c r="I14" s="57" t="s">
        <v>22</v>
      </c>
      <c r="K14" s="64">
        <v>65832931.899999999</v>
      </c>
      <c r="L14" s="64">
        <v>1705916.6</v>
      </c>
      <c r="M14" s="64">
        <v>2021773.8</v>
      </c>
      <c r="N14" s="64">
        <v>4810929.2</v>
      </c>
    </row>
    <row r="15" spans="1:14" hidden="1" outlineLevel="1">
      <c r="A15" s="64">
        <v>1971</v>
      </c>
      <c r="B15" s="30">
        <v>87081.600000000006</v>
      </c>
      <c r="C15" s="30">
        <v>2118.6</v>
      </c>
      <c r="D15" s="30">
        <v>2640.1</v>
      </c>
      <c r="E15" s="30">
        <v>6113.6</v>
      </c>
      <c r="F15" s="57" t="s">
        <v>22</v>
      </c>
      <c r="G15" s="57" t="s">
        <v>22</v>
      </c>
      <c r="H15" s="57" t="s">
        <v>22</v>
      </c>
      <c r="I15" s="57" t="s">
        <v>22</v>
      </c>
      <c r="K15" s="64">
        <v>70048401.700000003</v>
      </c>
      <c r="L15" s="64">
        <v>1776282.6</v>
      </c>
      <c r="M15" s="64">
        <v>2246602.4</v>
      </c>
      <c r="N15" s="64">
        <v>5145152.9000000004</v>
      </c>
    </row>
    <row r="16" spans="1:14" hidden="1" outlineLevel="1">
      <c r="A16" s="64">
        <v>1972</v>
      </c>
      <c r="B16" s="30">
        <v>90449.4</v>
      </c>
      <c r="C16" s="30">
        <v>2272.9</v>
      </c>
      <c r="D16" s="30">
        <v>2755.2</v>
      </c>
      <c r="E16" s="30">
        <v>6203</v>
      </c>
      <c r="F16" s="57" t="s">
        <v>22</v>
      </c>
      <c r="G16" s="57" t="s">
        <v>22</v>
      </c>
      <c r="H16" s="57" t="s">
        <v>22</v>
      </c>
      <c r="I16" s="57" t="s">
        <v>22</v>
      </c>
      <c r="K16" s="64">
        <v>72613027</v>
      </c>
      <c r="L16" s="64">
        <v>1905384</v>
      </c>
      <c r="M16" s="64">
        <v>2359093</v>
      </c>
      <c r="N16" s="64">
        <v>5222396.0999999996</v>
      </c>
    </row>
    <row r="17" spans="1:14" hidden="1" outlineLevel="1">
      <c r="A17" s="64">
        <v>1973</v>
      </c>
      <c r="B17" s="30">
        <v>94403.6</v>
      </c>
      <c r="C17" s="30">
        <v>2510.6</v>
      </c>
      <c r="D17" s="30">
        <v>3025.6</v>
      </c>
      <c r="E17" s="30">
        <v>5823.8</v>
      </c>
      <c r="F17" s="57" t="s">
        <v>22</v>
      </c>
      <c r="G17" s="57" t="s">
        <v>22</v>
      </c>
      <c r="H17" s="57" t="s">
        <v>22</v>
      </c>
      <c r="I17" s="57" t="s">
        <v>22</v>
      </c>
      <c r="K17" s="64">
        <v>75596238.799999997</v>
      </c>
      <c r="L17" s="64">
        <v>2108497.7000000002</v>
      </c>
      <c r="M17" s="64">
        <v>2635005.9</v>
      </c>
      <c r="N17" s="64">
        <v>4837254.7</v>
      </c>
    </row>
    <row r="18" spans="1:14" hidden="1" outlineLevel="1">
      <c r="A18" s="64">
        <v>1974</v>
      </c>
      <c r="B18" s="30">
        <v>98093.9</v>
      </c>
      <c r="C18" s="30">
        <v>2682</v>
      </c>
      <c r="D18" s="30">
        <v>3072.6</v>
      </c>
      <c r="E18" s="30">
        <v>5612.3</v>
      </c>
      <c r="F18" s="57" t="s">
        <v>22</v>
      </c>
      <c r="G18" s="57" t="s">
        <v>22</v>
      </c>
      <c r="H18" s="57" t="s">
        <v>22</v>
      </c>
      <c r="I18" s="57" t="s">
        <v>22</v>
      </c>
      <c r="K18" s="64">
        <v>78424090.299999997</v>
      </c>
      <c r="L18" s="64">
        <v>2260365.2000000002</v>
      </c>
      <c r="M18" s="64">
        <v>2671954.5</v>
      </c>
      <c r="N18" s="64">
        <v>4616523.2</v>
      </c>
    </row>
    <row r="19" spans="1:14" hidden="1" outlineLevel="1">
      <c r="A19" s="64">
        <v>1975</v>
      </c>
      <c r="B19" s="30">
        <v>100958.5</v>
      </c>
      <c r="C19" s="30">
        <v>2689.1</v>
      </c>
      <c r="D19" s="30">
        <v>3011.9</v>
      </c>
      <c r="E19" s="30">
        <v>5356.8</v>
      </c>
      <c r="F19" s="57" t="s">
        <v>22</v>
      </c>
      <c r="G19" s="57" t="s">
        <v>22</v>
      </c>
      <c r="H19" s="57" t="s">
        <v>22</v>
      </c>
      <c r="I19" s="57" t="s">
        <v>22</v>
      </c>
      <c r="K19" s="64">
        <v>80410852.099999994</v>
      </c>
      <c r="L19" s="64">
        <v>2254543.1</v>
      </c>
      <c r="M19" s="64">
        <v>2601557.7000000002</v>
      </c>
      <c r="N19" s="64">
        <v>4338780.2</v>
      </c>
    </row>
    <row r="20" spans="1:14" hidden="1" outlineLevel="1">
      <c r="A20" s="64">
        <v>1976</v>
      </c>
      <c r="B20" s="30">
        <v>103492.7</v>
      </c>
      <c r="C20" s="30">
        <v>2719.8</v>
      </c>
      <c r="D20" s="30">
        <v>2947.9</v>
      </c>
      <c r="E20" s="30">
        <v>5218.2</v>
      </c>
      <c r="F20" s="57" t="s">
        <v>22</v>
      </c>
      <c r="G20" s="57" t="s">
        <v>22</v>
      </c>
      <c r="H20" s="57" t="s">
        <v>22</v>
      </c>
      <c r="I20" s="57" t="s">
        <v>22</v>
      </c>
      <c r="K20" s="64">
        <v>82082106.299999997</v>
      </c>
      <c r="L20" s="64">
        <v>2271529.5</v>
      </c>
      <c r="M20" s="64">
        <v>2527923.6</v>
      </c>
      <c r="N20" s="64">
        <v>4184316.1</v>
      </c>
    </row>
    <row r="21" spans="1:14" hidden="1" outlineLevel="1">
      <c r="A21" s="64">
        <v>1977</v>
      </c>
      <c r="B21" s="30">
        <v>106485.1</v>
      </c>
      <c r="C21" s="30">
        <v>2783</v>
      </c>
      <c r="D21" s="30">
        <v>2975.3</v>
      </c>
      <c r="E21" s="30">
        <v>5225.8</v>
      </c>
      <c r="F21" s="57" t="s">
        <v>22</v>
      </c>
      <c r="G21" s="57" t="s">
        <v>22</v>
      </c>
      <c r="H21" s="57" t="s">
        <v>22</v>
      </c>
      <c r="I21" s="57" t="s">
        <v>22</v>
      </c>
      <c r="K21" s="64">
        <v>84071754.700000003</v>
      </c>
      <c r="L21" s="64">
        <v>2321214.1</v>
      </c>
      <c r="M21" s="64">
        <v>2538514</v>
      </c>
      <c r="N21" s="64">
        <v>4185246</v>
      </c>
    </row>
    <row r="22" spans="1:14" hidden="1" outlineLevel="1">
      <c r="A22" s="64">
        <v>1978</v>
      </c>
      <c r="B22" s="30">
        <v>110043.2</v>
      </c>
      <c r="C22" s="30">
        <v>2862.7</v>
      </c>
      <c r="D22" s="30">
        <v>3124</v>
      </c>
      <c r="E22" s="30">
        <v>5145.5</v>
      </c>
      <c r="F22" s="57" t="s">
        <v>22</v>
      </c>
      <c r="G22" s="57" t="s">
        <v>22</v>
      </c>
      <c r="H22" s="57" t="s">
        <v>22</v>
      </c>
      <c r="I22" s="57" t="s">
        <v>22</v>
      </c>
      <c r="K22" s="64">
        <v>86499771.799999997</v>
      </c>
      <c r="L22" s="64">
        <v>2388772.2999999998</v>
      </c>
      <c r="M22" s="64">
        <v>2663560.9</v>
      </c>
      <c r="N22" s="64">
        <v>4105864.2</v>
      </c>
    </row>
    <row r="23" spans="1:14" hidden="1" outlineLevel="1">
      <c r="A23" s="64">
        <v>1979</v>
      </c>
      <c r="B23" s="30">
        <v>115027.2</v>
      </c>
      <c r="C23" s="30">
        <v>2968.6</v>
      </c>
      <c r="D23" s="30">
        <v>3329</v>
      </c>
      <c r="E23" s="30">
        <v>5122.8999999999996</v>
      </c>
      <c r="F23" s="57" t="s">
        <v>22</v>
      </c>
      <c r="G23" s="57" t="s">
        <v>22</v>
      </c>
      <c r="H23" s="57" t="s">
        <v>22</v>
      </c>
      <c r="I23" s="57" t="s">
        <v>22</v>
      </c>
      <c r="K23" s="64">
        <v>90290841</v>
      </c>
      <c r="L23" s="64">
        <v>2473640.2999999998</v>
      </c>
      <c r="M23" s="64">
        <v>2844667</v>
      </c>
      <c r="N23" s="64">
        <v>4079518.9</v>
      </c>
    </row>
    <row r="24" spans="1:14" hidden="1" outlineLevel="1">
      <c r="A24" s="64">
        <v>1980</v>
      </c>
      <c r="B24" s="30">
        <v>121485.7</v>
      </c>
      <c r="C24" s="30">
        <v>3041.8</v>
      </c>
      <c r="D24" s="30">
        <v>3512.8</v>
      </c>
      <c r="E24" s="30">
        <v>5577.5</v>
      </c>
      <c r="F24" s="57" t="s">
        <v>22</v>
      </c>
      <c r="G24" s="57" t="s">
        <v>22</v>
      </c>
      <c r="H24" s="57" t="s">
        <v>22</v>
      </c>
      <c r="I24" s="57" t="s">
        <v>22</v>
      </c>
      <c r="K24" s="64">
        <v>95100084</v>
      </c>
      <c r="L24" s="64">
        <v>2532982.5</v>
      </c>
      <c r="M24" s="64">
        <v>2996500.7</v>
      </c>
      <c r="N24" s="64">
        <v>4477906.0999999996</v>
      </c>
    </row>
    <row r="25" spans="1:14" hidden="1" outlineLevel="1">
      <c r="A25" s="64">
        <v>1981</v>
      </c>
      <c r="B25" s="30">
        <v>128015.6</v>
      </c>
      <c r="C25" s="30">
        <v>2939.5</v>
      </c>
      <c r="D25" s="30">
        <v>3524.4</v>
      </c>
      <c r="E25" s="30">
        <v>6229.1</v>
      </c>
      <c r="F25" s="57" t="s">
        <v>22</v>
      </c>
      <c r="G25" s="57" t="s">
        <v>22</v>
      </c>
      <c r="H25" s="57" t="s">
        <v>22</v>
      </c>
      <c r="I25" s="57" t="s">
        <v>22</v>
      </c>
      <c r="K25" s="64">
        <v>100286347.3</v>
      </c>
      <c r="L25" s="64">
        <v>2447619.9</v>
      </c>
      <c r="M25" s="64">
        <v>3033577.7</v>
      </c>
      <c r="N25" s="64">
        <v>5178414.9000000004</v>
      </c>
    </row>
    <row r="26" spans="1:14" hidden="1" outlineLevel="1">
      <c r="A26" s="64">
        <v>1982</v>
      </c>
      <c r="B26" s="30">
        <v>130779.7</v>
      </c>
      <c r="C26" s="30">
        <v>2747.5</v>
      </c>
      <c r="D26" s="30">
        <v>3279.3</v>
      </c>
      <c r="E26" s="30">
        <v>6238.2</v>
      </c>
      <c r="F26" s="57" t="s">
        <v>22</v>
      </c>
      <c r="G26" s="57" t="s">
        <v>22</v>
      </c>
      <c r="H26" s="57" t="s">
        <v>22</v>
      </c>
      <c r="I26" s="57" t="s">
        <v>22</v>
      </c>
      <c r="K26" s="64">
        <v>102151576.3</v>
      </c>
      <c r="L26" s="64">
        <v>2268844.5</v>
      </c>
      <c r="M26" s="64">
        <v>2792293.6</v>
      </c>
      <c r="N26" s="64">
        <v>5208724</v>
      </c>
    </row>
    <row r="27" spans="1:14" hidden="1" outlineLevel="1">
      <c r="A27" s="64">
        <v>1983</v>
      </c>
      <c r="B27" s="30">
        <v>132586.79999999999</v>
      </c>
      <c r="C27" s="30">
        <v>2614</v>
      </c>
      <c r="D27" s="30">
        <v>3048.8</v>
      </c>
      <c r="E27" s="30">
        <v>5707.2</v>
      </c>
      <c r="F27" s="57" t="s">
        <v>22</v>
      </c>
      <c r="G27" s="57" t="s">
        <v>22</v>
      </c>
      <c r="H27" s="57" t="s">
        <v>22</v>
      </c>
      <c r="I27" s="57" t="s">
        <v>22</v>
      </c>
      <c r="K27" s="64">
        <v>102846158.09999999</v>
      </c>
      <c r="L27" s="64">
        <v>2144944.2000000002</v>
      </c>
      <c r="M27" s="64">
        <v>2571673.2999999998</v>
      </c>
      <c r="N27" s="64">
        <v>4699149.4000000004</v>
      </c>
    </row>
    <row r="28" spans="1:14" collapsed="1">
      <c r="A28" s="66">
        <v>1984</v>
      </c>
      <c r="B28" s="56">
        <v>133840.1</v>
      </c>
      <c r="C28" s="56">
        <v>2529.5</v>
      </c>
      <c r="D28" s="56">
        <v>2924.9</v>
      </c>
      <c r="E28" s="56">
        <v>5406.1</v>
      </c>
      <c r="F28" s="56">
        <f>'810'!H5/'840'!B28*1000</f>
        <v>536.28581032330226</v>
      </c>
      <c r="G28" s="56">
        <f>'810'!J5/'840'!C28*1000</f>
        <v>513.40692822019435</v>
      </c>
      <c r="H28" s="56">
        <f>'810'!K5/'840'!D28*1000</f>
        <v>1279.1428341999306</v>
      </c>
      <c r="I28" s="57" t="s">
        <v>22</v>
      </c>
      <c r="K28" s="64">
        <v>103165246.2</v>
      </c>
      <c r="L28" s="64">
        <v>2068910.1</v>
      </c>
      <c r="M28" s="64">
        <v>2459778.4</v>
      </c>
      <c r="N28" s="64">
        <v>4411802.8</v>
      </c>
    </row>
    <row r="29" spans="1:14">
      <c r="A29" s="66">
        <v>1985</v>
      </c>
      <c r="B29" s="56">
        <v>135913.9</v>
      </c>
      <c r="C29" s="56">
        <v>2458.5</v>
      </c>
      <c r="D29" s="56">
        <v>2780.9</v>
      </c>
      <c r="E29" s="56">
        <v>5192.5</v>
      </c>
      <c r="F29" s="56">
        <f>'810'!H6/'840'!B29*1000</f>
        <v>553.70262351249153</v>
      </c>
      <c r="G29" s="56">
        <f>'810'!J6/'840'!C29*1000</f>
        <v>544.13611666969155</v>
      </c>
      <c r="H29" s="56">
        <f>'810'!K6/'840'!D29*1000</f>
        <v>1130.4253119751133</v>
      </c>
      <c r="I29" s="57" t="s">
        <v>22</v>
      </c>
      <c r="K29" s="64">
        <v>104153038.2</v>
      </c>
      <c r="L29" s="64">
        <v>2007644.5</v>
      </c>
      <c r="M29" s="64">
        <v>2327753</v>
      </c>
      <c r="N29" s="64">
        <v>4227991.2</v>
      </c>
    </row>
    <row r="30" spans="1:14">
      <c r="A30" s="66">
        <v>1986</v>
      </c>
      <c r="B30" s="56">
        <v>135901.9</v>
      </c>
      <c r="C30" s="56">
        <v>2418.4</v>
      </c>
      <c r="D30" s="56">
        <v>2744.6</v>
      </c>
      <c r="E30" s="56">
        <v>4890.3</v>
      </c>
      <c r="F30" s="56">
        <f>'810'!H7/'840'!B30*1000</f>
        <v>562.10095978119227</v>
      </c>
      <c r="G30" s="56">
        <f>'810'!J7/'840'!C30*1000</f>
        <v>594.91087310460466</v>
      </c>
      <c r="H30" s="56">
        <f>'810'!K7/'840'!D30*1000</f>
        <v>1177.4400765098833</v>
      </c>
      <c r="I30" s="56">
        <f>'810'!L7/'840'!E30*1000</f>
        <v>339.32103121886212</v>
      </c>
      <c r="K30" s="64">
        <v>103567585.7</v>
      </c>
      <c r="L30" s="64">
        <v>1980222</v>
      </c>
      <c r="M30" s="64">
        <v>2308707.1</v>
      </c>
      <c r="N30" s="64">
        <v>3956534.6</v>
      </c>
    </row>
    <row r="31" spans="1:14">
      <c r="A31" s="66">
        <v>1987</v>
      </c>
      <c r="B31" s="56">
        <v>136968.5</v>
      </c>
      <c r="C31" s="56">
        <v>2425.4</v>
      </c>
      <c r="D31" s="56">
        <v>2976.5</v>
      </c>
      <c r="E31" s="56">
        <v>5035.6000000000004</v>
      </c>
      <c r="F31" s="56">
        <f>'810'!H8/'840'!B31*1000</f>
        <v>587.99639694886707</v>
      </c>
      <c r="G31" s="56">
        <f>'810'!J8/'840'!C31*1000</f>
        <v>456.92392218393746</v>
      </c>
      <c r="H31" s="56">
        <f>'810'!K8/'840'!D31*1000</f>
        <v>859.44199721113796</v>
      </c>
      <c r="I31" s="56">
        <f>'810'!L8/'840'!E31*1000</f>
        <v>346.99303587963311</v>
      </c>
      <c r="K31" s="64">
        <v>103881347.59999999</v>
      </c>
      <c r="L31" s="64">
        <v>1990990.8</v>
      </c>
      <c r="M31" s="64">
        <v>2551226.1</v>
      </c>
      <c r="N31" s="64">
        <v>4114899</v>
      </c>
    </row>
    <row r="32" spans="1:14">
      <c r="A32" s="66">
        <v>1988</v>
      </c>
      <c r="B32" s="56">
        <v>139852.9</v>
      </c>
      <c r="C32" s="56">
        <v>2425.1</v>
      </c>
      <c r="D32" s="56">
        <v>3298.2</v>
      </c>
      <c r="E32" s="56">
        <v>5636</v>
      </c>
      <c r="F32" s="56">
        <f>'810'!H9/'840'!B32*1000</f>
        <v>602.90225503774047</v>
      </c>
      <c r="G32" s="56">
        <f>'810'!J9/'840'!C32*1000</f>
        <v>487.54640751143</v>
      </c>
      <c r="H32" s="56">
        <f>'810'!K9/'840'!D32*1000</f>
        <v>798.15382629282703</v>
      </c>
      <c r="I32" s="56">
        <f>'810'!L9/'840'!E32*1000</f>
        <v>327.2939512948571</v>
      </c>
      <c r="K32" s="64">
        <v>105848101.5</v>
      </c>
      <c r="L32" s="64">
        <v>1993496.2</v>
      </c>
      <c r="M32" s="64">
        <v>2897715.9</v>
      </c>
      <c r="N32" s="64">
        <v>4741655.8</v>
      </c>
    </row>
    <row r="33" spans="1:14">
      <c r="A33" s="66">
        <v>1989</v>
      </c>
      <c r="B33" s="56">
        <v>144523.1</v>
      </c>
      <c r="C33" s="56">
        <v>2422.5</v>
      </c>
      <c r="D33" s="56">
        <v>3325.6</v>
      </c>
      <c r="E33" s="56">
        <v>6903.4</v>
      </c>
      <c r="F33" s="56">
        <f>'810'!H10/'840'!B33*1000</f>
        <v>607.05876794584401</v>
      </c>
      <c r="G33" s="56">
        <f>'810'!J10/'840'!C33*1000</f>
        <v>510.68859395451182</v>
      </c>
      <c r="H33" s="56">
        <f>'810'!K10/'840'!D33*1000</f>
        <v>798.62923633366051</v>
      </c>
      <c r="I33" s="56">
        <f>'810'!L10/'840'!E33*1000</f>
        <v>255.1287948016215</v>
      </c>
      <c r="K33" s="64">
        <v>109375459.7</v>
      </c>
      <c r="L33" s="64">
        <v>1991853.5</v>
      </c>
      <c r="M33" s="64">
        <v>2931299.5</v>
      </c>
      <c r="N33" s="64">
        <v>6039224.7999999998</v>
      </c>
    </row>
    <row r="34" spans="1:14">
      <c r="A34" s="66">
        <v>1990</v>
      </c>
      <c r="B34" s="56">
        <v>148519.70000000001</v>
      </c>
      <c r="C34" s="56">
        <v>2366.8000000000002</v>
      </c>
      <c r="D34" s="56">
        <v>3330.4</v>
      </c>
      <c r="E34" s="56">
        <v>7976.3</v>
      </c>
      <c r="F34" s="56">
        <f>'810'!H11/'840'!B34*1000</f>
        <v>602.87540417874504</v>
      </c>
      <c r="G34" s="56">
        <f>'810'!J11/'840'!C34*1000</f>
        <v>604.22909548962707</v>
      </c>
      <c r="H34" s="56">
        <f>'810'!K11/'840'!D34*1000</f>
        <v>834.27020324699924</v>
      </c>
      <c r="I34" s="57" t="s">
        <v>22</v>
      </c>
      <c r="K34" s="64">
        <v>112452424</v>
      </c>
      <c r="L34" s="64">
        <v>1944977.2</v>
      </c>
      <c r="M34" s="64">
        <v>2944735.2</v>
      </c>
      <c r="N34" s="64">
        <v>7138840.0999999996</v>
      </c>
    </row>
    <row r="35" spans="1:14">
      <c r="A35" s="66">
        <v>1991</v>
      </c>
      <c r="B35" s="56">
        <v>152692.70000000001</v>
      </c>
      <c r="C35" s="56">
        <v>2205.1999999999998</v>
      </c>
      <c r="D35" s="56">
        <v>3111.3</v>
      </c>
      <c r="E35" s="56">
        <v>8498.4</v>
      </c>
      <c r="F35" s="56">
        <f>'810'!H12/'840'!B35*1000</f>
        <v>594.60400780111672</v>
      </c>
      <c r="G35" s="56">
        <f>'810'!J12/'840'!C35*1000</f>
        <v>740.42557452062636</v>
      </c>
      <c r="H35" s="56">
        <f>'810'!K12/'840'!D35*1000</f>
        <v>1044.2556489457929</v>
      </c>
      <c r="I35" s="57" t="s">
        <v>22</v>
      </c>
      <c r="K35" s="64">
        <v>115435148.59999999</v>
      </c>
      <c r="L35" s="64">
        <v>1797850.4</v>
      </c>
      <c r="M35" s="64">
        <v>2715567.4</v>
      </c>
      <c r="N35" s="64">
        <v>7644294.7000000002</v>
      </c>
    </row>
    <row r="36" spans="1:14">
      <c r="A36" s="66">
        <v>1992</v>
      </c>
      <c r="B36" s="56">
        <v>154752.5</v>
      </c>
      <c r="C36" s="56">
        <v>2149.5</v>
      </c>
      <c r="D36" s="56">
        <v>2915.5</v>
      </c>
      <c r="E36" s="56">
        <v>8329.4</v>
      </c>
      <c r="F36" s="56">
        <f>'810'!H13/'840'!B36*1000</f>
        <v>605.57047228674071</v>
      </c>
      <c r="G36" s="56">
        <f>'810'!J13/'840'!C36*1000</f>
        <v>716.15954456126212</v>
      </c>
      <c r="H36" s="56">
        <f>'810'!K13/'840'!D36*1000</f>
        <v>1029.1518640107679</v>
      </c>
      <c r="I36" s="57" t="s">
        <v>22</v>
      </c>
      <c r="K36" s="64">
        <v>116384171.90000001</v>
      </c>
      <c r="L36" s="64">
        <v>1754007</v>
      </c>
      <c r="M36" s="64">
        <v>2515012.5</v>
      </c>
      <c r="N36" s="64">
        <v>7421656.2999999998</v>
      </c>
    </row>
    <row r="37" spans="1:14">
      <c r="A37" s="66">
        <v>1993</v>
      </c>
      <c r="B37" s="56">
        <v>156375.9</v>
      </c>
      <c r="C37" s="56">
        <v>2211</v>
      </c>
      <c r="D37" s="56">
        <v>2870.8</v>
      </c>
      <c r="E37" s="56">
        <v>7936</v>
      </c>
      <c r="F37" s="56">
        <f>'810'!H14/'840'!B37*1000</f>
        <v>628.46375983859366</v>
      </c>
      <c r="G37" s="56">
        <f>'810'!J14/'840'!C37*1000</f>
        <v>572.03564843997549</v>
      </c>
      <c r="H37" s="56">
        <f>'810'!K14/'840'!D37*1000</f>
        <v>1047.5973043125337</v>
      </c>
      <c r="I37" s="57" t="s">
        <v>22</v>
      </c>
      <c r="K37" s="64">
        <v>116885401.8</v>
      </c>
      <c r="L37" s="64">
        <v>1818678.4</v>
      </c>
      <c r="M37" s="64">
        <v>2455695.1</v>
      </c>
      <c r="N37" s="64">
        <v>7003873.7999999998</v>
      </c>
    </row>
    <row r="38" spans="1:14">
      <c r="A38" s="66">
        <v>1994</v>
      </c>
      <c r="B38" s="56">
        <v>160504.70000000001</v>
      </c>
      <c r="C38" s="56">
        <v>2279</v>
      </c>
      <c r="D38" s="56">
        <v>3097</v>
      </c>
      <c r="E38" s="56">
        <v>7524</v>
      </c>
      <c r="F38" s="56">
        <f>'810'!H15/'840'!B38*1000</f>
        <v>641.80280976681365</v>
      </c>
      <c r="G38" s="56">
        <f>'810'!J15/'840'!C38*1000</f>
        <v>553.72280224467659</v>
      </c>
      <c r="H38" s="56">
        <f>'810'!K15/'840'!D38*1000</f>
        <v>1070.3019733212345</v>
      </c>
      <c r="I38" s="57" t="s">
        <v>22</v>
      </c>
      <c r="K38" s="64">
        <v>119516678.5</v>
      </c>
      <c r="L38" s="64">
        <v>1882666.5</v>
      </c>
      <c r="M38" s="64">
        <v>2683423.6</v>
      </c>
      <c r="N38" s="64">
        <v>6580064.7000000002</v>
      </c>
    </row>
    <row r="39" spans="1:14">
      <c r="A39" s="66">
        <v>1995</v>
      </c>
      <c r="B39" s="56">
        <v>163509.4</v>
      </c>
      <c r="C39" s="56">
        <v>2204</v>
      </c>
      <c r="D39" s="56">
        <v>3303.1</v>
      </c>
      <c r="E39" s="56">
        <v>7297.3</v>
      </c>
      <c r="F39" s="56">
        <f>'810'!H16/'840'!B39*1000</f>
        <v>646.84747092428279</v>
      </c>
      <c r="G39" s="56">
        <f>'810'!J16/'840'!C39*1000</f>
        <v>582.43873725129015</v>
      </c>
      <c r="H39" s="56">
        <f>'810'!K16/'840'!D39*1000</f>
        <v>992.619957770974</v>
      </c>
      <c r="I39" s="57" t="s">
        <v>22</v>
      </c>
      <c r="K39" s="64">
        <v>121202943</v>
      </c>
      <c r="L39" s="64">
        <v>1817674.8</v>
      </c>
      <c r="M39" s="64">
        <v>2881260.6</v>
      </c>
      <c r="N39" s="64">
        <v>6323378.5</v>
      </c>
    </row>
    <row r="40" spans="1:14">
      <c r="A40" s="66">
        <v>1996</v>
      </c>
      <c r="B40" s="56">
        <v>165381.1</v>
      </c>
      <c r="C40" s="56">
        <v>2112</v>
      </c>
      <c r="D40" s="56">
        <v>3326.9</v>
      </c>
      <c r="E40" s="56">
        <v>6966</v>
      </c>
      <c r="F40" s="56">
        <f>'810'!H17/'840'!B40*1000</f>
        <v>653.57424267440854</v>
      </c>
      <c r="G40" s="56">
        <f>'810'!J17/'840'!C40*1000</f>
        <v>669.89515773902917</v>
      </c>
      <c r="H40" s="56">
        <f>'810'!K17/'840'!D40*1000</f>
        <v>1088.1660896770195</v>
      </c>
      <c r="I40" s="57" t="s">
        <v>22</v>
      </c>
      <c r="K40" s="64">
        <v>121742048.2</v>
      </c>
      <c r="L40" s="64">
        <v>1733048.5</v>
      </c>
      <c r="M40" s="64">
        <v>2884037.3</v>
      </c>
      <c r="N40" s="64">
        <v>5956991.2999999998</v>
      </c>
    </row>
    <row r="41" spans="1:14">
      <c r="A41" s="66">
        <v>1997</v>
      </c>
      <c r="B41" s="56">
        <v>169068.9</v>
      </c>
      <c r="C41" s="56">
        <v>2005.6</v>
      </c>
      <c r="D41" s="56">
        <v>3249.8</v>
      </c>
      <c r="E41" s="56">
        <v>6532.8</v>
      </c>
      <c r="F41" s="56">
        <f>'810'!H18/'840'!B41*1000</f>
        <v>659.81620510927803</v>
      </c>
      <c r="G41" s="56">
        <f>'810'!J18/'840'!C41*1000</f>
        <v>678.23639953328814</v>
      </c>
      <c r="H41" s="56">
        <f>'810'!K18/'840'!D41*1000</f>
        <v>1022.3356402352031</v>
      </c>
      <c r="I41" s="56">
        <f>'810'!L18/'840'!E41*1000</f>
        <v>217.62490815576774</v>
      </c>
      <c r="K41" s="64">
        <v>123997453.5</v>
      </c>
      <c r="L41" s="64">
        <v>1633180.6</v>
      </c>
      <c r="M41" s="64">
        <v>2790729.6</v>
      </c>
      <c r="N41" s="64">
        <v>5517283.7999999998</v>
      </c>
    </row>
    <row r="42" spans="1:14">
      <c r="A42" s="66">
        <v>1998</v>
      </c>
      <c r="B42" s="56">
        <v>171001.4</v>
      </c>
      <c r="C42" s="56">
        <v>1972.8</v>
      </c>
      <c r="D42" s="56">
        <v>3068.2</v>
      </c>
      <c r="E42" s="56">
        <v>5883.8</v>
      </c>
      <c r="F42" s="56">
        <f>'810'!H19/'840'!B42*1000</f>
        <v>660.30336593735501</v>
      </c>
      <c r="G42" s="56">
        <f>'810'!J19/'840'!C42*1000</f>
        <v>685.61213671240546</v>
      </c>
      <c r="H42" s="56">
        <f>'810'!K19/'840'!D42*1000</f>
        <v>1099.7327896746906</v>
      </c>
      <c r="I42" s="56">
        <f>'810'!L19/'840'!E42*1000</f>
        <v>202.42020462966107</v>
      </c>
      <c r="K42" s="64">
        <v>124480786.09999999</v>
      </c>
      <c r="L42" s="64">
        <v>1600978</v>
      </c>
      <c r="M42" s="64">
        <v>2585598.6</v>
      </c>
      <c r="N42" s="64">
        <v>4894560.2</v>
      </c>
    </row>
    <row r="43" spans="1:14">
      <c r="A43" s="66">
        <v>1999</v>
      </c>
      <c r="B43" s="56">
        <v>173178.5</v>
      </c>
      <c r="C43" s="56">
        <v>1930.7</v>
      </c>
      <c r="D43" s="56">
        <v>2859.8</v>
      </c>
      <c r="E43" s="56">
        <v>5353.6</v>
      </c>
      <c r="F43" s="56">
        <f>'810'!H20/'840'!B43*1000</f>
        <v>671.60011202314388</v>
      </c>
      <c r="G43" s="56">
        <f>'810'!J20/'840'!C43*1000</f>
        <v>741.50587858541974</v>
      </c>
      <c r="H43" s="56">
        <f>'810'!K20/'840'!D43*1000</f>
        <v>1049.5779706884994</v>
      </c>
      <c r="I43" s="56">
        <f>'810'!L20/'840'!E43*1000</f>
        <v>311.88359234907341</v>
      </c>
      <c r="K43" s="64">
        <v>125618107.90000001</v>
      </c>
      <c r="L43" s="64">
        <v>1565681.7</v>
      </c>
      <c r="M43" s="64">
        <v>2385024.2000000002</v>
      </c>
      <c r="N43" s="64">
        <v>4406573.5999999996</v>
      </c>
    </row>
    <row r="44" spans="1:14">
      <c r="A44" s="66">
        <v>2000</v>
      </c>
      <c r="B44" s="56">
        <v>175380.6</v>
      </c>
      <c r="C44" s="56">
        <v>1890.5</v>
      </c>
      <c r="D44" s="56">
        <v>2707.3</v>
      </c>
      <c r="E44" s="56">
        <v>4979</v>
      </c>
      <c r="F44" s="56">
        <f>'810'!H21/'840'!B44*1000</f>
        <v>693.04016521781773</v>
      </c>
      <c r="G44" s="56">
        <f>'810'!J21/'840'!C44*1000</f>
        <v>800.559308358061</v>
      </c>
      <c r="H44" s="56">
        <f>'810'!K21/'840'!D44*1000</f>
        <v>1005.1734692974484</v>
      </c>
      <c r="I44" s="56">
        <f>'810'!L21/'840'!E44*1000</f>
        <v>325.42679252862013</v>
      </c>
      <c r="K44" s="64">
        <v>126753708.09999999</v>
      </c>
      <c r="L44" s="64">
        <v>1531384.1</v>
      </c>
      <c r="M44" s="64">
        <v>2243503.2999999998</v>
      </c>
      <c r="N44" s="64">
        <v>4068111.8</v>
      </c>
    </row>
    <row r="45" spans="1:14">
      <c r="A45" s="66">
        <v>2001</v>
      </c>
      <c r="B45" s="56">
        <v>178043.3</v>
      </c>
      <c r="C45" s="56">
        <v>1796</v>
      </c>
      <c r="D45" s="56">
        <v>2548.9</v>
      </c>
      <c r="E45" s="56">
        <v>4581.2</v>
      </c>
      <c r="F45" s="56">
        <f>'810'!H22/'840'!B45*1000</f>
        <v>689.98664931508233</v>
      </c>
      <c r="G45" s="56">
        <f>'810'!J22/'840'!C45*1000</f>
        <v>839.91249670476429</v>
      </c>
      <c r="H45" s="56">
        <f>'810'!K22/'840'!D45*1000</f>
        <v>1300.8385282021927</v>
      </c>
      <c r="I45" s="56">
        <f>'810'!L22/'840'!E45*1000</f>
        <v>297.23653191303578</v>
      </c>
      <c r="K45" s="64">
        <v>128269379.09999999</v>
      </c>
      <c r="L45" s="64">
        <v>1450353.7</v>
      </c>
      <c r="M45" s="64">
        <v>2092974.2</v>
      </c>
      <c r="N45" s="64">
        <v>3700591.5</v>
      </c>
    </row>
    <row r="46" spans="1:14">
      <c r="A46" s="66">
        <v>2002</v>
      </c>
      <c r="B46" s="56">
        <v>179072.7</v>
      </c>
      <c r="C46" s="56">
        <v>1737.6</v>
      </c>
      <c r="D46" s="56">
        <v>2407.8000000000002</v>
      </c>
      <c r="E46" s="56">
        <v>4162.3999999999996</v>
      </c>
      <c r="F46" s="56">
        <f>'810'!H23/'840'!B46*1000</f>
        <v>707.87283600459477</v>
      </c>
      <c r="G46" s="56">
        <f>'810'!J23/'840'!C46*1000</f>
        <v>846.92761348990541</v>
      </c>
      <c r="H46" s="56">
        <f>'810'!K23/'840'!D46*1000</f>
        <v>1187.7455808703135</v>
      </c>
      <c r="I46" s="56">
        <f>'810'!L23/'840'!E46*1000</f>
        <v>348.98135690947521</v>
      </c>
      <c r="K46" s="64">
        <v>128707216.8</v>
      </c>
      <c r="L46" s="64">
        <v>1401448.3</v>
      </c>
      <c r="M46" s="64">
        <v>1964254</v>
      </c>
      <c r="N46" s="64">
        <v>3302123.5</v>
      </c>
    </row>
    <row r="47" spans="1:14">
      <c r="A47" s="66">
        <v>2003</v>
      </c>
      <c r="B47" s="56">
        <v>181114.2</v>
      </c>
      <c r="C47" s="56">
        <v>1713.4</v>
      </c>
      <c r="D47" s="56">
        <v>2411.1</v>
      </c>
      <c r="E47" s="56">
        <v>3865.4</v>
      </c>
      <c r="F47" s="56">
        <f>'810'!H24/'840'!B47*1000</f>
        <v>717.92051644763353</v>
      </c>
      <c r="G47" s="56">
        <f>'810'!J24/'840'!C47*1000</f>
        <v>843.95887003350026</v>
      </c>
      <c r="H47" s="56">
        <f>'810'!K24/'840'!D47*1000</f>
        <v>1158.5208693773432</v>
      </c>
      <c r="I47" s="56">
        <f>'810'!L24/'840'!E47*1000</f>
        <v>378.35670305789819</v>
      </c>
      <c r="K47" s="64">
        <v>129944515.09999999</v>
      </c>
      <c r="L47" s="64">
        <v>1386496.9</v>
      </c>
      <c r="M47" s="64">
        <v>1978069.3</v>
      </c>
      <c r="N47" s="64">
        <v>3016377.9</v>
      </c>
    </row>
    <row r="48" spans="1:14">
      <c r="A48" s="66">
        <v>2004</v>
      </c>
      <c r="B48" s="56">
        <v>185408.7</v>
      </c>
      <c r="C48" s="56">
        <v>1706.1</v>
      </c>
      <c r="D48" s="56">
        <v>2546.1</v>
      </c>
      <c r="E48" s="56">
        <v>3686.2</v>
      </c>
      <c r="F48" s="56">
        <f>'810'!H25/'840'!B48*1000</f>
        <v>728.2338962519018</v>
      </c>
      <c r="G48" s="56">
        <f>'810'!J25/'840'!C48*1000</f>
        <v>747.8462978718311</v>
      </c>
      <c r="H48" s="56">
        <f>'810'!K25/'840'!D48*1000</f>
        <v>977.21429605885589</v>
      </c>
      <c r="I48" s="56">
        <f>'810'!L25/'840'!E48*1000</f>
        <v>420.37870978243171</v>
      </c>
      <c r="K48" s="64">
        <v>132484301</v>
      </c>
      <c r="L48" s="64">
        <v>1385008.4</v>
      </c>
      <c r="M48" s="64">
        <v>2104058.2000000002</v>
      </c>
      <c r="N48" s="64">
        <v>2829825.1</v>
      </c>
    </row>
    <row r="49" spans="1:16">
      <c r="A49" s="66">
        <v>2005</v>
      </c>
      <c r="B49" s="56">
        <v>191708.79999999999</v>
      </c>
      <c r="C49" s="56">
        <v>1688</v>
      </c>
      <c r="D49" s="56">
        <v>2858.8</v>
      </c>
      <c r="E49" s="56">
        <v>3523.5</v>
      </c>
      <c r="F49" s="56">
        <f>'810'!H26/'840'!B49*1000</f>
        <v>737.25775759902513</v>
      </c>
      <c r="G49" s="56">
        <f>'810'!J26/'840'!C49*1000</f>
        <v>762.64017379197048</v>
      </c>
      <c r="H49" s="56">
        <f>'810'!K26/'840'!D49*1000</f>
        <v>791.45629740881736</v>
      </c>
      <c r="I49" s="56">
        <f>'810'!L26/'840'!E49*1000</f>
        <v>474.18759755924503</v>
      </c>
      <c r="K49" s="64">
        <v>136577711.80000001</v>
      </c>
      <c r="L49" s="64">
        <v>1372631.3</v>
      </c>
      <c r="M49" s="64">
        <v>2398502.2000000002</v>
      </c>
      <c r="N49" s="64">
        <v>2676678.4</v>
      </c>
    </row>
    <row r="50" spans="1:16">
      <c r="A50" s="66">
        <v>2006</v>
      </c>
      <c r="B50" s="56">
        <v>199634.3</v>
      </c>
      <c r="C50" s="56">
        <v>1642.4</v>
      </c>
      <c r="D50" s="56">
        <v>3026.1</v>
      </c>
      <c r="E50" s="56">
        <v>3429.2</v>
      </c>
      <c r="F50" s="56">
        <f>'810'!H27/'840'!B50*1000</f>
        <v>735.15523134050625</v>
      </c>
      <c r="G50" s="56">
        <f>'810'!J27/'840'!C50*1000</f>
        <v>804.43348869207739</v>
      </c>
      <c r="H50" s="56">
        <f>'810'!K27/'840'!D50*1000</f>
        <v>743.97268982405024</v>
      </c>
      <c r="I50" s="56">
        <f>'810'!L27/'840'!E50*1000</f>
        <v>471.48022862475227</v>
      </c>
      <c r="K50" s="64">
        <v>141745793.40000001</v>
      </c>
      <c r="L50" s="64">
        <v>1349002</v>
      </c>
      <c r="M50" s="64">
        <v>2499462.2999999998</v>
      </c>
      <c r="N50" s="64">
        <v>2591661.6</v>
      </c>
    </row>
    <row r="51" spans="1:16">
      <c r="A51" s="66">
        <v>2007</v>
      </c>
      <c r="B51" s="56">
        <v>206574.3</v>
      </c>
      <c r="C51" s="56">
        <v>1577.1</v>
      </c>
      <c r="D51" s="56">
        <v>2895.2</v>
      </c>
      <c r="E51" s="56">
        <v>3233.4</v>
      </c>
      <c r="F51" s="56">
        <f>'810'!H28/'840'!B51*1000</f>
        <v>878.59912873963503</v>
      </c>
      <c r="G51" s="56">
        <f>'810'!J28/'840'!C51*1000</f>
        <v>1267.0090672753788</v>
      </c>
      <c r="H51" s="56">
        <f>'810'!K28/'840'!D51*1000</f>
        <v>1165.2044763746892</v>
      </c>
      <c r="I51" s="56">
        <f>'810'!L28/'840'!E51*1000</f>
        <v>485.74256200903073</v>
      </c>
      <c r="K51" s="64">
        <v>146737898.90000001</v>
      </c>
      <c r="L51" s="64">
        <v>1335098.3</v>
      </c>
      <c r="M51" s="64">
        <v>2449723.2999999998</v>
      </c>
      <c r="N51" s="64">
        <v>2497644.6</v>
      </c>
    </row>
    <row r="52" spans="1:16">
      <c r="A52" s="66">
        <v>2008</v>
      </c>
      <c r="B52" s="56">
        <v>214310.5</v>
      </c>
      <c r="C52" s="56">
        <v>1503.4</v>
      </c>
      <c r="D52" s="56">
        <v>2792</v>
      </c>
      <c r="E52" s="56">
        <v>3029.1</v>
      </c>
      <c r="F52" s="56">
        <f>'810'!H29/'840'!B52*1000</f>
        <v>855.85820573420335</v>
      </c>
      <c r="G52" s="56">
        <f>'810'!J29/'840'!C52*1000</f>
        <v>1181.0562724491151</v>
      </c>
      <c r="H52" s="56">
        <f>'810'!K29/'840'!D52*1000</f>
        <v>1032.8796561604586</v>
      </c>
      <c r="I52" s="56">
        <f>'810'!L29/'840'!E52*1000</f>
        <v>467.96078042983066</v>
      </c>
    </row>
    <row r="53" spans="1:16">
      <c r="A53" s="66">
        <v>2009</v>
      </c>
      <c r="B53" s="56">
        <v>217752.1</v>
      </c>
      <c r="C53" s="56">
        <v>1386</v>
      </c>
      <c r="D53" s="56">
        <v>2571.3000000000002</v>
      </c>
      <c r="E53" s="56">
        <v>2721.2</v>
      </c>
      <c r="F53" s="56">
        <f>'810'!H30/'840'!B53*1000</f>
        <v>819.25363750797351</v>
      </c>
      <c r="G53" s="56">
        <f>'810'!J30/'840'!C53*1000</f>
        <v>865.22366522366519</v>
      </c>
      <c r="H53" s="56">
        <f>'810'!K30/'840'!D53*1000</f>
        <v>951.03644071092447</v>
      </c>
      <c r="I53" s="56">
        <f>'810'!L30/'840'!E53*1000</f>
        <v>365.6107599588417</v>
      </c>
    </row>
    <row r="54" spans="1:16">
      <c r="A54" s="66">
        <v>2010</v>
      </c>
      <c r="B54" s="56">
        <v>223070.7</v>
      </c>
      <c r="C54" s="56">
        <v>1310</v>
      </c>
      <c r="D54" s="56">
        <v>2442.4</v>
      </c>
      <c r="E54" s="56">
        <v>2577.6</v>
      </c>
      <c r="F54" s="56">
        <f>'810'!H31/'840'!B54*1000</f>
        <v>823.31565732299214</v>
      </c>
      <c r="G54" s="56">
        <f>'810'!J31/'840'!C54*1000</f>
        <v>1146.7175572519084</v>
      </c>
      <c r="H54" s="56">
        <f>'810'!K31/'840'!D54*1000</f>
        <v>1126.1054700294792</v>
      </c>
      <c r="I54" s="56">
        <f>'810'!L31/'840'!E54*1000</f>
        <v>427.06393544382371</v>
      </c>
    </row>
    <row r="55" spans="1:16">
      <c r="A55" s="66">
        <v>2011</v>
      </c>
      <c r="B55" s="56">
        <v>230314.5</v>
      </c>
      <c r="C55" s="56">
        <v>1225</v>
      </c>
      <c r="D55" s="56">
        <v>2411.4</v>
      </c>
      <c r="E55" s="56">
        <v>2494</v>
      </c>
      <c r="F55" s="56">
        <f>'810'!H32/'840'!B55*1000</f>
        <v>818.33666573316043</v>
      </c>
      <c r="G55" s="56">
        <f>'810'!J32/'840'!C55*1000</f>
        <v>1367.7551020408164</v>
      </c>
      <c r="H55" s="56">
        <f>'810'!K32/'840'!D55*1000</f>
        <v>1192.4608111470513</v>
      </c>
      <c r="I55" s="56">
        <f>'810'!L32/'840'!E55*1000</f>
        <v>423.53648757016839</v>
      </c>
    </row>
    <row r="57" spans="1:16">
      <c r="A57" s="66" t="s">
        <v>23</v>
      </c>
    </row>
    <row r="58" spans="1:16">
      <c r="A58" s="64" t="s">
        <v>2143</v>
      </c>
      <c r="B58" s="65">
        <f>IFERROR(((B55/B28)^(1/27)-1)*100,"n.a.")</f>
        <v>2.0307142747914897</v>
      </c>
      <c r="C58" s="65">
        <f t="shared" ref="C58:I58" si="0">IFERROR(((C55/C28)^(1/27)-1)*100,"n.a.")</f>
        <v>-2.6497459816683056</v>
      </c>
      <c r="D58" s="65">
        <f t="shared" si="0"/>
        <v>-0.7124602540490188</v>
      </c>
      <c r="E58" s="65">
        <f t="shared" si="0"/>
        <v>-2.8246722988792383</v>
      </c>
      <c r="F58" s="65">
        <f t="shared" si="0"/>
        <v>1.5775231078641871</v>
      </c>
      <c r="G58" s="65">
        <f t="shared" si="0"/>
        <v>3.6957568762877813</v>
      </c>
      <c r="H58" s="65">
        <f t="shared" si="0"/>
        <v>-0.25955557923040828</v>
      </c>
      <c r="I58" s="65" t="str">
        <f t="shared" si="0"/>
        <v>n.a.</v>
      </c>
    </row>
    <row r="59" spans="1:16">
      <c r="A59" s="109" t="s">
        <v>682</v>
      </c>
      <c r="B59" s="65">
        <f>IFERROR(((B33/B28)^(1/5)-1)*100,"n.a.")</f>
        <v>1.547726165323704</v>
      </c>
      <c r="C59" s="65">
        <f t="shared" ref="C59:I59" si="1">IFERROR(((C33/C28)^(1/5)-1)*100,"n.a.")</f>
        <v>-0.86070633010481012</v>
      </c>
      <c r="D59" s="65">
        <f t="shared" si="1"/>
        <v>2.6010482315556249</v>
      </c>
      <c r="E59" s="65">
        <f t="shared" si="1"/>
        <v>5.0112414264379845</v>
      </c>
      <c r="F59" s="65">
        <f t="shared" si="1"/>
        <v>2.5101540154633506</v>
      </c>
      <c r="G59" s="65">
        <f t="shared" si="1"/>
        <v>-0.10611893124508054</v>
      </c>
      <c r="H59" s="65">
        <f t="shared" si="1"/>
        <v>-8.9908134687286978</v>
      </c>
      <c r="I59" s="65" t="str">
        <f t="shared" si="1"/>
        <v>n.a.</v>
      </c>
    </row>
    <row r="60" spans="1:16">
      <c r="A60" s="109" t="s">
        <v>26</v>
      </c>
      <c r="B60" s="65">
        <f>IFERROR(((B44/B33)^(1/11)-1)*100,"n.a.")</f>
        <v>1.7748308751630359</v>
      </c>
      <c r="C60" s="65">
        <f t="shared" ref="C60:I60" si="2">IFERROR(((C44/C33)^(1/11)-1)*100,"n.a.")</f>
        <v>-2.2289535999390098</v>
      </c>
      <c r="D60" s="65">
        <f t="shared" si="2"/>
        <v>-1.8526086384394236</v>
      </c>
      <c r="E60" s="65">
        <f t="shared" si="2"/>
        <v>-2.9270788135314141</v>
      </c>
      <c r="F60" s="65">
        <f t="shared" si="2"/>
        <v>1.2114829234106228</v>
      </c>
      <c r="G60" s="65">
        <f t="shared" si="2"/>
        <v>4.1714838220580086</v>
      </c>
      <c r="H60" s="65">
        <f t="shared" si="2"/>
        <v>2.1130944908934968</v>
      </c>
      <c r="I60" s="65">
        <f t="shared" si="2"/>
        <v>2.2371018368393614</v>
      </c>
    </row>
    <row r="61" spans="1:16">
      <c r="A61" s="64" t="s">
        <v>1782</v>
      </c>
      <c r="B61" s="65">
        <f>IFERROR(((B55/B44)^(1/11)-1)*100,"n.a.")</f>
        <v>2.5080937029230643</v>
      </c>
      <c r="C61" s="65">
        <f t="shared" ref="C61:I61" si="3">IFERROR(((C55/C44)^(1/11)-1)*100,"n.a.")</f>
        <v>-3.8677655400053634</v>
      </c>
      <c r="D61" s="65">
        <f t="shared" si="3"/>
        <v>-1.0467047594229006</v>
      </c>
      <c r="E61" s="65">
        <f t="shared" si="3"/>
        <v>-6.09149247001739</v>
      </c>
      <c r="F61" s="65">
        <f t="shared" si="3"/>
        <v>1.5222505955708732</v>
      </c>
      <c r="G61" s="65">
        <f t="shared" si="3"/>
        <v>4.9897261427247042</v>
      </c>
      <c r="H61" s="65">
        <f t="shared" si="3"/>
        <v>1.5653889927955689</v>
      </c>
      <c r="I61" s="65">
        <f t="shared" si="3"/>
        <v>2.4243959463499332</v>
      </c>
      <c r="P61" s="65"/>
    </row>
    <row r="63" spans="1:16">
      <c r="A63" s="137" t="s">
        <v>500</v>
      </c>
      <c r="B63" s="137"/>
      <c r="C63" s="137"/>
      <c r="D63" s="137"/>
      <c r="E63" s="137"/>
      <c r="F63" s="137"/>
      <c r="G63" s="137"/>
      <c r="H63" s="137"/>
      <c r="I63" s="137"/>
    </row>
    <row r="64" spans="1:16">
      <c r="A64" s="137" t="s">
        <v>686</v>
      </c>
      <c r="B64" s="137"/>
      <c r="C64" s="137"/>
      <c r="D64" s="137"/>
      <c r="E64" s="137"/>
      <c r="F64" s="137"/>
      <c r="G64" s="137"/>
      <c r="H64" s="137"/>
      <c r="I64" s="137"/>
    </row>
    <row r="65" spans="1:13">
      <c r="A65" s="137" t="s">
        <v>688</v>
      </c>
      <c r="B65" s="137"/>
      <c r="C65" s="137"/>
      <c r="D65" s="137"/>
      <c r="E65" s="137"/>
      <c r="F65" s="137"/>
      <c r="G65" s="137"/>
      <c r="H65" s="137"/>
      <c r="I65" s="137"/>
    </row>
    <row r="66" spans="1:13">
      <c r="A66" s="137" t="s">
        <v>193</v>
      </c>
      <c r="B66" s="137"/>
      <c r="C66" s="137"/>
      <c r="D66" s="137"/>
      <c r="E66" s="137"/>
      <c r="F66" s="137"/>
      <c r="G66" s="137"/>
      <c r="H66" s="137"/>
      <c r="I66" s="137"/>
    </row>
    <row r="67" spans="1:13">
      <c r="A67" s="104" t="s">
        <v>679</v>
      </c>
      <c r="B67" s="104"/>
      <c r="C67" s="104"/>
      <c r="D67" s="104"/>
      <c r="E67" s="104"/>
      <c r="F67" s="104"/>
      <c r="G67" s="104"/>
      <c r="H67" s="104"/>
      <c r="I67" s="104"/>
      <c r="J67" s="77"/>
      <c r="K67" s="77"/>
      <c r="L67" s="77"/>
      <c r="M67" s="77"/>
    </row>
    <row r="68" spans="1:13">
      <c r="A68" s="137" t="s">
        <v>683</v>
      </c>
      <c r="B68" s="137"/>
      <c r="C68" s="137"/>
      <c r="D68" s="137"/>
      <c r="E68" s="137"/>
      <c r="F68" s="137"/>
      <c r="G68" s="137"/>
      <c r="H68" s="137"/>
      <c r="I68" s="137"/>
    </row>
    <row r="69" spans="1:13">
      <c r="A69" s="137" t="s">
        <v>684</v>
      </c>
      <c r="B69" s="137"/>
      <c r="C69" s="137"/>
      <c r="D69" s="137"/>
      <c r="E69" s="137"/>
      <c r="F69" s="137"/>
      <c r="G69" s="137"/>
      <c r="H69" s="137"/>
      <c r="I69" s="137"/>
    </row>
  </sheetData>
  <mergeCells count="10">
    <mergeCell ref="A67:I67"/>
    <mergeCell ref="A68:I68"/>
    <mergeCell ref="A69:I69"/>
    <mergeCell ref="B2:E2"/>
    <mergeCell ref="F2:I2"/>
    <mergeCell ref="A1:I1"/>
    <mergeCell ref="A63:I63"/>
    <mergeCell ref="A64:I64"/>
    <mergeCell ref="A65:I65"/>
    <mergeCell ref="A66:I66"/>
  </mergeCells>
  <pageMargins left="0.7" right="0.7" top="0.75" bottom="0.75" header="0.3" footer="0.3"/>
  <pageSetup scale="72" orientation="portrait" horizontalDpi="0" verticalDpi="0" r:id="rId1"/>
</worksheet>
</file>

<file path=xl/worksheets/sheet2.xml><?xml version="1.0" encoding="utf-8"?>
<worksheet xmlns="http://schemas.openxmlformats.org/spreadsheetml/2006/main" xmlns:r="http://schemas.openxmlformats.org/officeDocument/2006/relationships">
  <sheetPr codeName="Sheet2"/>
  <dimension ref="A1:A254"/>
  <sheetViews>
    <sheetView tabSelected="1" zoomScaleNormal="100" zoomScaleSheetLayoutView="70" workbookViewId="0">
      <selection activeCell="AC38" sqref="AC38"/>
    </sheetView>
  </sheetViews>
  <sheetFormatPr defaultRowHeight="15"/>
  <cols>
    <col min="1" max="1" width="99.140625" style="64" customWidth="1"/>
    <col min="2" max="16384" width="9.140625" style="64"/>
  </cols>
  <sheetData>
    <row r="1" spans="1:1" ht="42">
      <c r="A1" s="292" t="s">
        <v>1013</v>
      </c>
    </row>
    <row r="2" spans="1:1" ht="21">
      <c r="A2" s="293" t="s">
        <v>988</v>
      </c>
    </row>
    <row r="3" spans="1:1">
      <c r="A3" s="77"/>
    </row>
    <row r="4" spans="1:1" ht="18.75">
      <c r="A4" s="294" t="s">
        <v>1014</v>
      </c>
    </row>
    <row r="5" spans="1:1">
      <c r="A5" s="55" t="s">
        <v>989</v>
      </c>
    </row>
    <row r="6" spans="1:1" ht="30">
      <c r="A6" s="295" t="str">
        <f>'1'!A1:Y1</f>
        <v>Table 1: Real Gross Domestic Product in the Forest Products Sector, Canada, millions of chained 2007 dollars, 1997-2012</v>
      </c>
    </row>
    <row r="7" spans="1:1" ht="30">
      <c r="A7" s="52" t="str">
        <f>'1a'!A1:Y1</f>
        <v>Table 1a: Real Gross Domestic Product in the Forest Products Sector, Canada, millions of constant 2007 dollars, 1981-2012</v>
      </c>
    </row>
    <row r="8" spans="1:1" ht="30">
      <c r="A8" s="52" t="str">
        <f>'1b'!A1:I1</f>
        <v>Table 1b: Nominal Gross Domestic Product (GDP) in the Forest Products Sector, Canada, Current Dollars, 1961-2009</v>
      </c>
    </row>
    <row r="9" spans="1:1" ht="30">
      <c r="A9" s="52" t="str">
        <f>'1c'!$A$1</f>
        <v>Table 1c: Nominal Gross Domestic Product (GDP) in the Forest Products Sector, Canada,  as a share of all industries GDP, per cent, 1961-2009</v>
      </c>
    </row>
    <row r="10" spans="1:1" ht="30">
      <c r="A10" s="52" t="str">
        <f>'1d'!$A$1</f>
        <v>Table 1d: Implicit Deflators for Gross Domestic Product (GDP) in the Forest Products Sector, Canada, Index 2007 = 100, 1981-2009</v>
      </c>
    </row>
    <row r="11" spans="1:1" ht="30">
      <c r="A11" s="52" t="str">
        <f>'1e'!$A$1</f>
        <v>Table 1e: Real Gross Domestic Product in the Forest Products Sector, Canada, millions of constant 2007 dollars, index 2002 = 100, 1981-2012</v>
      </c>
    </row>
    <row r="12" spans="1:1">
      <c r="A12" s="55" t="s">
        <v>1209</v>
      </c>
    </row>
    <row r="13" spans="1:1">
      <c r="A13" s="52" t="str">
        <f>'2a'!$A$1</f>
        <v>Table 2a: Prices Indexes for Forest Products, Canada, 2002 = 100, Paasche Current Weighted, 2002-2011</v>
      </c>
    </row>
    <row r="14" spans="1:1" ht="30">
      <c r="A14" s="52" t="str">
        <f>'2b'!$A$1</f>
        <v>Table 2b: Prices and Volume Indexes for Forest Products International Trade, Canada, 2002 = 100, Laspeyres Fixed Weighted, 2002-2011</v>
      </c>
    </row>
    <row r="15" spans="1:1">
      <c r="A15" s="52" t="str">
        <f>'2c'!$A$1</f>
        <v>Table 2c: Price Indexes for Wood Product Manufacturing Products, Canada, Index 1981 = 100, 1981-2012</v>
      </c>
    </row>
    <row r="16" spans="1:1">
      <c r="A16" s="52" t="str">
        <f>'2d'!$A$1</f>
        <v>Table 2d: Prices Indexes for Paper Manufacturing Products, Canada, Index 1981 = 100, 1981-2012</v>
      </c>
    </row>
    <row r="17" spans="1:1">
      <c r="A17" s="52" t="str">
        <f>'2e'!$A$1</f>
        <v>Table 2e: Industry Price Indexes, Wood Product Manufacturing, 2002 = 100, 1992-2012</v>
      </c>
    </row>
    <row r="18" spans="1:1">
      <c r="A18" s="52" t="str">
        <f>'2f'!$A$1</f>
        <v>Table 2f: Industry Price Indexes, Paper Manufacturing, 2002 = 100, 1992-2012</v>
      </c>
    </row>
    <row r="19" spans="1:1" ht="30">
      <c r="A19" s="52" t="str">
        <f>'2g'!$A$1</f>
        <v>Table 2g: Machinery and Equipment Price Index, by Industry of Purchase, Forest Products Sector, Index 1981 = 100, 1971-2012</v>
      </c>
    </row>
    <row r="20" spans="1:1">
      <c r="A20" s="52" t="str">
        <f>'2h'!A1:H1</f>
        <v>Table 2h: Raw Materials Price Index, Wood, 1981 = 100, 1981-2012</v>
      </c>
    </row>
    <row r="21" spans="1:1">
      <c r="A21" s="55" t="s">
        <v>675</v>
      </c>
    </row>
    <row r="22" spans="1:1">
      <c r="A22" s="52" t="str">
        <f>'3'!$A$1</f>
        <v>Table 3: Total Number of Jobs in the Forest Products Sector, Canada, Jobs, 1961-2011</v>
      </c>
    </row>
    <row r="23" spans="1:1" ht="30">
      <c r="A23" s="52" t="str">
        <f>'3a'!$A$1</f>
        <v>Table 3a: Total Number of Jobs in the Forest Products Sector as a Share of Total Jobs in All Industries, Canada, per cent, 1997-2011</v>
      </c>
    </row>
    <row r="24" spans="1:1">
      <c r="A24" s="52" t="str">
        <f>'3b'!$A$1</f>
        <v>Table 3b: Employment in Forest Products Sector, Canada Thousands, 1987-2007</v>
      </c>
    </row>
    <row r="25" spans="1:1" ht="30">
      <c r="A25" s="52" t="str">
        <f>'3c'!$A$1</f>
        <v>Table 3c: Employment in the Forest Products Sector as a Share of Total Employment in All Industries, Canada, per cent, 1987-2007</v>
      </c>
    </row>
    <row r="26" spans="1:1">
      <c r="A26" s="52" t="str">
        <f>'3d'!A1</f>
        <v>Table 3d: Employment by Type of Employee, Forestry and Logging, Canada, 1991-2012</v>
      </c>
    </row>
    <row r="27" spans="1:1">
      <c r="A27" s="52" t="str">
        <f>'3e'!A1</f>
        <v>Table 3e: Employment by Type of Employee, Wood Product Manufacturing, Canada, 1991-20012</v>
      </c>
    </row>
    <row r="28" spans="1:1">
      <c r="A28" s="52" t="str">
        <f>'3f'!A1</f>
        <v>Table 3f: Employment by Type of Employee, Paper Manufacturing, Canada, 1991-2012</v>
      </c>
    </row>
    <row r="29" spans="1:1">
      <c r="A29" s="52" t="str">
        <f>'3g'!A1:E1</f>
        <v>Table 3g: Employment by Type of Employee, Forest Products Sector, Canada, 1991-2012</v>
      </c>
    </row>
    <row r="30" spans="1:1">
      <c r="A30" s="55" t="s">
        <v>744</v>
      </c>
    </row>
    <row r="31" spans="1:1">
      <c r="A31" s="52" t="str">
        <f>'4'!$A$1</f>
        <v>Table 4: Hours Worked for All Jobs, Canada, Forest Products Sector, Millions of Hours, 1961-2011</v>
      </c>
    </row>
    <row r="32" spans="1:1">
      <c r="A32" s="52" t="str">
        <f>'4a'!$A$1</f>
        <v>Table 4a: Hours Worked for All Jobs, Canada, Forest Products Sector, Index 2007 = 100, 1961-2012</v>
      </c>
    </row>
    <row r="33" spans="1:1" ht="30">
      <c r="A33" s="52" t="str">
        <f>'4b'!$A$1</f>
        <v>Table 4b: Hours Worked for All Jobs, Canada, Forest Products Sector, As a Share of All Industries, Total Economy, per cent, 1961-2012</v>
      </c>
    </row>
    <row r="34" spans="1:1" ht="30">
      <c r="A34" s="52" t="str">
        <f>'4c'!$A$1</f>
        <v>Table 4c: Hours Worked for All Jobs (LFS-based), Canada, Forest Products Sector, Millions of Hours, 1987-2007</v>
      </c>
    </row>
    <row r="35" spans="1:1">
      <c r="A35" s="52" t="str">
        <f>'4d'!A1:H1</f>
        <v>Table 4d: Average Weekly Hours per Job, Canada, Forest Products Sector, 1961-2012</v>
      </c>
    </row>
    <row r="36" spans="1:1" ht="30">
      <c r="A36" s="52" t="str">
        <f>'4e'!A1</f>
        <v>Table 4e: Average Weekly Hours for Employees Paid by the Hour, Forest Products Sector, Canada, 1991-2012</v>
      </c>
    </row>
    <row r="37" spans="1:1" ht="30">
      <c r="A37" s="52" t="str">
        <f>'4f'!A1</f>
        <v>Table 4f: Standard Work Week for Salaried Employees (paid a fixed salary, excluding overtime), Forest Products Sector, Canada, 1991-2012</v>
      </c>
    </row>
    <row r="38" spans="1:1">
      <c r="A38" s="52" t="str">
        <f>'4g'!A1</f>
        <v>Table 4g: Hours Worked, Forest Products Sector, Canada, SEPH, 1991-2012</v>
      </c>
    </row>
    <row r="39" spans="1:1">
      <c r="A39" s="55" t="s">
        <v>990</v>
      </c>
    </row>
    <row r="40" spans="1:1">
      <c r="A40" s="52" t="str">
        <f>'5'!$A$1</f>
        <v>Table 5: Labour Productivity, Canada, Forest Products Sector, constant 2007 dollars, 1981-2012</v>
      </c>
    </row>
    <row r="41" spans="1:1" ht="30">
      <c r="A41" s="52" t="str">
        <f>'5a'!$A$1</f>
        <v>Table 5a: Labour Productivity, Canada, Forest Products Sector, Constant 2007 Dollars, Index 2002 = 100, 1981-2012</v>
      </c>
    </row>
    <row r="42" spans="1:1" ht="30">
      <c r="A42" s="52" t="str">
        <f>'5b'!$A$1</f>
        <v>Table 5b: Labour Productivity, Canada, Forest Products Industry, Constant 2007 Dollars, As a Share of All Industries Total, per cent, 1981-2006</v>
      </c>
    </row>
    <row r="43" spans="1:1" ht="30">
      <c r="A43" s="52" t="str">
        <f>'5c'!$A$1</f>
        <v>Table 5c: Labour Productivity (LFS-based), Canada, Forest Products Sector, Constant 2002 Dollars, 1987-2007</v>
      </c>
    </row>
    <row r="44" spans="1:1">
      <c r="A44" s="52" t="str">
        <f>'5d'!A1:I1</f>
        <v>Table 5d: Labour Productivity, Canada, Forest Products Sector, Chained 2007 dollars, 1981-2012</v>
      </c>
    </row>
    <row r="45" spans="1:1" ht="30">
      <c r="A45" s="52" t="str">
        <f>'5e'!A1:I1</f>
        <v>Table 5e: Labour Productivity, Canada, Forest Products Sector, Chained 2007 Dollars, Index 2002 = 100, 1981-2012</v>
      </c>
    </row>
    <row r="46" spans="1:1" ht="30">
      <c r="A46" s="52" t="str">
        <f>'5f'!A1:I1</f>
        <v>Table 5f: Labour Productivity, Canada, Forest Products Industry, Chained 2007 Dollars, As a Share of All Industries Total, per cent, 1981-2012</v>
      </c>
    </row>
    <row r="47" spans="1:1" ht="30">
      <c r="A47" s="52" t="str">
        <f>'5g'!A1:K1</f>
        <v>Table 5g: Labour Productivity (LFS-based), Canada, Forest Products Sector, Chained 2007 Dollars, 1997-2007</v>
      </c>
    </row>
    <row r="48" spans="1:1">
      <c r="A48" s="55" t="s">
        <v>840</v>
      </c>
    </row>
    <row r="49" spans="1:1">
      <c r="A49" s="52" t="str">
        <f>'6'!$A$1</f>
        <v>Table 6: Labour Compensation, Canada, Forest Products Sector, Millions of Current Dollars, 1981-2011</v>
      </c>
    </row>
    <row r="50" spans="1:1">
      <c r="A50" s="52" t="str">
        <f>'6a'!$A$1</f>
        <v>Table 6a: Labour Share of GDP, Canada, Forest Products Sector, per cent, 1961-2008</v>
      </c>
    </row>
    <row r="51" spans="1:1">
      <c r="A51" s="55" t="s">
        <v>991</v>
      </c>
    </row>
    <row r="52" spans="1:1" ht="30">
      <c r="A52" s="52" t="str">
        <f>'7'!$A$1</f>
        <v>Table 7: The Contribution of the Forest Products Sector to Aggregate Labour Productivity Growth, Canada, 1981-2008</v>
      </c>
    </row>
    <row r="53" spans="1:1">
      <c r="A53" s="52" t="str">
        <f>'7a'!$A$1</f>
        <v>Table 7a: Contribution of All Industries to Aggregate Labour Productivity Growth, Canada, 1986-2008</v>
      </c>
    </row>
    <row r="54" spans="1:1" ht="30">
      <c r="A54" s="52" t="str">
        <f>'7b'!$A$1</f>
        <v>Table 7b: Contribution of the Forest Products Sector to Aggregate Labour Productivity Growth, Canada, 1986-2008</v>
      </c>
    </row>
    <row r="55" spans="1:1" ht="30">
      <c r="A55" s="52" t="str">
        <f>'7c'!$A$1</f>
        <v>Table 7c: Contribution of the Forestry and Logging to Labour Productivity Growth in the Forest Products Sector, Canada, 1986-2008</v>
      </c>
    </row>
    <row r="56" spans="1:1" ht="30">
      <c r="A56" s="52" t="str">
        <f>'7d'!$A$1</f>
        <v>Table 7d: Contribution of the Wood Product Manufacturing to Labour Productivity Growth in the Forest Products Sector, Canada, 1986-2008</v>
      </c>
    </row>
    <row r="57" spans="1:1" ht="30">
      <c r="A57" s="52" t="str">
        <f>'7e'!$A$1</f>
        <v>Table 7e: Contribution of the Paper Manufacturing to Labour Productivity Growth in the Forest Products Sector, Canada, 1986-2008</v>
      </c>
    </row>
    <row r="58" spans="1:1" ht="30">
      <c r="A58" s="52" t="str">
        <f>'7f'!$A$1</f>
        <v>Table 7f: Contribution of the Forestry and Logging to Aggregate Labour Productivity Growth, Canada, 1986-2008</v>
      </c>
    </row>
    <row r="59" spans="1:1" ht="30">
      <c r="A59" s="52" t="str">
        <f>'7g'!$A$1</f>
        <v>Table 7g: Contribution of the Wood Product Manufacturing to Aggregate Labour Productivity Growth, Canada, 1981-2008</v>
      </c>
    </row>
    <row r="60" spans="1:1" ht="30">
      <c r="A60" s="52" t="str">
        <f>'7h'!$A$1</f>
        <v>Table 7h: Contribution of the Paper Manufacturing to Aggregate Labour Productivity Growth, Canada, 1981-2008</v>
      </c>
    </row>
    <row r="61" spans="1:1">
      <c r="A61" s="55" t="s">
        <v>835</v>
      </c>
    </row>
    <row r="62" spans="1:1">
      <c r="A62" s="52" t="str">
        <f>'8'!$A$1</f>
        <v>Table 8: Real Capital Stock, Forest Products Sector, Canada, 1961-2012</v>
      </c>
    </row>
    <row r="63" spans="1:1">
      <c r="A63" s="52" t="str">
        <f>'8a'!$A$1</f>
        <v>Table 8a: Capital Stock, Forest Products Sector, Canada, 1961-2012</v>
      </c>
    </row>
    <row r="64" spans="1:1">
      <c r="A64" s="52" t="str">
        <f>'8b'!$A$1</f>
        <v>Table 8b: Capital Productivity, Forest Products Sector, Canada, 1981-2012</v>
      </c>
    </row>
    <row r="65" spans="1:1">
      <c r="A65" s="52" t="str">
        <f>'8c'!$A$1</f>
        <v>Table 8c: Capital Productivity, Forest Products Sector, Canada, Index 2007 = 100, 1981-2012</v>
      </c>
    </row>
    <row r="66" spans="1:1">
      <c r="A66" s="52" t="str">
        <f>'8d'!$A$1</f>
        <v>Table 8d: Capital Share of GDP, Forest Products Sector, Canada, per cent, 1981-2008</v>
      </c>
    </row>
    <row r="67" spans="1:1">
      <c r="A67" s="52" t="str">
        <f>'8e'!$A$1</f>
        <v>Table 8e: Capital Intensity, Forest Products Sector, Canada, 1981-2012</v>
      </c>
    </row>
    <row r="68" spans="1:1" hidden="1">
      <c r="A68" s="55" t="s">
        <v>1372</v>
      </c>
    </row>
    <row r="69" spans="1:1" hidden="1">
      <c r="A69" s="52" t="str">
        <f>'9'!A1:F1</f>
        <v>Table 9: Multifactor Productivity, All Industries Total Economy, Canada, 1981-2007</v>
      </c>
    </row>
    <row r="70" spans="1:1" hidden="1">
      <c r="A70" s="52" t="str">
        <f>'9a'!A1:F1</f>
        <v>Table 9a: Multifactor Productivity, Forest Products Sector, Canada, 1981-2007</v>
      </c>
    </row>
    <row r="71" spans="1:1" hidden="1">
      <c r="A71" s="52" t="str">
        <f>'9b'!A1:F1</f>
        <v>Table 9b: Multifactor Productivity, Forestry and Logging, Canada, 1981-2007</v>
      </c>
    </row>
    <row r="72" spans="1:1" hidden="1">
      <c r="A72" s="52" t="str">
        <f>'9c'!A1:F1</f>
        <v>Table 9c: Multifactor Productivity, Wood Product Manufacturing, Canada, 1981-2007</v>
      </c>
    </row>
    <row r="73" spans="1:1" hidden="1">
      <c r="A73" s="52" t="str">
        <f>'9d'!A1:F1</f>
        <v>Table 9d: Multifactor Productivity, Paper Manufacturing, Canada, 1981-2006</v>
      </c>
    </row>
    <row r="74" spans="1:1">
      <c r="A74" s="296" t="s">
        <v>1056</v>
      </c>
    </row>
    <row r="75" spans="1:1" ht="30">
      <c r="A75" s="52" t="str">
        <f>'10'!$A$1</f>
        <v>Table 10: Real Gross Investment, All Components, Forest Products Sector, Canada, Millions of Constant 2007 Dollars, 1961-2012</v>
      </c>
    </row>
    <row r="76" spans="1:1" ht="30">
      <c r="A76" s="52" t="str">
        <f>'10a'!$A$1</f>
        <v>Table 10a: Real Gross Investment, Machinery and Equipment, Forest Products Sector, Canada, Millions of Constant Dollars, 1961-2012</v>
      </c>
    </row>
    <row r="77" spans="1:1" ht="30">
      <c r="A77" s="52" t="str">
        <f>'10b'!$A$1</f>
        <v>Table 10b: Real Gross Investment, Engineering Construction, Forest Products Sector, Canada, Millions of Constant Dollars, 1961-2012</v>
      </c>
    </row>
    <row r="78" spans="1:1" ht="30">
      <c r="A78" s="52" t="str">
        <f>'10c'!$A$1</f>
        <v>Table 10c: Real Gross Investment, Building Construction, Forest Products Sector, Canada, Millions of Constant Dollars, 1961-2012</v>
      </c>
    </row>
    <row r="79" spans="1:1" ht="30">
      <c r="A79" s="52" t="str">
        <f>'10d'!A1:G1</f>
        <v>Table 10d: Real Gross Investment,  Intellectual Property Products, Forest Products Sector, Canada, Millions of Constant Dollars, 1961-2012</v>
      </c>
    </row>
    <row r="80" spans="1:1" ht="30">
      <c r="A80" s="52" t="str">
        <f>'10e'!$A$1</f>
        <v>Table 10e: Nominal Gross Investment, All Components, Forest Products Sector, Canada, Millions of Current Dollars, 1961-2012</v>
      </c>
    </row>
    <row r="81" spans="1:1" ht="30">
      <c r="A81" s="52" t="str">
        <f>'10f'!$A$1</f>
        <v>Table 10f: Nominal Gross Investment, Machinery and Equipment, Forest Products Sector, Canada, Millions of Current Dollars, 1961-2012</v>
      </c>
    </row>
    <row r="82" spans="1:1" ht="30">
      <c r="A82" s="52" t="str">
        <f>'10g'!$A$1</f>
        <v>Table 10g: Nominal Gross Investment, Engineering Construction, Forest Products Sector, Canada, Millions of Current Dollars, 1961-2012</v>
      </c>
    </row>
    <row r="83" spans="1:1" ht="30">
      <c r="A83" s="52" t="str">
        <f>'10h'!$A$1</f>
        <v>Table 10h: Nominal Gross Investment, Building Construction, Forest Products Sector, Canada, Millions of Current Dollars, 1961-2012</v>
      </c>
    </row>
    <row r="84" spans="1:1" ht="30">
      <c r="A84" s="52" t="str">
        <f>'10i'!A1:G1</f>
        <v>Table 10i: Nominal Gross Investment, Intellectual Property Products, Forest Products Sector, Canada, Millions of Current Dollars, 1961-2012</v>
      </c>
    </row>
    <row r="85" spans="1:1" ht="30">
      <c r="A85" s="52" t="str">
        <f>'10j'!A1:G1</f>
        <v>Table 10j: Real Depreciation, All Components, Forest Products Sector, Canada, Millions of Constant Dollars, 1961-2012</v>
      </c>
    </row>
    <row r="86" spans="1:1" ht="30">
      <c r="A86" s="52" t="str">
        <f>'10k'!A1:G1</f>
        <v>Table 10k: Real Depreciation, Machinery and Equipment, Forest Products Sector, Canada, Millions of Constant Dollars, 1961-2012</v>
      </c>
    </row>
    <row r="87" spans="1:1" ht="30">
      <c r="A87" s="52" t="str">
        <f>'10l'!A1:G1</f>
        <v>Table 10l: Real Depreciation, Engineering Construction, Forest Products Sector, Canada, Millions of Constant Dollars, 1961-2012</v>
      </c>
    </row>
    <row r="88" spans="1:1" ht="30">
      <c r="A88" s="52" t="str">
        <f>'10m'!A1:G1</f>
        <v>Table 10m: Real Depreciation, Building Construction, Forest Products Sector, Canada, Millions of Constant Dollars, 1961-2012</v>
      </c>
    </row>
    <row r="89" spans="1:1" ht="30">
      <c r="A89" s="52" t="str">
        <f>'10o'!A1:G1</f>
        <v>Table 10o: Real Net Investment, All Components, Forest Products Sector, Canada, Millions of Constant Dollars, 1961-2012</v>
      </c>
    </row>
    <row r="90" spans="1:1" ht="30">
      <c r="A90" s="52" t="str">
        <f>'10p'!A1:G1</f>
        <v>Table 10p: Real Net Investment, Machinery and Equipment, Forest Products Sector, Canada, Millions of Constant Dollars, 1961-2012</v>
      </c>
    </row>
    <row r="91" spans="1:1" ht="30">
      <c r="A91" s="52" t="str">
        <f>'10p'!A1:G1</f>
        <v>Table 10p: Real Net Investment, Machinery and Equipment, Forest Products Sector, Canada, Millions of Constant Dollars, 1961-2012</v>
      </c>
    </row>
    <row r="92" spans="1:1" ht="30">
      <c r="A92" s="52" t="str">
        <f>'10q'!A1:G1</f>
        <v>Table 10q: Real Net Investment, Engineering Construction, Forest Products Sector, Canada, Millions of Constant Dollars, 1961-2012</v>
      </c>
    </row>
    <row r="93" spans="1:1" ht="30">
      <c r="A93" s="52" t="str">
        <f>'10r'!A1:G1</f>
        <v>Table 10r: Real Net Investment, Building Construction, Forest Products Sector, Canada, Millions of Constant Dollars, 1961-2012</v>
      </c>
    </row>
    <row r="94" spans="1:1" ht="30">
      <c r="A94" s="52" t="str">
        <f>'10s'!A1:G1</f>
        <v>Table 10s: Real Net Investment, Intellectual Property Products, Forest Products Sector, Canada, Millions of Constant Dollars, 1961-2012</v>
      </c>
    </row>
    <row r="95" spans="1:1" ht="30">
      <c r="A95" s="52" t="str">
        <f>'10t'!A1:G1</f>
        <v>Table 10t: Real Gross Investment, Machinery and Equipment, Forest Products Sector, Canada, As a Share of GDP, Constant 2002 Dollars, per cent 1981-2012</v>
      </c>
    </row>
    <row r="96" spans="1:1" ht="30">
      <c r="A96" s="52" t="str">
        <f>'10u'!A1:G1</f>
        <v>Table 10u: Real Depreciation, Machinery and Equipment, Forest Products Sector, Canada, As a Share of GDP, Constant 2002 Dollars, per cent 1981-2012</v>
      </c>
    </row>
    <row r="97" spans="1:1">
      <c r="A97" s="55" t="s">
        <v>993</v>
      </c>
    </row>
    <row r="98" spans="1:1" ht="30">
      <c r="A98" s="52" t="str">
        <f>'11'!$A$1</f>
        <v>Table 11: Educational Attainment, Number of Workers by Highest Educational Attainment, All Industries, Thousands, 1990-2012</v>
      </c>
    </row>
    <row r="99" spans="1:1" ht="30">
      <c r="A99" s="52" t="str">
        <f>'11a'!A1:K1</f>
        <v>Table 11a: Educational Attainment, Number of Workers by Highest Educational Attainment, Forest Products Sector, Thousands, 1990-2007</v>
      </c>
    </row>
    <row r="100" spans="1:1" ht="30">
      <c r="A100" s="52" t="str">
        <f>'11b'!$A$1</f>
        <v>Table 11b: Educational Attainment, Number of Workers by Highest Educational Attainment, Forestry and Logging [113], Thousands, 1990-2007</v>
      </c>
    </row>
    <row r="101" spans="1:1" ht="30">
      <c r="A101" s="52" t="str">
        <f>'11c'!$A$1</f>
        <v>Table 11c: Educational Attainment, Number of Workers by Highest Educational Attainment, Wood Product Manfacturing [321], Thousands, 1990-2007</v>
      </c>
    </row>
    <row r="102" spans="1:1" ht="30">
      <c r="A102" s="52" t="str">
        <f>'11d'!$A$1</f>
        <v>Table 11d: Educational Attainment, Number of Workers by Highest Educational Attainment, Paper Manfacturing [322], Thousands, 1990-2007</v>
      </c>
    </row>
    <row r="103" spans="1:1">
      <c r="A103" s="52" t="str">
        <f>'11e'!A1</f>
        <v>Table 11e: Educational Attainment of Workers, Forest Products Sector, Canada, per cent, 1990-2007</v>
      </c>
    </row>
    <row r="104" spans="1:1">
      <c r="A104" s="55" t="s">
        <v>994</v>
      </c>
    </row>
    <row r="105" spans="1:1">
      <c r="A105" s="52" t="str">
        <f>'12'!$A$1</f>
        <v>Table 12: Research and Development, Canada, All Industries Total, 1994-2012</v>
      </c>
    </row>
    <row r="106" spans="1:1">
      <c r="A106" s="52" t="str">
        <f>'12a'!A1:J1</f>
        <v>Table 12a: Research and Development, Canada, Manufacturing Total, 1994-2012</v>
      </c>
    </row>
    <row r="107" spans="1:1">
      <c r="A107" s="52" t="str">
        <f>'12b'!$A$1</f>
        <v>Table 12b: Research and Development, Canada, Forest Products Sector, 1994-2007</v>
      </c>
    </row>
    <row r="108" spans="1:1" ht="30">
      <c r="A108" s="52" t="str">
        <f>'12c'!$A$1</f>
        <v>Table 12c: Research and Development, Canada, Forestry, Logging and Support Activities for Forestry, 1994-2007</v>
      </c>
    </row>
    <row r="109" spans="1:1">
      <c r="A109" s="52" t="str">
        <f>'12d'!$A$1</f>
        <v>Table 12d: Research and Development, Canada, Wood Product Manufacturing, 1994-2012</v>
      </c>
    </row>
    <row r="110" spans="1:1">
      <c r="A110" s="52" t="str">
        <f>'12e'!$A$1</f>
        <v>Table 12e: Research and Development, Canada, Paper Manufacturing, 1994-2012</v>
      </c>
    </row>
    <row r="111" spans="1:1" ht="30">
      <c r="A111" s="52" t="str">
        <f>'12f'!A1</f>
        <v>Table 12f: Total Business Enterprise Research and Development Intramural Expenditures, Forest Products Sector, Canada, as a Share of GDP, per cent, 1994-2008</v>
      </c>
    </row>
    <row r="112" spans="1:1" ht="30">
      <c r="A112" s="52" t="str">
        <f>'12g'!A1</f>
        <v>Table 12g: Business Enterprise Expenditures in Research &amp; Development, Current US Dollars at Purchasing Power Parity, 1987-2010</v>
      </c>
    </row>
    <row r="113" spans="1:1">
      <c r="A113" s="55" t="s">
        <v>995</v>
      </c>
    </row>
    <row r="114" spans="1:1" ht="30">
      <c r="A114" s="52" t="str">
        <f>'13'!$A$1</f>
        <v>Table 13: Present Value of Timber Stocks , Canada and the Provinces, Method I, Millions of Current Dollars, 1961-2011</v>
      </c>
    </row>
    <row r="115" spans="1:1" ht="30">
      <c r="A115" s="52" t="str">
        <f>'13a'!$A$1</f>
        <v>Table 13a: Present Value of Timber Stocks , Canada and the Provinces, Method II, Millions of Current Dollars, 1961-2011</v>
      </c>
    </row>
    <row r="116" spans="1:1">
      <c r="A116" s="52" t="str">
        <f>'14'!$A$1</f>
        <v>Table 14: Timber Assets, Canada, volume in millions of cubic meters, 1961-2003</v>
      </c>
    </row>
    <row r="117" spans="1:1">
      <c r="A117" s="52" t="str">
        <f>'14a'!$A$1</f>
        <v>Table 14a: Timber Assets, Canada, Area in Thousands of Hectares, 1961-2003</v>
      </c>
    </row>
    <row r="118" spans="1:1">
      <c r="A118" s="55" t="s">
        <v>996</v>
      </c>
    </row>
    <row r="119" spans="1:1">
      <c r="A119" s="297" t="str">
        <f>'15'!A1</f>
        <v>Table 15: Marginal Effective Tax Rate on Capital, Forestry, 1997-2008</v>
      </c>
    </row>
    <row r="120" spans="1:1">
      <c r="A120" s="52" t="str">
        <f>'15a'!$A$1</f>
        <v>Table 15a: Marginal Effective Tax Rate on Capital Investment in Canada, per cent, 2008</v>
      </c>
    </row>
    <row r="121" spans="1:1" ht="30">
      <c r="A121" s="52" t="str">
        <f>'15b'!A1:J1</f>
        <v>Table 15b: Marginal Effective Tax Rate on Manufacturing Capital, Manufacturing, Selected OECD Countries, 2007</v>
      </c>
    </row>
    <row r="122" spans="1:1">
      <c r="A122" s="52" t="str">
        <f>'15c'!A1:L1</f>
        <v>Table 15c: Marginal Effective Tax Rate on Capital, Manufacturing, Canada, by Province, 1997-2006</v>
      </c>
    </row>
    <row r="123" spans="1:1">
      <c r="A123" s="55" t="s">
        <v>992</v>
      </c>
    </row>
    <row r="124" spans="1:1">
      <c r="A124" s="298" t="str">
        <f>'16'!$A$1</f>
        <v>Table 16: Productivity, Business Sector, Canada, 1961-2011</v>
      </c>
    </row>
    <row r="125" spans="1:1">
      <c r="A125" s="298" t="str">
        <f>'16a'!$A$1</f>
        <v>Table 16a: Labour Input to Productivity, Business Sector, Canada, 1961-2011</v>
      </c>
    </row>
    <row r="126" spans="1:1">
      <c r="A126" s="298" t="str">
        <f>'16b'!$A$1</f>
        <v>Table 16b: Capital Input to Productivity, Business Sector, Canada, 1961-2011</v>
      </c>
    </row>
    <row r="127" spans="1:1">
      <c r="A127" s="298" t="str">
        <f>'16c'!A1:C1</f>
        <v>Table 16c: Labour Input to Productivity, Manufacturing, Canada, 1961-2011</v>
      </c>
    </row>
    <row r="128" spans="1:1">
      <c r="A128" s="298" t="str">
        <f>'17'!A1</f>
        <v>Table 17: Productivity, Forest Products Sector, Canada, 1961-2008</v>
      </c>
    </row>
    <row r="129" spans="1:1">
      <c r="A129" s="298" t="str">
        <f>'17a'!A1:G1</f>
        <v>Table 17a: Labour Input to Productivity, Forest Product Sector, Canada, 1961-2008</v>
      </c>
    </row>
    <row r="130" spans="1:1">
      <c r="A130" s="298" t="str">
        <f>'17b'!A1</f>
        <v>Table 17b: Capital Input to Productivity, Forest Products Sector, Canada, 1961-2008</v>
      </c>
    </row>
    <row r="131" spans="1:1">
      <c r="A131" s="298" t="str">
        <f>'17c'!A1</f>
        <v>Table 17c: Sources of Labour Productivity Growth in the Forestry and Logging, Canada, 1961-2008</v>
      </c>
    </row>
    <row r="132" spans="1:1">
      <c r="A132" s="298" t="str">
        <f>'18'!$A$1</f>
        <v>Table 18: Productivity, Forestry and Logging (NAICS 113), Canada, 1961-2008</v>
      </c>
    </row>
    <row r="133" spans="1:1">
      <c r="A133" s="298" t="str">
        <f>'18a'!A1:G1</f>
        <v>Table 18a: Labour Input to Productivity, Forestry and Logging (NAICS 113), Canada, 1961-2008</v>
      </c>
    </row>
    <row r="134" spans="1:1" ht="30">
      <c r="A134" s="298" t="str">
        <f>'18b'!A1</f>
        <v>Table 18b: Capital and Intermediate Inputs to Productivity, Forestry and Logging (NAICS 113), Canada, 1961-2008</v>
      </c>
    </row>
    <row r="135" spans="1:1">
      <c r="A135" s="298" t="str">
        <f>'18c'!A1</f>
        <v>Table 18c: Sources of Labour Productivity Growth in the Forestry and Logging, Canada, 1961-2008</v>
      </c>
    </row>
    <row r="136" spans="1:1">
      <c r="A136" s="298" t="str">
        <f>'19'!$A$1</f>
        <v>Table 19: Productivity, Wood Product Manufacturing (NAICS 321), Canada, 1961-2008</v>
      </c>
    </row>
    <row r="137" spans="1:1">
      <c r="A137" s="298" t="str">
        <f>'19a'!$A$1</f>
        <v>Table 19a: Labour Input to Productivity, Wood Product Manufacturing (NAICS 321), Canada, 1961-2008</v>
      </c>
    </row>
    <row r="138" spans="1:1" ht="30">
      <c r="A138" s="298" t="str">
        <f>'19b'!$A$1</f>
        <v>Table 19b: Capital and Intermediate Inputs to Productivity, Wood Product Manufacturing (NAICS 321), Canada, 1961-2004</v>
      </c>
    </row>
    <row r="139" spans="1:1">
      <c r="A139" s="298" t="str">
        <f>'19c'!$A$1</f>
        <v>Table 19c: Sources of Labour Productivity Growth, Wood Product Manufacturing, Canada, 1961-2008</v>
      </c>
    </row>
    <row r="140" spans="1:1">
      <c r="A140" s="298" t="str">
        <f>'20'!$A$1</f>
        <v>Table 20: Productivity, Paper Manufacturing Manufacturing (NAICS 322), Canada, 1961-2008</v>
      </c>
    </row>
    <row r="141" spans="1:1" ht="30">
      <c r="A141" s="298" t="str">
        <f>'20a'!$A$1</f>
        <v>Table 20a: Labour Input to Productivity, Paper Manufacturing Manufacturing (NAICS 322), Canada, 1961-2008</v>
      </c>
    </row>
    <row r="142" spans="1:1" ht="30">
      <c r="A142" s="298" t="str">
        <f>'20b'!$A$1</f>
        <v>Table 20b: Capital and Intermediate Inputs to Productivity, Paper Manufacturing Manufacturing (NAICS 322), Canada, 1961-2008</v>
      </c>
    </row>
    <row r="143" spans="1:1">
      <c r="A143" s="298" t="str">
        <f>'20c'!$A$1</f>
        <v>Table 20c: Sources of Labour Productivity Growth, Paper Manufacturing, Canada, 1961-2008</v>
      </c>
    </row>
    <row r="144" spans="1:1">
      <c r="A144" s="299" t="s">
        <v>1059</v>
      </c>
    </row>
    <row r="145" spans="1:1">
      <c r="A145" s="298" t="str">
        <f>'21'!$A$1</f>
        <v>Table 21: Capacity Utilization Rates, Forest Products Sector, per cent, Canada , 1987-2012</v>
      </c>
    </row>
    <row r="146" spans="1:1">
      <c r="A146" s="299" t="s">
        <v>1094</v>
      </c>
    </row>
    <row r="147" spans="1:1">
      <c r="A147" s="298" t="str">
        <f>'22'!$A$1</f>
        <v>Table 22: Sawn Lumber Production and Shipments, Cubic Metres Dry, 1946-2011</v>
      </c>
    </row>
    <row r="148" spans="1:1">
      <c r="A148" s="299" t="s">
        <v>1378</v>
      </c>
    </row>
    <row r="149" spans="1:1">
      <c r="A149" s="300" t="str">
        <f>'23'!A1</f>
        <v>Table 23: Top 100 Global Forest, Paper &amp; Packaging Industry Companies, by sales, 2011</v>
      </c>
    </row>
    <row r="150" spans="1:1">
      <c r="A150" s="299" t="s">
        <v>1379</v>
      </c>
    </row>
    <row r="151" spans="1:1" ht="30">
      <c r="A151" s="300" t="str">
        <f>'24'!A1:H1</f>
        <v>Table 24: Stock of Foreign Direct Investment, Wood Product and Paper Manufacturing Subsectors, millions of current dollars, 1983-2011</v>
      </c>
    </row>
    <row r="152" spans="1:1">
      <c r="A152" s="299" t="s">
        <v>1774</v>
      </c>
    </row>
    <row r="153" spans="1:1">
      <c r="A153" s="300" t="str">
        <f>'25a'!A1:D1</f>
        <v>Table 25a: Logging Industry (11331), Canada, 1990-2010</v>
      </c>
    </row>
    <row r="154" spans="1:1">
      <c r="A154" s="300" t="str">
        <f>'25b'!A1:D1</f>
        <v>Table 25b: Establishment Size, Wood Product Manufacturing, Canada, 1990-2010</v>
      </c>
    </row>
    <row r="155" spans="1:1">
      <c r="A155" s="300" t="str">
        <f>'25c'!A1</f>
        <v>Table 25c: Establishment Size, Paper Manufacturing, Canada, 1990-2010</v>
      </c>
    </row>
    <row r="156" spans="1:1">
      <c r="A156" s="300" t="str">
        <f>'25d'!A1</f>
        <v>Table 25d: Number of Establishments, Paper Manufacturing, Canada, 1990-2010</v>
      </c>
    </row>
    <row r="157" spans="1:1">
      <c r="A157" s="300" t="str">
        <f>'25e'!A1:X1</f>
        <v>Table 25e: Number of Establishments, Forest Products Sector, Canada, 1990-2010</v>
      </c>
    </row>
    <row r="158" spans="1:1" ht="30">
      <c r="A158" s="300" t="str">
        <f>'25f'!A1:X1</f>
        <v>Table 25f: Real GDP per Establishment, Forest Products Sector, Canada, Millions of Constant 2002 Dollars, 1990-2010</v>
      </c>
    </row>
    <row r="159" spans="1:1">
      <c r="A159" s="300" t="str">
        <f>'26'!A1</f>
        <v>Table 26: Employment by Enterprise Size, Forestry, Logging and Support Activities, Canada, 2000-2012</v>
      </c>
    </row>
    <row r="160" spans="1:1">
      <c r="A160" s="299" t="s">
        <v>1775</v>
      </c>
    </row>
    <row r="161" spans="1:1">
      <c r="A161" s="300" t="str">
        <f>'27'!A1:F1</f>
        <v>Table 27: Operating Profits/Losses, Forest Products Sector, Canada, Millions of Current Dollars, 2000-2011</v>
      </c>
    </row>
    <row r="162" spans="1:1">
      <c r="A162" s="299" t="s">
        <v>1776</v>
      </c>
    </row>
    <row r="163" spans="1:1">
      <c r="A163" s="300" t="str">
        <f>'28'!A1</f>
        <v>Table 28: Canada-US Exchange Rate, 1989-2012</v>
      </c>
    </row>
    <row r="164" spans="1:1">
      <c r="A164" s="299" t="s">
        <v>1108</v>
      </c>
    </row>
    <row r="165" spans="1:1">
      <c r="A165" s="300" t="str">
        <f>'29'!A1</f>
        <v>Table 29: Exports, Forest Products, Canada, Millions of Current Current Dollars, 1989-2011 (terminated)</v>
      </c>
    </row>
    <row r="166" spans="1:1">
      <c r="A166" s="52" t="str">
        <f>'30'!A1</f>
        <v>Table 30: Exports, Forest Products, Canada, Millions of Current Current Dollars, 1988-2011 (new)</v>
      </c>
    </row>
    <row r="167" spans="1:1" ht="18.75">
      <c r="A167" s="53" t="s">
        <v>1015</v>
      </c>
    </row>
    <row r="168" spans="1:1">
      <c r="A168" s="55" t="s">
        <v>696</v>
      </c>
    </row>
    <row r="169" spans="1:1">
      <c r="A169" s="52" t="str">
        <f>'600'!$A$1</f>
        <v>Table 600: Labour Productivity and Hours Worked, Canada, Forest Products Sector, 1979-2008</v>
      </c>
    </row>
    <row r="170" spans="1:1">
      <c r="A170" s="52" t="str">
        <f>'600a'!$A$1</f>
        <v>Table 600a: Value Added, Canada, Forest Products Sector, 1979-2008</v>
      </c>
    </row>
    <row r="171" spans="1:1">
      <c r="A171" s="55" t="s">
        <v>785</v>
      </c>
    </row>
    <row r="172" spans="1:1">
      <c r="A172" s="52" t="str">
        <f>'601'!$A$1</f>
        <v>Table 601: Labour Productivity and Hours Worked, Finland, Forest Products Sector, 1970-2007</v>
      </c>
    </row>
    <row r="173" spans="1:1">
      <c r="A173" s="52" t="str">
        <f>'601a'!$A$1</f>
        <v>Table 601a: Value Added, Finland, Forest Products Sector,1970-2007</v>
      </c>
    </row>
    <row r="174" spans="1:1">
      <c r="A174" s="55" t="s">
        <v>786</v>
      </c>
    </row>
    <row r="175" spans="1:1">
      <c r="A175" s="52" t="str">
        <f>'602'!$A$1</f>
        <v>Table 602: Labour Productivity and Hours Worked, France, Forest Products Sector, 1970-2007</v>
      </c>
    </row>
    <row r="176" spans="1:1">
      <c r="A176" s="52" t="str">
        <f>'602a'!$A$1</f>
        <v>Table 602a: Value Added, France, Forest Products Sector, 1970-2007</v>
      </c>
    </row>
    <row r="177" spans="1:1">
      <c r="A177" s="55" t="s">
        <v>787</v>
      </c>
    </row>
    <row r="178" spans="1:1">
      <c r="A178" s="52" t="str">
        <f>'603'!$A$1</f>
        <v>Table 603: Labour Productivity and Hours Worked, Germany, Forest Products Sector, 1970-2007</v>
      </c>
    </row>
    <row r="179" spans="1:1">
      <c r="A179" s="52" t="str">
        <f>'603a'!$A$1</f>
        <v>Table 603a: Value Added, Germany, Forest Products Sector, 1970-2007</v>
      </c>
    </row>
    <row r="180" spans="1:1">
      <c r="A180" s="55" t="s">
        <v>788</v>
      </c>
    </row>
    <row r="181" spans="1:1">
      <c r="A181" s="52" t="str">
        <f>'604'!$A$1</f>
        <v>Table 604: Labour Productivity and Hours Worked, Italy, Forest Products Sector, 1970-2007</v>
      </c>
    </row>
    <row r="182" spans="1:1">
      <c r="A182" s="52" t="str">
        <f>'604a'!$A$1</f>
        <v>Table 604a: Value Added, Italy, Forest Products Sector, 1970-2007</v>
      </c>
    </row>
    <row r="183" spans="1:1">
      <c r="A183" s="55" t="s">
        <v>789</v>
      </c>
    </row>
    <row r="184" spans="1:1">
      <c r="A184" s="301" t="str">
        <f>'606'!$A$1</f>
        <v>Table 606: Labour Productivity and Hours Worked, Sweden, Forest Products Sector, 1970-2007</v>
      </c>
    </row>
    <row r="185" spans="1:1">
      <c r="A185" s="301" t="str">
        <f>'606a'!$A$1</f>
        <v>Table 606a: Value Added, Sweden, Forest Products Sector, 1970-2007</v>
      </c>
    </row>
    <row r="186" spans="1:1">
      <c r="A186" s="55" t="s">
        <v>792</v>
      </c>
    </row>
    <row r="187" spans="1:1">
      <c r="A187" s="52" t="str">
        <f>'607'!$A$1</f>
        <v>Table 607: Labour Productivity and Hours Worked, United Kingdom, Forest Products Sector, 1970-2007</v>
      </c>
    </row>
    <row r="188" spans="1:1">
      <c r="A188" s="52" t="str">
        <f>'607a'!$A$1</f>
        <v>Table 607a: Value Added, United Kingdom, Forest Products Sector, 1970-2007</v>
      </c>
    </row>
    <row r="189" spans="1:1">
      <c r="A189" s="55" t="s">
        <v>790</v>
      </c>
    </row>
    <row r="190" spans="1:1">
      <c r="A190" s="52" t="str">
        <f>'608'!$A$1</f>
        <v>Table 608: Labour Productivity and Hours Worked, United States, Forest Products Sector, 1970-2007</v>
      </c>
    </row>
    <row r="191" spans="1:1">
      <c r="A191" s="52" t="str">
        <f>'608a'!$A$1</f>
        <v>Table 608a: Value Added, United States, Forest Products Sector,1970-2007</v>
      </c>
    </row>
    <row r="192" spans="1:1">
      <c r="A192" s="55" t="s">
        <v>997</v>
      </c>
    </row>
    <row r="193" spans="1:1" ht="30">
      <c r="A193" s="52" t="str">
        <f>'610'!$A$1</f>
        <v>Table 610: Composition of the Forest Products Sector, Selected OECD Countries, Nominal Value Added as a Share of Nominal Value Added in the Forest Products Sector, per cent, 1970-2007</v>
      </c>
    </row>
    <row r="194" spans="1:1">
      <c r="A194" s="54"/>
    </row>
    <row r="195" spans="1:1" s="302" customFormat="1" ht="18.75">
      <c r="A195" s="53" t="s">
        <v>1016</v>
      </c>
    </row>
    <row r="196" spans="1:1" s="302" customFormat="1" ht="18.75">
      <c r="A196" s="55" t="s">
        <v>989</v>
      </c>
    </row>
    <row r="197" spans="1:1" ht="30">
      <c r="A197" s="52" t="str">
        <f>'801'!$A$1</f>
        <v>Table 801: Gross Domestic Product, Newfoundland and Labrador, Forest Products Sector, millions of dollars, 1984-2011</v>
      </c>
    </row>
    <row r="198" spans="1:1" ht="30">
      <c r="A198" s="52" t="str">
        <f>'802'!$A$1</f>
        <v>Table 802: Gross Domestic Product, Prince Edward Island, Forest Products Sector, millions of dollars, 1984-2011</v>
      </c>
    </row>
    <row r="199" spans="1:1">
      <c r="A199" s="52" t="str">
        <f>'803'!$A$1</f>
        <v>Table 803: Gross Domestic Product, Nova Scotia, Forest Products Sector, millions of dollars, 1984-2011</v>
      </c>
    </row>
    <row r="200" spans="1:1">
      <c r="A200" s="52" t="str">
        <f>'804'!$A$1</f>
        <v>Table 804: Gross Domestic Product, New Brunswick, Forest Products Sector, millions of dollars, 1984-2011</v>
      </c>
    </row>
    <row r="201" spans="1:1">
      <c r="A201" s="52" t="str">
        <f>'805'!$A$1</f>
        <v>Table 805: Gross Domestic Product, Quebec, Forest Products Sector, millions of dollars, 1984-2011</v>
      </c>
    </row>
    <row r="202" spans="1:1">
      <c r="A202" s="52" t="str">
        <f>'806'!$A$1</f>
        <v>Table 806: Gross Domestic Product, Ontario, Forest Products Sector, millions of dollars, 1984-2011</v>
      </c>
    </row>
    <row r="203" spans="1:1">
      <c r="A203" s="52" t="str">
        <f>'807'!$A$1</f>
        <v>Table 807: Gross Domestic Product, Manitoba, Forest Products Sector, millions of dollars, 1984-2011</v>
      </c>
    </row>
    <row r="204" spans="1:1">
      <c r="A204" s="52" t="str">
        <f>'808'!$A$1</f>
        <v>Table 808: Gross Domestic Product, Saskatchewan, Forest Products Sector, millions of dollars, 1984-2011</v>
      </c>
    </row>
    <row r="205" spans="1:1">
      <c r="A205" s="52" t="str">
        <f>'809'!$A$1</f>
        <v>Table 809: Gross Domestic Product, Alberta, Forest Products Sector, millions of dollars, 1984-2011</v>
      </c>
    </row>
    <row r="206" spans="1:1" ht="30">
      <c r="A206" s="52" t="str">
        <f>'810'!$A$1</f>
        <v>Table 810: Gross Domestic Product, British Columbia, Forest Products Sector, millions of dollars, 1984-2011</v>
      </c>
    </row>
    <row r="207" spans="1:1">
      <c r="A207" s="55" t="s">
        <v>744</v>
      </c>
    </row>
    <row r="208" spans="1:1" ht="30">
      <c r="A208" s="52" t="str">
        <f>'811'!$A$1</f>
        <v>Table 811: Hours Worked, Newfoundland and Labrador, Forest Products Sector, thousands of hours, 1984-2011</v>
      </c>
    </row>
    <row r="209" spans="1:1">
      <c r="A209" s="52" t="str">
        <f>'812'!$A$1</f>
        <v>Table 812: Hours Worked, Prince Edward Island, Forest Products Sector, thousands of hours, 1984-2011</v>
      </c>
    </row>
    <row r="210" spans="1:1">
      <c r="A210" s="52" t="str">
        <f>'813'!$A$1</f>
        <v>Table 813: Hours Worked, Nova Scotia, Forest Products Sector, thousands of hours, 1984-2011</v>
      </c>
    </row>
    <row r="211" spans="1:1">
      <c r="A211" s="52" t="str">
        <f>'814'!$A$1</f>
        <v>Table 814: Hours Worked, New Brunswick, Forest Products Sector, thousands of hours, 1984-2011</v>
      </c>
    </row>
    <row r="212" spans="1:1">
      <c r="A212" s="52" t="str">
        <f>'815'!$A$1</f>
        <v>Table 815: Hours Worked, Quebec, Forest Products Sector, thousands of hours, 1984-2011</v>
      </c>
    </row>
    <row r="213" spans="1:1">
      <c r="A213" s="52" t="str">
        <f>'816'!$A$1</f>
        <v>Table 816: Hours Worked, Ontario, Forest Products Sector, thousands of hours, 1984-2011</v>
      </c>
    </row>
    <row r="214" spans="1:1">
      <c r="A214" s="52" t="str">
        <f>'817'!$A$1</f>
        <v>Table 817: Hours Worked, Manitoba, Forest Products Sector, thousands of hours, 1984-2011</v>
      </c>
    </row>
    <row r="215" spans="1:1">
      <c r="A215" s="52" t="str">
        <f>'818'!$A$1</f>
        <v>Table 818: Hours Worked, Saskatchewan, Forest Products Sector, thousands of hours, 1984-2011</v>
      </c>
    </row>
    <row r="216" spans="1:1">
      <c r="A216" s="52" t="str">
        <f>'819'!$A$1</f>
        <v>Table 819: Hours Worked, Alberta, Forest Products Sector, thousands of hours, 1997-2011</v>
      </c>
    </row>
    <row r="217" spans="1:1">
      <c r="A217" s="52" t="str">
        <f>'820'!$A$1</f>
        <v>Table 820: Hours Worked, British Columbia, Forest Products Sector, thousands of hours, 1997-2011</v>
      </c>
    </row>
    <row r="218" spans="1:1">
      <c r="A218" s="55" t="s">
        <v>116</v>
      </c>
    </row>
    <row r="219" spans="1:1" ht="30">
      <c r="A219" s="52" t="str">
        <f>'821'!$A$1</f>
        <v>Table 821: Labour Productivity, Newfoundland and Labrador, Forest Products Sector, chained 2007 dollars per hour worked, 1997-2011</v>
      </c>
    </row>
    <row r="220" spans="1:1" ht="30">
      <c r="A220" s="52" t="str">
        <f>'822'!$A$1</f>
        <v>Table 822: Labour Productivity, Prince Edward Island, Forest Products Sector, chained 2007 dollars per hour worked, 1997-2011</v>
      </c>
    </row>
    <row r="221" spans="1:1" ht="30">
      <c r="A221" s="52" t="str">
        <f>'823'!$A$1</f>
        <v>Table 823: Labour Productivity, Nova Scotia, Forest Products Sector, chained 2007 dollars per hour worked, 1997-2011</v>
      </c>
    </row>
    <row r="222" spans="1:1" ht="30">
      <c r="A222" s="52" t="str">
        <f>'824'!$A$1</f>
        <v>Table 824: Labour Productivity, New Brunswick, Forest Products Sector, chained 2007 dollars per hour worked, 1997-2011</v>
      </c>
    </row>
    <row r="223" spans="1:1" ht="30">
      <c r="A223" s="52" t="str">
        <f>'825'!$A$1</f>
        <v>Table 825: Labour Productivity, Quebec, Forest Products Sector, chained 2007 dollars per hour worked, 1997-2011</v>
      </c>
    </row>
    <row r="224" spans="1:1" ht="30">
      <c r="A224" s="52" t="str">
        <f>'826'!$A$1</f>
        <v>Table 826: Labour Productivity, Ontario, Forest Products Sector, chained 2007 dollars per hour worked, 1997-2011</v>
      </c>
    </row>
    <row r="225" spans="1:1" ht="30">
      <c r="A225" s="52" t="str">
        <f>'826'!$A$1</f>
        <v>Table 826: Labour Productivity, Ontario, Forest Products Sector, chained 2007 dollars per hour worked, 1997-2011</v>
      </c>
    </row>
    <row r="226" spans="1:1" ht="30">
      <c r="A226" s="52" t="str">
        <f>'827'!$A$1</f>
        <v>Table 827: Labour Productivity, Manitoba, Forest Products Sector, chained 2007 dollars per hour worked, 1997-2011</v>
      </c>
    </row>
    <row r="227" spans="1:1" ht="30">
      <c r="A227" s="52" t="str">
        <f>'828'!$A$1</f>
        <v>Table 828: Labour Productivity, Saskatchewan, Forest Products Sector, chained 2007 dollars per hour worked, 1997-2011</v>
      </c>
    </row>
    <row r="228" spans="1:1" ht="30">
      <c r="A228" s="52" t="str">
        <f>'829'!$A$1</f>
        <v>Table 829: Labour Productivity, Alberta, Forest Products Sector, chained 2007 dollars per hour worked, 1997-2011</v>
      </c>
    </row>
    <row r="229" spans="1:1" ht="30">
      <c r="A229" s="52" t="str">
        <f>'830'!$A$1</f>
        <v>Table 830: Labour Productivity, British Columbia, Forest Products Sector, chained 2007 dollars per hour worked, 1997-2011</v>
      </c>
    </row>
    <row r="230" spans="1:1">
      <c r="A230" s="55" t="s">
        <v>998</v>
      </c>
    </row>
    <row r="231" spans="1:1" ht="30">
      <c r="A231" s="52" t="str">
        <f>'831'!$A$1</f>
        <v>Table 831: Capital Stock and Capital Productivity, Newfoundland and Labrador, Forest Products Sector, 1984-2011</v>
      </c>
    </row>
    <row r="232" spans="1:1">
      <c r="A232" s="52" t="str">
        <f>'832'!$A$1</f>
        <v>Table 832: Capital Stock and Capital Productivity, Prince Edward Island, Forest Products Sector, 1984-2011</v>
      </c>
    </row>
    <row r="233" spans="1:1">
      <c r="A233" s="52" t="str">
        <f>'833'!$A$1</f>
        <v>Table 833: Capital Stock and Capital Productivity, Nova Scotia, Forest Products Sector, 1984-2011</v>
      </c>
    </row>
    <row r="234" spans="1:1">
      <c r="A234" s="52" t="str">
        <f>'834'!$A$1</f>
        <v>Table 834: Capital Stock and Capital Productivity, New Brunswick, Forest Products Sector, 1984-2011</v>
      </c>
    </row>
    <row r="235" spans="1:1">
      <c r="A235" s="52" t="str">
        <f>'835'!$A$1</f>
        <v>Table 835: Capital Stock and Capital Productivity, Quebec, Forest Products Sector, 1984-2011</v>
      </c>
    </row>
    <row r="236" spans="1:1">
      <c r="A236" s="52" t="str">
        <f>'836'!$A$1</f>
        <v>Table 836: Capital Stock and Capital Productivity, Ontario, Forest Products Sector, 1984-2011</v>
      </c>
    </row>
    <row r="237" spans="1:1">
      <c r="A237" s="52" t="str">
        <f>'837'!$A$1</f>
        <v>Table 837: Capital Stock and Capital Productivity, Manitoba, Forest Products Sector, 1984-2011</v>
      </c>
    </row>
    <row r="238" spans="1:1">
      <c r="A238" s="52" t="str">
        <f>'838'!$A$1</f>
        <v>Table 838: Capital Stock and Capital Productivity, Saskatchewan, Forest Products Sector, 1984-2011</v>
      </c>
    </row>
    <row r="239" spans="1:1">
      <c r="A239" s="52" t="str">
        <f>'839'!$A$1</f>
        <v>Table 839: Capital Stock and Capital Productivity, Alberta, Forest Products Sector, 1984-2011</v>
      </c>
    </row>
    <row r="240" spans="1:1">
      <c r="A240" s="52" t="str">
        <f>'840'!$A$1</f>
        <v>Table 840: Capital Stock and Capital Productivity, British Columbia, Forest Products Sector, 1984-2011</v>
      </c>
    </row>
    <row r="241" spans="1:1">
      <c r="A241" s="54"/>
    </row>
    <row r="242" spans="1:1" ht="18.75">
      <c r="A242" s="53" t="s">
        <v>1017</v>
      </c>
    </row>
    <row r="243" spans="1:1">
      <c r="A243" s="55" t="s">
        <v>989</v>
      </c>
    </row>
    <row r="244" spans="1:1">
      <c r="A244" s="52" t="str">
        <f>'901'!$A$1</f>
        <v>Table 901: Nominal GDP, Forest Products Sector, United States, Billions of current dollars, 1977-2011</v>
      </c>
    </row>
    <row r="245" spans="1:1">
      <c r="A245" s="52" t="str">
        <f>'901a'!$A$1</f>
        <v>Table 901a: Real GDP, Forest Products Sector, United States, Billions of chained (2005) dollars, 1987-2011</v>
      </c>
    </row>
    <row r="246" spans="1:1">
      <c r="A246" s="52" t="str">
        <f>'901b'!A1:F1</f>
        <v>Table 901b: Nominal Gross Domestic Product (GDP)  as a share of all industries GDP Share of Nominal GDP, Forest Products Sector, United States, 1977-2011</v>
      </c>
    </row>
    <row r="247" spans="1:1">
      <c r="A247" s="55" t="s">
        <v>990</v>
      </c>
    </row>
    <row r="248" spans="1:1" ht="30">
      <c r="A248" s="52" t="str">
        <f>'905'!$A$1</f>
        <v>Table 905: Labour Productivity in the Wood Products Subsector, United States, Index 1987 = 100, 1987-2011</v>
      </c>
    </row>
    <row r="249" spans="1:1" ht="30">
      <c r="A249" s="52" t="str">
        <f>'905a'!$A$1</f>
        <v>Table 905a: Labour Productivity in the Paper Manufacturing Subsector, United States, Index 1987 = 100, 1987-2011</v>
      </c>
    </row>
    <row r="250" spans="1:1">
      <c r="A250" s="52" t="str">
        <f>'905b'!A1</f>
        <v>Table 905b: Labour Productivity in the Business Sector, United States, Index 1987 = 100, 1987-2011</v>
      </c>
    </row>
    <row r="251" spans="1:1">
      <c r="A251" s="55" t="s">
        <v>113</v>
      </c>
    </row>
    <row r="252" spans="1:1">
      <c r="A252" s="52" t="str">
        <f>'910'!$A$1</f>
        <v>Table 910: Multifactor Productivity in the Wood Products Subsector, United States, 1987-2010</v>
      </c>
    </row>
    <row r="253" spans="1:1">
      <c r="A253" s="52" t="str">
        <f>'910a'!$A$1</f>
        <v>Table 910a: Multifactor Productivity in the Paper Manufacturing Subsector, United States, 1987-2010</v>
      </c>
    </row>
    <row r="254" spans="1:1">
      <c r="A254" s="52" t="str">
        <f>'910b'!$A$1</f>
        <v>Table 910b: Multifactor Productivity in the Private Business Sector, United States, 1987-2011</v>
      </c>
    </row>
  </sheetData>
  <pageMargins left="0.70866141732283472" right="0.70866141732283472" top="0.74803149606299213" bottom="0.74803149606299213" header="0.31496062992125984" footer="0.31496062992125984"/>
  <pageSetup scale="77" orientation="portrait" horizontalDpi="0" verticalDpi="0" r:id="rId1"/>
  <headerFooter>
    <oddFooter>&amp;R&amp;P</oddFooter>
  </headerFooter>
  <rowBreaks count="6" manualBreakCount="6">
    <brk id="38" man="1"/>
    <brk id="67" man="1"/>
    <brk id="103" man="1"/>
    <brk id="143" man="1"/>
    <brk id="194" man="1"/>
    <brk id="229" man="1"/>
  </rowBreaks>
</worksheet>
</file>

<file path=xl/worksheets/sheet20.xml><?xml version="1.0" encoding="utf-8"?>
<worksheet xmlns="http://schemas.openxmlformats.org/spreadsheetml/2006/main" xmlns:r="http://schemas.openxmlformats.org/officeDocument/2006/relationships">
  <sheetPr codeName="Sheet20"/>
  <dimension ref="A1:V40"/>
  <sheetViews>
    <sheetView view="pageBreakPreview" zoomScale="85" zoomScaleNormal="100" zoomScaleSheetLayoutView="85" workbookViewId="0">
      <selection activeCell="AC38" sqref="AC38"/>
    </sheetView>
  </sheetViews>
  <sheetFormatPr defaultRowHeight="15"/>
  <cols>
    <col min="1" max="1" width="12.140625" style="64" customWidth="1"/>
    <col min="2" max="6" width="11.42578125" style="64" customWidth="1"/>
    <col min="7" max="7" width="15.5703125" style="64" customWidth="1"/>
    <col min="8" max="8" width="12.85546875" style="64" customWidth="1"/>
    <col min="9" max="9" width="13.42578125" style="64" customWidth="1"/>
    <col min="10" max="10" width="11.42578125" style="64" customWidth="1"/>
    <col min="11" max="11" width="13.85546875" style="64" customWidth="1"/>
    <col min="12" max="12" width="12.42578125" style="64" customWidth="1"/>
    <col min="13" max="13" width="12" style="64" customWidth="1"/>
    <col min="14" max="14" width="12.140625" style="64" customWidth="1"/>
    <col min="15" max="16384" width="9.140625" style="64"/>
  </cols>
  <sheetData>
    <row r="1" spans="1:21">
      <c r="A1" s="108" t="s">
        <v>987</v>
      </c>
      <c r="B1" s="108"/>
      <c r="C1" s="108"/>
      <c r="D1" s="108"/>
      <c r="E1" s="108"/>
      <c r="F1" s="108"/>
      <c r="G1" s="108"/>
      <c r="H1" s="108"/>
      <c r="I1" s="108"/>
      <c r="J1" s="108"/>
      <c r="K1" s="108"/>
      <c r="L1" s="108"/>
      <c r="M1" s="108"/>
    </row>
    <row r="2" spans="1:21">
      <c r="B2" s="94" t="s">
        <v>41</v>
      </c>
      <c r="C2" s="111" t="s">
        <v>37</v>
      </c>
      <c r="D2" s="111"/>
      <c r="E2" s="111"/>
      <c r="F2" s="111"/>
      <c r="G2" s="111"/>
      <c r="H2" s="111"/>
      <c r="I2" s="111"/>
      <c r="J2" s="111"/>
      <c r="K2" s="111"/>
      <c r="L2" s="111"/>
      <c r="M2" s="111"/>
      <c r="N2" s="94" t="s">
        <v>1077</v>
      </c>
    </row>
    <row r="3" spans="1:21">
      <c r="B3" s="94"/>
      <c r="C3" s="94" t="s">
        <v>50</v>
      </c>
      <c r="D3" s="94" t="s">
        <v>492</v>
      </c>
      <c r="E3" s="94"/>
      <c r="F3" s="94"/>
      <c r="G3" s="94" t="s">
        <v>67</v>
      </c>
      <c r="H3" s="94"/>
      <c r="I3" s="94"/>
      <c r="J3" s="94"/>
      <c r="K3" s="94" t="s">
        <v>71</v>
      </c>
      <c r="L3" s="94"/>
      <c r="M3" s="94"/>
      <c r="N3" s="94"/>
    </row>
    <row r="4" spans="1:21" ht="75">
      <c r="B4" s="94"/>
      <c r="C4" s="94"/>
      <c r="D4" s="72" t="s">
        <v>66</v>
      </c>
      <c r="E4" s="72" t="s">
        <v>64</v>
      </c>
      <c r="F4" s="72" t="s">
        <v>65</v>
      </c>
      <c r="G4" s="72" t="s">
        <v>74</v>
      </c>
      <c r="H4" s="72" t="s">
        <v>68</v>
      </c>
      <c r="I4" s="72" t="s">
        <v>69</v>
      </c>
      <c r="J4" s="72" t="s">
        <v>70</v>
      </c>
      <c r="K4" s="72" t="s">
        <v>48</v>
      </c>
      <c r="L4" s="72" t="s">
        <v>72</v>
      </c>
      <c r="M4" s="72" t="s">
        <v>73</v>
      </c>
      <c r="N4" s="94"/>
    </row>
    <row r="5" spans="1:21">
      <c r="A5" s="66">
        <v>1987</v>
      </c>
      <c r="B5" s="147">
        <f>'3b'!B5/'3b'!$B5*100</f>
        <v>100</v>
      </c>
      <c r="C5" s="147">
        <f>'3b'!C5/'3b'!$B5*100</f>
        <v>2.4081731938701045</v>
      </c>
      <c r="D5" s="147">
        <f>'3b'!D5/'3b'!$B5*100</f>
        <v>0.43217384253628477</v>
      </c>
      <c r="E5" s="147">
        <f>'3b'!E5/'3b'!$B5*100</f>
        <v>0.41676802075731773</v>
      </c>
      <c r="F5" s="147">
        <f>'3b'!F5/'3b'!$B5*100</f>
        <v>1.5405821778966986E-2</v>
      </c>
      <c r="G5" s="147">
        <f>'3b'!G5/'3b'!$B5*100</f>
        <v>0.97624260115138262</v>
      </c>
      <c r="H5" s="147">
        <f>'3b'!H5/'3b'!$B5*100</f>
        <v>0.5521770858671855</v>
      </c>
      <c r="I5" s="147">
        <f>'3b'!I5/'3b'!$B5*100</f>
        <v>0.10784075245276899</v>
      </c>
      <c r="J5" s="147">
        <f>'3b'!J5/'3b'!$B5*100</f>
        <v>0.31622476283142786</v>
      </c>
      <c r="K5" s="147">
        <f>'3b'!K5/'3b'!$B5*100</f>
        <v>0.99975675018243726</v>
      </c>
      <c r="L5" s="147">
        <f>'3b'!L5/'3b'!$B5*100</f>
        <v>0.71353279818373472</v>
      </c>
      <c r="M5" s="147">
        <f>'3b'!M5/'3b'!$B5*100</f>
        <v>0.28622395199870265</v>
      </c>
      <c r="N5" s="147">
        <f>'3b'!N5/'3b'!$B5*100</f>
        <v>0.12324657423173598</v>
      </c>
      <c r="O5" s="32"/>
      <c r="P5" s="32"/>
      <c r="Q5" s="32"/>
      <c r="R5" s="32"/>
      <c r="S5" s="32"/>
      <c r="T5" s="32"/>
      <c r="U5" s="32"/>
    </row>
    <row r="6" spans="1:21">
      <c r="A6" s="66">
        <v>1988</v>
      </c>
      <c r="B6" s="147">
        <f>'3b'!B6/'3b'!$B6*100</f>
        <v>100</v>
      </c>
      <c r="C6" s="147">
        <f>'3b'!C6/'3b'!$B6*100</f>
        <v>2.4941776295084028</v>
      </c>
      <c r="D6" s="147">
        <f>'3b'!D6/'3b'!$B6*100</f>
        <v>0.46185560521180846</v>
      </c>
      <c r="E6" s="147">
        <f>'3b'!E6/'3b'!$B6*100</f>
        <v>0.44218543463208915</v>
      </c>
      <c r="F6" s="147">
        <f>'3b'!F6/'3b'!$B6*100</f>
        <v>1.9670170579719266E-2</v>
      </c>
      <c r="G6" s="147">
        <f>'3b'!G6/'3b'!$B6*100</f>
        <v>0.99216340404103975</v>
      </c>
      <c r="H6" s="147">
        <f>'3b'!H6/'3b'!$B6*100</f>
        <v>0.51771888965821111</v>
      </c>
      <c r="I6" s="147">
        <f>'3b'!I6/'3b'!$B6*100</f>
        <v>0.12982312582614716</v>
      </c>
      <c r="J6" s="147">
        <f>'3b'!J6/'3b'!$B6*100</f>
        <v>0.34462138855668151</v>
      </c>
      <c r="K6" s="147">
        <f>'3b'!K6/'3b'!$B6*100</f>
        <v>1.0401586202555548</v>
      </c>
      <c r="L6" s="147">
        <f>'3b'!L6/'3b'!$B6*100</f>
        <v>0.77893875495688292</v>
      </c>
      <c r="M6" s="147">
        <f>'3b'!M6/'3b'!$B6*100</f>
        <v>0.26121986529867192</v>
      </c>
      <c r="N6" s="147">
        <f>'3b'!N6/'3b'!$B6*100</f>
        <v>0.11015295524642789</v>
      </c>
      <c r="O6" s="32"/>
      <c r="P6" s="32"/>
      <c r="Q6" s="32"/>
      <c r="R6" s="32"/>
      <c r="S6" s="32"/>
      <c r="T6" s="32"/>
      <c r="U6" s="32"/>
    </row>
    <row r="7" spans="1:21">
      <c r="A7" s="66">
        <v>1989</v>
      </c>
      <c r="B7" s="147">
        <f>'3b'!B7/'3b'!$B7*100</f>
        <v>100</v>
      </c>
      <c r="C7" s="147">
        <f>'3b'!C7/'3b'!$B7*100</f>
        <v>2.531509210384574</v>
      </c>
      <c r="D7" s="147">
        <f>'3b'!D7/'3b'!$B7*100</f>
        <v>0.43166464043335739</v>
      </c>
      <c r="E7" s="147">
        <f>'3b'!E7/'3b'!$B7*100</f>
        <v>0.41781443806651175</v>
      </c>
      <c r="F7" s="147">
        <f>'3b'!F7/'3b'!$B7*100</f>
        <v>1.3850202366845726E-2</v>
      </c>
      <c r="G7" s="147">
        <f>'3b'!G7/'3b'!$B7*100</f>
        <v>0.98798110216832613</v>
      </c>
      <c r="H7" s="147">
        <f>'3b'!H7/'3b'!$B7*100</f>
        <v>0.5186131330696665</v>
      </c>
      <c r="I7" s="147">
        <f>'3b'!I7/'3b'!$B7*100</f>
        <v>0.12849909973684615</v>
      </c>
      <c r="J7" s="147">
        <f>'3b'!J7/'3b'!$B7*100</f>
        <v>0.34086886936181343</v>
      </c>
      <c r="K7" s="147">
        <f>'3b'!K7/'3b'!$B7*100</f>
        <v>1.1118634677828902</v>
      </c>
      <c r="L7" s="147">
        <f>'3b'!L7/'3b'!$B7*100</f>
        <v>0.81870085101798995</v>
      </c>
      <c r="M7" s="147">
        <f>'3b'!M7/'3b'!$B7*100</f>
        <v>0.29239316107785351</v>
      </c>
      <c r="N7" s="147">
        <f>'3b'!N7/'3b'!$B7*100</f>
        <v>0.13696311229436298</v>
      </c>
      <c r="O7" s="32"/>
      <c r="P7" s="32"/>
      <c r="Q7" s="32"/>
      <c r="R7" s="32"/>
      <c r="S7" s="32"/>
      <c r="T7" s="32"/>
      <c r="U7" s="32"/>
    </row>
    <row r="8" spans="1:21">
      <c r="A8" s="66">
        <v>1990</v>
      </c>
      <c r="B8" s="147">
        <f>'3b'!B8/'3b'!$B8*100</f>
        <v>100</v>
      </c>
      <c r="C8" s="147">
        <f>'3b'!C8/'3b'!$B8*100</f>
        <v>2.4177772343807309</v>
      </c>
      <c r="D8" s="147">
        <f>'3b'!D8/'3b'!$B8*100</f>
        <v>0.4065289155153442</v>
      </c>
      <c r="E8" s="147">
        <f>'3b'!E8/'3b'!$B8*100</f>
        <v>0.39583078615967726</v>
      </c>
      <c r="F8" s="147">
        <f>'3b'!F8/'3b'!$B8*100</f>
        <v>1.0698129355666995E-2</v>
      </c>
      <c r="G8" s="147">
        <f>'3b'!G8/'3b'!$B8*100</f>
        <v>0.94067123120185836</v>
      </c>
      <c r="H8" s="147">
        <f>'3b'!H8/'3b'!$B8*100</f>
        <v>0.48294412519867952</v>
      </c>
      <c r="I8" s="147">
        <f>'3b'!I8/'3b'!$B8*100</f>
        <v>0.13449076904267027</v>
      </c>
      <c r="J8" s="147">
        <f>'3b'!J8/'3b'!$B8*100</f>
        <v>0.32323633696050857</v>
      </c>
      <c r="K8" s="147">
        <f>'3b'!K8/'3b'!$B8*100</f>
        <v>1.0705770876635285</v>
      </c>
      <c r="L8" s="147">
        <f>'3b'!L8/'3b'!$B8*100</f>
        <v>0.80541631006235492</v>
      </c>
      <c r="M8" s="147">
        <f>'3b'!M8/'3b'!$B8*100</f>
        <v>0.26592492969800707</v>
      </c>
      <c r="N8" s="147">
        <f>'3b'!N8/'3b'!$B8*100</f>
        <v>0.15435872356033745</v>
      </c>
      <c r="O8" s="32"/>
      <c r="P8" s="32"/>
      <c r="Q8" s="32"/>
      <c r="R8" s="32"/>
      <c r="S8" s="32"/>
      <c r="T8" s="32"/>
      <c r="U8" s="32"/>
    </row>
    <row r="9" spans="1:21">
      <c r="A9" s="66">
        <v>1991</v>
      </c>
      <c r="B9" s="147">
        <f>'3b'!B9/'3b'!$B9*100</f>
        <v>100</v>
      </c>
      <c r="C9" s="147">
        <f>'3b'!C9/'3b'!$B9*100</f>
        <v>2.2360663897833155</v>
      </c>
      <c r="D9" s="147">
        <f>'3b'!D9/'3b'!$B9*100</f>
        <v>0.39588097126946348</v>
      </c>
      <c r="E9" s="147">
        <f>'3b'!E9/'3b'!$B9*100</f>
        <v>0.38577006237653028</v>
      </c>
      <c r="F9" s="147">
        <f>'3b'!F9/'3b'!$B9*100</f>
        <v>1.0110908892933231E-2</v>
      </c>
      <c r="G9" s="147">
        <f>'3b'!G9/'3b'!$B9*100</f>
        <v>0.8446497736711932</v>
      </c>
      <c r="H9" s="147">
        <f>'3b'!H9/'3b'!$B9*100</f>
        <v>0.45810194907212964</v>
      </c>
      <c r="I9" s="147">
        <f>'3b'!I9/'3b'!$B9*100</f>
        <v>0.1112199978222658</v>
      </c>
      <c r="J9" s="147">
        <f>'3b'!J9/'3b'!$B9*100</f>
        <v>0.27455006455426445</v>
      </c>
      <c r="K9" s="147">
        <f>'3b'!K9/'3b'!$B9*100</f>
        <v>0.99553564484265877</v>
      </c>
      <c r="L9" s="147">
        <f>'3b'!L9/'3b'!$B9*100</f>
        <v>0.7567626425249272</v>
      </c>
      <c r="M9" s="147">
        <f>'3b'!M9/'3b'!$B9*100</f>
        <v>0.23955076454026478</v>
      </c>
      <c r="N9" s="147">
        <f>'3b'!N9/'3b'!$B9*100</f>
        <v>0.15321915783906545</v>
      </c>
      <c r="O9" s="32"/>
      <c r="P9" s="32"/>
      <c r="Q9" s="32"/>
      <c r="R9" s="32"/>
      <c r="S9" s="32"/>
      <c r="T9" s="32"/>
      <c r="U9" s="32"/>
    </row>
    <row r="10" spans="1:21">
      <c r="A10" s="66">
        <v>1992</v>
      </c>
      <c r="B10" s="147">
        <f>'3b'!B10/'3b'!$B10*100</f>
        <v>100</v>
      </c>
      <c r="C10" s="147">
        <f>'3b'!C10/'3b'!$B10*100</f>
        <v>2.1758084660157571</v>
      </c>
      <c r="D10" s="147">
        <f>'3b'!D10/'3b'!$B10*100</f>
        <v>0.40374207636537879</v>
      </c>
      <c r="E10" s="147">
        <f>'3b'!E10/'3b'!$B10*100</f>
        <v>0.38881775836743671</v>
      </c>
      <c r="F10" s="147">
        <f>'3b'!F10/'3b'!$B10*100</f>
        <v>1.4924317997942003E-2</v>
      </c>
      <c r="G10" s="147">
        <f>'3b'!G10/'3b'!$B10*100</f>
        <v>0.85932652051308245</v>
      </c>
      <c r="H10" s="147">
        <f>'3b'!H10/'3b'!$B10*100</f>
        <v>0.46893778130375702</v>
      </c>
      <c r="I10" s="147">
        <f>'3b'!I10/'3b'!$B10*100</f>
        <v>0.12646395777203498</v>
      </c>
      <c r="J10" s="147">
        <f>'3b'!J10/'3b'!$B10*100</f>
        <v>0.26392478143729037</v>
      </c>
      <c r="K10" s="147">
        <f>'3b'!K10/'3b'!$B10*100</f>
        <v>0.91273986913729588</v>
      </c>
      <c r="L10" s="147">
        <f>'3b'!L10/'3b'!$B10*100</f>
        <v>0.70144294590327472</v>
      </c>
      <c r="M10" s="147">
        <f>'3b'!M10/'3b'!$B10*100</f>
        <v>0.21129692323402113</v>
      </c>
      <c r="N10" s="147">
        <f>'3b'!N10/'3b'!$B10*100</f>
        <v>0.1555271033469747</v>
      </c>
      <c r="O10" s="32"/>
      <c r="P10" s="32"/>
      <c r="Q10" s="32"/>
      <c r="R10" s="32"/>
      <c r="S10" s="32"/>
      <c r="T10" s="32"/>
      <c r="U10" s="32"/>
    </row>
    <row r="11" spans="1:21">
      <c r="A11" s="66">
        <v>1993</v>
      </c>
      <c r="B11" s="147">
        <f>'3b'!B11/'3b'!$B11*100</f>
        <v>100</v>
      </c>
      <c r="C11" s="147">
        <f>'3b'!C11/'3b'!$B11*100</f>
        <v>2.275516505507047</v>
      </c>
      <c r="D11" s="147">
        <f>'3b'!D11/'3b'!$B11*100</f>
        <v>0.41273538815105487</v>
      </c>
      <c r="E11" s="147">
        <f>'3b'!E11/'3b'!$B11*100</f>
        <v>0.40257334260945693</v>
      </c>
      <c r="F11" s="147">
        <f>'3b'!F11/'3b'!$B11*100</f>
        <v>1.0162045541597921E-2</v>
      </c>
      <c r="G11" s="147">
        <f>'3b'!G11/'3b'!$B11*100</f>
        <v>0.91458409874381474</v>
      </c>
      <c r="H11" s="147">
        <f>'3b'!H11/'3b'!$B11*100</f>
        <v>0.52060941005417138</v>
      </c>
      <c r="I11" s="147">
        <f>'3b'!I11/'3b'!$B11*100</f>
        <v>0.11803606744471455</v>
      </c>
      <c r="J11" s="147">
        <f>'3b'!J11/'3b'!$B11*100</f>
        <v>0.27593862124492874</v>
      </c>
      <c r="K11" s="147">
        <f>'3b'!K11/'3b'!$B11*100</f>
        <v>0.9481970186121772</v>
      </c>
      <c r="L11" s="147">
        <f>'3b'!L11/'3b'!$B11*100</f>
        <v>0.71916014602077749</v>
      </c>
      <c r="M11" s="147">
        <f>'3b'!M11/'3b'!$B11*100</f>
        <v>0.22903687259139979</v>
      </c>
      <c r="N11" s="147">
        <f>'3b'!N11/'3b'!$B11*100</f>
        <v>0.14461372501504763</v>
      </c>
      <c r="O11" s="32"/>
      <c r="P11" s="32"/>
      <c r="Q11" s="32"/>
      <c r="R11" s="32"/>
      <c r="S11" s="32"/>
      <c r="T11" s="32"/>
      <c r="U11" s="32"/>
    </row>
    <row r="12" spans="1:21">
      <c r="A12" s="66">
        <v>1994</v>
      </c>
      <c r="B12" s="147">
        <f>'3b'!B12/'3b'!$B12*100</f>
        <v>100</v>
      </c>
      <c r="C12" s="147">
        <f>'3b'!C12/'3b'!$B12*100</f>
        <v>2.4037614770229805</v>
      </c>
      <c r="D12" s="147">
        <f>'3b'!D12/'3b'!$B12*100</f>
        <v>0.48167122301607351</v>
      </c>
      <c r="E12" s="147">
        <f>'3b'!E12/'3b'!$B12*100</f>
        <v>0.47095040088217044</v>
      </c>
      <c r="F12" s="147">
        <f>'3b'!F12/'3b'!$B12*100</f>
        <v>1.0720822133903057E-2</v>
      </c>
      <c r="G12" s="147">
        <f>'3b'!G12/'3b'!$B12*100</f>
        <v>0.97100017612779221</v>
      </c>
      <c r="H12" s="147">
        <f>'3b'!H12/'3b'!$B12*100</f>
        <v>0.52761760358994381</v>
      </c>
      <c r="I12" s="147">
        <f>'3b'!I12/'3b'!$B12*100</f>
        <v>0.14319955278856239</v>
      </c>
      <c r="J12" s="147">
        <f>'3b'!J12/'3b'!$B12*100</f>
        <v>0.30094879275885039</v>
      </c>
      <c r="K12" s="147">
        <f>'3b'!K12/'3b'!$B12*100</f>
        <v>0.95109007787911504</v>
      </c>
      <c r="L12" s="147">
        <f>'3b'!L12/'3b'!$B12*100</f>
        <v>0.73131322413410205</v>
      </c>
      <c r="M12" s="147">
        <f>'3b'!M12/'3b'!$B12*100</f>
        <v>0.21977685374501288</v>
      </c>
      <c r="N12" s="147">
        <f>'3b'!N12/'3b'!$B12*100</f>
        <v>0.16157810501811054</v>
      </c>
      <c r="O12" s="32"/>
      <c r="P12" s="32"/>
      <c r="Q12" s="32"/>
      <c r="R12" s="32"/>
      <c r="S12" s="32"/>
      <c r="T12" s="32"/>
      <c r="U12" s="32"/>
    </row>
    <row r="13" spans="1:21">
      <c r="A13" s="66">
        <v>1995</v>
      </c>
      <c r="B13" s="147">
        <f>'3b'!B13/'3b'!$B13*100</f>
        <v>100</v>
      </c>
      <c r="C13" s="147">
        <f>'3b'!C13/'3b'!$B13*100</f>
        <v>2.4421980534620999</v>
      </c>
      <c r="D13" s="147">
        <f>'3b'!D13/'3b'!$B13*100</f>
        <v>0.53777998405463545</v>
      </c>
      <c r="E13" s="147">
        <f>'3b'!E13/'3b'!$B13*100</f>
        <v>0.52348932713570107</v>
      </c>
      <c r="F13" s="147">
        <f>'3b'!F13/'3b'!$B13*100</f>
        <v>1.4290656918934412E-2</v>
      </c>
      <c r="G13" s="147">
        <f>'3b'!G13/'3b'!$B13*100</f>
        <v>0.99132030627134204</v>
      </c>
      <c r="H13" s="147">
        <f>'3b'!H13/'3b'!$B13*100</f>
        <v>0.52950644583841033</v>
      </c>
      <c r="I13" s="147">
        <f>'3b'!I13/'3b'!$B13*100</f>
        <v>0.13012019194608662</v>
      </c>
      <c r="J13" s="147">
        <f>'3b'!J13/'3b'!$B13*100</f>
        <v>0.33169366848684512</v>
      </c>
      <c r="K13" s="147">
        <f>'3b'!K13/'3b'!$B13*100</f>
        <v>0.91309776313612234</v>
      </c>
      <c r="L13" s="147">
        <f>'3b'!L13/'3b'!$B13*100</f>
        <v>0.71603712562239574</v>
      </c>
      <c r="M13" s="147">
        <f>'3b'!M13/'3b'!$B13*100</f>
        <v>0.19706063751372657</v>
      </c>
      <c r="N13" s="147">
        <f>'3b'!N13/'3b'!$B13*100</f>
        <v>0.15870150578395537</v>
      </c>
      <c r="O13" s="32"/>
      <c r="P13" s="32"/>
      <c r="Q13" s="32"/>
      <c r="R13" s="32"/>
      <c r="S13" s="32"/>
      <c r="T13" s="32"/>
      <c r="U13" s="32"/>
    </row>
    <row r="14" spans="1:21">
      <c r="A14" s="66">
        <v>1996</v>
      </c>
      <c r="B14" s="147">
        <f>'3b'!B14/'3b'!$B14*100</f>
        <v>100</v>
      </c>
      <c r="C14" s="147">
        <f>'3b'!C14/'3b'!$B14*100</f>
        <v>2.3775463066446125</v>
      </c>
      <c r="D14" s="147">
        <f>'3b'!D14/'3b'!$B14*100</f>
        <v>0.47759548184243072</v>
      </c>
      <c r="E14" s="147">
        <f>'3b'!E14/'3b'!$B14*100</f>
        <v>0.46716437927488941</v>
      </c>
      <c r="F14" s="147">
        <f>'3b'!F14/'3b'!$B14*100</f>
        <v>1.0431102567541326E-2</v>
      </c>
      <c r="G14" s="147">
        <f>'3b'!G14/'3b'!$B14*100</f>
        <v>1.0177775790901098</v>
      </c>
      <c r="H14" s="147">
        <f>'3b'!H14/'3b'!$B14*100</f>
        <v>0.53645670347355723</v>
      </c>
      <c r="I14" s="147">
        <f>'3b'!I14/'3b'!$B14*100</f>
        <v>0.14678051470040382</v>
      </c>
      <c r="J14" s="147">
        <f>'3b'!J14/'3b'!$B14*100</f>
        <v>0.33454036091614886</v>
      </c>
      <c r="K14" s="147">
        <f>'3b'!K14/'3b'!$B14*100</f>
        <v>0.8821732457120719</v>
      </c>
      <c r="L14" s="147">
        <f>'3b'!L14/'3b'!$B14*100</f>
        <v>0.68696261194808295</v>
      </c>
      <c r="M14" s="147">
        <f>'3b'!M14/'3b'!$B14*100</f>
        <v>0.19521063376398887</v>
      </c>
      <c r="N14" s="147">
        <f>'3b'!N14/'3b'!$B14*100</f>
        <v>0.14901575096487701</v>
      </c>
      <c r="O14" s="32"/>
      <c r="P14" s="32"/>
      <c r="Q14" s="32"/>
      <c r="R14" s="32"/>
      <c r="S14" s="32"/>
      <c r="T14" s="32"/>
      <c r="U14" s="32"/>
    </row>
    <row r="15" spans="1:21">
      <c r="A15" s="66">
        <v>1997</v>
      </c>
      <c r="B15" s="147">
        <f>'3b'!B15/'3b'!$B15*100</f>
        <v>100</v>
      </c>
      <c r="C15" s="147">
        <f>'3b'!C15/'3b'!$B15*100</f>
        <v>2.2909674595067853</v>
      </c>
      <c r="D15" s="147">
        <f>'3b'!D15/'3b'!$B15*100</f>
        <v>0.42463154822705385</v>
      </c>
      <c r="E15" s="147">
        <f>'3b'!E15/'3b'!$B15*100</f>
        <v>0.41879468845760981</v>
      </c>
      <c r="F15" s="147">
        <f>'3b'!F15/'3b'!$B15*100</f>
        <v>5.8368597694440699E-3</v>
      </c>
      <c r="G15" s="147">
        <f>'3b'!G15/'3b'!$B15*100</f>
        <v>1.0199912447103459</v>
      </c>
      <c r="H15" s="147">
        <f>'3b'!H15/'3b'!$B15*100</f>
        <v>0.54136874361593468</v>
      </c>
      <c r="I15" s="147">
        <f>'3b'!I15/'3b'!$B15*100</f>
        <v>0.13716620458193493</v>
      </c>
      <c r="J15" s="147">
        <f>'3b'!J15/'3b'!$B15*100</f>
        <v>0.34145629651247628</v>
      </c>
      <c r="K15" s="147">
        <f>'3b'!K15/'3b'!$B15*100</f>
        <v>0.84634466656938567</v>
      </c>
      <c r="L15" s="147">
        <f>'3b'!L15/'3b'!$B15*100</f>
        <v>0.6420545746388443</v>
      </c>
      <c r="M15" s="147">
        <f>'3b'!M15/'3b'!$B15*100</f>
        <v>0.20429009193054137</v>
      </c>
      <c r="N15" s="147">
        <f>'3b'!N15/'3b'!$B15*100</f>
        <v>0.17364657814096018</v>
      </c>
      <c r="O15" s="32"/>
      <c r="P15" s="32"/>
      <c r="Q15" s="32"/>
      <c r="R15" s="32"/>
      <c r="S15" s="32"/>
      <c r="T15" s="32"/>
      <c r="U15" s="32"/>
    </row>
    <row r="16" spans="1:21">
      <c r="A16" s="66">
        <v>1998</v>
      </c>
      <c r="B16" s="147">
        <f>'3b'!B16/'3b'!$B16*100</f>
        <v>100</v>
      </c>
      <c r="C16" s="147">
        <f>'3b'!C16/'3b'!$B16*100</f>
        <v>2.3536614885164671</v>
      </c>
      <c r="D16" s="147">
        <f>'3b'!D16/'3b'!$B16*100</f>
        <v>0.43072147627116231</v>
      </c>
      <c r="E16" s="147">
        <f>'3b'!E16/'3b'!$B16*100</f>
        <v>0.42360211302701084</v>
      </c>
      <c r="F16" s="147">
        <f>'3b'!F16/'3b'!$B16*100</f>
        <v>7.1193632441514422E-3</v>
      </c>
      <c r="G16" s="147">
        <f>'3b'!G16/'3b'!$B16*100</f>
        <v>1.0565135054320742</v>
      </c>
      <c r="H16" s="147">
        <f>'3b'!H16/'3b'!$B16*100</f>
        <v>0.55246258774615198</v>
      </c>
      <c r="I16" s="147">
        <f>'3b'!I16/'3b'!$B16*100</f>
        <v>0.13597983796329258</v>
      </c>
      <c r="J16" s="147">
        <f>'3b'!J16/'3b'!$B16*100</f>
        <v>0.36878301604704472</v>
      </c>
      <c r="K16" s="147">
        <f>'3b'!K16/'3b'!$B16*100</f>
        <v>0.86642650681323063</v>
      </c>
      <c r="L16" s="147">
        <f>'3b'!L16/'3b'!$B16*100</f>
        <v>0.62792783813415731</v>
      </c>
      <c r="M16" s="147">
        <f>'3b'!M16/'3b'!$B16*100</f>
        <v>0.23849866867907332</v>
      </c>
      <c r="N16" s="147">
        <f>'3b'!N16/'3b'!$B16*100</f>
        <v>0.16730503623755891</v>
      </c>
      <c r="O16" s="32"/>
      <c r="P16" s="32"/>
      <c r="Q16" s="32"/>
      <c r="R16" s="32"/>
      <c r="S16" s="32"/>
      <c r="T16" s="32"/>
      <c r="U16" s="32"/>
    </row>
    <row r="17" spans="1:21">
      <c r="A17" s="66">
        <v>1999</v>
      </c>
      <c r="B17" s="147">
        <f>'3b'!B17/'3b'!$B17*100</f>
        <v>100</v>
      </c>
      <c r="C17" s="147">
        <f>'3b'!C17/'3b'!$B17*100</f>
        <v>2.2961538728508266</v>
      </c>
      <c r="D17" s="147">
        <f>'3b'!D17/'3b'!$B17*100</f>
        <v>0.4123081621745438</v>
      </c>
      <c r="E17" s="147">
        <f>'3b'!E17/'3b'!$B17*100</f>
        <v>0.40259046138255117</v>
      </c>
      <c r="F17" s="147">
        <f>'3b'!F17/'3b'!$B17*100</f>
        <v>9.7177007919926044E-3</v>
      </c>
      <c r="G17" s="147">
        <f>'3b'!G17/'3b'!$B17*100</f>
        <v>1.0696412086043299</v>
      </c>
      <c r="H17" s="147">
        <f>'3b'!H17/'3b'!$B17*100</f>
        <v>0.55807367405443298</v>
      </c>
      <c r="I17" s="147">
        <f>'3b'!I17/'3b'!$B17*100</f>
        <v>0.1360478110878966</v>
      </c>
      <c r="J17" s="147">
        <f>'3b'!J17/'3b'!$B17*100</f>
        <v>0.3755197234620003</v>
      </c>
      <c r="K17" s="147">
        <f>'3b'!K17/'3b'!$B17*100</f>
        <v>0.81420450207195261</v>
      </c>
      <c r="L17" s="147">
        <f>'3b'!L17/'3b'!$B17*100</f>
        <v>0.55182658068815205</v>
      </c>
      <c r="M17" s="147">
        <f>'3b'!M17/'3b'!$B17*100</f>
        <v>0.26237792138380056</v>
      </c>
      <c r="N17" s="147">
        <f>'3b'!N17/'3b'!$B17*100</f>
        <v>0.14229490445417756</v>
      </c>
      <c r="O17" s="32"/>
      <c r="P17" s="32"/>
      <c r="Q17" s="32"/>
      <c r="R17" s="32"/>
      <c r="S17" s="32"/>
      <c r="T17" s="32"/>
      <c r="U17" s="32"/>
    </row>
    <row r="18" spans="1:21">
      <c r="A18" s="66">
        <v>2000</v>
      </c>
      <c r="B18" s="147">
        <f>'3b'!B18/'3b'!$B18*100</f>
        <v>100</v>
      </c>
      <c r="C18" s="147">
        <f>'3b'!C18/'3b'!$B18*100</f>
        <v>2.289998780834722</v>
      </c>
      <c r="D18" s="147">
        <f>'3b'!D18/'3b'!$B18*100</f>
        <v>0.38674631879817395</v>
      </c>
      <c r="E18" s="147">
        <f>'3b'!E18/'3b'!$B18*100</f>
        <v>0.38200512049416829</v>
      </c>
      <c r="F18" s="147">
        <f>'3b'!F18/'3b'!$B18*100</f>
        <v>4.7411983040056543E-3</v>
      </c>
      <c r="G18" s="147">
        <f>'3b'!G18/'3b'!$B18*100</f>
        <v>1.1196001137887592</v>
      </c>
      <c r="H18" s="147">
        <f>'3b'!H18/'3b'!$B18*100</f>
        <v>0.56013871391609438</v>
      </c>
      <c r="I18" s="147">
        <f>'3b'!I18/'3b'!$B18*100</f>
        <v>0.15781417211904472</v>
      </c>
      <c r="J18" s="147">
        <f>'3b'!J18/'3b'!$B18*100</f>
        <v>0.40096991371019092</v>
      </c>
      <c r="K18" s="147">
        <f>'3b'!K18/'3b'!$B18*100</f>
        <v>0.78365234824778851</v>
      </c>
      <c r="L18" s="147">
        <f>'3b'!L18/'3b'!$B18*100</f>
        <v>0.52085449939719053</v>
      </c>
      <c r="M18" s="147">
        <f>'3b'!M18/'3b'!$B18*100</f>
        <v>0.26279784885059804</v>
      </c>
      <c r="N18" s="147">
        <f>'3b'!N18/'3b'!$B18*100</f>
        <v>0.19913032876823664</v>
      </c>
      <c r="O18" s="32"/>
      <c r="P18" s="32"/>
      <c r="Q18" s="32"/>
      <c r="R18" s="32"/>
      <c r="S18" s="32"/>
      <c r="T18" s="32"/>
      <c r="U18" s="32"/>
    </row>
    <row r="19" spans="1:21">
      <c r="A19" s="66">
        <v>2001</v>
      </c>
      <c r="B19" s="147">
        <f>'3b'!B19/'3b'!$B19*100</f>
        <v>100</v>
      </c>
      <c r="C19" s="147">
        <f>'3b'!C19/'3b'!$B19*100</f>
        <v>2.1497102942553958</v>
      </c>
      <c r="D19" s="147">
        <f>'3b'!D19/'3b'!$B19*100</f>
        <v>0.34323105538531529</v>
      </c>
      <c r="E19" s="147">
        <f>'3b'!E19/'3b'!$B19*100</f>
        <v>0.34055478984624848</v>
      </c>
      <c r="F19" s="147">
        <f>'3b'!F19/'3b'!$B19*100</f>
        <v>2.6762655390667766E-3</v>
      </c>
      <c r="G19" s="147">
        <f>'3b'!G19/'3b'!$B19*100</f>
        <v>1.0805422113982148</v>
      </c>
      <c r="H19" s="147">
        <f>'3b'!H19/'3b'!$B19*100</f>
        <v>0.53056964311999033</v>
      </c>
      <c r="I19" s="147">
        <f>'3b'!I19/'3b'!$B19*100</f>
        <v>0.16258313149830725</v>
      </c>
      <c r="J19" s="147">
        <f>'3b'!J19/'3b'!$B19*100</f>
        <v>0.38672037039515056</v>
      </c>
      <c r="K19" s="147">
        <f>'3b'!K19/'3b'!$B19*100</f>
        <v>0.72593702747186573</v>
      </c>
      <c r="L19" s="147">
        <f>'3b'!L19/'3b'!$B19*100</f>
        <v>0.49444005834258875</v>
      </c>
      <c r="M19" s="147">
        <f>'3b'!M19/'3b'!$B19*100</f>
        <v>0.231496969129277</v>
      </c>
      <c r="N19" s="147">
        <f>'3b'!N19/'3b'!$B19*100</f>
        <v>0.14987087018774001</v>
      </c>
      <c r="O19" s="32"/>
      <c r="P19" s="32"/>
      <c r="Q19" s="32"/>
      <c r="R19" s="32"/>
      <c r="S19" s="32"/>
      <c r="T19" s="32"/>
      <c r="U19" s="32"/>
    </row>
    <row r="20" spans="1:21">
      <c r="A20" s="66">
        <v>2002</v>
      </c>
      <c r="B20" s="147">
        <f>'3b'!B20/'3b'!$B20*100</f>
        <v>100</v>
      </c>
      <c r="C20" s="147">
        <f>'3b'!C20/'3b'!$B20*100</f>
        <v>2.1841362733827983</v>
      </c>
      <c r="D20" s="147">
        <f>'3b'!D20/'3b'!$B20*100</f>
        <v>0.34421047131361693</v>
      </c>
      <c r="E20" s="147">
        <f>'3b'!E20/'3b'!$B20*100</f>
        <v>0.34159786811579057</v>
      </c>
      <c r="F20" s="147">
        <f>'3b'!F20/'3b'!$B20*100</f>
        <v>2.6126031978263515E-3</v>
      </c>
      <c r="G20" s="147">
        <f>'3b'!G20/'3b'!$B20*100</f>
        <v>1.1449733514473823</v>
      </c>
      <c r="H20" s="147">
        <f>'3b'!H20/'3b'!$B20*100</f>
        <v>0.54342146514787337</v>
      </c>
      <c r="I20" s="147">
        <f>'3b'!I20/'3b'!$B20*100</f>
        <v>0.16263454906468805</v>
      </c>
      <c r="J20" s="147">
        <f>'3b'!J20/'3b'!$B20*100</f>
        <v>0.4395704880342774</v>
      </c>
      <c r="K20" s="147">
        <f>'3b'!K20/'3b'!$B20*100</f>
        <v>0.69495245062179956</v>
      </c>
      <c r="L20" s="147">
        <f>'3b'!L20/'3b'!$B20*100</f>
        <v>0.49443515518863002</v>
      </c>
      <c r="M20" s="147">
        <f>'3b'!M20/'3b'!$B20*100</f>
        <v>0.19986414463371308</v>
      </c>
      <c r="N20" s="147">
        <f>'3b'!N20/'3b'!$B20*100</f>
        <v>0.1378148186853381</v>
      </c>
      <c r="O20" s="32"/>
      <c r="P20" s="32"/>
      <c r="Q20" s="32"/>
      <c r="R20" s="32"/>
      <c r="S20" s="32"/>
      <c r="T20" s="32"/>
      <c r="U20" s="32"/>
    </row>
    <row r="21" spans="1:21">
      <c r="A21" s="66">
        <v>2003</v>
      </c>
      <c r="B21" s="147">
        <f>'3b'!B21/'3b'!$B21*100</f>
        <v>100</v>
      </c>
      <c r="C21" s="147">
        <f>'3b'!C21/'3b'!$B21*100</f>
        <v>2.2287730581982226</v>
      </c>
      <c r="D21" s="147">
        <f>'3b'!D21/'3b'!$B21*100</f>
        <v>0.35604218908520124</v>
      </c>
      <c r="E21" s="147">
        <f>'3b'!E21/'3b'!$B21*100</f>
        <v>0.35221377844987656</v>
      </c>
      <c r="F21" s="147">
        <f>'3b'!F21/'3b'!$B21*100</f>
        <v>3.8284106353247086E-3</v>
      </c>
      <c r="G21" s="147">
        <f>'3b'!G21/'3b'!$B21*100</f>
        <v>1.1823408178761254</v>
      </c>
      <c r="H21" s="147">
        <f>'3b'!H21/'3b'!$B21*100</f>
        <v>0.5372536258239059</v>
      </c>
      <c r="I21" s="147">
        <f>'3b'!I21/'3b'!$B21*100</f>
        <v>0.18886825800935408</v>
      </c>
      <c r="J21" s="147">
        <f>'3b'!J21/'3b'!$B21*100</f>
        <v>0.45621893404286545</v>
      </c>
      <c r="K21" s="147">
        <f>'3b'!K21/'3b'!$B21*100</f>
        <v>0.69039005123689567</v>
      </c>
      <c r="L21" s="147">
        <f>'3b'!L21/'3b'!$B21*100</f>
        <v>0.48876042444312578</v>
      </c>
      <c r="M21" s="147">
        <f>'3b'!M21/'3b'!$B21*100</f>
        <v>0.20162962679376992</v>
      </c>
      <c r="N21" s="147">
        <f>'3b'!N21/'3b'!$B21*100</f>
        <v>0.13463244067558688</v>
      </c>
      <c r="O21" s="32"/>
      <c r="P21" s="32"/>
      <c r="Q21" s="32"/>
      <c r="R21" s="32"/>
      <c r="S21" s="32"/>
      <c r="T21" s="32"/>
      <c r="U21" s="32"/>
    </row>
    <row r="22" spans="1:21">
      <c r="A22" s="66">
        <v>2004</v>
      </c>
      <c r="B22" s="147">
        <f>'3b'!B22/'3b'!$B22*100</f>
        <v>100</v>
      </c>
      <c r="C22" s="147">
        <f>'3b'!C22/'3b'!$B22*100</f>
        <v>2.1446040007524925</v>
      </c>
      <c r="D22" s="147">
        <f>'3b'!D22/'3b'!$B22*100</f>
        <v>0.32545306327208878</v>
      </c>
      <c r="E22" s="147">
        <f>'3b'!E22/'3b'!$B22*100</f>
        <v>0.31730105976045653</v>
      </c>
      <c r="F22" s="147">
        <f>'3b'!F22/'3b'!$B22*100</f>
        <v>8.152003511632264E-3</v>
      </c>
      <c r="G22" s="147">
        <f>'3b'!G22/'3b'!$B22*100</f>
        <v>1.1682448109362265</v>
      </c>
      <c r="H22" s="147">
        <f>'3b'!H22/'3b'!$B22*100</f>
        <v>0.53301561422211075</v>
      </c>
      <c r="I22" s="147">
        <f>'3b'!I22/'3b'!$B22*100</f>
        <v>0.18436069480153006</v>
      </c>
      <c r="J22" s="147">
        <f>'3b'!J22/'3b'!$B22*100</f>
        <v>0.45086850191258548</v>
      </c>
      <c r="K22" s="147">
        <f>'3b'!K22/'3b'!$B22*100</f>
        <v>0.65090612654417757</v>
      </c>
      <c r="L22" s="147">
        <f>'3b'!L22/'3b'!$B22*100</f>
        <v>0.43393741769611843</v>
      </c>
      <c r="M22" s="147">
        <f>'3b'!M22/'3b'!$B22*100</f>
        <v>0.21696870884805922</v>
      </c>
      <c r="N22" s="147">
        <f>'3b'!N22/'3b'!$B22*100</f>
        <v>0.12666959302690162</v>
      </c>
      <c r="O22" s="32"/>
      <c r="P22" s="32"/>
      <c r="Q22" s="32"/>
      <c r="R22" s="32"/>
      <c r="S22" s="32"/>
      <c r="T22" s="32"/>
      <c r="U22" s="32"/>
    </row>
    <row r="23" spans="1:21">
      <c r="A23" s="66">
        <v>2005</v>
      </c>
      <c r="B23" s="147">
        <f>'3b'!B23/'3b'!$B23*100</f>
        <v>100</v>
      </c>
      <c r="C23" s="147">
        <f>'3b'!C23/'3b'!$B23*100</f>
        <v>1.9586015819712175</v>
      </c>
      <c r="D23" s="147">
        <f>'3b'!D23/'3b'!$B23*100</f>
        <v>0.28633802729797087</v>
      </c>
      <c r="E23" s="147">
        <f>'3b'!E23/'3b'!$B23*100</f>
        <v>0.28139050198828675</v>
      </c>
      <c r="F23" s="147">
        <f>'3b'!F23/'3b'!$B23*100</f>
        <v>4.947525309684145E-3</v>
      </c>
      <c r="G23" s="147">
        <f>'3b'!G23/'3b'!$B23*100</f>
        <v>1.0464016029982002</v>
      </c>
      <c r="H23" s="147">
        <f>'3b'!H23/'3b'!$B23*100</f>
        <v>0.47743619238452167</v>
      </c>
      <c r="I23" s="147">
        <f>'3b'!I23/'3b'!$B23*100</f>
        <v>0.1805846738034719</v>
      </c>
      <c r="J23" s="147">
        <f>'3b'!J23/'3b'!$B23*100</f>
        <v>0.38899917747391721</v>
      </c>
      <c r="K23" s="147">
        <f>'3b'!K23/'3b'!$B23*100</f>
        <v>0.62586195167504655</v>
      </c>
      <c r="L23" s="147">
        <f>'3b'!L23/'3b'!$B23*100</f>
        <v>0.39765734676586451</v>
      </c>
      <c r="M23" s="147">
        <f>'3b'!M23/'3b'!$B23*100</f>
        <v>0.22820460490918199</v>
      </c>
      <c r="N23" s="147">
        <f>'3b'!N23/'3b'!$B23*100</f>
        <v>0.1434782339808407</v>
      </c>
      <c r="O23" s="32"/>
      <c r="P23" s="32"/>
      <c r="Q23" s="32"/>
      <c r="R23" s="32"/>
      <c r="S23" s="32"/>
      <c r="T23" s="32"/>
      <c r="U23" s="32"/>
    </row>
    <row r="24" spans="1:21">
      <c r="A24" s="66">
        <v>2006</v>
      </c>
      <c r="B24" s="147">
        <f>'3b'!B24/'3b'!$B24*100</f>
        <v>100</v>
      </c>
      <c r="C24" s="147">
        <f>'3b'!C24/'3b'!$B24*100</f>
        <v>1.8326528878993955</v>
      </c>
      <c r="D24" s="147">
        <f>'3b'!D24/'3b'!$B24*100</f>
        <v>0.25175469992659683</v>
      </c>
      <c r="E24" s="147">
        <f>'3b'!E24/'3b'!$B24*100</f>
        <v>0.24811487293970624</v>
      </c>
      <c r="F24" s="147">
        <f>'3b'!F24/'3b'!$B24*100</f>
        <v>3.639826986890565E-3</v>
      </c>
      <c r="G24" s="147">
        <f>'3b'!G24/'3b'!$B24*100</f>
        <v>1.0100519888621295</v>
      </c>
      <c r="H24" s="147">
        <f>'3b'!H24/'3b'!$B24*100</f>
        <v>0.40826726036289074</v>
      </c>
      <c r="I24" s="147">
        <f>'3b'!I24/'3b'!$B24*100</f>
        <v>0.15347937128055181</v>
      </c>
      <c r="J24" s="147">
        <f>'3b'!J24/'3b'!$B24*100</f>
        <v>0.44769871938753847</v>
      </c>
      <c r="K24" s="147">
        <f>'3b'!K24/'3b'!$B24*100</f>
        <v>0.57084619911066892</v>
      </c>
      <c r="L24" s="147">
        <f>'3b'!L24/'3b'!$B24*100</f>
        <v>0.37732873097432107</v>
      </c>
      <c r="M24" s="147">
        <f>'3b'!M24/'3b'!$B24*100</f>
        <v>0.1935174681363479</v>
      </c>
      <c r="N24" s="147">
        <f>'3b'!N24/'3b'!$B24*100</f>
        <v>0.13042713369691161</v>
      </c>
      <c r="O24" s="32"/>
      <c r="P24" s="32"/>
      <c r="Q24" s="32"/>
      <c r="R24" s="32"/>
      <c r="S24" s="32"/>
      <c r="T24" s="32"/>
      <c r="U24" s="32"/>
    </row>
    <row r="25" spans="1:21">
      <c r="A25" s="66">
        <v>2007</v>
      </c>
      <c r="B25" s="147">
        <f>'3b'!B25/'3b'!$B25*100</f>
        <v>100</v>
      </c>
      <c r="C25" s="147">
        <f>'3b'!C25/'3b'!$B25*100</f>
        <v>1.6197884551534414</v>
      </c>
      <c r="D25" s="147">
        <f>'3b'!D25/'3b'!$B25*100</f>
        <v>0.23537921548166768</v>
      </c>
      <c r="E25" s="147">
        <f>'3b'!E25/'3b'!$B25*100</f>
        <v>0.23122895223639897</v>
      </c>
      <c r="F25" s="147">
        <f>'3b'!F25/'3b'!$B25*100</f>
        <v>4.1502632452687163E-3</v>
      </c>
      <c r="G25" s="147">
        <f>'3b'!G25/'3b'!$B25*100</f>
        <v>0.86799791301048235</v>
      </c>
      <c r="H25" s="147">
        <f>'3b'!H25/'3b'!$B25*100</f>
        <v>0.37589527107147935</v>
      </c>
      <c r="I25" s="147">
        <f>'3b'!I25/'3b'!$B25*100</f>
        <v>0.14407342408575627</v>
      </c>
      <c r="J25" s="147">
        <f>'3b'!J25/'3b'!$B25*100</f>
        <v>0.34862211260257076</v>
      </c>
      <c r="K25" s="147">
        <f>'3b'!K25/'3b'!$B25*100</f>
        <v>0.51641132666129108</v>
      </c>
      <c r="L25" s="147">
        <f>'3b'!L25/'3b'!$B25*100</f>
        <v>0.31601290138974525</v>
      </c>
      <c r="M25" s="147">
        <f>'3b'!M25/'3b'!$B25*100</f>
        <v>0.20039842527154578</v>
      </c>
      <c r="N25" s="147">
        <f>'3b'!N25/'3b'!$B25*100</f>
        <v>0.12332210785941281</v>
      </c>
      <c r="O25" s="32"/>
      <c r="P25" s="32"/>
      <c r="Q25" s="32"/>
      <c r="R25" s="32"/>
      <c r="S25" s="32"/>
      <c r="T25" s="32"/>
      <c r="U25" s="32"/>
    </row>
    <row r="26" spans="1:21">
      <c r="A26" s="66">
        <v>2008</v>
      </c>
      <c r="B26" s="147" t="s">
        <v>22</v>
      </c>
      <c r="C26" s="147" t="s">
        <v>22</v>
      </c>
      <c r="D26" s="147" t="s">
        <v>22</v>
      </c>
      <c r="E26" s="147" t="s">
        <v>22</v>
      </c>
      <c r="F26" s="147" t="s">
        <v>22</v>
      </c>
      <c r="G26" s="147" t="s">
        <v>22</v>
      </c>
      <c r="H26" s="147" t="s">
        <v>22</v>
      </c>
      <c r="I26" s="147" t="s">
        <v>22</v>
      </c>
      <c r="J26" s="147" t="s">
        <v>22</v>
      </c>
      <c r="K26" s="147" t="s">
        <v>22</v>
      </c>
      <c r="L26" s="147" t="s">
        <v>22</v>
      </c>
      <c r="M26" s="147" t="s">
        <v>22</v>
      </c>
      <c r="N26" s="147" t="s">
        <v>22</v>
      </c>
      <c r="O26" s="32"/>
      <c r="P26" s="32"/>
      <c r="Q26" s="32"/>
      <c r="R26" s="32"/>
      <c r="S26" s="32"/>
      <c r="T26" s="32"/>
      <c r="U26" s="32"/>
    </row>
    <row r="27" spans="1:21">
      <c r="A27" s="66">
        <v>2009</v>
      </c>
      <c r="B27" s="147" t="s">
        <v>22</v>
      </c>
      <c r="C27" s="147" t="s">
        <v>22</v>
      </c>
      <c r="D27" s="147" t="s">
        <v>22</v>
      </c>
      <c r="E27" s="147" t="s">
        <v>22</v>
      </c>
      <c r="F27" s="147" t="s">
        <v>22</v>
      </c>
      <c r="G27" s="147" t="s">
        <v>22</v>
      </c>
      <c r="H27" s="147" t="s">
        <v>22</v>
      </c>
      <c r="I27" s="147" t="s">
        <v>22</v>
      </c>
      <c r="J27" s="147" t="s">
        <v>22</v>
      </c>
      <c r="K27" s="147" t="s">
        <v>22</v>
      </c>
      <c r="L27" s="147" t="s">
        <v>22</v>
      </c>
      <c r="M27" s="147" t="s">
        <v>22</v>
      </c>
      <c r="N27" s="147" t="s">
        <v>22</v>
      </c>
      <c r="O27" s="32"/>
      <c r="P27" s="32"/>
      <c r="Q27" s="32"/>
      <c r="R27" s="32"/>
      <c r="S27" s="32"/>
      <c r="T27" s="32"/>
      <c r="U27" s="32"/>
    </row>
    <row r="28" spans="1:21">
      <c r="A28" s="66">
        <v>2010</v>
      </c>
      <c r="B28" s="147" t="s">
        <v>22</v>
      </c>
      <c r="C28" s="147" t="s">
        <v>22</v>
      </c>
      <c r="D28" s="147" t="s">
        <v>22</v>
      </c>
      <c r="E28" s="147" t="s">
        <v>22</v>
      </c>
      <c r="F28" s="147" t="s">
        <v>22</v>
      </c>
      <c r="G28" s="147" t="s">
        <v>22</v>
      </c>
      <c r="H28" s="147" t="s">
        <v>22</v>
      </c>
      <c r="I28" s="147" t="s">
        <v>22</v>
      </c>
      <c r="J28" s="147" t="s">
        <v>22</v>
      </c>
      <c r="K28" s="147" t="s">
        <v>22</v>
      </c>
      <c r="L28" s="147" t="s">
        <v>22</v>
      </c>
      <c r="M28" s="147" t="s">
        <v>22</v>
      </c>
      <c r="N28" s="147" t="s">
        <v>22</v>
      </c>
      <c r="O28" s="32"/>
      <c r="P28" s="32"/>
      <c r="Q28" s="32"/>
      <c r="R28" s="32"/>
      <c r="S28" s="32"/>
      <c r="T28" s="32"/>
      <c r="U28" s="32"/>
    </row>
    <row r="29" spans="1:21">
      <c r="A29" s="66">
        <v>2011</v>
      </c>
      <c r="B29" s="147" t="s">
        <v>22</v>
      </c>
      <c r="C29" s="147" t="s">
        <v>22</v>
      </c>
      <c r="D29" s="147" t="s">
        <v>22</v>
      </c>
      <c r="E29" s="147" t="s">
        <v>22</v>
      </c>
      <c r="F29" s="147" t="s">
        <v>22</v>
      </c>
      <c r="G29" s="147" t="s">
        <v>22</v>
      </c>
      <c r="H29" s="147" t="s">
        <v>22</v>
      </c>
      <c r="I29" s="147" t="s">
        <v>22</v>
      </c>
      <c r="J29" s="147" t="s">
        <v>22</v>
      </c>
      <c r="K29" s="147" t="s">
        <v>22</v>
      </c>
      <c r="L29" s="147" t="s">
        <v>22</v>
      </c>
      <c r="M29" s="147" t="s">
        <v>22</v>
      </c>
      <c r="N29" s="147" t="s">
        <v>22</v>
      </c>
      <c r="O29" s="32"/>
      <c r="P29" s="32"/>
      <c r="Q29" s="32"/>
      <c r="R29" s="32"/>
      <c r="S29" s="32"/>
      <c r="T29" s="32"/>
      <c r="U29" s="32"/>
    </row>
    <row r="30" spans="1:21">
      <c r="A30" s="66">
        <v>2012</v>
      </c>
      <c r="B30" s="147" t="s">
        <v>22</v>
      </c>
      <c r="C30" s="147" t="s">
        <v>22</v>
      </c>
      <c r="D30" s="147" t="s">
        <v>22</v>
      </c>
      <c r="E30" s="147" t="s">
        <v>22</v>
      </c>
      <c r="F30" s="147" t="s">
        <v>22</v>
      </c>
      <c r="G30" s="147" t="s">
        <v>22</v>
      </c>
      <c r="H30" s="147" t="s">
        <v>22</v>
      </c>
      <c r="I30" s="147" t="s">
        <v>22</v>
      </c>
      <c r="J30" s="147" t="s">
        <v>22</v>
      </c>
      <c r="K30" s="147" t="s">
        <v>22</v>
      </c>
      <c r="L30" s="147" t="s">
        <v>22</v>
      </c>
      <c r="M30" s="147" t="s">
        <v>22</v>
      </c>
      <c r="N30" s="147" t="s">
        <v>22</v>
      </c>
      <c r="O30" s="32"/>
      <c r="P30" s="32"/>
      <c r="Q30" s="32"/>
      <c r="R30" s="32"/>
      <c r="S30" s="32"/>
      <c r="T30" s="32"/>
      <c r="U30" s="32"/>
    </row>
    <row r="32" spans="1:21" ht="15" customHeight="1">
      <c r="A32" s="104" t="s">
        <v>1022</v>
      </c>
      <c r="B32" s="104"/>
      <c r="C32" s="104"/>
      <c r="D32" s="104"/>
      <c r="E32" s="104"/>
      <c r="F32" s="104"/>
      <c r="G32" s="104"/>
      <c r="H32" s="104"/>
      <c r="I32" s="104"/>
      <c r="J32" s="104"/>
      <c r="K32" s="104"/>
      <c r="L32" s="104"/>
      <c r="M32" s="104"/>
      <c r="N32" s="104"/>
    </row>
    <row r="33" spans="1:22" ht="15" customHeight="1">
      <c r="A33" s="104" t="s">
        <v>79</v>
      </c>
      <c r="B33" s="104"/>
      <c r="C33" s="104"/>
      <c r="D33" s="104"/>
      <c r="E33" s="104"/>
      <c r="F33" s="104"/>
      <c r="G33" s="104"/>
      <c r="H33" s="104"/>
      <c r="I33" s="104"/>
      <c r="J33" s="104"/>
      <c r="K33" s="104"/>
      <c r="L33" s="104"/>
      <c r="M33" s="104"/>
      <c r="N33" s="104"/>
    </row>
    <row r="34" spans="1:22">
      <c r="A34" s="271" t="s">
        <v>1076</v>
      </c>
      <c r="B34" s="271"/>
      <c r="C34" s="271"/>
      <c r="D34" s="271"/>
      <c r="E34" s="271"/>
      <c r="F34" s="271"/>
      <c r="G34" s="271"/>
      <c r="H34" s="271"/>
      <c r="I34" s="271"/>
      <c r="J34" s="271"/>
      <c r="K34" s="271"/>
      <c r="L34" s="271"/>
      <c r="M34" s="271"/>
      <c r="N34" s="271"/>
      <c r="O34" s="275"/>
      <c r="P34" s="275"/>
      <c r="Q34" s="275"/>
      <c r="R34" s="275"/>
      <c r="S34" s="275"/>
      <c r="T34" s="275"/>
      <c r="U34" s="275"/>
      <c r="V34" s="275"/>
    </row>
    <row r="35" spans="1:22">
      <c r="A35" s="276"/>
      <c r="B35" s="275"/>
      <c r="C35" s="275"/>
      <c r="D35" s="275"/>
      <c r="E35" s="275"/>
      <c r="F35" s="275"/>
      <c r="G35" s="275"/>
      <c r="H35" s="275"/>
      <c r="I35" s="275"/>
      <c r="J35" s="275"/>
      <c r="K35" s="275"/>
      <c r="L35" s="275"/>
      <c r="M35" s="275"/>
      <c r="N35" s="275"/>
      <c r="O35" s="275"/>
      <c r="P35" s="275"/>
      <c r="Q35" s="275"/>
      <c r="R35" s="275"/>
      <c r="S35" s="275"/>
      <c r="T35" s="275"/>
      <c r="U35" s="275"/>
      <c r="V35" s="275"/>
    </row>
    <row r="36" spans="1:22">
      <c r="A36" s="276"/>
      <c r="B36" s="275"/>
      <c r="C36" s="275"/>
      <c r="D36" s="275"/>
      <c r="E36" s="275"/>
      <c r="F36" s="275"/>
      <c r="G36" s="275"/>
      <c r="H36" s="275"/>
      <c r="I36" s="275"/>
      <c r="J36" s="275"/>
      <c r="K36" s="275"/>
      <c r="L36" s="275"/>
      <c r="M36" s="275"/>
      <c r="N36" s="275"/>
      <c r="O36" s="275"/>
      <c r="P36" s="275"/>
      <c r="Q36" s="275"/>
      <c r="R36" s="275"/>
      <c r="S36" s="275"/>
      <c r="T36" s="275"/>
      <c r="U36" s="275"/>
      <c r="V36" s="275"/>
    </row>
    <row r="37" spans="1:22">
      <c r="A37" s="276"/>
      <c r="B37" s="275"/>
      <c r="C37" s="275"/>
      <c r="D37" s="275"/>
      <c r="E37" s="275"/>
      <c r="F37" s="275"/>
      <c r="G37" s="275"/>
      <c r="H37" s="275"/>
      <c r="I37" s="275"/>
      <c r="J37" s="275"/>
      <c r="K37" s="275"/>
      <c r="L37" s="275"/>
      <c r="M37" s="275"/>
      <c r="N37" s="275"/>
      <c r="O37" s="275"/>
      <c r="P37" s="275"/>
      <c r="Q37" s="275"/>
      <c r="R37" s="275"/>
      <c r="S37" s="275"/>
      <c r="T37" s="275"/>
      <c r="U37" s="275"/>
      <c r="V37" s="275"/>
    </row>
    <row r="38" spans="1:22">
      <c r="A38" s="276"/>
      <c r="B38" s="275"/>
      <c r="C38" s="275"/>
      <c r="D38" s="275"/>
      <c r="E38" s="275"/>
      <c r="F38" s="275"/>
      <c r="G38" s="275"/>
      <c r="H38" s="275"/>
      <c r="I38" s="275"/>
      <c r="J38" s="275"/>
      <c r="K38" s="275"/>
      <c r="L38" s="275"/>
      <c r="M38" s="275"/>
      <c r="N38" s="275"/>
      <c r="O38" s="275"/>
      <c r="P38" s="275"/>
      <c r="Q38" s="275"/>
      <c r="R38" s="275"/>
      <c r="S38" s="275"/>
      <c r="T38" s="275"/>
      <c r="U38" s="275"/>
      <c r="V38" s="275"/>
    </row>
    <row r="39" spans="1:22">
      <c r="A39" s="276"/>
      <c r="B39" s="275"/>
      <c r="C39" s="275"/>
      <c r="D39" s="275"/>
      <c r="E39" s="275"/>
      <c r="F39" s="275"/>
      <c r="G39" s="275"/>
      <c r="H39" s="275"/>
      <c r="I39" s="275"/>
      <c r="J39" s="275"/>
      <c r="K39" s="275"/>
      <c r="L39" s="275"/>
      <c r="M39" s="275"/>
      <c r="N39" s="275"/>
      <c r="O39" s="275"/>
      <c r="P39" s="275"/>
      <c r="Q39" s="275"/>
      <c r="R39" s="275"/>
      <c r="S39" s="275"/>
      <c r="T39" s="275"/>
      <c r="U39" s="275"/>
      <c r="V39" s="275"/>
    </row>
    <row r="40" spans="1:22">
      <c r="A40" s="276"/>
      <c r="B40" s="275"/>
      <c r="C40" s="275"/>
      <c r="D40" s="275"/>
      <c r="E40" s="275"/>
      <c r="F40" s="275"/>
      <c r="G40" s="275"/>
      <c r="H40" s="275"/>
      <c r="I40" s="275"/>
      <c r="J40" s="275"/>
      <c r="K40" s="275"/>
      <c r="L40" s="275"/>
      <c r="M40" s="275"/>
      <c r="N40" s="275"/>
      <c r="O40" s="275"/>
      <c r="P40" s="275"/>
      <c r="Q40" s="275"/>
      <c r="R40" s="275"/>
      <c r="S40" s="275"/>
      <c r="T40" s="275"/>
      <c r="U40" s="275"/>
      <c r="V40" s="275"/>
    </row>
  </sheetData>
  <mergeCells count="11">
    <mergeCell ref="N2:N4"/>
    <mergeCell ref="A32:N32"/>
    <mergeCell ref="A33:N33"/>
    <mergeCell ref="A34:N34"/>
    <mergeCell ref="A1:M1"/>
    <mergeCell ref="B2:B4"/>
    <mergeCell ref="C2:M2"/>
    <mergeCell ref="C3:C4"/>
    <mergeCell ref="D3:F3"/>
    <mergeCell ref="G3:J3"/>
    <mergeCell ref="K3:M3"/>
  </mergeCells>
  <pageMargins left="0.7" right="0.7" top="0.75" bottom="0.75" header="0.3" footer="0.3"/>
  <pageSetup scale="70" orientation="landscape" horizontalDpi="0" verticalDpi="0" r:id="rId1"/>
  <colBreaks count="1" manualBreakCount="1">
    <brk id="14" max="1048575" man="1"/>
  </colBreaks>
</worksheet>
</file>

<file path=xl/worksheets/sheet200.xml><?xml version="1.0" encoding="utf-8"?>
<worksheet xmlns="http://schemas.openxmlformats.org/spreadsheetml/2006/main" xmlns:r="http://schemas.openxmlformats.org/officeDocument/2006/relationships">
  <sheetPr codeName="Sheet194"/>
  <dimension ref="A1:G72"/>
  <sheetViews>
    <sheetView view="pageBreakPreview" zoomScaleNormal="85" zoomScaleSheetLayoutView="100"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9.140625" style="64"/>
    <col min="2" max="2" width="13.28515625" style="64" customWidth="1"/>
    <col min="3" max="3" width="12" style="64" customWidth="1"/>
    <col min="4" max="4" width="15.42578125" style="64" customWidth="1"/>
    <col min="5" max="6" width="11.28515625" style="64" customWidth="1"/>
    <col min="7" max="16384" width="9.140625" style="64"/>
  </cols>
  <sheetData>
    <row r="1" spans="1:7" ht="30" customHeight="1">
      <c r="A1" s="93" t="s">
        <v>2150</v>
      </c>
      <c r="B1" s="93"/>
      <c r="C1" s="93"/>
      <c r="D1" s="93"/>
      <c r="E1" s="93"/>
      <c r="F1" s="93"/>
    </row>
    <row r="2" spans="1:7" ht="15" customHeight="1">
      <c r="B2" s="97" t="s">
        <v>775</v>
      </c>
      <c r="C2" s="107" t="s">
        <v>37</v>
      </c>
      <c r="D2" s="107"/>
      <c r="E2" s="107"/>
      <c r="F2" s="107"/>
    </row>
    <row r="3" spans="1:7" ht="90" customHeight="1">
      <c r="B3" s="97"/>
      <c r="C3" s="73" t="s">
        <v>78</v>
      </c>
      <c r="D3" s="73" t="s">
        <v>210</v>
      </c>
      <c r="E3" s="73" t="s">
        <v>207</v>
      </c>
      <c r="F3" s="73" t="s">
        <v>208</v>
      </c>
    </row>
    <row r="4" spans="1:7" hidden="1">
      <c r="A4" s="66">
        <v>1947</v>
      </c>
      <c r="B4" s="62">
        <v>244.095</v>
      </c>
      <c r="C4" s="62"/>
      <c r="D4" s="62"/>
      <c r="E4" s="62"/>
      <c r="F4" s="62"/>
    </row>
    <row r="5" spans="1:7" hidden="1">
      <c r="A5" s="66">
        <v>1948</v>
      </c>
      <c r="B5" s="62">
        <v>269.11799999999999</v>
      </c>
      <c r="C5" s="62"/>
      <c r="D5" s="62"/>
      <c r="E5" s="62"/>
      <c r="F5" s="62"/>
      <c r="G5" s="133"/>
    </row>
    <row r="6" spans="1:7" hidden="1">
      <c r="A6" s="66">
        <v>1949</v>
      </c>
      <c r="B6" s="62">
        <v>267.23200000000003</v>
      </c>
      <c r="C6" s="62"/>
      <c r="D6" s="62"/>
      <c r="E6" s="62"/>
      <c r="F6" s="62"/>
    </row>
    <row r="7" spans="1:7" hidden="1">
      <c r="A7" s="66">
        <v>1950</v>
      </c>
      <c r="B7" s="62">
        <v>293.74400000000003</v>
      </c>
      <c r="C7" s="62"/>
      <c r="D7" s="62"/>
      <c r="E7" s="62"/>
      <c r="F7" s="62"/>
    </row>
    <row r="8" spans="1:7" hidden="1">
      <c r="A8" s="66">
        <v>1951</v>
      </c>
      <c r="B8" s="62">
        <v>339.26</v>
      </c>
      <c r="C8" s="62"/>
      <c r="D8" s="62"/>
      <c r="E8" s="62"/>
      <c r="F8" s="62"/>
    </row>
    <row r="9" spans="1:7" hidden="1">
      <c r="A9" s="66">
        <v>1952</v>
      </c>
      <c r="B9" s="62">
        <v>358.298</v>
      </c>
      <c r="C9" s="62"/>
      <c r="D9" s="62"/>
      <c r="E9" s="62"/>
      <c r="F9" s="62"/>
    </row>
    <row r="10" spans="1:7" hidden="1">
      <c r="A10" s="66">
        <v>1953</v>
      </c>
      <c r="B10" s="62">
        <v>379.327</v>
      </c>
      <c r="C10" s="62"/>
      <c r="D10" s="62"/>
      <c r="E10" s="62"/>
      <c r="F10" s="62"/>
    </row>
    <row r="11" spans="1:7" hidden="1">
      <c r="A11" s="66">
        <v>1954</v>
      </c>
      <c r="B11" s="62">
        <v>380.35399999999998</v>
      </c>
      <c r="C11" s="62"/>
      <c r="D11" s="62"/>
      <c r="E11" s="62"/>
      <c r="F11" s="62"/>
    </row>
    <row r="12" spans="1:7" hidden="1">
      <c r="A12" s="66">
        <v>1955</v>
      </c>
      <c r="B12" s="62">
        <v>414.72</v>
      </c>
      <c r="C12" s="62"/>
      <c r="D12" s="62"/>
      <c r="E12" s="62"/>
      <c r="F12" s="62"/>
    </row>
    <row r="13" spans="1:7" hidden="1">
      <c r="A13" s="66">
        <v>1956</v>
      </c>
      <c r="B13" s="62">
        <v>437.428</v>
      </c>
      <c r="C13" s="62"/>
      <c r="D13" s="62"/>
      <c r="E13" s="62"/>
      <c r="F13" s="62"/>
    </row>
    <row r="14" spans="1:7" hidden="1">
      <c r="A14" s="66">
        <v>1957</v>
      </c>
      <c r="B14" s="62">
        <v>461.05500000000001</v>
      </c>
      <c r="C14" s="62"/>
      <c r="D14" s="62"/>
      <c r="E14" s="62"/>
      <c r="F14" s="62"/>
    </row>
    <row r="15" spans="1:7" hidden="1">
      <c r="A15" s="66">
        <v>1958</v>
      </c>
      <c r="B15" s="62">
        <v>467.16899999999998</v>
      </c>
      <c r="C15" s="62"/>
      <c r="D15" s="62"/>
      <c r="E15" s="62"/>
      <c r="F15" s="62"/>
    </row>
    <row r="16" spans="1:7" hidden="1">
      <c r="A16" s="66">
        <v>1959</v>
      </c>
      <c r="B16" s="62">
        <v>506.62700000000001</v>
      </c>
      <c r="C16" s="62"/>
      <c r="D16" s="62"/>
      <c r="E16" s="62"/>
      <c r="F16" s="62"/>
    </row>
    <row r="17" spans="1:6" hidden="1">
      <c r="A17" s="66">
        <v>1960</v>
      </c>
      <c r="B17" s="62">
        <v>526.43799999999999</v>
      </c>
      <c r="C17" s="62"/>
      <c r="D17" s="62"/>
      <c r="E17" s="62"/>
      <c r="F17" s="62"/>
    </row>
    <row r="18" spans="1:6" hidden="1">
      <c r="A18" s="66">
        <v>1961</v>
      </c>
      <c r="B18" s="62">
        <v>544.75800000000004</v>
      </c>
      <c r="C18" s="62"/>
      <c r="D18" s="62"/>
      <c r="E18" s="62"/>
      <c r="F18" s="62"/>
    </row>
    <row r="19" spans="1:6" hidden="1">
      <c r="A19" s="66">
        <v>1962</v>
      </c>
      <c r="B19" s="62">
        <v>585.65599999999995</v>
      </c>
      <c r="C19" s="62"/>
      <c r="D19" s="62"/>
      <c r="E19" s="62"/>
      <c r="F19" s="62"/>
    </row>
    <row r="20" spans="1:6" hidden="1">
      <c r="A20" s="66">
        <v>1963</v>
      </c>
      <c r="B20" s="62">
        <v>617.76</v>
      </c>
      <c r="C20" s="62"/>
      <c r="D20" s="62"/>
      <c r="E20" s="62"/>
      <c r="F20" s="62"/>
    </row>
    <row r="21" spans="1:6" hidden="1">
      <c r="A21" s="66">
        <v>1964</v>
      </c>
      <c r="B21" s="62">
        <v>663.63900000000001</v>
      </c>
      <c r="C21" s="62"/>
      <c r="D21" s="62"/>
      <c r="E21" s="62"/>
      <c r="F21" s="62"/>
    </row>
    <row r="22" spans="1:6" hidden="1">
      <c r="A22" s="66">
        <v>1965</v>
      </c>
      <c r="B22" s="62">
        <v>719.11500000000001</v>
      </c>
      <c r="C22" s="62"/>
      <c r="D22" s="62"/>
      <c r="E22" s="62"/>
      <c r="F22" s="62"/>
    </row>
    <row r="23" spans="1:6" hidden="1">
      <c r="A23" s="66">
        <v>1966</v>
      </c>
      <c r="B23" s="62">
        <v>787.69200000000001</v>
      </c>
      <c r="C23" s="62"/>
      <c r="D23" s="62"/>
      <c r="E23" s="62"/>
      <c r="F23" s="62"/>
    </row>
    <row r="24" spans="1:6" hidden="1">
      <c r="A24" s="66">
        <v>1967</v>
      </c>
      <c r="B24" s="62">
        <v>832.44500000000005</v>
      </c>
      <c r="C24" s="62"/>
      <c r="D24" s="62"/>
      <c r="E24" s="62"/>
      <c r="F24" s="62"/>
    </row>
    <row r="25" spans="1:6" hidden="1">
      <c r="A25" s="66">
        <v>1968</v>
      </c>
      <c r="B25" s="62">
        <v>909.84299999999996</v>
      </c>
      <c r="C25" s="62"/>
      <c r="D25" s="62"/>
      <c r="E25" s="62"/>
      <c r="F25" s="62"/>
    </row>
    <row r="26" spans="1:6" hidden="1">
      <c r="A26" s="66">
        <v>1969</v>
      </c>
      <c r="B26" s="62">
        <v>984.43100000000004</v>
      </c>
      <c r="C26" s="62"/>
      <c r="D26" s="62"/>
      <c r="E26" s="62"/>
      <c r="F26" s="62"/>
    </row>
    <row r="27" spans="1:6" hidden="1">
      <c r="A27" s="66">
        <v>1970</v>
      </c>
      <c r="B27" s="62">
        <v>1038.326</v>
      </c>
      <c r="C27" s="62"/>
      <c r="D27" s="62"/>
      <c r="E27" s="62"/>
      <c r="F27" s="62"/>
    </row>
    <row r="28" spans="1:6" hidden="1">
      <c r="A28" s="66">
        <v>1971</v>
      </c>
      <c r="B28" s="62">
        <v>1126.817</v>
      </c>
      <c r="C28" s="62"/>
      <c r="D28" s="62"/>
      <c r="E28" s="62"/>
      <c r="F28" s="62"/>
    </row>
    <row r="29" spans="1:6" hidden="1">
      <c r="A29" s="66">
        <v>1972</v>
      </c>
      <c r="B29" s="62">
        <v>1237.885</v>
      </c>
      <c r="C29" s="62"/>
      <c r="D29" s="62"/>
      <c r="E29" s="62"/>
      <c r="F29" s="62"/>
    </row>
    <row r="30" spans="1:6" hidden="1">
      <c r="A30" s="66">
        <v>1973</v>
      </c>
      <c r="B30" s="62">
        <v>1382.269</v>
      </c>
      <c r="C30" s="62"/>
      <c r="D30" s="62"/>
      <c r="E30" s="62"/>
      <c r="F30" s="62"/>
    </row>
    <row r="31" spans="1:6" hidden="1">
      <c r="A31" s="66">
        <v>1974</v>
      </c>
      <c r="B31" s="62">
        <v>1499.452</v>
      </c>
      <c r="C31" s="62"/>
      <c r="D31" s="62"/>
      <c r="E31" s="62"/>
      <c r="F31" s="62"/>
    </row>
    <row r="32" spans="1:6" hidden="1">
      <c r="A32" s="66">
        <v>1975</v>
      </c>
      <c r="B32" s="62">
        <v>1637.7</v>
      </c>
      <c r="C32" s="62"/>
      <c r="D32" s="62"/>
      <c r="E32" s="62"/>
      <c r="F32" s="62"/>
    </row>
    <row r="33" spans="1:7" hidden="1">
      <c r="A33" s="66">
        <v>1976</v>
      </c>
      <c r="B33" s="62">
        <v>1824.5830000000001</v>
      </c>
      <c r="C33" s="62"/>
      <c r="D33" s="62"/>
      <c r="E33" s="62"/>
      <c r="F33" s="62"/>
    </row>
    <row r="34" spans="1:7">
      <c r="A34" s="66">
        <v>1977</v>
      </c>
      <c r="B34" s="134">
        <v>2030.13</v>
      </c>
      <c r="C34" s="29">
        <f>SUM(D34:F34)</f>
        <v>36.613</v>
      </c>
      <c r="D34" s="134">
        <v>7.6769999999999996</v>
      </c>
      <c r="E34" s="134">
        <v>10.526999999999999</v>
      </c>
      <c r="F34" s="134">
        <v>18.408999999999999</v>
      </c>
    </row>
    <row r="35" spans="1:7">
      <c r="A35" s="66">
        <v>1978</v>
      </c>
      <c r="B35" s="134">
        <v>2293.7620000000002</v>
      </c>
      <c r="C35" s="29">
        <f t="shared" ref="C35:C68" si="0">SUM(D35:F35)</f>
        <v>41.689</v>
      </c>
      <c r="D35" s="134">
        <v>8.7629999999999999</v>
      </c>
      <c r="E35" s="134">
        <v>12.818</v>
      </c>
      <c r="F35" s="134">
        <v>20.108000000000001</v>
      </c>
    </row>
    <row r="36" spans="1:7">
      <c r="A36" s="66">
        <v>1979</v>
      </c>
      <c r="B36" s="134">
        <v>2562.2280000000001</v>
      </c>
      <c r="C36" s="29">
        <f t="shared" si="0"/>
        <v>46.890999999999998</v>
      </c>
      <c r="D36" s="134">
        <v>10.109</v>
      </c>
      <c r="E36" s="134">
        <v>14.087</v>
      </c>
      <c r="F36" s="134">
        <v>22.695</v>
      </c>
    </row>
    <row r="37" spans="1:7">
      <c r="A37" s="66">
        <v>1980</v>
      </c>
      <c r="B37" s="134">
        <v>2788.143</v>
      </c>
      <c r="C37" s="29">
        <f t="shared" si="0"/>
        <v>46.28</v>
      </c>
      <c r="D37" s="134">
        <v>10.769</v>
      </c>
      <c r="E37" s="134">
        <v>11.875</v>
      </c>
      <c r="F37" s="134">
        <v>23.635999999999999</v>
      </c>
    </row>
    <row r="38" spans="1:7">
      <c r="A38" s="66">
        <v>1981</v>
      </c>
      <c r="B38" s="134">
        <v>3126.837</v>
      </c>
      <c r="C38" s="29">
        <f t="shared" si="0"/>
        <v>47.545999999999999</v>
      </c>
      <c r="D38" s="134">
        <v>10.662000000000001</v>
      </c>
      <c r="E38" s="134">
        <v>11.106999999999999</v>
      </c>
      <c r="F38" s="134">
        <v>25.777000000000001</v>
      </c>
    </row>
    <row r="39" spans="1:7">
      <c r="A39" s="66">
        <v>1982</v>
      </c>
      <c r="B39" s="134">
        <v>3253.194</v>
      </c>
      <c r="C39" s="29">
        <f t="shared" si="0"/>
        <v>48.385999999999996</v>
      </c>
      <c r="D39" s="134">
        <v>11.231999999999999</v>
      </c>
      <c r="E39" s="134">
        <v>10.044</v>
      </c>
      <c r="F39" s="134">
        <v>27.11</v>
      </c>
    </row>
    <row r="40" spans="1:7">
      <c r="A40" s="66">
        <v>1983</v>
      </c>
      <c r="B40" s="134">
        <v>3534.6060000000002</v>
      </c>
      <c r="C40" s="29">
        <f t="shared" si="0"/>
        <v>54.575000000000003</v>
      </c>
      <c r="D40" s="134">
        <v>12.294</v>
      </c>
      <c r="E40" s="134">
        <v>13.616</v>
      </c>
      <c r="F40" s="134">
        <v>28.664999999999999</v>
      </c>
    </row>
    <row r="41" spans="1:7">
      <c r="A41" s="66">
        <v>1984</v>
      </c>
      <c r="B41" s="134">
        <v>3930.895</v>
      </c>
      <c r="C41" s="29">
        <f t="shared" si="0"/>
        <v>60.129999999999995</v>
      </c>
      <c r="D41" s="134">
        <v>12.867000000000001</v>
      </c>
      <c r="E41" s="134">
        <v>15.015000000000001</v>
      </c>
      <c r="F41" s="134">
        <v>32.247999999999998</v>
      </c>
    </row>
    <row r="42" spans="1:7">
      <c r="A42" s="66">
        <v>1985</v>
      </c>
      <c r="B42" s="134">
        <v>4217.47</v>
      </c>
      <c r="C42" s="29">
        <f t="shared" si="0"/>
        <v>61.851000000000006</v>
      </c>
      <c r="D42" s="134">
        <v>13.207000000000001</v>
      </c>
      <c r="E42" s="134">
        <v>15.185</v>
      </c>
      <c r="F42" s="134">
        <v>33.459000000000003</v>
      </c>
    </row>
    <row r="43" spans="1:7">
      <c r="A43" s="66">
        <v>1986</v>
      </c>
      <c r="B43" s="134">
        <v>4460.067</v>
      </c>
      <c r="C43" s="29">
        <f t="shared" si="0"/>
        <v>67.566999999999993</v>
      </c>
      <c r="D43" s="134">
        <v>14.198</v>
      </c>
      <c r="E43" s="134">
        <v>17.63</v>
      </c>
      <c r="F43" s="134">
        <v>35.738999999999997</v>
      </c>
      <c r="G43" s="133"/>
    </row>
    <row r="44" spans="1:7">
      <c r="A44" s="66">
        <v>1987</v>
      </c>
      <c r="B44" s="134">
        <v>4736.3540000000003</v>
      </c>
      <c r="C44" s="29">
        <f t="shared" si="0"/>
        <v>75.766000000000005</v>
      </c>
      <c r="D44" s="134">
        <v>17.289000000000001</v>
      </c>
      <c r="E44" s="134">
        <v>19.701000000000001</v>
      </c>
      <c r="F44" s="134">
        <v>38.776000000000003</v>
      </c>
    </row>
    <row r="45" spans="1:7">
      <c r="A45" s="66">
        <v>1988</v>
      </c>
      <c r="B45" s="134">
        <v>5100.4219999999996</v>
      </c>
      <c r="C45" s="29">
        <f t="shared" si="0"/>
        <v>81.841999999999999</v>
      </c>
      <c r="D45" s="134">
        <v>17.337</v>
      </c>
      <c r="E45" s="134">
        <v>19.704000000000001</v>
      </c>
      <c r="F45" s="134">
        <v>44.801000000000002</v>
      </c>
    </row>
    <row r="46" spans="1:7">
      <c r="A46" s="66">
        <v>1989</v>
      </c>
      <c r="B46" s="134">
        <v>5482.1459999999997</v>
      </c>
      <c r="C46" s="29">
        <f t="shared" si="0"/>
        <v>85.649000000000001</v>
      </c>
      <c r="D46" s="134">
        <v>17.812000000000001</v>
      </c>
      <c r="E46" s="134">
        <v>20.545999999999999</v>
      </c>
      <c r="F46" s="134">
        <v>47.290999999999997</v>
      </c>
    </row>
    <row r="47" spans="1:7">
      <c r="A47" s="66">
        <v>1990</v>
      </c>
      <c r="B47" s="134">
        <v>5800.527</v>
      </c>
      <c r="C47" s="29">
        <f t="shared" si="0"/>
        <v>84.515000000000001</v>
      </c>
      <c r="D47" s="134">
        <v>18.425999999999998</v>
      </c>
      <c r="E47" s="134">
        <v>19.649000000000001</v>
      </c>
      <c r="F47" s="134">
        <v>46.44</v>
      </c>
    </row>
    <row r="48" spans="1:7">
      <c r="A48" s="66">
        <v>1991</v>
      </c>
      <c r="B48" s="134">
        <v>5992.0940000000001</v>
      </c>
      <c r="C48" s="29">
        <f t="shared" si="0"/>
        <v>82.158000000000001</v>
      </c>
      <c r="D48" s="134">
        <v>17.678000000000001</v>
      </c>
      <c r="E48" s="134">
        <v>18.721</v>
      </c>
      <c r="F48" s="134">
        <v>45.759</v>
      </c>
    </row>
    <row r="49" spans="1:6">
      <c r="A49" s="66">
        <v>1992</v>
      </c>
      <c r="B49" s="134">
        <v>6342.3059999999996</v>
      </c>
      <c r="C49" s="29">
        <f t="shared" si="0"/>
        <v>85.212000000000003</v>
      </c>
      <c r="D49" s="134">
        <v>18.898</v>
      </c>
      <c r="E49" s="134">
        <v>19.794</v>
      </c>
      <c r="F49" s="134">
        <v>46.52</v>
      </c>
    </row>
    <row r="50" spans="1:6">
      <c r="A50" s="66">
        <v>1993</v>
      </c>
      <c r="B50" s="134">
        <v>6667.35</v>
      </c>
      <c r="C50" s="29">
        <f t="shared" si="0"/>
        <v>89.085999999999999</v>
      </c>
      <c r="D50" s="134">
        <v>19.239999999999998</v>
      </c>
      <c r="E50" s="134">
        <v>21.989000000000001</v>
      </c>
      <c r="F50" s="134">
        <v>47.856999999999999</v>
      </c>
    </row>
    <row r="51" spans="1:6">
      <c r="A51" s="66">
        <v>1994</v>
      </c>
      <c r="B51" s="134">
        <v>7085.16</v>
      </c>
      <c r="C51" s="29">
        <f t="shared" si="0"/>
        <v>97.13300000000001</v>
      </c>
      <c r="D51" s="134">
        <v>21.670999999999999</v>
      </c>
      <c r="E51" s="134">
        <v>24.431000000000001</v>
      </c>
      <c r="F51" s="134">
        <v>51.030999999999999</v>
      </c>
    </row>
    <row r="52" spans="1:6">
      <c r="A52" s="66">
        <v>1995</v>
      </c>
      <c r="B52" s="134">
        <v>7414.6549999999997</v>
      </c>
      <c r="C52" s="29">
        <f t="shared" si="0"/>
        <v>108.742</v>
      </c>
      <c r="D52" s="134">
        <v>22.155999999999999</v>
      </c>
      <c r="E52" s="134">
        <v>25.382999999999999</v>
      </c>
      <c r="F52" s="134">
        <v>61.203000000000003</v>
      </c>
    </row>
    <row r="53" spans="1:6">
      <c r="A53" s="66">
        <v>1996</v>
      </c>
      <c r="B53" s="134">
        <v>7838.4560000000001</v>
      </c>
      <c r="C53" s="29">
        <f t="shared" si="0"/>
        <v>102.38499999999999</v>
      </c>
      <c r="D53" s="134">
        <v>20.919</v>
      </c>
      <c r="E53" s="134">
        <v>25.050999999999998</v>
      </c>
      <c r="F53" s="134">
        <v>56.414999999999999</v>
      </c>
    </row>
    <row r="54" spans="1:6">
      <c r="A54" s="66">
        <v>1997</v>
      </c>
      <c r="B54" s="134">
        <v>8332.3619999999992</v>
      </c>
      <c r="C54" s="29">
        <f t="shared" si="0"/>
        <v>100.5</v>
      </c>
      <c r="D54" s="134">
        <v>20.419</v>
      </c>
      <c r="E54" s="134">
        <v>26.518000000000001</v>
      </c>
      <c r="F54" s="134">
        <v>53.563000000000002</v>
      </c>
    </row>
    <row r="55" spans="1:6">
      <c r="A55" s="66">
        <v>1998</v>
      </c>
      <c r="B55" s="134">
        <v>8793.4950000000008</v>
      </c>
      <c r="C55" s="29">
        <f t="shared" si="0"/>
        <v>103.244</v>
      </c>
      <c r="D55" s="134">
        <v>21.099</v>
      </c>
      <c r="E55" s="134">
        <v>27.189</v>
      </c>
      <c r="F55" s="134">
        <v>54.956000000000003</v>
      </c>
    </row>
    <row r="56" spans="1:6">
      <c r="A56" s="66">
        <v>1999</v>
      </c>
      <c r="B56" s="134">
        <v>9353.4840000000004</v>
      </c>
      <c r="C56" s="29">
        <f t="shared" si="0"/>
        <v>110.837</v>
      </c>
      <c r="D56" s="134">
        <v>21.64</v>
      </c>
      <c r="E56" s="134">
        <v>29.962</v>
      </c>
      <c r="F56" s="134">
        <v>59.234999999999999</v>
      </c>
    </row>
    <row r="57" spans="1:6">
      <c r="A57" s="66">
        <v>2000</v>
      </c>
      <c r="B57" s="134">
        <v>9951.482</v>
      </c>
      <c r="C57" s="29">
        <f t="shared" si="0"/>
        <v>112.038</v>
      </c>
      <c r="D57" s="134">
        <v>21.972999999999999</v>
      </c>
      <c r="E57" s="134">
        <v>28.323</v>
      </c>
      <c r="F57" s="134">
        <v>61.741999999999997</v>
      </c>
    </row>
    <row r="58" spans="1:6">
      <c r="A58" s="66">
        <v>2001</v>
      </c>
      <c r="B58" s="134">
        <v>10286.166999999999</v>
      </c>
      <c r="C58" s="29">
        <f t="shared" si="0"/>
        <v>103.60300000000001</v>
      </c>
      <c r="D58" s="134">
        <v>22.34</v>
      </c>
      <c r="E58" s="134">
        <v>27.541</v>
      </c>
      <c r="F58" s="134">
        <v>53.722000000000001</v>
      </c>
    </row>
    <row r="59" spans="1:6">
      <c r="A59" s="66">
        <v>2002</v>
      </c>
      <c r="B59" s="134">
        <v>10642.316000000001</v>
      </c>
      <c r="C59" s="29">
        <f t="shared" si="0"/>
        <v>102.90899999999999</v>
      </c>
      <c r="D59" s="134">
        <v>22.100999999999999</v>
      </c>
      <c r="E59" s="134">
        <v>27.277000000000001</v>
      </c>
      <c r="F59" s="134">
        <v>53.530999999999999</v>
      </c>
    </row>
    <row r="60" spans="1:6">
      <c r="A60" s="66">
        <v>2003</v>
      </c>
      <c r="B60" s="134">
        <v>11142.212</v>
      </c>
      <c r="C60" s="29">
        <f t="shared" si="0"/>
        <v>101.29300000000001</v>
      </c>
      <c r="D60" s="134">
        <v>23.126999999999999</v>
      </c>
      <c r="E60" s="134">
        <v>28.289000000000001</v>
      </c>
      <c r="F60" s="134">
        <v>49.877000000000002</v>
      </c>
    </row>
    <row r="61" spans="1:6">
      <c r="A61" s="66">
        <v>2004</v>
      </c>
      <c r="B61" s="134">
        <v>11853.254000000001</v>
      </c>
      <c r="C61" s="29">
        <f t="shared" si="0"/>
        <v>110.387</v>
      </c>
      <c r="D61" s="134">
        <v>24.457999999999998</v>
      </c>
      <c r="E61" s="134">
        <v>31.712</v>
      </c>
      <c r="F61" s="134">
        <v>54.216999999999999</v>
      </c>
    </row>
    <row r="62" spans="1:6">
      <c r="A62" s="66">
        <v>2005</v>
      </c>
      <c r="B62" s="134">
        <v>12622.959000000001</v>
      </c>
      <c r="C62" s="29">
        <f t="shared" si="0"/>
        <v>112.009</v>
      </c>
      <c r="D62" s="134">
        <v>25.084</v>
      </c>
      <c r="E62" s="134">
        <v>33.046999999999997</v>
      </c>
      <c r="F62" s="134">
        <v>53.878</v>
      </c>
    </row>
    <row r="63" spans="1:6">
      <c r="A63" s="66">
        <v>2006</v>
      </c>
      <c r="B63" s="134">
        <v>13377.215</v>
      </c>
      <c r="C63" s="29">
        <f t="shared" si="0"/>
        <v>119.048</v>
      </c>
      <c r="D63" s="134">
        <v>29.417999999999999</v>
      </c>
      <c r="E63" s="134">
        <v>30.148</v>
      </c>
      <c r="F63" s="134">
        <v>59.481999999999999</v>
      </c>
    </row>
    <row r="64" spans="1:6">
      <c r="A64" s="66">
        <v>2007</v>
      </c>
      <c r="B64" s="134">
        <v>14028.674999999999</v>
      </c>
      <c r="C64" s="29">
        <f t="shared" si="0"/>
        <v>116.57</v>
      </c>
      <c r="D64" s="134">
        <v>29.649000000000001</v>
      </c>
      <c r="E64" s="134">
        <v>28.228999999999999</v>
      </c>
      <c r="F64" s="134">
        <v>58.692</v>
      </c>
    </row>
    <row r="65" spans="1:6">
      <c r="A65" s="66">
        <v>2008</v>
      </c>
      <c r="B65" s="134">
        <v>14291.543</v>
      </c>
      <c r="C65" s="29">
        <f t="shared" si="0"/>
        <v>104.946</v>
      </c>
      <c r="D65" s="134">
        <v>28.922999999999998</v>
      </c>
      <c r="E65" s="134">
        <v>24.454000000000001</v>
      </c>
      <c r="F65" s="134">
        <v>51.569000000000003</v>
      </c>
    </row>
    <row r="66" spans="1:6">
      <c r="A66" s="66">
        <v>2009</v>
      </c>
      <c r="B66" s="134">
        <v>13973.681</v>
      </c>
      <c r="C66" s="29">
        <f t="shared" si="0"/>
        <v>109.77500000000001</v>
      </c>
      <c r="D66" s="134">
        <v>29.163</v>
      </c>
      <c r="E66" s="134">
        <v>20.045000000000002</v>
      </c>
      <c r="F66" s="134">
        <v>60.567</v>
      </c>
    </row>
    <row r="67" spans="1:6">
      <c r="A67" s="66">
        <v>2010</v>
      </c>
      <c r="B67" s="134">
        <v>14498.922</v>
      </c>
      <c r="C67" s="29">
        <f t="shared" si="0"/>
        <v>108.962</v>
      </c>
      <c r="D67" s="134">
        <v>32.887</v>
      </c>
      <c r="E67" s="134">
        <v>22.189</v>
      </c>
      <c r="F67" s="134">
        <v>53.886000000000003</v>
      </c>
    </row>
    <row r="68" spans="1:6">
      <c r="A68" s="66">
        <v>2011</v>
      </c>
      <c r="B68" s="134">
        <v>15075.666999999999</v>
      </c>
      <c r="C68" s="29">
        <f t="shared" si="0"/>
        <v>110.98699999999999</v>
      </c>
      <c r="D68" s="134">
        <v>34.856999999999999</v>
      </c>
      <c r="E68" s="134">
        <v>22.937999999999999</v>
      </c>
      <c r="F68" s="134">
        <v>53.192</v>
      </c>
    </row>
    <row r="69" spans="1:6">
      <c r="A69" s="66"/>
      <c r="B69" s="30"/>
      <c r="C69" s="135"/>
      <c r="D69" s="135"/>
      <c r="E69" s="135"/>
      <c r="F69" s="135"/>
    </row>
    <row r="70" spans="1:6" ht="45" customHeight="1">
      <c r="A70" s="131" t="s">
        <v>209</v>
      </c>
      <c r="B70" s="131"/>
      <c r="C70" s="131"/>
      <c r="D70" s="131"/>
      <c r="E70" s="131"/>
      <c r="F70" s="131"/>
    </row>
    <row r="71" spans="1:6">
      <c r="A71" s="104" t="s">
        <v>193</v>
      </c>
      <c r="B71" s="104"/>
      <c r="C71" s="104"/>
      <c r="D71" s="104"/>
      <c r="E71" s="104"/>
      <c r="F71" s="104"/>
    </row>
    <row r="72" spans="1:6">
      <c r="A72" s="131" t="s">
        <v>891</v>
      </c>
      <c r="B72" s="131"/>
      <c r="C72" s="131"/>
      <c r="D72" s="131"/>
      <c r="E72" s="131"/>
      <c r="F72" s="131"/>
    </row>
  </sheetData>
  <mergeCells count="6">
    <mergeCell ref="A72:F72"/>
    <mergeCell ref="C2:F2"/>
    <mergeCell ref="B2:B3"/>
    <mergeCell ref="A70:F70"/>
    <mergeCell ref="A1:F1"/>
    <mergeCell ref="A71:F71"/>
  </mergeCells>
  <pageMargins left="0.7" right="0.7" top="0.75" bottom="0.75" header="0.3" footer="0.3"/>
  <pageSetup scale="90" orientation="portrait" horizontalDpi="0" verticalDpi="0" r:id="rId1"/>
</worksheet>
</file>

<file path=xl/worksheets/sheet201.xml><?xml version="1.0" encoding="utf-8"?>
<worksheet xmlns="http://schemas.openxmlformats.org/spreadsheetml/2006/main" xmlns:r="http://schemas.openxmlformats.org/officeDocument/2006/relationships">
  <sheetPr codeName="Sheet195"/>
  <dimension ref="A1:F38"/>
  <sheetViews>
    <sheetView view="pageBreakPreview" zoomScaleNormal="85" zoomScaleSheetLayoutView="100"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10.7109375" style="64" customWidth="1"/>
    <col min="2" max="3" width="12" style="64" customWidth="1"/>
    <col min="4" max="4" width="15.42578125" style="64" customWidth="1"/>
    <col min="5" max="6" width="14.42578125" style="64" customWidth="1"/>
    <col min="7" max="16384" width="9.140625" style="64"/>
  </cols>
  <sheetData>
    <row r="1" spans="1:6" ht="30" customHeight="1">
      <c r="A1" s="93" t="s">
        <v>2151</v>
      </c>
      <c r="B1" s="93"/>
      <c r="C1" s="93"/>
      <c r="D1" s="93"/>
      <c r="E1" s="93"/>
      <c r="F1" s="93"/>
    </row>
    <row r="2" spans="1:6" ht="15" customHeight="1">
      <c r="B2" s="101" t="s">
        <v>775</v>
      </c>
      <c r="C2" s="107" t="s">
        <v>37</v>
      </c>
      <c r="D2" s="107"/>
      <c r="E2" s="107"/>
      <c r="F2" s="107"/>
    </row>
    <row r="3" spans="1:6" ht="62.25">
      <c r="B3" s="102"/>
      <c r="C3" s="73" t="s">
        <v>893</v>
      </c>
      <c r="D3" s="73" t="s">
        <v>894</v>
      </c>
      <c r="E3" s="73" t="s">
        <v>670</v>
      </c>
      <c r="F3" s="73" t="s">
        <v>671</v>
      </c>
    </row>
    <row r="4" spans="1:6">
      <c r="A4" s="66">
        <v>1987</v>
      </c>
      <c r="B4" s="30">
        <v>7307.0370000000003</v>
      </c>
      <c r="C4" s="31" t="s">
        <v>22</v>
      </c>
      <c r="D4" s="29">
        <v>23.689</v>
      </c>
      <c r="E4" s="29">
        <v>38.168999999999997</v>
      </c>
      <c r="F4" s="29">
        <v>56.905000000000001</v>
      </c>
    </row>
    <row r="5" spans="1:6">
      <c r="A5" s="66">
        <v>1988</v>
      </c>
      <c r="B5" s="30">
        <v>7607.3909999999996</v>
      </c>
      <c r="C5" s="31" t="s">
        <v>22</v>
      </c>
      <c r="D5" s="29">
        <v>21.414000000000001</v>
      </c>
      <c r="E5" s="29">
        <v>38.659999999999997</v>
      </c>
      <c r="F5" s="29">
        <v>58.469000000000001</v>
      </c>
    </row>
    <row r="6" spans="1:6">
      <c r="A6" s="66">
        <v>1989</v>
      </c>
      <c r="B6" s="30">
        <v>7879.1980000000003</v>
      </c>
      <c r="C6" s="31" t="s">
        <v>22</v>
      </c>
      <c r="D6" s="29">
        <v>21.925999999999998</v>
      </c>
      <c r="E6" s="29">
        <v>38.636000000000003</v>
      </c>
      <c r="F6" s="29">
        <v>57.189</v>
      </c>
    </row>
    <row r="7" spans="1:6">
      <c r="A7" s="66">
        <v>1990</v>
      </c>
      <c r="B7" s="30">
        <v>8027.0519999999997</v>
      </c>
      <c r="C7" s="31" t="s">
        <v>22</v>
      </c>
      <c r="D7" s="29">
        <v>22.091000000000001</v>
      </c>
      <c r="E7" s="29">
        <v>38.829000000000001</v>
      </c>
      <c r="F7" s="29">
        <v>57.204000000000001</v>
      </c>
    </row>
    <row r="8" spans="1:6">
      <c r="A8" s="66">
        <v>1991</v>
      </c>
      <c r="B8" s="30">
        <v>8008.3029999999999</v>
      </c>
      <c r="C8" s="31" t="s">
        <v>22</v>
      </c>
      <c r="D8" s="29">
        <v>21.89</v>
      </c>
      <c r="E8" s="29">
        <v>35.841000000000001</v>
      </c>
      <c r="F8" s="29">
        <v>58.908000000000001</v>
      </c>
    </row>
    <row r="9" spans="1:6">
      <c r="A9" s="66">
        <v>1992</v>
      </c>
      <c r="B9" s="30">
        <v>8280</v>
      </c>
      <c r="C9" s="31" t="s">
        <v>22</v>
      </c>
      <c r="D9" s="29">
        <v>20.838999999999999</v>
      </c>
      <c r="E9" s="29">
        <v>32.418999999999997</v>
      </c>
      <c r="F9" s="29">
        <v>62.317</v>
      </c>
    </row>
    <row r="10" spans="1:6">
      <c r="A10" s="66">
        <v>1993</v>
      </c>
      <c r="B10" s="30">
        <v>8516.1759999999995</v>
      </c>
      <c r="C10" s="31" t="s">
        <v>22</v>
      </c>
      <c r="D10" s="29">
        <v>17.658999999999999</v>
      </c>
      <c r="E10" s="29">
        <v>28.663</v>
      </c>
      <c r="F10" s="29">
        <v>67.676000000000002</v>
      </c>
    </row>
    <row r="11" spans="1:6">
      <c r="A11" s="66">
        <v>1994</v>
      </c>
      <c r="B11" s="30">
        <v>8863.1029999999992</v>
      </c>
      <c r="C11" s="31" t="s">
        <v>22</v>
      </c>
      <c r="D11" s="29">
        <v>19.510999999999999</v>
      </c>
      <c r="E11" s="29">
        <v>29.754999999999999</v>
      </c>
      <c r="F11" s="29">
        <v>69.988</v>
      </c>
    </row>
    <row r="12" spans="1:6">
      <c r="A12" s="66">
        <v>1995</v>
      </c>
      <c r="B12" s="30">
        <v>9085.9629999999997</v>
      </c>
      <c r="C12" s="31" t="s">
        <v>22</v>
      </c>
      <c r="D12" s="29">
        <v>20.010000000000002</v>
      </c>
      <c r="E12" s="29">
        <v>32.765000000000001</v>
      </c>
      <c r="F12" s="29">
        <v>57.807000000000002</v>
      </c>
    </row>
    <row r="13" spans="1:6">
      <c r="A13" s="66">
        <v>1996</v>
      </c>
      <c r="B13" s="30">
        <v>9425.8439999999991</v>
      </c>
      <c r="C13" s="31" t="s">
        <v>22</v>
      </c>
      <c r="D13" s="29">
        <v>19.244</v>
      </c>
      <c r="E13" s="29">
        <v>32.241</v>
      </c>
      <c r="F13" s="29">
        <v>60.091000000000001</v>
      </c>
    </row>
    <row r="14" spans="1:6">
      <c r="A14" s="66">
        <v>1997</v>
      </c>
      <c r="B14" s="30">
        <v>9845.9240000000009</v>
      </c>
      <c r="C14" s="31" t="s">
        <v>22</v>
      </c>
      <c r="D14" s="29">
        <v>18.408999999999999</v>
      </c>
      <c r="E14" s="29">
        <v>31.562999999999999</v>
      </c>
      <c r="F14" s="29">
        <v>62.460999999999999</v>
      </c>
    </row>
    <row r="15" spans="1:6">
      <c r="A15" s="66">
        <v>1998</v>
      </c>
      <c r="B15" s="30">
        <v>10274.741</v>
      </c>
      <c r="C15" s="31" t="s">
        <v>22</v>
      </c>
      <c r="D15" s="29">
        <v>19.402000000000001</v>
      </c>
      <c r="E15" s="29">
        <v>31.956</v>
      </c>
      <c r="F15" s="29">
        <v>58.731000000000002</v>
      </c>
    </row>
    <row r="16" spans="1:6">
      <c r="A16" s="66">
        <v>1999</v>
      </c>
      <c r="B16" s="30">
        <v>10770.65</v>
      </c>
      <c r="C16" s="31" t="s">
        <v>22</v>
      </c>
      <c r="D16" s="29">
        <v>20.100999999999999</v>
      </c>
      <c r="E16" s="29">
        <v>32.645000000000003</v>
      </c>
      <c r="F16" s="29">
        <v>62.100999999999999</v>
      </c>
    </row>
    <row r="17" spans="1:6">
      <c r="A17" s="66">
        <v>2000</v>
      </c>
      <c r="B17" s="30">
        <v>11216.397999999999</v>
      </c>
      <c r="C17" s="31" t="s">
        <v>22</v>
      </c>
      <c r="D17" s="29">
        <v>20.539000000000001</v>
      </c>
      <c r="E17" s="29">
        <v>32.799999999999997</v>
      </c>
      <c r="F17" s="29">
        <v>58.203000000000003</v>
      </c>
    </row>
    <row r="18" spans="1:6">
      <c r="A18" s="66">
        <v>2001</v>
      </c>
      <c r="B18" s="30">
        <v>11337.473</v>
      </c>
      <c r="C18" s="31" t="s">
        <v>22</v>
      </c>
      <c r="D18" s="29">
        <v>22.545999999999999</v>
      </c>
      <c r="E18" s="29">
        <v>31.86</v>
      </c>
      <c r="F18" s="29">
        <v>50.302</v>
      </c>
    </row>
    <row r="19" spans="1:6">
      <c r="A19" s="66">
        <v>2002</v>
      </c>
      <c r="B19" s="30">
        <v>11543.115</v>
      </c>
      <c r="C19" s="31" t="s">
        <v>22</v>
      </c>
      <c r="D19" s="29">
        <v>23.204999999999998</v>
      </c>
      <c r="E19" s="29">
        <v>32.052</v>
      </c>
      <c r="F19" s="29">
        <v>50.991999999999997</v>
      </c>
    </row>
    <row r="20" spans="1:6">
      <c r="A20" s="66">
        <v>2003</v>
      </c>
      <c r="B20" s="30">
        <v>11836.427</v>
      </c>
      <c r="C20" s="31" t="s">
        <v>22</v>
      </c>
      <c r="D20" s="29">
        <v>23.748000000000001</v>
      </c>
      <c r="E20" s="29">
        <v>31.998000000000001</v>
      </c>
      <c r="F20" s="29">
        <v>49.792000000000002</v>
      </c>
    </row>
    <row r="21" spans="1:6">
      <c r="A21" s="66">
        <v>2004</v>
      </c>
      <c r="B21" s="30">
        <v>12246.929</v>
      </c>
      <c r="C21" s="31" t="s">
        <v>22</v>
      </c>
      <c r="D21" s="29">
        <v>24.795999999999999</v>
      </c>
      <c r="E21" s="29">
        <v>30.867999999999999</v>
      </c>
      <c r="F21" s="29">
        <v>55.341999999999999</v>
      </c>
    </row>
    <row r="22" spans="1:6">
      <c r="A22" s="66">
        <v>2005</v>
      </c>
      <c r="B22" s="30">
        <v>12622.956</v>
      </c>
      <c r="C22" s="31" t="s">
        <v>22</v>
      </c>
      <c r="D22" s="29">
        <v>25.084</v>
      </c>
      <c r="E22" s="29">
        <v>33.046999999999997</v>
      </c>
      <c r="F22" s="29">
        <v>53.878</v>
      </c>
    </row>
    <row r="23" spans="1:6">
      <c r="A23" s="66">
        <v>2006</v>
      </c>
      <c r="B23" s="30">
        <v>12958.492</v>
      </c>
      <c r="C23" s="31" t="s">
        <v>22</v>
      </c>
      <c r="D23" s="29">
        <v>28.782</v>
      </c>
      <c r="E23" s="29">
        <v>32.765999999999998</v>
      </c>
      <c r="F23" s="29">
        <v>55.02</v>
      </c>
    </row>
    <row r="24" spans="1:6">
      <c r="A24" s="66">
        <v>2007</v>
      </c>
      <c r="B24" s="30">
        <v>13206.365</v>
      </c>
      <c r="C24" s="31" t="s">
        <v>22</v>
      </c>
      <c r="D24" s="29">
        <v>27.888999999999999</v>
      </c>
      <c r="E24" s="29">
        <v>35.444000000000003</v>
      </c>
      <c r="F24" s="29">
        <v>53.048000000000002</v>
      </c>
    </row>
    <row r="25" spans="1:6">
      <c r="A25" s="66">
        <v>2008</v>
      </c>
      <c r="B25" s="30">
        <v>13161.939</v>
      </c>
      <c r="C25" s="31"/>
      <c r="D25" s="29">
        <v>26.216000000000001</v>
      </c>
      <c r="E25" s="29">
        <v>32.722000000000001</v>
      </c>
      <c r="F25" s="29">
        <v>44.597000000000001</v>
      </c>
    </row>
    <row r="26" spans="1:6">
      <c r="A26" s="66">
        <v>2009</v>
      </c>
      <c r="B26" s="30">
        <v>12757.933000000001</v>
      </c>
      <c r="C26" s="31"/>
      <c r="D26" s="29">
        <v>27.172999999999998</v>
      </c>
      <c r="E26" s="29">
        <v>27.268000000000001</v>
      </c>
      <c r="F26" s="29">
        <v>46.936</v>
      </c>
    </row>
    <row r="27" spans="1:6">
      <c r="A27" s="66">
        <v>2010</v>
      </c>
      <c r="B27" s="30">
        <v>13062.966</v>
      </c>
      <c r="C27" s="31"/>
      <c r="D27" s="29">
        <v>28.763999999999999</v>
      </c>
      <c r="E27" s="29">
        <v>29.349</v>
      </c>
      <c r="F27" s="29">
        <v>40.645000000000003</v>
      </c>
    </row>
    <row r="28" spans="1:6">
      <c r="A28" s="66">
        <v>2011</v>
      </c>
      <c r="B28" s="30">
        <v>13299.102999999999</v>
      </c>
      <c r="C28" s="31"/>
      <c r="D28" s="29">
        <v>29.861999999999998</v>
      </c>
      <c r="E28" s="29">
        <v>32.948999999999998</v>
      </c>
      <c r="F28" s="29">
        <v>40.396999999999998</v>
      </c>
    </row>
    <row r="30" spans="1:6">
      <c r="A30" s="132" t="s">
        <v>23</v>
      </c>
    </row>
    <row r="31" spans="1:6">
      <c r="A31" s="130" t="s">
        <v>2145</v>
      </c>
      <c r="B31" s="65">
        <f>((B28/B4)^(1/24)-1)*100</f>
        <v>2.5266365083519648</v>
      </c>
      <c r="C31" s="31" t="s">
        <v>22</v>
      </c>
      <c r="D31" s="65">
        <f>((D28/D4)^(1/24)-1)*100</f>
        <v>0.9695700161871379</v>
      </c>
      <c r="E31" s="65">
        <f>((E28/E4)^(1/24)-1)*100</f>
        <v>-0.61088793038341915</v>
      </c>
      <c r="F31" s="65">
        <f>((F28/F4)^(1/24)-1)*100</f>
        <v>-1.4174732508603127</v>
      </c>
    </row>
    <row r="32" spans="1:6">
      <c r="A32" s="130" t="s">
        <v>873</v>
      </c>
      <c r="B32" s="65">
        <f>((B17/B4)^(1/13)-1)*100</f>
        <v>3.3513885279799371</v>
      </c>
      <c r="C32" s="31" t="s">
        <v>22</v>
      </c>
      <c r="D32" s="65">
        <f>((D17/D4)^(1/13)-1)*100</f>
        <v>-1.0915777120875991</v>
      </c>
      <c r="E32" s="65">
        <f>((E17/E4)^(1/13)-1)*100</f>
        <v>-1.1593437698559139</v>
      </c>
      <c r="F32" s="65">
        <f>((F17/F4)^(1/13)-1)*100</f>
        <v>0.1736404967214833</v>
      </c>
    </row>
    <row r="33" spans="1:6">
      <c r="A33" s="130" t="s">
        <v>1782</v>
      </c>
      <c r="B33" s="65">
        <f>((B28/B17)^(1/11)-1)*100</f>
        <v>1.5604108140588435</v>
      </c>
      <c r="C33" s="31" t="s">
        <v>22</v>
      </c>
      <c r="D33" s="65">
        <f>((D28/D17)^(1/11)-1)*100</f>
        <v>3.4609178524796391</v>
      </c>
      <c r="E33" s="65">
        <f>((E28/E17)^(1/11)-1)*100</f>
        <v>4.1212090615228014E-2</v>
      </c>
      <c r="F33" s="65">
        <f>((F28/F17)^(1/11)-1)*100</f>
        <v>-3.2653290882385333</v>
      </c>
    </row>
    <row r="34" spans="1:6">
      <c r="A34" s="130"/>
    </row>
    <row r="35" spans="1:6" ht="45" customHeight="1">
      <c r="A35" s="131" t="s">
        <v>892</v>
      </c>
      <c r="B35" s="131"/>
      <c r="C35" s="131"/>
      <c r="D35" s="131"/>
      <c r="E35" s="131"/>
      <c r="F35" s="131"/>
    </row>
    <row r="36" spans="1:6">
      <c r="A36" s="104" t="s">
        <v>193</v>
      </c>
      <c r="B36" s="104"/>
      <c r="C36" s="104"/>
      <c r="D36" s="104"/>
      <c r="E36" s="104"/>
      <c r="F36" s="104"/>
    </row>
    <row r="37" spans="1:6" ht="43.5" customHeight="1">
      <c r="A37" s="104" t="s">
        <v>896</v>
      </c>
      <c r="B37" s="104"/>
      <c r="C37" s="104"/>
      <c r="D37" s="104"/>
      <c r="E37" s="104"/>
      <c r="F37" s="104"/>
    </row>
    <row r="38" spans="1:6">
      <c r="A38" s="131" t="s">
        <v>895</v>
      </c>
      <c r="B38" s="131"/>
      <c r="C38" s="131"/>
      <c r="D38" s="131"/>
      <c r="E38" s="131"/>
      <c r="F38" s="131"/>
    </row>
  </sheetData>
  <mergeCells count="7">
    <mergeCell ref="A38:F38"/>
    <mergeCell ref="A37:F37"/>
    <mergeCell ref="A1:F1"/>
    <mergeCell ref="B2:B3"/>
    <mergeCell ref="C2:F2"/>
    <mergeCell ref="A35:F35"/>
    <mergeCell ref="A36:F36"/>
  </mergeCells>
  <pageMargins left="0.7" right="0.7" top="0.75" bottom="0.75" header="0.3" footer="0.3"/>
  <pageSetup orientation="portrait" horizontalDpi="0" verticalDpi="0" r:id="rId1"/>
</worksheet>
</file>

<file path=xl/worksheets/sheet202.xml><?xml version="1.0" encoding="utf-8"?>
<worksheet xmlns="http://schemas.openxmlformats.org/spreadsheetml/2006/main" xmlns:r="http://schemas.openxmlformats.org/officeDocument/2006/relationships">
  <sheetPr codeName="Sheet196"/>
  <dimension ref="A1:F42"/>
  <sheetViews>
    <sheetView view="pageBreakPreview" zoomScaleNormal="85" zoomScaleSheetLayoutView="100"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9.140625" style="64"/>
    <col min="2" max="2" width="11" style="64" customWidth="1"/>
    <col min="3" max="3" width="12" style="64" customWidth="1"/>
    <col min="4" max="4" width="15.42578125" style="64" customWidth="1"/>
    <col min="5" max="6" width="14.7109375" style="64" customWidth="1"/>
    <col min="7" max="16384" width="9.140625" style="64"/>
  </cols>
  <sheetData>
    <row r="1" spans="1:6" ht="30" customHeight="1">
      <c r="A1" s="93" t="s">
        <v>2146</v>
      </c>
      <c r="B1" s="93"/>
      <c r="C1" s="93"/>
      <c r="D1" s="93"/>
      <c r="E1" s="93"/>
      <c r="F1" s="93"/>
    </row>
    <row r="2" spans="1:6" ht="15" customHeight="1">
      <c r="B2" s="97" t="s">
        <v>775</v>
      </c>
      <c r="C2" s="107" t="s">
        <v>37</v>
      </c>
      <c r="D2" s="107"/>
      <c r="E2" s="107"/>
      <c r="F2" s="107"/>
    </row>
    <row r="3" spans="1:6" ht="60">
      <c r="B3" s="97"/>
      <c r="C3" s="73" t="s">
        <v>78</v>
      </c>
      <c r="D3" s="73" t="s">
        <v>210</v>
      </c>
      <c r="E3" s="73" t="s">
        <v>670</v>
      </c>
      <c r="F3" s="73" t="s">
        <v>671</v>
      </c>
    </row>
    <row r="4" spans="1:6">
      <c r="A4" s="66">
        <v>1977</v>
      </c>
      <c r="B4" s="29">
        <f>'901'!B34/'901'!$B34*100</f>
        <v>100</v>
      </c>
      <c r="C4" s="50">
        <f>'901'!C34/'901'!$B34*100</f>
        <v>1.8034805652839965</v>
      </c>
      <c r="D4" s="50">
        <f>'901'!D34/'901'!$B34*100</f>
        <v>0.37815312319900696</v>
      </c>
      <c r="E4" s="50">
        <f>'901'!E34/'901'!$B34*100</f>
        <v>0.51853822169023656</v>
      </c>
      <c r="F4" s="50">
        <f>'901'!F34/'901'!$B34*100</f>
        <v>0.90678922039475296</v>
      </c>
    </row>
    <row r="5" spans="1:6">
      <c r="A5" s="66">
        <v>1978</v>
      </c>
      <c r="B5" s="29">
        <f>'901'!B35/'901'!$B35*100</f>
        <v>100</v>
      </c>
      <c r="C5" s="50">
        <f>'901'!C35/'901'!$B35*100</f>
        <v>1.8174945787749555</v>
      </c>
      <c r="D5" s="50">
        <f>'901'!D35/'901'!$B35*100</f>
        <v>0.38203614847573547</v>
      </c>
      <c r="E5" s="50">
        <f>'901'!E35/'901'!$B35*100</f>
        <v>0.55881996475658757</v>
      </c>
      <c r="F5" s="50">
        <f>'901'!F35/'901'!$B35*100</f>
        <v>0.87663846554263247</v>
      </c>
    </row>
    <row r="6" spans="1:6">
      <c r="A6" s="66">
        <v>1979</v>
      </c>
      <c r="B6" s="29">
        <f>'901'!B36/'901'!$B36*100</f>
        <v>100</v>
      </c>
      <c r="C6" s="50">
        <f>'901'!C36/'901'!$B36*100</f>
        <v>1.8300869399600659</v>
      </c>
      <c r="D6" s="50">
        <f>'901'!D36/'901'!$B36*100</f>
        <v>0.39453943989371748</v>
      </c>
      <c r="E6" s="50">
        <f>'901'!E36/'901'!$B36*100</f>
        <v>0.54979494408772356</v>
      </c>
      <c r="F6" s="50">
        <f>'901'!F36/'901'!$B36*100</f>
        <v>0.88575255597862479</v>
      </c>
    </row>
    <row r="7" spans="1:6">
      <c r="A7" s="66">
        <v>1980</v>
      </c>
      <c r="B7" s="29">
        <f>'901'!B37/'901'!$B37*100</f>
        <v>100</v>
      </c>
      <c r="C7" s="50">
        <f>'901'!C37/'901'!$B37*100</f>
        <v>1.6598861679619732</v>
      </c>
      <c r="D7" s="50">
        <f>'901'!D37/'901'!$B37*100</f>
        <v>0.38624274292961303</v>
      </c>
      <c r="E7" s="50">
        <f>'901'!E37/'901'!$B37*100</f>
        <v>0.42591072265662128</v>
      </c>
      <c r="F7" s="50">
        <f>'901'!F37/'901'!$B37*100</f>
        <v>0.84773270237573894</v>
      </c>
    </row>
    <row r="8" spans="1:6">
      <c r="A8" s="66">
        <v>1981</v>
      </c>
      <c r="B8" s="29">
        <f>'901'!B38/'901'!$B38*100</f>
        <v>100</v>
      </c>
      <c r="C8" s="50">
        <f>'901'!C38/'901'!$B38*100</f>
        <v>1.5205781433442165</v>
      </c>
      <c r="D8" s="50">
        <f>'901'!D38/'901'!$B38*100</f>
        <v>0.34098355622630794</v>
      </c>
      <c r="E8" s="50">
        <f>'901'!E38/'901'!$B38*100</f>
        <v>0.35521519030253257</v>
      </c>
      <c r="F8" s="50">
        <f>'901'!F38/'901'!$B38*100</f>
        <v>0.82437939681537609</v>
      </c>
    </row>
    <row r="9" spans="1:6">
      <c r="A9" s="66">
        <v>1982</v>
      </c>
      <c r="B9" s="29">
        <f>'901'!B39/'901'!$B39*100</f>
        <v>100</v>
      </c>
      <c r="C9" s="50">
        <f>'901'!C39/'901'!$B39*100</f>
        <v>1.4873382896931444</v>
      </c>
      <c r="D9" s="50">
        <f>'901'!D39/'901'!$B39*100</f>
        <v>0.34526068841882779</v>
      </c>
      <c r="E9" s="50">
        <f>'901'!E39/'901'!$B39*100</f>
        <v>0.30874273098991328</v>
      </c>
      <c r="F9" s="50">
        <f>'901'!F39/'901'!$B39*100</f>
        <v>0.83333487028440356</v>
      </c>
    </row>
    <row r="10" spans="1:6">
      <c r="A10" s="66">
        <v>1983</v>
      </c>
      <c r="B10" s="29">
        <f>'901'!B40/'901'!$B40*100</f>
        <v>100</v>
      </c>
      <c r="C10" s="50">
        <f>'901'!C40/'901'!$B40*100</f>
        <v>1.5440193334136816</v>
      </c>
      <c r="D10" s="50">
        <f>'901'!D40/'901'!$B40*100</f>
        <v>0.34781811607856716</v>
      </c>
      <c r="E10" s="50">
        <f>'901'!E40/'901'!$B40*100</f>
        <v>0.38521973877710836</v>
      </c>
      <c r="F10" s="50">
        <f>'901'!F40/'901'!$B40*100</f>
        <v>0.81098147855800606</v>
      </c>
    </row>
    <row r="11" spans="1:6">
      <c r="A11" s="66">
        <v>1984</v>
      </c>
      <c r="B11" s="29">
        <f>'901'!B41/'901'!$B41*100</f>
        <v>100</v>
      </c>
      <c r="C11" s="50">
        <f>'901'!C41/'901'!$B41*100</f>
        <v>1.5296770837175757</v>
      </c>
      <c r="D11" s="50">
        <f>'901'!D41/'901'!$B41*100</f>
        <v>0.32733003552626055</v>
      </c>
      <c r="E11" s="50">
        <f>'901'!E41/'901'!$B41*100</f>
        <v>0.38197407969431901</v>
      </c>
      <c r="F11" s="50">
        <f>'901'!F41/'901'!$B41*100</f>
        <v>0.82037296849699626</v>
      </c>
    </row>
    <row r="12" spans="1:6">
      <c r="A12" s="66">
        <v>1985</v>
      </c>
      <c r="B12" s="29">
        <f>'901'!B42/'901'!$B42*100</f>
        <v>100</v>
      </c>
      <c r="C12" s="50">
        <f>'901'!C42/'901'!$B42*100</f>
        <v>1.4665427377076778</v>
      </c>
      <c r="D12" s="50">
        <f>'901'!D42/'901'!$B42*100</f>
        <v>0.31314982679189185</v>
      </c>
      <c r="E12" s="50">
        <f>'901'!E42/'901'!$B42*100</f>
        <v>0.3600499825724901</v>
      </c>
      <c r="F12" s="50">
        <f>'901'!F42/'901'!$B42*100</f>
        <v>0.79334292834329578</v>
      </c>
    </row>
    <row r="13" spans="1:6">
      <c r="A13" s="66">
        <v>1986</v>
      </c>
      <c r="B13" s="29">
        <f>'901'!B43/'901'!$B43*100</f>
        <v>100</v>
      </c>
      <c r="C13" s="50">
        <f>'901'!C43/'901'!$B43*100</f>
        <v>1.5149323989975934</v>
      </c>
      <c r="D13" s="50">
        <f>'901'!D43/'901'!$B43*100</f>
        <v>0.31833602499693392</v>
      </c>
      <c r="E13" s="50">
        <f>'901'!E43/'901'!$B43*100</f>
        <v>0.39528554167459812</v>
      </c>
      <c r="F13" s="50">
        <f>'901'!F43/'901'!$B43*100</f>
        <v>0.80131083232606137</v>
      </c>
    </row>
    <row r="14" spans="1:6">
      <c r="A14" s="66">
        <v>1987</v>
      </c>
      <c r="B14" s="29">
        <f>'901'!B44/'901'!$B44*100</f>
        <v>100</v>
      </c>
      <c r="C14" s="50">
        <f>'901'!C44/'901'!$B44*100</f>
        <v>1.5996692814768492</v>
      </c>
      <c r="D14" s="50">
        <f>'901'!D44/'901'!$B44*100</f>
        <v>0.36502761406769846</v>
      </c>
      <c r="E14" s="50">
        <f>'901'!E44/'901'!$B44*100</f>
        <v>0.41595286163154188</v>
      </c>
      <c r="F14" s="50">
        <f>'901'!F44/'901'!$B44*100</f>
        <v>0.81868880577760872</v>
      </c>
    </row>
    <row r="15" spans="1:6">
      <c r="A15" s="66">
        <v>1988</v>
      </c>
      <c r="B15" s="29">
        <f>'901'!B45/'901'!$B45*100</f>
        <v>100</v>
      </c>
      <c r="C15" s="50">
        <f>'901'!C45/'901'!$B45*100</f>
        <v>1.6046123242351322</v>
      </c>
      <c r="D15" s="50">
        <f>'901'!D45/'901'!$B45*100</f>
        <v>0.33991305033191377</v>
      </c>
      <c r="E15" s="50">
        <f>'901'!E45/'901'!$B45*100</f>
        <v>0.38632097500951884</v>
      </c>
      <c r="F15" s="50">
        <f>'901'!F45/'901'!$B45*100</f>
        <v>0.87837829889369956</v>
      </c>
    </row>
    <row r="16" spans="1:6">
      <c r="A16" s="66">
        <v>1989</v>
      </c>
      <c r="B16" s="29">
        <f>'901'!B46/'901'!$B46*100</f>
        <v>100</v>
      </c>
      <c r="C16" s="50">
        <f>'901'!C46/'901'!$B46*100</f>
        <v>1.5623261401648187</v>
      </c>
      <c r="D16" s="50">
        <f>'901'!D46/'901'!$B46*100</f>
        <v>0.32490925998687381</v>
      </c>
      <c r="E16" s="50">
        <f>'901'!E46/'901'!$B46*100</f>
        <v>0.37478024116833081</v>
      </c>
      <c r="F16" s="50">
        <f>'901'!F46/'901'!$B46*100</f>
        <v>0.86263663900961407</v>
      </c>
    </row>
    <row r="17" spans="1:6">
      <c r="A17" s="66">
        <v>1990</v>
      </c>
      <c r="B17" s="29">
        <f>'901'!B47/'901'!$B47*100</f>
        <v>100</v>
      </c>
      <c r="C17" s="50">
        <f>'901'!C47/'901'!$B47*100</f>
        <v>1.4570227843090808</v>
      </c>
      <c r="D17" s="50">
        <f>'901'!D47/'901'!$B47*100</f>
        <v>0.3176607918556365</v>
      </c>
      <c r="E17" s="50">
        <f>'901'!E47/'901'!$B47*100</f>
        <v>0.33874508298987321</v>
      </c>
      <c r="F17" s="50">
        <f>'901'!F47/'901'!$B47*100</f>
        <v>0.80061690946357111</v>
      </c>
    </row>
    <row r="18" spans="1:6">
      <c r="A18" s="66">
        <v>1991</v>
      </c>
      <c r="B18" s="29">
        <f>'901'!B48/'901'!$B48*100</f>
        <v>100</v>
      </c>
      <c r="C18" s="50">
        <f>'901'!C48/'901'!$B48*100</f>
        <v>1.3711066615443617</v>
      </c>
      <c r="D18" s="50">
        <f>'901'!D48/'901'!$B48*100</f>
        <v>0.29502207408628772</v>
      </c>
      <c r="E18" s="50">
        <f>'901'!E48/'901'!$B48*100</f>
        <v>0.31242834308006517</v>
      </c>
      <c r="F18" s="50">
        <f>'901'!F48/'901'!$B48*100</f>
        <v>0.76365624437800872</v>
      </c>
    </row>
    <row r="19" spans="1:6">
      <c r="A19" s="66">
        <v>1992</v>
      </c>
      <c r="B19" s="29">
        <f>'901'!B49/'901'!$B49*100</f>
        <v>100</v>
      </c>
      <c r="C19" s="50">
        <f>'901'!C49/'901'!$B49*100</f>
        <v>1.3435491759621818</v>
      </c>
      <c r="D19" s="50">
        <f>'901'!D49/'901'!$B49*100</f>
        <v>0.2979673323866745</v>
      </c>
      <c r="E19" s="50">
        <f>'901'!E49/'901'!$B49*100</f>
        <v>0.31209468606528923</v>
      </c>
      <c r="F19" s="50">
        <f>'901'!F49/'901'!$B49*100</f>
        <v>0.73348715751021798</v>
      </c>
    </row>
    <row r="20" spans="1:6">
      <c r="A20" s="66">
        <v>1993</v>
      </c>
      <c r="B20" s="29">
        <f>'901'!B50/'901'!$B50*100</f>
        <v>100</v>
      </c>
      <c r="C20" s="50">
        <f>'901'!C50/'901'!$B50*100</f>
        <v>1.3361530443129579</v>
      </c>
      <c r="D20" s="50">
        <f>'901'!D50/'901'!$B50*100</f>
        <v>0.28857042153179296</v>
      </c>
      <c r="E20" s="50">
        <f>'901'!E50/'901'!$B50*100</f>
        <v>0.32980119537747382</v>
      </c>
      <c r="F20" s="50">
        <f>'901'!F50/'901'!$B50*100</f>
        <v>0.71778142740369111</v>
      </c>
    </row>
    <row r="21" spans="1:6">
      <c r="A21" s="66">
        <v>1994</v>
      </c>
      <c r="B21" s="29">
        <f>'901'!B51/'901'!$B51*100</f>
        <v>100</v>
      </c>
      <c r="C21" s="50">
        <f>'901'!C51/'901'!$B51*100</f>
        <v>1.3709358715964073</v>
      </c>
      <c r="D21" s="50">
        <f>'901'!D51/'901'!$B51*100</f>
        <v>0.30586465231554405</v>
      </c>
      <c r="E21" s="50">
        <f>'901'!E51/'901'!$B51*100</f>
        <v>0.34481931247847614</v>
      </c>
      <c r="F21" s="50">
        <f>'901'!F51/'901'!$B51*100</f>
        <v>0.72025190680238693</v>
      </c>
    </row>
    <row r="22" spans="1:6">
      <c r="A22" s="66">
        <v>1995</v>
      </c>
      <c r="B22" s="29">
        <f>'901'!B52/'901'!$B52*100</f>
        <v>100</v>
      </c>
      <c r="C22" s="50">
        <f>'901'!C52/'901'!$B52*100</f>
        <v>1.4665820594484842</v>
      </c>
      <c r="D22" s="50">
        <f>'901'!D52/'901'!$B52*100</f>
        <v>0.29881363327086696</v>
      </c>
      <c r="E22" s="50">
        <f>'901'!E52/'901'!$B52*100</f>
        <v>0.34233555033915941</v>
      </c>
      <c r="F22" s="50">
        <f>'901'!F52/'901'!$B52*100</f>
        <v>0.82543287583845792</v>
      </c>
    </row>
    <row r="23" spans="1:6">
      <c r="A23" s="66">
        <v>1996</v>
      </c>
      <c r="B23" s="29">
        <f>'901'!B53/'901'!$B53*100</f>
        <v>100</v>
      </c>
      <c r="C23" s="50">
        <f>'901'!C53/'901'!$B53*100</f>
        <v>1.3061883615854957</v>
      </c>
      <c r="D23" s="50">
        <f>'901'!D53/'901'!$B53*100</f>
        <v>0.26687653793042915</v>
      </c>
      <c r="E23" s="50">
        <f>'901'!E53/'901'!$B53*100</f>
        <v>0.31959100108490751</v>
      </c>
      <c r="F23" s="50">
        <f>'901'!F53/'901'!$B53*100</f>
        <v>0.71972082257015924</v>
      </c>
    </row>
    <row r="24" spans="1:6">
      <c r="A24" s="66">
        <v>1997</v>
      </c>
      <c r="B24" s="29">
        <f>'901'!B54/'901'!$B54*100</f>
        <v>100</v>
      </c>
      <c r="C24" s="50">
        <f>'901'!C54/'901'!$B54*100</f>
        <v>1.2061405877469078</v>
      </c>
      <c r="D24" s="50">
        <f>'901'!D54/'901'!$B54*100</f>
        <v>0.24505656379307572</v>
      </c>
      <c r="E24" s="50">
        <f>'901'!E54/'901'!$B54*100</f>
        <v>0.31825309558082093</v>
      </c>
      <c r="F24" s="50">
        <f>'901'!F54/'901'!$B54*100</f>
        <v>0.64283092837301126</v>
      </c>
    </row>
    <row r="25" spans="1:6">
      <c r="A25" s="66">
        <v>1998</v>
      </c>
      <c r="B25" s="29">
        <f>'901'!B55/'901'!$B55*100</f>
        <v>100</v>
      </c>
      <c r="C25" s="50">
        <f>'901'!C55/'901'!$B55*100</f>
        <v>1.1740951692131512</v>
      </c>
      <c r="D25" s="50">
        <f>'901'!D55/'901'!$B55*100</f>
        <v>0.23993872743431366</v>
      </c>
      <c r="E25" s="50">
        <f>'901'!E55/'901'!$B55*100</f>
        <v>0.30919446704637915</v>
      </c>
      <c r="F25" s="50">
        <f>'901'!F55/'901'!$B55*100</f>
        <v>0.62496197473245851</v>
      </c>
    </row>
    <row r="26" spans="1:6">
      <c r="A26" s="66">
        <v>1999</v>
      </c>
      <c r="B26" s="29">
        <f>'901'!B56/'901'!$B56*100</f>
        <v>100</v>
      </c>
      <c r="C26" s="50">
        <f>'901'!C56/'901'!$B56*100</f>
        <v>1.1849809119254386</v>
      </c>
      <c r="D26" s="50">
        <f>'901'!D56/'901'!$B56*100</f>
        <v>0.23135764170869377</v>
      </c>
      <c r="E26" s="50">
        <f>'901'!E56/'901'!$B56*100</f>
        <v>0.32032983645452323</v>
      </c>
      <c r="F26" s="50">
        <f>'901'!F56/'901'!$B56*100</f>
        <v>0.63329343376222158</v>
      </c>
    </row>
    <row r="27" spans="1:6">
      <c r="A27" s="66">
        <v>2000</v>
      </c>
      <c r="B27" s="29">
        <f>'901'!B57/'901'!$B57*100</f>
        <v>100</v>
      </c>
      <c r="C27" s="50">
        <f>'901'!C57/'901'!$B57*100</f>
        <v>1.1258423619718148</v>
      </c>
      <c r="D27" s="50">
        <f>'901'!D57/'901'!$B57*100</f>
        <v>0.2208012836681009</v>
      </c>
      <c r="E27" s="50">
        <f>'901'!E57/'901'!$B57*100</f>
        <v>0.28461087504353622</v>
      </c>
      <c r="F27" s="50">
        <f>'901'!F57/'901'!$B57*100</f>
        <v>0.62043020326017773</v>
      </c>
    </row>
    <row r="28" spans="1:6">
      <c r="A28" s="66">
        <v>2001</v>
      </c>
      <c r="B28" s="29">
        <f>'901'!B58/'901'!$B58*100</f>
        <v>100</v>
      </c>
      <c r="C28" s="50">
        <f>'901'!C58/'901'!$B58*100</f>
        <v>1.0072070577893593</v>
      </c>
      <c r="D28" s="50">
        <f>'901'!D58/'901'!$B58*100</f>
        <v>0.21718488529303484</v>
      </c>
      <c r="E28" s="50">
        <f>'901'!E58/'901'!$B58*100</f>
        <v>0.2677479375942467</v>
      </c>
      <c r="F28" s="50">
        <f>'901'!F58/'901'!$B58*100</f>
        <v>0.52227423490207769</v>
      </c>
    </row>
    <row r="29" spans="1:6">
      <c r="A29" s="66">
        <v>2002</v>
      </c>
      <c r="B29" s="29">
        <f>'901'!B59/'901'!$B59*100</f>
        <v>100</v>
      </c>
      <c r="C29" s="50">
        <f>'901'!C59/'901'!$B59*100</f>
        <v>0.96697936802477946</v>
      </c>
      <c r="D29" s="50">
        <f>'901'!D59/'901'!$B59*100</f>
        <v>0.20767096184702649</v>
      </c>
      <c r="E29" s="50">
        <f>'901'!E59/'901'!$B59*100</f>
        <v>0.25630699182396011</v>
      </c>
      <c r="F29" s="50">
        <f>'901'!F59/'901'!$B59*100</f>
        <v>0.50300141435379286</v>
      </c>
    </row>
    <row r="30" spans="1:6">
      <c r="A30" s="66">
        <v>2003</v>
      </c>
      <c r="B30" s="29">
        <f>'901'!B60/'901'!$B60*100</f>
        <v>100</v>
      </c>
      <c r="C30" s="50">
        <f>'901'!C60/'901'!$B60*100</f>
        <v>0.90909237770740692</v>
      </c>
      <c r="D30" s="50">
        <f>'901'!D60/'901'!$B60*100</f>
        <v>0.20756201730859186</v>
      </c>
      <c r="E30" s="50">
        <f>'901'!E60/'901'!$B60*100</f>
        <v>0.25389034062536242</v>
      </c>
      <c r="F30" s="50">
        <f>'901'!F60/'901'!$B60*100</f>
        <v>0.44764001977345258</v>
      </c>
    </row>
    <row r="31" spans="1:6">
      <c r="A31" s="66">
        <v>2004</v>
      </c>
      <c r="B31" s="29">
        <f>'901'!B61/'901'!$B61*100</f>
        <v>100</v>
      </c>
      <c r="C31" s="50">
        <f>'901'!C61/'901'!$B61*100</f>
        <v>0.93128013623938188</v>
      </c>
      <c r="D31" s="50">
        <f>'901'!D61/'901'!$B61*100</f>
        <v>0.20633996369267038</v>
      </c>
      <c r="E31" s="50">
        <f>'901'!E61/'901'!$B61*100</f>
        <v>0.26753834854125286</v>
      </c>
      <c r="F31" s="50">
        <f>'901'!F61/'901'!$B61*100</f>
        <v>0.45740182400545876</v>
      </c>
    </row>
    <row r="32" spans="1:6">
      <c r="A32" s="66">
        <v>2005</v>
      </c>
      <c r="B32" s="29">
        <f>'901'!B62/'901'!$B62*100</f>
        <v>100</v>
      </c>
      <c r="C32" s="50">
        <f>'901'!C62/'901'!$B62*100</f>
        <v>0.88734345092937406</v>
      </c>
      <c r="D32" s="50">
        <f>'901'!D62/'901'!$B62*100</f>
        <v>0.19871727381828619</v>
      </c>
      <c r="E32" s="50">
        <f>'901'!E62/'901'!$B62*100</f>
        <v>0.26180073943042986</v>
      </c>
      <c r="F32" s="50">
        <f>'901'!F62/'901'!$B62*100</f>
        <v>0.42682543768065789</v>
      </c>
    </row>
    <row r="33" spans="1:6">
      <c r="A33" s="66">
        <v>2006</v>
      </c>
      <c r="B33" s="29">
        <f>'901'!B63/'901'!$B63*100</f>
        <v>100</v>
      </c>
      <c r="C33" s="50">
        <f>'901'!C63/'901'!$B63*100</f>
        <v>0.88993112542483621</v>
      </c>
      <c r="D33" s="50">
        <f>'901'!D63/'901'!$B63*100</f>
        <v>0.21991124460509903</v>
      </c>
      <c r="E33" s="50">
        <f>'901'!E63/'901'!$B63*100</f>
        <v>0.22536828480367549</v>
      </c>
      <c r="F33" s="50">
        <f>'901'!F63/'901'!$B63*100</f>
        <v>0.44465159601606169</v>
      </c>
    </row>
    <row r="34" spans="1:6">
      <c r="A34" s="66">
        <v>2007</v>
      </c>
      <c r="B34" s="29">
        <f>'901'!B64/'901'!$B64*100</f>
        <v>100</v>
      </c>
      <c r="C34" s="50">
        <f>'901'!C64/'901'!$B64*100</f>
        <v>0.83094091209611731</v>
      </c>
      <c r="D34" s="50">
        <f>'901'!D64/'901'!$B64*100</f>
        <v>0.21134569016674778</v>
      </c>
      <c r="E34" s="50">
        <f>'901'!E64/'901'!$B64*100</f>
        <v>0.20122356530463498</v>
      </c>
      <c r="F34" s="50">
        <f>'901'!F64/'901'!$B64*100</f>
        <v>0.41837165662473474</v>
      </c>
    </row>
    <row r="35" spans="1:6">
      <c r="A35" s="66">
        <v>2008</v>
      </c>
      <c r="B35" s="29">
        <f>'901'!B65/'901'!$B65*100</f>
        <v>100</v>
      </c>
      <c r="C35" s="50">
        <f>'901'!C65/'901'!$B65*100</f>
        <v>0.73432238912201431</v>
      </c>
      <c r="D35" s="50">
        <f>'901'!D65/'901'!$B65*100</f>
        <v>0.20237842757776398</v>
      </c>
      <c r="E35" s="50">
        <f>'901'!E65/'901'!$B65*100</f>
        <v>0.17110818614896939</v>
      </c>
      <c r="F35" s="50">
        <f>'901'!F65/'901'!$B65*100</f>
        <v>0.360835775395281</v>
      </c>
    </row>
    <row r="36" spans="1:6">
      <c r="A36" s="66">
        <v>2009</v>
      </c>
      <c r="B36" s="29">
        <f>'901'!B66/'901'!$B66*100</f>
        <v>100</v>
      </c>
      <c r="C36" s="50">
        <f>'901'!C66/'901'!$B66*100</f>
        <v>0.78558398463511503</v>
      </c>
      <c r="D36" s="50">
        <f>'901'!D66/'901'!$B66*100</f>
        <v>0.20869948297803564</v>
      </c>
      <c r="E36" s="50">
        <f>'901'!E66/'901'!$B66*100</f>
        <v>0.14344824388076413</v>
      </c>
      <c r="F36" s="50">
        <f>'901'!F66/'901'!$B66*100</f>
        <v>0.43343625777631539</v>
      </c>
    </row>
    <row r="37" spans="1:6">
      <c r="A37" s="66">
        <v>2010</v>
      </c>
      <c r="B37" s="29">
        <f>'901'!B67/'901'!$B67*100</f>
        <v>100</v>
      </c>
      <c r="C37" s="50">
        <f>'901'!C67/'901'!$B67*100</f>
        <v>0.75151794043722697</v>
      </c>
      <c r="D37" s="50">
        <f>'901'!D67/'901'!$B67*100</f>
        <v>0.22682375972503335</v>
      </c>
      <c r="E37" s="50">
        <f>'901'!E67/'901'!$B67*100</f>
        <v>0.15303896386227886</v>
      </c>
      <c r="F37" s="50">
        <f>'901'!F67/'901'!$B67*100</f>
        <v>0.37165521684991482</v>
      </c>
    </row>
    <row r="38" spans="1:6">
      <c r="A38" s="66">
        <v>2011</v>
      </c>
      <c r="B38" s="29">
        <f>'901'!B68/'901'!$B68*100</f>
        <v>100</v>
      </c>
      <c r="C38" s="50">
        <f>'901'!C68/'901'!$B68*100</f>
        <v>0.7361995989961837</v>
      </c>
      <c r="D38" s="50">
        <f>'901'!D68/'901'!$B68*100</f>
        <v>0.23121365044743958</v>
      </c>
      <c r="E38" s="50">
        <f>'901'!E68/'901'!$B68*100</f>
        <v>0.15215247192711276</v>
      </c>
      <c r="F38" s="50">
        <f>'901'!F68/'901'!$B68*100</f>
        <v>0.35283347662163139</v>
      </c>
    </row>
    <row r="39" spans="1:6">
      <c r="A39" s="130"/>
    </row>
    <row r="40" spans="1:6" ht="45" customHeight="1">
      <c r="A40" s="131" t="s">
        <v>897</v>
      </c>
      <c r="B40" s="131"/>
      <c r="C40" s="131"/>
      <c r="D40" s="131"/>
      <c r="E40" s="131"/>
      <c r="F40" s="131"/>
    </row>
    <row r="41" spans="1:6">
      <c r="A41" s="104" t="s">
        <v>193</v>
      </c>
      <c r="B41" s="104"/>
      <c r="C41" s="104"/>
      <c r="D41" s="104"/>
      <c r="E41" s="104"/>
      <c r="F41" s="104"/>
    </row>
    <row r="42" spans="1:6">
      <c r="A42" s="131" t="s">
        <v>891</v>
      </c>
      <c r="B42" s="131"/>
      <c r="C42" s="131"/>
      <c r="D42" s="131"/>
      <c r="E42" s="131"/>
      <c r="F42" s="131"/>
    </row>
  </sheetData>
  <mergeCells count="6">
    <mergeCell ref="A42:F42"/>
    <mergeCell ref="A1:F1"/>
    <mergeCell ref="B2:B3"/>
    <mergeCell ref="C2:F2"/>
    <mergeCell ref="A40:F40"/>
    <mergeCell ref="A41:F41"/>
  </mergeCells>
  <pageMargins left="0.7" right="0.7" top="0.75" bottom="0.75" header="0.3" footer="0.3"/>
  <pageSetup scale="98" orientation="portrait" horizontalDpi="0" verticalDpi="0" r:id="rId1"/>
</worksheet>
</file>

<file path=xl/worksheets/sheet203.xml><?xml version="1.0" encoding="utf-8"?>
<worksheet xmlns="http://schemas.openxmlformats.org/spreadsheetml/2006/main" xmlns:r="http://schemas.openxmlformats.org/officeDocument/2006/relationships">
  <sheetPr codeName="Sheet197"/>
  <dimension ref="A1:Z43"/>
  <sheetViews>
    <sheetView view="pageBreakPreview" zoomScale="85" zoomScaleNormal="70" zoomScaleSheetLayoutView="85" workbookViewId="0">
      <selection activeCell="AC38" sqref="AC38"/>
    </sheetView>
  </sheetViews>
  <sheetFormatPr defaultRowHeight="15" outlineLevelCol="1"/>
  <cols>
    <col min="1" max="1" width="13.7109375" style="64" customWidth="1"/>
    <col min="2" max="2" width="10.5703125" style="64" customWidth="1"/>
    <col min="3" max="3" width="15.7109375" style="64" customWidth="1"/>
    <col min="4" max="4" width="12.85546875" style="64" customWidth="1"/>
    <col min="5" max="5" width="16" style="64" customWidth="1"/>
    <col min="6" max="6" width="14.5703125" style="64" customWidth="1"/>
    <col min="7" max="9" width="14.28515625" style="64" customWidth="1"/>
    <col min="10" max="10" width="12.85546875" style="64" customWidth="1"/>
    <col min="11" max="13" width="14.42578125" style="64" customWidth="1"/>
    <col min="14" max="14" width="9.140625" style="64"/>
    <col min="15" max="25" width="9.140625" style="64" hidden="1" customWidth="1" outlineLevel="1"/>
    <col min="26" max="26" width="9.140625" style="64" collapsed="1"/>
    <col min="27" max="16384" width="9.140625" style="64"/>
  </cols>
  <sheetData>
    <row r="1" spans="1:25">
      <c r="A1" s="66" t="s">
        <v>2049</v>
      </c>
      <c r="B1" s="66"/>
    </row>
    <row r="2" spans="1:25">
      <c r="B2" s="123" t="s">
        <v>860</v>
      </c>
      <c r="C2" s="127" t="s">
        <v>1</v>
      </c>
      <c r="D2" s="128"/>
      <c r="E2" s="128"/>
      <c r="F2" s="128"/>
      <c r="G2" s="128"/>
      <c r="H2" s="128"/>
      <c r="I2" s="128"/>
      <c r="J2" s="128"/>
      <c r="K2" s="128"/>
      <c r="L2" s="128"/>
      <c r="M2" s="129"/>
      <c r="N2" s="124"/>
      <c r="O2" s="127" t="s">
        <v>1</v>
      </c>
      <c r="P2" s="128"/>
      <c r="Q2" s="128"/>
      <c r="R2" s="128"/>
      <c r="S2" s="128"/>
      <c r="T2" s="128"/>
      <c r="U2" s="128"/>
      <c r="V2" s="128"/>
      <c r="W2" s="128"/>
      <c r="X2" s="128"/>
      <c r="Y2" s="129"/>
    </row>
    <row r="3" spans="1:25" ht="30" customHeight="1">
      <c r="B3" s="125"/>
      <c r="C3" s="94" t="s">
        <v>560</v>
      </c>
      <c r="D3" s="97" t="s">
        <v>8</v>
      </c>
      <c r="E3" s="97" t="s">
        <v>9</v>
      </c>
      <c r="F3" s="97"/>
      <c r="G3" s="97"/>
      <c r="H3" s="97"/>
      <c r="I3" s="98" t="s">
        <v>11</v>
      </c>
      <c r="J3" s="100"/>
      <c r="K3" s="100"/>
      <c r="L3" s="100"/>
      <c r="M3" s="99"/>
      <c r="N3" s="62"/>
      <c r="O3" s="94" t="s">
        <v>560</v>
      </c>
      <c r="P3" s="97" t="s">
        <v>8</v>
      </c>
      <c r="Q3" s="97" t="s">
        <v>9</v>
      </c>
      <c r="R3" s="97"/>
      <c r="S3" s="97"/>
      <c r="T3" s="97"/>
      <c r="U3" s="98" t="s">
        <v>11</v>
      </c>
      <c r="V3" s="100"/>
      <c r="W3" s="100"/>
      <c r="X3" s="100"/>
      <c r="Y3" s="99"/>
    </row>
    <row r="4" spans="1:25" ht="150">
      <c r="B4" s="126"/>
      <c r="C4" s="94"/>
      <c r="D4" s="97"/>
      <c r="E4" s="73" t="s">
        <v>558</v>
      </c>
      <c r="F4" s="73" t="s">
        <v>862</v>
      </c>
      <c r="G4" s="73" t="s">
        <v>863</v>
      </c>
      <c r="H4" s="73" t="s">
        <v>864</v>
      </c>
      <c r="I4" s="73" t="s">
        <v>559</v>
      </c>
      <c r="J4" s="73" t="s">
        <v>12</v>
      </c>
      <c r="K4" s="73" t="s">
        <v>865</v>
      </c>
      <c r="L4" s="73" t="s">
        <v>866</v>
      </c>
      <c r="M4" s="73" t="s">
        <v>867</v>
      </c>
      <c r="N4" s="62"/>
      <c r="O4" s="94"/>
      <c r="P4" s="97"/>
      <c r="Q4" s="73" t="s">
        <v>558</v>
      </c>
      <c r="R4" s="73" t="s">
        <v>862</v>
      </c>
      <c r="S4" s="73" t="s">
        <v>863</v>
      </c>
      <c r="T4" s="73" t="s">
        <v>864</v>
      </c>
      <c r="U4" s="73" t="s">
        <v>559</v>
      </c>
      <c r="V4" s="73" t="s">
        <v>12</v>
      </c>
      <c r="W4" s="73" t="s">
        <v>865</v>
      </c>
      <c r="X4" s="73" t="s">
        <v>866</v>
      </c>
      <c r="Y4" s="73" t="s">
        <v>867</v>
      </c>
    </row>
    <row r="5" spans="1:25">
      <c r="A5" s="66">
        <v>1987</v>
      </c>
      <c r="B5" s="115">
        <f>'905a'!B5</f>
        <v>100</v>
      </c>
      <c r="C5" s="28">
        <f>IF(O5/O$5*100=0,"..",O5/O$5*100)</f>
        <v>100</v>
      </c>
      <c r="D5" s="28">
        <f t="shared" ref="D5:M20" si="0">IF(P5/P$5*100=0,"..",P5/P$5*100)</f>
        <v>100</v>
      </c>
      <c r="E5" s="28">
        <f t="shared" si="0"/>
        <v>100</v>
      </c>
      <c r="F5" s="28">
        <f t="shared" si="0"/>
        <v>100</v>
      </c>
      <c r="G5" s="28">
        <f t="shared" si="0"/>
        <v>100</v>
      </c>
      <c r="H5" s="28">
        <f t="shared" si="0"/>
        <v>100</v>
      </c>
      <c r="I5" s="28">
        <f t="shared" si="0"/>
        <v>100</v>
      </c>
      <c r="J5" s="28">
        <f t="shared" si="0"/>
        <v>100</v>
      </c>
      <c r="K5" s="28">
        <f t="shared" si="0"/>
        <v>100</v>
      </c>
      <c r="L5" s="28">
        <f t="shared" si="0"/>
        <v>100</v>
      </c>
      <c r="M5" s="28">
        <f t="shared" si="0"/>
        <v>100</v>
      </c>
      <c r="O5" s="28">
        <v>83.058999999999997</v>
      </c>
      <c r="P5" s="28">
        <v>67.299000000000007</v>
      </c>
      <c r="Q5" s="28">
        <v>90.254999999999995</v>
      </c>
      <c r="R5" s="28">
        <v>77.209756964499945</v>
      </c>
      <c r="S5" s="28">
        <v>104.47099563960076</v>
      </c>
      <c r="T5" s="28">
        <v>76.490661245530276</v>
      </c>
      <c r="U5" s="28">
        <v>89.882999999999996</v>
      </c>
      <c r="V5" s="28">
        <v>94.435000000000002</v>
      </c>
      <c r="W5" s="28">
        <v>73.923000000000002</v>
      </c>
      <c r="X5" s="28">
        <v>85.036000000000001</v>
      </c>
      <c r="Y5" s="28">
        <v>92.306132381570421</v>
      </c>
    </row>
    <row r="6" spans="1:25">
      <c r="A6" s="66">
        <v>1988</v>
      </c>
      <c r="B6" s="115">
        <f>'905a'!B6</f>
        <v>101.50122827768175</v>
      </c>
      <c r="C6" s="28">
        <f t="shared" ref="C6:C21" si="1">IF(O6/O$5*100=0,"..",O6/O$5*100)</f>
        <v>99.555737487809864</v>
      </c>
      <c r="D6" s="28">
        <f t="shared" si="0"/>
        <v>101.78903104058008</v>
      </c>
      <c r="E6" s="28">
        <f t="shared" si="0"/>
        <v>101.08692039222204</v>
      </c>
      <c r="F6" s="28">
        <f t="shared" si="0"/>
        <v>101.20154681889326</v>
      </c>
      <c r="G6" s="28">
        <f t="shared" si="0"/>
        <v>100.23949393889436</v>
      </c>
      <c r="H6" s="28">
        <f t="shared" si="0"/>
        <v>102.76452860634535</v>
      </c>
      <c r="I6" s="28">
        <f t="shared" si="0"/>
        <v>97.500083441807689</v>
      </c>
      <c r="J6" s="28">
        <f t="shared" si="0"/>
        <v>99.004606342987245</v>
      </c>
      <c r="K6" s="28">
        <f t="shared" si="0"/>
        <v>102.53371751687568</v>
      </c>
      <c r="L6" s="28">
        <f t="shared" si="0"/>
        <v>95.189096382708499</v>
      </c>
      <c r="M6" s="28">
        <f t="shared" si="0"/>
        <v>100.35370622610836</v>
      </c>
      <c r="O6" s="28">
        <v>82.69</v>
      </c>
      <c r="P6" s="28">
        <v>68.503</v>
      </c>
      <c r="Q6" s="28">
        <v>91.236000000000004</v>
      </c>
      <c r="R6" s="28">
        <v>78.137468343182121</v>
      </c>
      <c r="S6" s="28">
        <v>104.72119734206018</v>
      </c>
      <c r="T6" s="28">
        <v>78.605267456845681</v>
      </c>
      <c r="U6" s="28">
        <v>87.635999999999996</v>
      </c>
      <c r="V6" s="28">
        <v>93.495000000000005</v>
      </c>
      <c r="W6" s="28">
        <v>75.796000000000006</v>
      </c>
      <c r="X6" s="28">
        <v>80.944999999999993</v>
      </c>
      <c r="Y6" s="28">
        <v>92.632624918883849</v>
      </c>
    </row>
    <row r="7" spans="1:25">
      <c r="A7" s="66">
        <v>1989</v>
      </c>
      <c r="B7" s="115">
        <f>'905a'!B7</f>
        <v>102.55208807205898</v>
      </c>
      <c r="C7" s="28">
        <f t="shared" si="1"/>
        <v>99.585836574001618</v>
      </c>
      <c r="D7" s="28">
        <f t="shared" si="0"/>
        <v>99.395236184787279</v>
      </c>
      <c r="E7" s="28">
        <f t="shared" si="0"/>
        <v>102.07190737355272</v>
      </c>
      <c r="F7" s="28">
        <f t="shared" si="0"/>
        <v>100.29117944940613</v>
      </c>
      <c r="G7" s="28">
        <f t="shared" si="0"/>
        <v>101.36667736869052</v>
      </c>
      <c r="H7" s="28">
        <f t="shared" si="0"/>
        <v>103.90474834484232</v>
      </c>
      <c r="I7" s="28">
        <f t="shared" si="0"/>
        <v>98.486921887342433</v>
      </c>
      <c r="J7" s="28">
        <f t="shared" si="0"/>
        <v>97.662942764864709</v>
      </c>
      <c r="K7" s="28">
        <f t="shared" si="0"/>
        <v>109.70739823870785</v>
      </c>
      <c r="L7" s="28">
        <f t="shared" si="0"/>
        <v>98.488875299873001</v>
      </c>
      <c r="M7" s="28">
        <f t="shared" si="0"/>
        <v>98.849905531877496</v>
      </c>
      <c r="O7" s="28">
        <v>82.715000000000003</v>
      </c>
      <c r="P7" s="28">
        <v>66.891999999999996</v>
      </c>
      <c r="Q7" s="28">
        <v>92.125</v>
      </c>
      <c r="R7" s="28">
        <v>77.434575909716983</v>
      </c>
      <c r="S7" s="28">
        <v>105.89877709385283</v>
      </c>
      <c r="T7" s="28">
        <v>79.47742907447406</v>
      </c>
      <c r="U7" s="28">
        <v>88.522999999999996</v>
      </c>
      <c r="V7" s="28">
        <v>92.227999999999994</v>
      </c>
      <c r="W7" s="28">
        <v>81.099000000000004</v>
      </c>
      <c r="X7" s="28">
        <v>83.751000000000005</v>
      </c>
      <c r="Y7" s="28">
        <v>91.244524659312148</v>
      </c>
    </row>
    <row r="8" spans="1:25">
      <c r="A8" s="66">
        <v>1990</v>
      </c>
      <c r="B8" s="115">
        <f>'905a'!B8</f>
        <v>104.73569283959606</v>
      </c>
      <c r="C8" s="28">
        <f>IF(O8/O$5*100=0,"..",O8/O$5*100)</f>
        <v>101.59645553161008</v>
      </c>
      <c r="D8" s="28">
        <f t="shared" si="0"/>
        <v>101.88858675463229</v>
      </c>
      <c r="E8" s="28">
        <f t="shared" si="0"/>
        <v>102.98709212785995</v>
      </c>
      <c r="F8" s="28">
        <f t="shared" si="0"/>
        <v>93.001335052020977</v>
      </c>
      <c r="G8" s="28">
        <f t="shared" si="0"/>
        <v>103.29217392813446</v>
      </c>
      <c r="H8" s="28">
        <f t="shared" si="0"/>
        <v>107.65881208324434</v>
      </c>
      <c r="I8" s="28">
        <f t="shared" si="0"/>
        <v>100.65529632967302</v>
      </c>
      <c r="J8" s="28">
        <f t="shared" si="0"/>
        <v>97.63646952930587</v>
      </c>
      <c r="K8" s="28">
        <f t="shared" si="0"/>
        <v>114.95069193620388</v>
      </c>
      <c r="L8" s="28">
        <f t="shared" si="0"/>
        <v>103.99830659955785</v>
      </c>
      <c r="M8" s="28">
        <f t="shared" si="0"/>
        <v>103.97864581044863</v>
      </c>
      <c r="O8" s="28">
        <v>84.385000000000005</v>
      </c>
      <c r="P8" s="28">
        <v>68.569999999999993</v>
      </c>
      <c r="Q8" s="28">
        <v>92.950999999999993</v>
      </c>
      <c r="R8" s="28">
        <v>71.806104767405699</v>
      </c>
      <c r="S8" s="28">
        <v>107.91036252051018</v>
      </c>
      <c r="T8" s="28">
        <v>82.34893725155645</v>
      </c>
      <c r="U8" s="28">
        <v>90.471999999999994</v>
      </c>
      <c r="V8" s="28">
        <v>92.203000000000003</v>
      </c>
      <c r="W8" s="28">
        <v>84.974999999999994</v>
      </c>
      <c r="X8" s="28">
        <v>88.436000000000007</v>
      </c>
      <c r="Y8" s="28">
        <v>95.978666450356926</v>
      </c>
    </row>
    <row r="9" spans="1:25">
      <c r="A9" s="66">
        <v>1991</v>
      </c>
      <c r="B9" s="115">
        <f>'905a'!B9</f>
        <v>106.31880629606042</v>
      </c>
      <c r="C9" s="28">
        <f>IF(O9/O$5*100=0,"..",O9/O$5*100)</f>
        <v>102.27789884299112</v>
      </c>
      <c r="D9" s="28">
        <f t="shared" si="0"/>
        <v>105.14866491329735</v>
      </c>
      <c r="E9" s="28">
        <f t="shared" si="0"/>
        <v>107.33034180931804</v>
      </c>
      <c r="F9" s="28">
        <f t="shared" si="0"/>
        <v>99.640917042629567</v>
      </c>
      <c r="G9" s="28">
        <f t="shared" si="0"/>
        <v>105.26279253403679</v>
      </c>
      <c r="H9" s="28">
        <f t="shared" si="0"/>
        <v>110.49927623929192</v>
      </c>
      <c r="I9" s="28">
        <f t="shared" si="0"/>
        <v>98.730571965777742</v>
      </c>
      <c r="J9" s="28">
        <f t="shared" si="0"/>
        <v>95.285646211680003</v>
      </c>
      <c r="K9" s="28">
        <f t="shared" si="0"/>
        <v>115.77858041475591</v>
      </c>
      <c r="L9" s="28">
        <f t="shared" si="0"/>
        <v>102.79058281198552</v>
      </c>
      <c r="M9" s="28">
        <f t="shared" si="0"/>
        <v>104.92991783470274</v>
      </c>
      <c r="O9" s="28">
        <v>84.950999999999993</v>
      </c>
      <c r="P9" s="28">
        <v>70.763999999999996</v>
      </c>
      <c r="Q9" s="28">
        <v>96.870999999999995</v>
      </c>
      <c r="R9" s="28">
        <v>76.932509885813289</v>
      </c>
      <c r="S9" s="28">
        <v>109.96908739835555</v>
      </c>
      <c r="T9" s="28">
        <v>84.52162706695951</v>
      </c>
      <c r="U9" s="28">
        <v>88.742000000000004</v>
      </c>
      <c r="V9" s="28">
        <v>89.983000000000004</v>
      </c>
      <c r="W9" s="28">
        <v>85.587000000000003</v>
      </c>
      <c r="X9" s="28">
        <v>87.409000000000006</v>
      </c>
      <c r="Y9" s="28">
        <v>96.856748864373785</v>
      </c>
    </row>
    <row r="10" spans="1:25">
      <c r="A10" s="66">
        <v>1992</v>
      </c>
      <c r="B10" s="115">
        <f>'905a'!B10</f>
        <v>110.78154853971431</v>
      </c>
      <c r="C10" s="28">
        <f t="shared" si="1"/>
        <v>104.53653427081954</v>
      </c>
      <c r="D10" s="28">
        <f t="shared" si="0"/>
        <v>110.10119021085008</v>
      </c>
      <c r="E10" s="28">
        <f t="shared" si="0"/>
        <v>114.51997119273172</v>
      </c>
      <c r="F10" s="28">
        <f t="shared" si="0"/>
        <v>116.67894300708956</v>
      </c>
      <c r="G10" s="28">
        <f t="shared" si="0"/>
        <v>105.43807432989422</v>
      </c>
      <c r="H10" s="28">
        <f t="shared" si="0"/>
        <v>125.99012837853871</v>
      </c>
      <c r="I10" s="28">
        <f t="shared" si="0"/>
        <v>97.670304729481657</v>
      </c>
      <c r="J10" s="28">
        <f t="shared" si="0"/>
        <v>95.093979986233919</v>
      </c>
      <c r="K10" s="28">
        <f t="shared" si="0"/>
        <v>110.25256009631643</v>
      </c>
      <c r="L10" s="28">
        <f t="shared" si="0"/>
        <v>100.67383225927841</v>
      </c>
      <c r="M10" s="28">
        <f t="shared" si="0"/>
        <v>104.00610747396635</v>
      </c>
      <c r="O10" s="28">
        <v>86.826999999999998</v>
      </c>
      <c r="P10" s="28">
        <v>74.096999999999994</v>
      </c>
      <c r="Q10" s="28">
        <v>103.36</v>
      </c>
      <c r="R10" s="28">
        <v>90.087528324521259</v>
      </c>
      <c r="S10" s="28">
        <v>110.1522060356628</v>
      </c>
      <c r="T10" s="28">
        <v>96.370682300836762</v>
      </c>
      <c r="U10" s="28">
        <v>87.789000000000001</v>
      </c>
      <c r="V10" s="28">
        <v>89.802000000000007</v>
      </c>
      <c r="W10" s="28">
        <v>81.501999999999995</v>
      </c>
      <c r="X10" s="28">
        <v>85.608999999999995</v>
      </c>
      <c r="Y10" s="28">
        <v>96.004015249837778</v>
      </c>
    </row>
    <row r="11" spans="1:25">
      <c r="A11" s="66">
        <v>1993</v>
      </c>
      <c r="B11" s="115">
        <f>'905a'!B11</f>
        <v>111.31380220180147</v>
      </c>
      <c r="C11" s="28">
        <f t="shared" si="1"/>
        <v>101.75658267015012</v>
      </c>
      <c r="D11" s="28">
        <f t="shared" si="0"/>
        <v>106.37156569934174</v>
      </c>
      <c r="E11" s="28">
        <f t="shared" si="0"/>
        <v>109.21278599523572</v>
      </c>
      <c r="F11" s="28">
        <f t="shared" si="0"/>
        <v>116.54773961881961</v>
      </c>
      <c r="G11" s="28">
        <f t="shared" si="0"/>
        <v>101.1375962097481</v>
      </c>
      <c r="H11" s="28">
        <f t="shared" si="0"/>
        <v>113.33499442348307</v>
      </c>
      <c r="I11" s="28">
        <f t="shared" si="0"/>
        <v>97.332087269005257</v>
      </c>
      <c r="J11" s="28">
        <f t="shared" si="0"/>
        <v>94.203420342034192</v>
      </c>
      <c r="K11" s="28">
        <f t="shared" si="0"/>
        <v>102.93278140768096</v>
      </c>
      <c r="L11" s="28">
        <f t="shared" si="0"/>
        <v>103.30213086222304</v>
      </c>
      <c r="M11" s="28">
        <f t="shared" si="0"/>
        <v>105.23199613339777</v>
      </c>
      <c r="O11" s="28">
        <v>84.518000000000001</v>
      </c>
      <c r="P11" s="28">
        <v>71.587000000000003</v>
      </c>
      <c r="Q11" s="28">
        <v>98.57</v>
      </c>
      <c r="R11" s="28">
        <v>89.986226507308842</v>
      </c>
      <c r="S11" s="28">
        <v>105.65945372628296</v>
      </c>
      <c r="T11" s="28">
        <v>86.690686657107065</v>
      </c>
      <c r="U11" s="28">
        <v>87.484999999999999</v>
      </c>
      <c r="V11" s="28">
        <v>88.960999999999999</v>
      </c>
      <c r="W11" s="28">
        <v>76.090999999999994</v>
      </c>
      <c r="X11" s="28">
        <v>87.843999999999994</v>
      </c>
      <c r="Y11" s="28">
        <v>97.135585658663217</v>
      </c>
    </row>
    <row r="12" spans="1:25">
      <c r="A12" s="66">
        <v>1994</v>
      </c>
      <c r="B12" s="115">
        <f>'905a'!B12</f>
        <v>112.2873259939951</v>
      </c>
      <c r="C12" s="28">
        <f t="shared" si="1"/>
        <v>99.909702741424766</v>
      </c>
      <c r="D12" s="28">
        <f t="shared" si="0"/>
        <v>108.03875243317135</v>
      </c>
      <c r="E12" s="28">
        <f t="shared" si="0"/>
        <v>105.49886432884605</v>
      </c>
      <c r="F12" s="28">
        <f t="shared" si="0"/>
        <v>114.67291225485681</v>
      </c>
      <c r="G12" s="28">
        <f t="shared" si="0"/>
        <v>94.672127591263674</v>
      </c>
      <c r="H12" s="28">
        <f t="shared" si="0"/>
        <v>120.82769749175388</v>
      </c>
      <c r="I12" s="28">
        <f t="shared" si="0"/>
        <v>94.085644671406158</v>
      </c>
      <c r="J12" s="28">
        <f t="shared" si="0"/>
        <v>91.384550219727856</v>
      </c>
      <c r="K12" s="28">
        <f t="shared" si="0"/>
        <v>103.99063890805297</v>
      </c>
      <c r="L12" s="28">
        <f t="shared" si="0"/>
        <v>97.969095441930477</v>
      </c>
      <c r="M12" s="28">
        <f t="shared" si="0"/>
        <v>98.813656136034083</v>
      </c>
      <c r="O12" s="28">
        <v>82.983999999999995</v>
      </c>
      <c r="P12" s="28">
        <v>72.709000000000003</v>
      </c>
      <c r="Q12" s="28">
        <v>95.218000000000004</v>
      </c>
      <c r="R12" s="28">
        <v>88.538676856089211</v>
      </c>
      <c r="S12" s="28">
        <v>98.90491428778634</v>
      </c>
      <c r="T12" s="28">
        <v>92.42190477919155</v>
      </c>
      <c r="U12" s="28">
        <v>84.566999999999993</v>
      </c>
      <c r="V12" s="28">
        <v>86.299000000000007</v>
      </c>
      <c r="W12" s="28">
        <v>76.873000000000005</v>
      </c>
      <c r="X12" s="28">
        <v>83.308999999999997</v>
      </c>
      <c r="Y12" s="28">
        <v>91.211064243997413</v>
      </c>
    </row>
    <row r="13" spans="1:25">
      <c r="A13" s="66">
        <v>1995</v>
      </c>
      <c r="B13" s="115">
        <f>'905a'!B13</f>
        <v>112.34343250538319</v>
      </c>
      <c r="C13" s="28">
        <f t="shared" si="1"/>
        <v>101.53866528612193</v>
      </c>
      <c r="D13" s="28">
        <f t="shared" si="0"/>
        <v>114.04181339990191</v>
      </c>
      <c r="E13" s="28">
        <f t="shared" si="0"/>
        <v>101.55670045980831</v>
      </c>
      <c r="F13" s="28">
        <f t="shared" si="0"/>
        <v>106.55441487892459</v>
      </c>
      <c r="G13" s="28">
        <f t="shared" si="0"/>
        <v>91.471065487708586</v>
      </c>
      <c r="H13" s="28">
        <f t="shared" si="0"/>
        <v>121.52772834057095</v>
      </c>
      <c r="I13" s="28">
        <f t="shared" si="0"/>
        <v>95.725554331742373</v>
      </c>
      <c r="J13" s="28">
        <f t="shared" si="0"/>
        <v>90.761899719383692</v>
      </c>
      <c r="K13" s="28">
        <f t="shared" si="0"/>
        <v>110.57722224476821</v>
      </c>
      <c r="L13" s="28">
        <f t="shared" si="0"/>
        <v>101.42175078790159</v>
      </c>
      <c r="M13" s="28">
        <f t="shared" si="0"/>
        <v>100.87437936640448</v>
      </c>
      <c r="O13" s="28">
        <v>84.337000000000003</v>
      </c>
      <c r="P13" s="28">
        <v>76.748999999999995</v>
      </c>
      <c r="Q13" s="28">
        <v>91.66</v>
      </c>
      <c r="R13" s="28">
        <v>82.270404762962642</v>
      </c>
      <c r="S13" s="28">
        <v>95.560732837160387</v>
      </c>
      <c r="T13" s="28">
        <v>92.957363004374415</v>
      </c>
      <c r="U13" s="28">
        <v>86.040999999999997</v>
      </c>
      <c r="V13" s="28">
        <v>85.710999999999999</v>
      </c>
      <c r="W13" s="28">
        <v>81.742000000000004</v>
      </c>
      <c r="X13" s="28">
        <v>86.245000000000005</v>
      </c>
      <c r="Y13" s="28">
        <v>93.113238157040882</v>
      </c>
    </row>
    <row r="14" spans="1:25">
      <c r="A14" s="66">
        <v>1996</v>
      </c>
      <c r="B14" s="115">
        <f>'905a'!B14</f>
        <v>115.62187244108817</v>
      </c>
      <c r="C14" s="28">
        <f t="shared" si="1"/>
        <v>103.92612480285098</v>
      </c>
      <c r="D14" s="28">
        <f t="shared" si="0"/>
        <v>123.42976864440777</v>
      </c>
      <c r="E14" s="28">
        <f t="shared" si="0"/>
        <v>101.23871253670158</v>
      </c>
      <c r="F14" s="28">
        <f t="shared" si="0"/>
        <v>106.5900929932787</v>
      </c>
      <c r="G14" s="28">
        <f t="shared" si="0"/>
        <v>90.163393872078984</v>
      </c>
      <c r="H14" s="28">
        <f t="shared" si="0"/>
        <v>123.72629980304217</v>
      </c>
      <c r="I14" s="28">
        <f t="shared" si="0"/>
        <v>96.653427233180921</v>
      </c>
      <c r="J14" s="28">
        <f t="shared" si="0"/>
        <v>91.438555620267906</v>
      </c>
      <c r="K14" s="28">
        <f t="shared" si="0"/>
        <v>111.20490239844163</v>
      </c>
      <c r="L14" s="28">
        <f t="shared" si="0"/>
        <v>102.59889928971258</v>
      </c>
      <c r="M14" s="28">
        <f t="shared" si="0"/>
        <v>101.90474098158968</v>
      </c>
      <c r="O14" s="28">
        <v>86.32</v>
      </c>
      <c r="P14" s="28">
        <v>83.066999999999993</v>
      </c>
      <c r="Q14" s="28">
        <v>91.373000000000005</v>
      </c>
      <c r="R14" s="28">
        <v>82.297951748344971</v>
      </c>
      <c r="S14" s="28">
        <v>94.194595280615701</v>
      </c>
      <c r="T14" s="28">
        <v>94.639064853974176</v>
      </c>
      <c r="U14" s="28">
        <v>86.875</v>
      </c>
      <c r="V14" s="28">
        <v>86.35</v>
      </c>
      <c r="W14" s="28">
        <v>82.206000000000003</v>
      </c>
      <c r="X14" s="28">
        <v>87.245999999999995</v>
      </c>
      <c r="Y14" s="28">
        <v>94.064325113562617</v>
      </c>
    </row>
    <row r="15" spans="1:25">
      <c r="A15" s="66">
        <v>1997</v>
      </c>
      <c r="B15" s="115">
        <f>'905a'!B15</f>
        <v>117.63715767446092</v>
      </c>
      <c r="C15" s="28">
        <f t="shared" si="1"/>
        <v>105.33596600007225</v>
      </c>
      <c r="D15" s="28">
        <f t="shared" si="0"/>
        <v>129.14902153078054</v>
      </c>
      <c r="E15" s="28">
        <f t="shared" si="0"/>
        <v>100.15843997562462</v>
      </c>
      <c r="F15" s="28">
        <f t="shared" si="0"/>
        <v>115.0906914648743</v>
      </c>
      <c r="G15" s="28">
        <f t="shared" si="0"/>
        <v>86.773166266063882</v>
      </c>
      <c r="H15" s="28">
        <f t="shared" si="0"/>
        <v>118.64929640967227</v>
      </c>
      <c r="I15" s="28">
        <f t="shared" si="0"/>
        <v>97.100675322363529</v>
      </c>
      <c r="J15" s="28">
        <f t="shared" si="0"/>
        <v>88.908773230264202</v>
      </c>
      <c r="K15" s="28">
        <f t="shared" si="0"/>
        <v>112.12072020886596</v>
      </c>
      <c r="L15" s="28">
        <f t="shared" si="0"/>
        <v>106.6313090926196</v>
      </c>
      <c r="M15" s="28">
        <f t="shared" si="0"/>
        <v>109.84665407091698</v>
      </c>
      <c r="O15" s="28">
        <v>87.491</v>
      </c>
      <c r="P15" s="28">
        <v>86.915999999999997</v>
      </c>
      <c r="Q15" s="28">
        <v>90.397999999999996</v>
      </c>
      <c r="R15" s="28">
        <v>88.86124316879193</v>
      </c>
      <c r="S15" s="28">
        <v>90.65279074616312</v>
      </c>
      <c r="T15" s="28">
        <v>90.755631386927547</v>
      </c>
      <c r="U15" s="28">
        <v>87.277000000000001</v>
      </c>
      <c r="V15" s="28">
        <v>83.960999999999999</v>
      </c>
      <c r="W15" s="28">
        <v>82.882999999999996</v>
      </c>
      <c r="X15" s="28">
        <v>90.674999999999997</v>
      </c>
      <c r="Y15" s="28">
        <v>101.39519792342635</v>
      </c>
    </row>
    <row r="16" spans="1:25">
      <c r="A16" s="66">
        <v>1998</v>
      </c>
      <c r="B16" s="115">
        <f>'905a'!B16</f>
        <v>121.1278925181209</v>
      </c>
      <c r="C16" s="28">
        <f t="shared" si="1"/>
        <v>106.38582212644026</v>
      </c>
      <c r="D16" s="28">
        <f t="shared" si="0"/>
        <v>129.60370882182497</v>
      </c>
      <c r="E16" s="28">
        <f t="shared" si="0"/>
        <v>105.44789762340037</v>
      </c>
      <c r="F16" s="28">
        <f t="shared" si="0"/>
        <v>126.58940244912991</v>
      </c>
      <c r="G16" s="28">
        <f t="shared" si="0"/>
        <v>90.25363796499569</v>
      </c>
      <c r="H16" s="28">
        <f t="shared" si="0"/>
        <v>125.12873448660449</v>
      </c>
      <c r="I16" s="28">
        <f t="shared" si="0"/>
        <v>97.661404269995458</v>
      </c>
      <c r="J16" s="28">
        <f t="shared" si="0"/>
        <v>89.552602319055438</v>
      </c>
      <c r="K16" s="28">
        <f t="shared" si="0"/>
        <v>112.6320630926775</v>
      </c>
      <c r="L16" s="28">
        <f t="shared" si="0"/>
        <v>106.26558163601298</v>
      </c>
      <c r="M16" s="28">
        <f t="shared" si="0"/>
        <v>107.31359022804166</v>
      </c>
      <c r="O16" s="28">
        <v>88.363</v>
      </c>
      <c r="P16" s="28">
        <v>87.221999999999994</v>
      </c>
      <c r="Q16" s="28">
        <v>95.171999999999997</v>
      </c>
      <c r="R16" s="28">
        <v>97.739369973785941</v>
      </c>
      <c r="S16" s="28">
        <v>94.288874182991705</v>
      </c>
      <c r="T16" s="28">
        <v>95.711796416967658</v>
      </c>
      <c r="U16" s="28">
        <v>87.781000000000006</v>
      </c>
      <c r="V16" s="28">
        <v>84.569000000000003</v>
      </c>
      <c r="W16" s="28">
        <v>83.260999999999996</v>
      </c>
      <c r="X16" s="28">
        <v>90.364000000000004</v>
      </c>
      <c r="Y16" s="28">
        <v>99.057024659312148</v>
      </c>
    </row>
    <row r="17" spans="1:25">
      <c r="A17" s="66">
        <v>1999</v>
      </c>
      <c r="B17" s="115">
        <f>'905a'!B17</f>
        <v>125.39350377581657</v>
      </c>
      <c r="C17" s="28">
        <f t="shared" si="1"/>
        <v>108.6902081652801</v>
      </c>
      <c r="D17" s="28">
        <f t="shared" si="0"/>
        <v>135.27392680426155</v>
      </c>
      <c r="E17" s="28">
        <f t="shared" si="0"/>
        <v>98.892028142485174</v>
      </c>
      <c r="F17" s="28">
        <f t="shared" si="0"/>
        <v>123.46353926894393</v>
      </c>
      <c r="G17" s="28">
        <f t="shared" si="0"/>
        <v>82.524752045677403</v>
      </c>
      <c r="H17" s="28">
        <f t="shared" si="0"/>
        <v>117.54941743195462</v>
      </c>
      <c r="I17" s="28">
        <f t="shared" si="0"/>
        <v>101.74337750186355</v>
      </c>
      <c r="J17" s="28">
        <f t="shared" si="0"/>
        <v>94.779477947794774</v>
      </c>
      <c r="K17" s="28">
        <f t="shared" si="0"/>
        <v>112.31551749793705</v>
      </c>
      <c r="L17" s="28">
        <f t="shared" si="0"/>
        <v>111.41398936920834</v>
      </c>
      <c r="M17" s="28">
        <f t="shared" si="0"/>
        <v>108.82288325497605</v>
      </c>
      <c r="O17" s="28">
        <v>90.277000000000001</v>
      </c>
      <c r="P17" s="28">
        <v>91.037999999999997</v>
      </c>
      <c r="Q17" s="28">
        <v>89.254999999999995</v>
      </c>
      <c r="R17" s="28">
        <v>95.325898609321555</v>
      </c>
      <c r="S17" s="28">
        <v>86.214430111230968</v>
      </c>
      <c r="T17" s="28">
        <v>89.914326683970728</v>
      </c>
      <c r="U17" s="28">
        <v>91.45</v>
      </c>
      <c r="V17" s="28">
        <v>89.504999999999995</v>
      </c>
      <c r="W17" s="28">
        <v>83.027000000000001</v>
      </c>
      <c r="X17" s="28">
        <v>94.742000000000004</v>
      </c>
      <c r="Y17" s="28">
        <v>100.45019467878002</v>
      </c>
    </row>
    <row r="18" spans="1:25">
      <c r="A18" s="66">
        <v>2000</v>
      </c>
      <c r="B18" s="115">
        <f>'905a'!B18</f>
        <v>129.73190185909684</v>
      </c>
      <c r="C18" s="28">
        <f t="shared" si="1"/>
        <v>108.56860785706546</v>
      </c>
      <c r="D18" s="28">
        <f t="shared" si="0"/>
        <v>135.07630128233703</v>
      </c>
      <c r="E18" s="28">
        <f t="shared" si="0"/>
        <v>99.307517589053234</v>
      </c>
      <c r="F18" s="28">
        <f t="shared" si="0"/>
        <v>118.58369395083324</v>
      </c>
      <c r="G18" s="28">
        <f t="shared" si="0"/>
        <v>86.629990541724879</v>
      </c>
      <c r="H18" s="28">
        <f t="shared" si="0"/>
        <v>114.85014593863458</v>
      </c>
      <c r="I18" s="28">
        <f t="shared" si="0"/>
        <v>100.58298009634747</v>
      </c>
      <c r="J18" s="28">
        <f t="shared" si="0"/>
        <v>97.003229734738184</v>
      </c>
      <c r="K18" s="28">
        <f t="shared" si="0"/>
        <v>114.23643520960999</v>
      </c>
      <c r="L18" s="28">
        <f t="shared" si="0"/>
        <v>106.53370337268922</v>
      </c>
      <c r="M18" s="28">
        <f t="shared" si="0"/>
        <v>103.28111955709829</v>
      </c>
      <c r="O18" s="28">
        <v>90.176000000000002</v>
      </c>
      <c r="P18" s="28">
        <v>90.905000000000001</v>
      </c>
      <c r="Q18" s="28">
        <v>89.63</v>
      </c>
      <c r="R18" s="28">
        <v>91.558181898964762</v>
      </c>
      <c r="S18" s="28">
        <v>90.503213641431941</v>
      </c>
      <c r="T18" s="28">
        <v>87.849636069918134</v>
      </c>
      <c r="U18" s="28">
        <v>90.406999999999996</v>
      </c>
      <c r="V18" s="28">
        <v>91.605000000000004</v>
      </c>
      <c r="W18" s="28">
        <v>84.447000000000003</v>
      </c>
      <c r="X18" s="28">
        <v>90.591999999999999</v>
      </c>
      <c r="Y18" s="28">
        <v>95.334806943543157</v>
      </c>
    </row>
    <row r="19" spans="1:25">
      <c r="A19" s="66">
        <v>2001</v>
      </c>
      <c r="B19" s="115">
        <f>'905a'!B19</f>
        <v>133.66390683286326</v>
      </c>
      <c r="C19" s="28">
        <f t="shared" si="1"/>
        <v>110.41789571268616</v>
      </c>
      <c r="D19" s="28">
        <f t="shared" si="0"/>
        <v>134.6855079570276</v>
      </c>
      <c r="E19" s="28">
        <f t="shared" si="0"/>
        <v>105.35372001551163</v>
      </c>
      <c r="F19" s="28">
        <f t="shared" si="0"/>
        <v>119.88997329895956</v>
      </c>
      <c r="G19" s="28">
        <f t="shared" si="0"/>
        <v>93.737580590578162</v>
      </c>
      <c r="H19" s="28">
        <f t="shared" si="0"/>
        <v>123.93037659286681</v>
      </c>
      <c r="I19" s="28">
        <f t="shared" si="0"/>
        <v>101.13147091218586</v>
      </c>
      <c r="J19" s="28">
        <f t="shared" si="0"/>
        <v>98.531264891195008</v>
      </c>
      <c r="K19" s="28">
        <f t="shared" si="0"/>
        <v>110.90053163426808</v>
      </c>
      <c r="L19" s="28">
        <f t="shared" si="0"/>
        <v>108.28472646878969</v>
      </c>
      <c r="M19" s="28">
        <f t="shared" si="0"/>
        <v>109.82029087393997</v>
      </c>
      <c r="O19" s="28">
        <v>91.712000000000003</v>
      </c>
      <c r="P19" s="28">
        <v>90.641999999999996</v>
      </c>
      <c r="Q19" s="28">
        <v>95.087000000000003</v>
      </c>
      <c r="R19" s="28">
        <v>92.566757008930551</v>
      </c>
      <c r="S19" s="28">
        <v>97.928583731450161</v>
      </c>
      <c r="T19" s="28">
        <v>94.7951645399597</v>
      </c>
      <c r="U19" s="28">
        <v>90.9</v>
      </c>
      <c r="V19" s="28">
        <v>93.048000000000002</v>
      </c>
      <c r="W19" s="28">
        <v>81.980999999999995</v>
      </c>
      <c r="X19" s="28">
        <v>92.081000000000003</v>
      </c>
      <c r="Y19" s="28">
        <v>101.37086307592473</v>
      </c>
    </row>
    <row r="20" spans="1:25">
      <c r="A20" s="66">
        <v>2002</v>
      </c>
      <c r="B20" s="115">
        <f>'905a'!B20</f>
        <v>139.63091013859824</v>
      </c>
      <c r="C20" s="28">
        <f t="shared" si="1"/>
        <v>120.39634476697287</v>
      </c>
      <c r="D20" s="28">
        <f t="shared" si="0"/>
        <v>148.59061798838019</v>
      </c>
      <c r="E20" s="28">
        <f t="shared" si="0"/>
        <v>110.79718575148192</v>
      </c>
      <c r="F20" s="28">
        <f t="shared" si="0"/>
        <v>129.51730963999631</v>
      </c>
      <c r="G20" s="28">
        <f t="shared" si="0"/>
        <v>95.720347439757731</v>
      </c>
      <c r="H20" s="28">
        <f t="shared" si="0"/>
        <v>130.73491374196152</v>
      </c>
      <c r="I20" s="28">
        <f t="shared" si="0"/>
        <v>111.2557435777622</v>
      </c>
      <c r="J20" s="28">
        <f t="shared" si="0"/>
        <v>105.8929422354</v>
      </c>
      <c r="K20" s="28">
        <f t="shared" si="0"/>
        <v>135.2758951882364</v>
      </c>
      <c r="L20" s="28">
        <f t="shared" si="0"/>
        <v>117.5972529281716</v>
      </c>
      <c r="M20" s="28">
        <f t="shared" si="0"/>
        <v>108.33516411090116</v>
      </c>
      <c r="O20" s="28">
        <v>100</v>
      </c>
      <c r="P20" s="28">
        <v>100</v>
      </c>
      <c r="Q20" s="28">
        <v>100</v>
      </c>
      <c r="R20" s="28">
        <v>100</v>
      </c>
      <c r="S20" s="28">
        <v>100</v>
      </c>
      <c r="T20" s="28">
        <v>100</v>
      </c>
      <c r="U20" s="28">
        <v>100</v>
      </c>
      <c r="V20" s="28">
        <v>100</v>
      </c>
      <c r="W20" s="28">
        <v>100</v>
      </c>
      <c r="X20" s="28">
        <v>100</v>
      </c>
      <c r="Y20" s="28">
        <v>100</v>
      </c>
    </row>
    <row r="21" spans="1:25">
      <c r="A21" s="66">
        <v>2003</v>
      </c>
      <c r="B21" s="115">
        <f>'905a'!B21</f>
        <v>145.00197130985958</v>
      </c>
      <c r="C21" s="28">
        <f t="shared" si="1"/>
        <v>122.28536341636669</v>
      </c>
      <c r="D21" s="28">
        <f t="shared" ref="D21" si="2">IF(P21/P$5*100=0,"..",P21/P$5*100)</f>
        <v>160.87163256511982</v>
      </c>
      <c r="E21" s="28">
        <f t="shared" ref="E21" si="3">IF(Q21/Q$5*100=0,"..",Q21/Q$5*100)</f>
        <v>107.18408952412611</v>
      </c>
      <c r="F21" s="28">
        <f t="shared" ref="F21:F29" si="4">IF(R21/R$5*100=0,"..",R21/R$5*100)</f>
        <v>116.07126415615505</v>
      </c>
      <c r="G21" s="28">
        <f t="shared" ref="G21:G29" si="5">IF(S21/S$5*100=0,"..",S21/S$5*100)</f>
        <v>100.70806903673106</v>
      </c>
      <c r="H21" s="28">
        <f t="shared" ref="H21:H29" si="6">IF(T21/T$5*100=0,"..",T21/T$5*100)</f>
        <v>127.3095085546143</v>
      </c>
      <c r="I21" s="28">
        <f t="shared" ref="I21:I29" si="7">IF(U21/U$5*100=0,"..",U21/U$5*100)</f>
        <v>112.07347329305877</v>
      </c>
      <c r="J21" s="28">
        <f t="shared" ref="J21:J29" si="8">IF(V21/V$5*100=0,"..",V21/V$5*100)</f>
        <v>109.76227034468151</v>
      </c>
      <c r="K21" s="28">
        <f t="shared" ref="K21:K29" si="9">IF(W21/W$5*100=0,"..",W21/W$5*100)</f>
        <v>129.51990584797696</v>
      </c>
      <c r="L21" s="28">
        <f t="shared" ref="L21:L29" si="10">IF(X21/X$5*100=0,"..",X21/X$5*100)</f>
        <v>117.7124982360412</v>
      </c>
      <c r="M21" s="28">
        <f t="shared" ref="M21:M29" si="11">IF(Y21/Y$5*100=0,"..",Y21/Y$5*100)</f>
        <v>108.28463465002855</v>
      </c>
      <c r="O21" s="28">
        <v>101.569</v>
      </c>
      <c r="P21" s="28">
        <v>108.265</v>
      </c>
      <c r="Q21" s="28">
        <v>96.739000000000004</v>
      </c>
      <c r="R21" s="28">
        <v>89.618340960590047</v>
      </c>
      <c r="S21" s="28">
        <v>105.21072241208944</v>
      </c>
      <c r="T21" s="28">
        <v>97.3798849218594</v>
      </c>
      <c r="U21" s="28">
        <v>100.735</v>
      </c>
      <c r="V21" s="28">
        <v>103.654</v>
      </c>
      <c r="W21" s="28">
        <v>95.745000000000005</v>
      </c>
      <c r="X21" s="28">
        <v>100.098</v>
      </c>
      <c r="Y21" s="28">
        <v>99.953358208955237</v>
      </c>
    </row>
    <row r="22" spans="1:25">
      <c r="A22" s="66">
        <v>2004</v>
      </c>
      <c r="B22" s="115">
        <f>'905a'!B22</f>
        <v>149.02950899220576</v>
      </c>
      <c r="C22" s="28">
        <f t="shared" ref="C22:C29" si="12">IF(O22/O$5*100=0,"..",O22/O$5*100)</f>
        <v>123.10044667043908</v>
      </c>
      <c r="D22" s="28">
        <f t="shared" ref="D22:D29" si="13">IF(P22/P$5*100=0,"..",P22/P$5*100)</f>
        <v>154.40199705790576</v>
      </c>
      <c r="E22" s="28">
        <f t="shared" ref="E22:E29" si="14">IF(Q22/Q$5*100=0,"..",Q22/Q$5*100)</f>
        <v>102.23699518032244</v>
      </c>
      <c r="F22" s="28">
        <f t="shared" si="4"/>
        <v>114.70168492772304</v>
      </c>
      <c r="G22" s="28">
        <f t="shared" si="5"/>
        <v>99.999132268337348</v>
      </c>
      <c r="H22" s="28">
        <f t="shared" si="6"/>
        <v>120.12529365700861</v>
      </c>
      <c r="I22" s="28">
        <f t="shared" si="7"/>
        <v>118.49849248467453</v>
      </c>
      <c r="J22" s="28">
        <f t="shared" si="8"/>
        <v>117.10594588870651</v>
      </c>
      <c r="K22" s="28">
        <f t="shared" si="9"/>
        <v>141.62709846732409</v>
      </c>
      <c r="L22" s="28">
        <f t="shared" si="10"/>
        <v>120.2467190366433</v>
      </c>
      <c r="M22" s="28">
        <f t="shared" si="11"/>
        <v>104.09728019684519</v>
      </c>
      <c r="O22" s="28">
        <v>102.246</v>
      </c>
      <c r="P22" s="28">
        <v>103.911</v>
      </c>
      <c r="Q22" s="28">
        <v>92.274000000000001</v>
      </c>
      <c r="R22" s="28">
        <v>88.560892166881416</v>
      </c>
      <c r="S22" s="28">
        <v>104.47008911169331</v>
      </c>
      <c r="T22" s="28">
        <v>91.884631441380932</v>
      </c>
      <c r="U22" s="28">
        <v>106.51</v>
      </c>
      <c r="V22" s="28">
        <v>110.589</v>
      </c>
      <c r="W22" s="28">
        <v>104.69499999999999</v>
      </c>
      <c r="X22" s="28">
        <v>102.253</v>
      </c>
      <c r="Y22" s="28">
        <v>96.088173264114218</v>
      </c>
    </row>
    <row r="23" spans="1:25">
      <c r="A23" s="66">
        <v>2005</v>
      </c>
      <c r="B23" s="115">
        <f>'905a'!B23</f>
        <v>151.63921996785251</v>
      </c>
      <c r="C23" s="28">
        <f t="shared" si="12"/>
        <v>129.40439928243779</v>
      </c>
      <c r="D23" s="28">
        <f t="shared" si="13"/>
        <v>160.23120700158989</v>
      </c>
      <c r="E23" s="28">
        <f t="shared" si="14"/>
        <v>110.34402526175835</v>
      </c>
      <c r="F23" s="28">
        <f t="shared" si="4"/>
        <v>132.48895129361938</v>
      </c>
      <c r="G23" s="28">
        <f t="shared" si="5"/>
        <v>112.18295254375535</v>
      </c>
      <c r="H23" s="28">
        <f t="shared" si="6"/>
        <v>119.83222989487675</v>
      </c>
      <c r="I23" s="28">
        <f t="shared" si="7"/>
        <v>124.04236618715441</v>
      </c>
      <c r="J23" s="28">
        <f t="shared" si="8"/>
        <v>124.13194260602532</v>
      </c>
      <c r="K23" s="28">
        <f t="shared" si="9"/>
        <v>152.0663392990003</v>
      </c>
      <c r="L23" s="28">
        <f t="shared" si="10"/>
        <v>121.33684557128745</v>
      </c>
      <c r="M23" s="28">
        <f t="shared" si="11"/>
        <v>100.76343424579287</v>
      </c>
      <c r="O23" s="28">
        <v>107.482</v>
      </c>
      <c r="P23" s="28">
        <v>107.834</v>
      </c>
      <c r="Q23" s="28">
        <v>99.590999999999994</v>
      </c>
      <c r="R23" s="28">
        <v>102.29439729861822</v>
      </c>
      <c r="S23" s="28">
        <v>117.19864746036204</v>
      </c>
      <c r="T23" s="28">
        <v>91.660465031855225</v>
      </c>
      <c r="U23" s="28">
        <v>111.49299999999999</v>
      </c>
      <c r="V23" s="28">
        <v>117.224</v>
      </c>
      <c r="W23" s="28">
        <v>112.41200000000001</v>
      </c>
      <c r="X23" s="28">
        <v>103.18</v>
      </c>
      <c r="Y23" s="28">
        <v>93.010829007138213</v>
      </c>
    </row>
    <row r="24" spans="1:25">
      <c r="A24" s="66">
        <v>2006</v>
      </c>
      <c r="B24" s="115">
        <f>'905a'!B24</f>
        <v>153.0722105965487</v>
      </c>
      <c r="C24" s="28">
        <f t="shared" si="12"/>
        <v>133.48342744314283</v>
      </c>
      <c r="D24" s="28">
        <f t="shared" si="13"/>
        <v>168.48541583084443</v>
      </c>
      <c r="E24" s="28">
        <f t="shared" si="14"/>
        <v>116.90321865824609</v>
      </c>
      <c r="F24" s="28">
        <f t="shared" si="4"/>
        <v>149.68234969155691</v>
      </c>
      <c r="G24" s="28">
        <f t="shared" si="5"/>
        <v>116.69862811624134</v>
      </c>
      <c r="H24" s="28">
        <f t="shared" si="6"/>
        <v>126.30098953513205</v>
      </c>
      <c r="I24" s="28">
        <f t="shared" si="7"/>
        <v>125.98155379771481</v>
      </c>
      <c r="J24" s="28">
        <f t="shared" si="8"/>
        <v>134.82712977180071</v>
      </c>
      <c r="K24" s="28">
        <f t="shared" si="9"/>
        <v>160.59548449061859</v>
      </c>
      <c r="L24" s="28">
        <f t="shared" si="10"/>
        <v>110.46497953807798</v>
      </c>
      <c r="M24" s="28">
        <f t="shared" si="11"/>
        <v>85.548574190430145</v>
      </c>
      <c r="O24" s="28">
        <v>110.87</v>
      </c>
      <c r="P24" s="28">
        <v>113.389</v>
      </c>
      <c r="Q24" s="28">
        <v>105.511</v>
      </c>
      <c r="R24" s="28">
        <v>115.56937841560404</v>
      </c>
      <c r="S24" s="28">
        <v>121.91621869079239</v>
      </c>
      <c r="T24" s="28">
        <v>96.608462055070504</v>
      </c>
      <c r="U24" s="28">
        <v>113.236</v>
      </c>
      <c r="V24" s="28">
        <v>127.324</v>
      </c>
      <c r="W24" s="28">
        <v>118.717</v>
      </c>
      <c r="X24" s="28">
        <v>93.935000000000002</v>
      </c>
      <c r="Y24" s="28">
        <v>78.966580142764442</v>
      </c>
    </row>
    <row r="25" spans="1:25">
      <c r="A25" s="66">
        <v>2007</v>
      </c>
      <c r="B25" s="115">
        <f>'905a'!B25</f>
        <v>155.2891759924787</v>
      </c>
      <c r="C25" s="28">
        <f t="shared" si="12"/>
        <v>134.20339758484934</v>
      </c>
      <c r="D25" s="28">
        <f t="shared" si="13"/>
        <v>161.10491983536156</v>
      </c>
      <c r="E25" s="28">
        <f t="shared" si="14"/>
        <v>120.40330175613541</v>
      </c>
      <c r="F25" s="28" t="str">
        <f t="shared" si="4"/>
        <v>..</v>
      </c>
      <c r="G25" s="28" t="str">
        <f t="shared" si="5"/>
        <v>..</v>
      </c>
      <c r="H25" s="28" t="str">
        <f t="shared" si="6"/>
        <v>..</v>
      </c>
      <c r="I25" s="28">
        <f t="shared" si="7"/>
        <v>128.85306453945685</v>
      </c>
      <c r="J25" s="28">
        <f t="shared" si="8"/>
        <v>133.95245406893631</v>
      </c>
      <c r="K25" s="28">
        <f t="shared" si="9"/>
        <v>174.94960972904238</v>
      </c>
      <c r="L25" s="28">
        <f t="shared" si="10"/>
        <v>116.91048497107106</v>
      </c>
      <c r="M25" s="28" t="str">
        <f t="shared" si="11"/>
        <v>..</v>
      </c>
      <c r="O25" s="28">
        <v>111.468</v>
      </c>
      <c r="P25" s="28">
        <v>108.422</v>
      </c>
      <c r="Q25" s="28">
        <v>108.67</v>
      </c>
      <c r="R25" s="28"/>
      <c r="S25" s="28"/>
      <c r="T25" s="28"/>
      <c r="U25" s="28">
        <v>115.81699999999999</v>
      </c>
      <c r="V25" s="28">
        <v>126.498</v>
      </c>
      <c r="W25" s="28">
        <v>129.328</v>
      </c>
      <c r="X25" s="28">
        <v>99.415999999999997</v>
      </c>
      <c r="Y25" s="28"/>
    </row>
    <row r="26" spans="1:25">
      <c r="A26" s="66">
        <v>2008</v>
      </c>
      <c r="B26" s="115">
        <f>'905a'!B26</f>
        <v>156.3567161010524</v>
      </c>
      <c r="C26" s="28">
        <f t="shared" si="12"/>
        <v>131.62571184338842</v>
      </c>
      <c r="D26" s="28">
        <f t="shared" si="13"/>
        <v>166.39771764810766</v>
      </c>
      <c r="E26" s="28">
        <f t="shared" si="14"/>
        <v>115.99578970694144</v>
      </c>
      <c r="F26" s="28" t="str">
        <f t="shared" si="4"/>
        <v>..</v>
      </c>
      <c r="G26" s="28" t="str">
        <f t="shared" si="5"/>
        <v>..</v>
      </c>
      <c r="H26" s="28" t="str">
        <f t="shared" si="6"/>
        <v>..</v>
      </c>
      <c r="I26" s="28">
        <f t="shared" si="7"/>
        <v>124.76552852040987</v>
      </c>
      <c r="J26" s="28">
        <f t="shared" si="8"/>
        <v>128.73299094615345</v>
      </c>
      <c r="K26" s="28">
        <f t="shared" si="9"/>
        <v>170.58560935026986</v>
      </c>
      <c r="L26" s="28">
        <f t="shared" si="10"/>
        <v>117.06688931746554</v>
      </c>
      <c r="M26" s="28" t="str">
        <f t="shared" si="11"/>
        <v>..</v>
      </c>
      <c r="O26" s="28">
        <v>109.327</v>
      </c>
      <c r="P26" s="28">
        <v>111.98399999999999</v>
      </c>
      <c r="Q26" s="28">
        <v>104.69199999999999</v>
      </c>
      <c r="R26" s="28"/>
      <c r="S26" s="28"/>
      <c r="T26" s="28"/>
      <c r="U26" s="28">
        <v>112.143</v>
      </c>
      <c r="V26" s="28">
        <v>121.569</v>
      </c>
      <c r="W26" s="28">
        <v>126.102</v>
      </c>
      <c r="X26" s="28">
        <v>99.549000000000007</v>
      </c>
      <c r="Y26" s="28"/>
    </row>
    <row r="27" spans="1:25">
      <c r="A27" s="66">
        <v>2009</v>
      </c>
      <c r="B27" s="115">
        <f>'905a'!B27</f>
        <v>161.11818760804294</v>
      </c>
      <c r="C27" s="28">
        <f t="shared" si="12"/>
        <v>127.63938886815399</v>
      </c>
      <c r="D27" s="28">
        <f t="shared" si="13"/>
        <v>177.81096301579518</v>
      </c>
      <c r="E27" s="28">
        <f t="shared" si="14"/>
        <v>113.48401750595536</v>
      </c>
      <c r="F27" s="28" t="str">
        <f t="shared" si="4"/>
        <v>..</v>
      </c>
      <c r="G27" s="28" t="str">
        <f t="shared" si="5"/>
        <v>..</v>
      </c>
      <c r="H27" s="28" t="str">
        <f t="shared" si="6"/>
        <v>..</v>
      </c>
      <c r="I27" s="28">
        <f t="shared" si="7"/>
        <v>115.92737225059244</v>
      </c>
      <c r="J27" s="28">
        <f t="shared" si="8"/>
        <v>113.13601948430136</v>
      </c>
      <c r="K27" s="28">
        <f t="shared" si="9"/>
        <v>166.41640626056841</v>
      </c>
      <c r="L27" s="28">
        <f t="shared" si="10"/>
        <v>118.39573827555387</v>
      </c>
      <c r="M27" s="28" t="str">
        <f t="shared" si="11"/>
        <v>..</v>
      </c>
      <c r="O27" s="28">
        <v>106.01600000000001</v>
      </c>
      <c r="P27" s="28">
        <v>119.66500000000001</v>
      </c>
      <c r="Q27" s="28">
        <v>102.425</v>
      </c>
      <c r="R27" s="28"/>
      <c r="S27" s="28"/>
      <c r="T27" s="28"/>
      <c r="U27" s="28">
        <v>104.199</v>
      </c>
      <c r="V27" s="28">
        <v>106.84</v>
      </c>
      <c r="W27" s="28">
        <v>123.02</v>
      </c>
      <c r="X27" s="28">
        <v>100.679</v>
      </c>
      <c r="Y27" s="28"/>
    </row>
    <row r="28" spans="1:25">
      <c r="A28" s="66">
        <v>2010</v>
      </c>
      <c r="B28" s="115">
        <f>'905a'!B28</f>
        <v>166.02068358960361</v>
      </c>
      <c r="C28" s="28">
        <f t="shared" si="12"/>
        <v>135.06904730372386</v>
      </c>
      <c r="D28" s="28">
        <f t="shared" si="13"/>
        <v>176.4781051724394</v>
      </c>
      <c r="E28" s="28">
        <f t="shared" si="14"/>
        <v>124.62245858955183</v>
      </c>
      <c r="F28" s="28" t="str">
        <f t="shared" si="4"/>
        <v>..</v>
      </c>
      <c r="G28" s="28" t="str">
        <f t="shared" si="5"/>
        <v>..</v>
      </c>
      <c r="H28" s="28" t="str">
        <f t="shared" si="6"/>
        <v>..</v>
      </c>
      <c r="I28" s="28">
        <f t="shared" si="7"/>
        <v>123.834317946664</v>
      </c>
      <c r="J28" s="28">
        <f t="shared" si="8"/>
        <v>128.22364589400115</v>
      </c>
      <c r="K28" s="28">
        <f t="shared" si="9"/>
        <v>163.4322200127159</v>
      </c>
      <c r="L28" s="28">
        <f t="shared" si="10"/>
        <v>122.17178606707748</v>
      </c>
      <c r="M28" s="28" t="str">
        <f t="shared" si="11"/>
        <v>..</v>
      </c>
      <c r="O28" s="28">
        <v>112.187</v>
      </c>
      <c r="P28" s="28">
        <v>118.768</v>
      </c>
      <c r="Q28" s="28">
        <v>112.47799999999999</v>
      </c>
      <c r="R28" s="28"/>
      <c r="S28" s="28"/>
      <c r="T28" s="28"/>
      <c r="U28" s="28">
        <v>111.306</v>
      </c>
      <c r="V28" s="28">
        <v>121.08799999999999</v>
      </c>
      <c r="W28" s="28">
        <v>120.81399999999999</v>
      </c>
      <c r="X28" s="28">
        <v>103.89</v>
      </c>
      <c r="Y28" s="28"/>
    </row>
    <row r="29" spans="1:25">
      <c r="A29" s="66">
        <v>2011</v>
      </c>
      <c r="B29" s="115">
        <f>'905a'!B29</f>
        <v>166.57871591908534</v>
      </c>
      <c r="C29" s="28">
        <f t="shared" si="12"/>
        <v>136.21160861556243</v>
      </c>
      <c r="D29" s="28">
        <f t="shared" si="13"/>
        <v>165.9846357301</v>
      </c>
      <c r="E29" s="28">
        <f t="shared" si="14"/>
        <v>127.80344579247689</v>
      </c>
      <c r="F29" s="28" t="str">
        <f t="shared" si="4"/>
        <v>..</v>
      </c>
      <c r="G29" s="28" t="str">
        <f t="shared" si="5"/>
        <v>..</v>
      </c>
      <c r="H29" s="28" t="str">
        <f t="shared" si="6"/>
        <v>..</v>
      </c>
      <c r="I29" s="28">
        <f t="shared" si="7"/>
        <v>128.36576438258626</v>
      </c>
      <c r="J29" s="28">
        <f t="shared" si="8"/>
        <v>134.65134748768995</v>
      </c>
      <c r="K29" s="28">
        <f t="shared" si="9"/>
        <v>164.61994237246864</v>
      </c>
      <c r="L29" s="28">
        <f t="shared" si="10"/>
        <v>127.91523590008937</v>
      </c>
      <c r="M29" s="28" t="str">
        <f t="shared" si="11"/>
        <v>..</v>
      </c>
      <c r="O29" s="28">
        <v>113.136</v>
      </c>
      <c r="P29" s="28">
        <v>111.706</v>
      </c>
      <c r="Q29" s="28">
        <v>115.349</v>
      </c>
      <c r="R29" s="28"/>
      <c r="S29" s="28"/>
      <c r="T29" s="28"/>
      <c r="U29" s="28">
        <v>115.379</v>
      </c>
      <c r="V29" s="28">
        <v>127.158</v>
      </c>
      <c r="W29" s="28">
        <v>121.69199999999999</v>
      </c>
      <c r="X29" s="28">
        <v>108.774</v>
      </c>
      <c r="Y29" s="28"/>
    </row>
    <row r="31" spans="1:25">
      <c r="A31" s="66" t="s">
        <v>23</v>
      </c>
      <c r="B31" s="66"/>
    </row>
    <row r="32" spans="1:25">
      <c r="A32" s="64" t="s">
        <v>2145</v>
      </c>
      <c r="B32" s="65">
        <f>((B29/B5)^(1/24)-1)*100</f>
        <v>2.1490063125426007</v>
      </c>
      <c r="C32" s="65">
        <f t="shared" ref="C32:E32" si="15">((C29/C5)^(1/24)-1)*100</f>
        <v>1.2959904135706024</v>
      </c>
      <c r="D32" s="65">
        <f t="shared" si="15"/>
        <v>2.1338011271851975</v>
      </c>
      <c r="E32" s="65">
        <f t="shared" si="15"/>
        <v>1.0274226023994748</v>
      </c>
      <c r="F32" s="65" t="s">
        <v>2147</v>
      </c>
      <c r="G32" s="65" t="s">
        <v>2147</v>
      </c>
      <c r="H32" s="65" t="s">
        <v>2147</v>
      </c>
      <c r="I32" s="65">
        <f t="shared" ref="I32:J32" si="16">((I29/I5)^(1/24)-1)*100</f>
        <v>1.0459048149127348</v>
      </c>
      <c r="J32" s="65">
        <f t="shared" si="16"/>
        <v>1.2473766489717875</v>
      </c>
      <c r="K32" s="65">
        <f t="shared" ref="K32:L32" si="17">((K29/K5)^(1/24)-1)*100</f>
        <v>2.0986740321311759</v>
      </c>
      <c r="L32" s="65">
        <f t="shared" si="17"/>
        <v>1.0311031029172746</v>
      </c>
      <c r="M32" s="65" t="s">
        <v>2147</v>
      </c>
      <c r="N32" s="65"/>
      <c r="O32" s="65">
        <f>((O24/O5)^(1/19)-1)*100</f>
        <v>1.5316489352299456</v>
      </c>
      <c r="P32" s="65">
        <f t="shared" ref="P32:Y32" si="18">((P24/P5)^(1/19)-1)*100</f>
        <v>2.7837201146742485</v>
      </c>
      <c r="Q32" s="65">
        <f t="shared" si="18"/>
        <v>0.82536761333140696</v>
      </c>
      <c r="R32" s="65">
        <f t="shared" si="18"/>
        <v>2.1455626128504823</v>
      </c>
      <c r="S32" s="65">
        <f t="shared" si="18"/>
        <v>0.81607290893648265</v>
      </c>
      <c r="T32" s="65">
        <f t="shared" si="18"/>
        <v>1.2365175853221722</v>
      </c>
      <c r="U32" s="65">
        <f t="shared" si="18"/>
        <v>1.2230254345994895</v>
      </c>
      <c r="V32" s="65">
        <f t="shared" si="18"/>
        <v>1.5851868251811618</v>
      </c>
      <c r="W32" s="65">
        <f t="shared" si="18"/>
        <v>2.5245967976060157</v>
      </c>
      <c r="X32" s="65">
        <f t="shared" si="18"/>
        <v>0.52520786671339525</v>
      </c>
      <c r="Y32" s="65">
        <f t="shared" si="18"/>
        <v>-0.81813935824446293</v>
      </c>
    </row>
    <row r="33" spans="1:25">
      <c r="A33" s="64" t="s">
        <v>873</v>
      </c>
      <c r="B33" s="65">
        <f>((B18/B5)^(1/13)-1)*100</f>
        <v>2.0224870976832676</v>
      </c>
      <c r="C33" s="65">
        <f>((C18/C5)^(1/13)-1)*100</f>
        <v>0.63440478136238543</v>
      </c>
      <c r="D33" s="65">
        <f t="shared" ref="D33:M33" si="19">((D18/D5)^(1/13)-1)*100</f>
        <v>2.3397969058169377</v>
      </c>
      <c r="E33" s="65">
        <f t="shared" si="19"/>
        <v>-5.3438885347634191E-2</v>
      </c>
      <c r="F33" s="65">
        <f t="shared" si="19"/>
        <v>1.3197778324989029</v>
      </c>
      <c r="G33" s="65">
        <f t="shared" si="19"/>
        <v>-1.0979596232156164</v>
      </c>
      <c r="H33" s="65">
        <f t="shared" si="19"/>
        <v>1.0707536161429498</v>
      </c>
      <c r="I33" s="65">
        <f t="shared" si="19"/>
        <v>4.4724409393737119E-2</v>
      </c>
      <c r="J33" s="65">
        <f t="shared" si="19"/>
        <v>-0.23377180254514629</v>
      </c>
      <c r="K33" s="65">
        <f t="shared" si="19"/>
        <v>1.0291062292237418</v>
      </c>
      <c r="L33" s="65">
        <f t="shared" si="19"/>
        <v>0.48804254919054824</v>
      </c>
      <c r="M33" s="65">
        <f t="shared" si="19"/>
        <v>0.24865016541923968</v>
      </c>
      <c r="N33" s="65"/>
      <c r="O33" s="65">
        <f>((O18/O5)^(1/13)-1)*100</f>
        <v>0.63440478136238543</v>
      </c>
      <c r="P33" s="65">
        <f t="shared" ref="P33:Y33" si="20">((P18/P5)^(1/13)-1)*100</f>
        <v>2.3397969058169377</v>
      </c>
      <c r="Q33" s="65">
        <f t="shared" si="20"/>
        <v>-5.3438885347634191E-2</v>
      </c>
      <c r="R33" s="65">
        <f t="shared" si="20"/>
        <v>1.3197778324989029</v>
      </c>
      <c r="S33" s="65">
        <f t="shared" si="20"/>
        <v>-1.0979596232156164</v>
      </c>
      <c r="T33" s="65">
        <f t="shared" si="20"/>
        <v>1.0707536161429498</v>
      </c>
      <c r="U33" s="65">
        <f t="shared" si="20"/>
        <v>4.4724409393737119E-2</v>
      </c>
      <c r="V33" s="65">
        <f t="shared" si="20"/>
        <v>-0.23377180254514629</v>
      </c>
      <c r="W33" s="65">
        <f t="shared" si="20"/>
        <v>1.0291062292237418</v>
      </c>
      <c r="X33" s="65">
        <f t="shared" si="20"/>
        <v>0.48804254919054824</v>
      </c>
      <c r="Y33" s="65">
        <f t="shared" si="20"/>
        <v>0.24865016541923968</v>
      </c>
    </row>
    <row r="34" spans="1:25">
      <c r="A34" s="64" t="s">
        <v>26</v>
      </c>
      <c r="B34" s="65">
        <f>((B18/B7)^(1/11)-1)*100</f>
        <v>2.1602683904357933</v>
      </c>
      <c r="C34" s="65">
        <f t="shared" ref="C34:M34" si="21">((C18/C7)^(1/11)-1)*100</f>
        <v>0.78820238103978202</v>
      </c>
      <c r="D34" s="65">
        <f t="shared" si="21"/>
        <v>2.8277484297039912</v>
      </c>
      <c r="E34" s="65">
        <f t="shared" si="21"/>
        <v>-0.24929116256395822</v>
      </c>
      <c r="F34" s="65">
        <f t="shared" si="21"/>
        <v>1.5347604965516348</v>
      </c>
      <c r="G34" s="65">
        <f t="shared" si="21"/>
        <v>-1.4180168466512599</v>
      </c>
      <c r="H34" s="65">
        <f t="shared" si="21"/>
        <v>0.91464483168788302</v>
      </c>
      <c r="I34" s="65">
        <f t="shared" si="21"/>
        <v>0.19163149503838017</v>
      </c>
      <c r="J34" s="65">
        <f t="shared" si="21"/>
        <v>-6.1598445373667321E-2</v>
      </c>
      <c r="K34" s="65">
        <f t="shared" si="21"/>
        <v>0.36843604539600339</v>
      </c>
      <c r="L34" s="65">
        <f t="shared" si="21"/>
        <v>0.71635177496292002</v>
      </c>
      <c r="M34" s="65">
        <f t="shared" si="21"/>
        <v>0.39945016171225589</v>
      </c>
      <c r="N34" s="65"/>
      <c r="O34" s="65"/>
      <c r="P34" s="65"/>
      <c r="Q34" s="65"/>
      <c r="R34" s="65"/>
      <c r="S34" s="65"/>
      <c r="T34" s="65"/>
      <c r="U34" s="65"/>
      <c r="V34" s="65"/>
      <c r="W34" s="65"/>
      <c r="X34" s="65"/>
      <c r="Y34" s="65"/>
    </row>
    <row r="35" spans="1:25">
      <c r="A35" s="64" t="s">
        <v>1782</v>
      </c>
      <c r="B35" s="65">
        <f>((B29/B18)^(1/11)-1)*100</f>
        <v>2.2987313177736501</v>
      </c>
      <c r="C35" s="65">
        <f t="shared" ref="C35:E35" si="22">((C29/C18)^(1/11)-1)*100</f>
        <v>2.0834740168437671</v>
      </c>
      <c r="D35" s="65">
        <f t="shared" si="22"/>
        <v>1.8908860836709618</v>
      </c>
      <c r="E35" s="65">
        <f t="shared" si="22"/>
        <v>2.3198841537151571</v>
      </c>
      <c r="F35" s="65" t="s">
        <v>2147</v>
      </c>
      <c r="G35" s="65" t="s">
        <v>2147</v>
      </c>
      <c r="H35" s="65" t="s">
        <v>2147</v>
      </c>
      <c r="I35" s="65">
        <f t="shared" ref="I35:L35" si="23">((I29/I18)^(1/11)-1)*100</f>
        <v>2.2420430795147661</v>
      </c>
      <c r="J35" s="65">
        <f t="shared" si="23"/>
        <v>3.0262002365769813</v>
      </c>
      <c r="K35" s="65">
        <f t="shared" si="23"/>
        <v>3.377316592609847</v>
      </c>
      <c r="L35" s="65">
        <f t="shared" si="23"/>
        <v>1.6766869176813692</v>
      </c>
      <c r="M35" s="65" t="s">
        <v>2147</v>
      </c>
      <c r="N35" s="65"/>
      <c r="O35" s="65">
        <f>((O24/O18)^(1/6)-1)*100</f>
        <v>3.503216609252302</v>
      </c>
      <c r="P35" s="65">
        <f t="shared" ref="P35:Y35" si="24">((P24/P18)^(1/6)-1)*100</f>
        <v>3.7521708344086191</v>
      </c>
      <c r="Q35" s="65">
        <f t="shared" si="24"/>
        <v>2.7560474124967982</v>
      </c>
      <c r="R35" s="65">
        <f t="shared" si="24"/>
        <v>3.9579251157576545</v>
      </c>
      <c r="S35" s="65">
        <f t="shared" si="24"/>
        <v>5.0911748693323711</v>
      </c>
      <c r="T35" s="65">
        <f t="shared" si="24"/>
        <v>1.596606097914699</v>
      </c>
      <c r="U35" s="65">
        <f t="shared" si="24"/>
        <v>3.8238374643391415</v>
      </c>
      <c r="V35" s="65">
        <f t="shared" si="24"/>
        <v>5.6408408067976978</v>
      </c>
      <c r="W35" s="65">
        <f t="shared" si="24"/>
        <v>5.8412063712343532</v>
      </c>
      <c r="X35" s="65">
        <f t="shared" si="24"/>
        <v>0.6057798829132377</v>
      </c>
      <c r="Y35" s="65">
        <f t="shared" si="24"/>
        <v>-3.0907334967032463</v>
      </c>
    </row>
    <row r="36" spans="1:25">
      <c r="B36" s="65"/>
      <c r="C36" s="65"/>
      <c r="D36" s="65"/>
      <c r="E36" s="65"/>
      <c r="F36" s="65"/>
      <c r="G36" s="65"/>
      <c r="H36" s="65"/>
      <c r="I36" s="65"/>
      <c r="J36" s="65"/>
      <c r="K36" s="65"/>
      <c r="L36" s="65"/>
      <c r="M36" s="65"/>
      <c r="N36" s="65"/>
      <c r="O36" s="65"/>
      <c r="P36" s="65"/>
      <c r="Q36" s="65"/>
      <c r="R36" s="65"/>
      <c r="S36" s="65"/>
      <c r="T36" s="65"/>
      <c r="U36" s="65"/>
      <c r="V36" s="65"/>
      <c r="W36" s="65"/>
      <c r="X36" s="65"/>
      <c r="Y36" s="65"/>
    </row>
    <row r="37" spans="1:25">
      <c r="A37" s="66" t="s">
        <v>935</v>
      </c>
      <c r="B37" s="65"/>
      <c r="C37" s="65"/>
      <c r="D37" s="65"/>
      <c r="E37" s="65"/>
      <c r="F37" s="65"/>
      <c r="G37" s="65"/>
      <c r="H37" s="65"/>
      <c r="I37" s="65"/>
      <c r="J37" s="65"/>
      <c r="K37" s="65"/>
      <c r="L37" s="65"/>
      <c r="M37" s="65"/>
      <c r="N37" s="65"/>
      <c r="O37" s="65"/>
      <c r="P37" s="65"/>
      <c r="Q37" s="65"/>
      <c r="R37" s="65"/>
      <c r="S37" s="65"/>
      <c r="T37" s="65"/>
      <c r="U37" s="65"/>
      <c r="V37" s="65"/>
      <c r="W37" s="65"/>
      <c r="X37" s="65"/>
      <c r="Y37" s="65"/>
    </row>
    <row r="38" spans="1:25">
      <c r="A38" s="64" t="s">
        <v>2145</v>
      </c>
      <c r="B38" s="28">
        <f>(B29/B5)*100</f>
        <v>166.57871591908534</v>
      </c>
      <c r="C38" s="28">
        <f t="shared" ref="C38:L38" si="25">(C29/C5)*100</f>
        <v>136.21160861556243</v>
      </c>
      <c r="D38" s="28">
        <f t="shared" si="25"/>
        <v>165.9846357301</v>
      </c>
      <c r="E38" s="28">
        <f t="shared" si="25"/>
        <v>127.80344579247689</v>
      </c>
      <c r="F38" s="65" t="s">
        <v>2147</v>
      </c>
      <c r="G38" s="65" t="s">
        <v>2147</v>
      </c>
      <c r="H38" s="65" t="s">
        <v>2147</v>
      </c>
      <c r="I38" s="28">
        <f t="shared" si="25"/>
        <v>128.36576438258626</v>
      </c>
      <c r="J38" s="28">
        <f t="shared" si="25"/>
        <v>134.65134748768995</v>
      </c>
      <c r="K38" s="28">
        <f t="shared" si="25"/>
        <v>164.61994237246864</v>
      </c>
      <c r="L38" s="28">
        <f t="shared" si="25"/>
        <v>127.91523590008937</v>
      </c>
      <c r="M38" s="65" t="s">
        <v>2147</v>
      </c>
      <c r="N38" s="65"/>
      <c r="O38" s="65"/>
      <c r="P38" s="65"/>
      <c r="Q38" s="65"/>
      <c r="R38" s="65"/>
      <c r="S38" s="65"/>
      <c r="T38" s="65"/>
      <c r="U38" s="65"/>
      <c r="V38" s="65"/>
      <c r="W38" s="65"/>
      <c r="X38" s="65"/>
      <c r="Y38" s="65"/>
    </row>
    <row r="39" spans="1:25">
      <c r="A39" s="64" t="s">
        <v>873</v>
      </c>
      <c r="B39" s="28">
        <f>B18/B5*100</f>
        <v>129.73190185909684</v>
      </c>
      <c r="C39" s="28">
        <f t="shared" ref="C39:M39" si="26">C18/C5*100</f>
        <v>108.56860785706546</v>
      </c>
      <c r="D39" s="28">
        <f t="shared" si="26"/>
        <v>135.07630128233703</v>
      </c>
      <c r="E39" s="28">
        <f t="shared" si="26"/>
        <v>99.307517589053234</v>
      </c>
      <c r="F39" s="28">
        <f t="shared" si="26"/>
        <v>118.58369395083324</v>
      </c>
      <c r="G39" s="28">
        <f t="shared" si="26"/>
        <v>86.629990541724879</v>
      </c>
      <c r="H39" s="28">
        <f t="shared" si="26"/>
        <v>114.85014593863458</v>
      </c>
      <c r="I39" s="28">
        <f t="shared" si="26"/>
        <v>100.58298009634747</v>
      </c>
      <c r="J39" s="28">
        <f t="shared" si="26"/>
        <v>97.003229734738184</v>
      </c>
      <c r="K39" s="28">
        <f t="shared" si="26"/>
        <v>114.23643520960999</v>
      </c>
      <c r="L39" s="28">
        <f t="shared" si="26"/>
        <v>106.53370337268922</v>
      </c>
      <c r="M39" s="28">
        <f t="shared" si="26"/>
        <v>103.28111955709829</v>
      </c>
      <c r="N39" s="65"/>
      <c r="O39" s="65"/>
      <c r="P39" s="65"/>
      <c r="Q39" s="65"/>
      <c r="R39" s="65"/>
      <c r="S39" s="65"/>
      <c r="T39" s="65"/>
      <c r="U39" s="65"/>
      <c r="V39" s="65"/>
      <c r="W39" s="65"/>
      <c r="X39" s="65"/>
      <c r="Y39" s="65"/>
    </row>
    <row r="40" spans="1:25">
      <c r="A40" s="64" t="s">
        <v>1782</v>
      </c>
      <c r="B40" s="28">
        <f>B29/B18*100</f>
        <v>128.40227695112972</v>
      </c>
      <c r="C40" s="28">
        <f t="shared" ref="C40:E40" si="27">C29/C18*100</f>
        <v>125.46132008516678</v>
      </c>
      <c r="D40" s="28">
        <f t="shared" si="27"/>
        <v>122.88212969583631</v>
      </c>
      <c r="E40" s="28">
        <f t="shared" si="27"/>
        <v>128.69463349325005</v>
      </c>
      <c r="F40" s="65" t="s">
        <v>2147</v>
      </c>
      <c r="G40" s="65" t="s">
        <v>2147</v>
      </c>
      <c r="H40" s="65" t="s">
        <v>2147</v>
      </c>
      <c r="I40" s="28">
        <f t="shared" ref="I40:L40" si="28">I29/I18*100</f>
        <v>127.62175495260324</v>
      </c>
      <c r="J40" s="28">
        <f t="shared" si="28"/>
        <v>138.81120026199443</v>
      </c>
      <c r="K40" s="28">
        <f t="shared" si="28"/>
        <v>144.10458630857224</v>
      </c>
      <c r="L40" s="28">
        <f t="shared" si="28"/>
        <v>120.07020487460261</v>
      </c>
      <c r="M40" s="65" t="s">
        <v>2147</v>
      </c>
      <c r="N40" s="65"/>
      <c r="O40" s="65"/>
      <c r="P40" s="65"/>
      <c r="Q40" s="65"/>
      <c r="R40" s="65"/>
      <c r="S40" s="65"/>
      <c r="T40" s="65"/>
      <c r="U40" s="65"/>
      <c r="V40" s="65"/>
      <c r="W40" s="65"/>
      <c r="X40" s="65"/>
      <c r="Y40" s="65"/>
    </row>
    <row r="42" spans="1:25">
      <c r="A42" s="64" t="s">
        <v>2047</v>
      </c>
    </row>
    <row r="43" spans="1:25">
      <c r="A43" s="64" t="s">
        <v>868</v>
      </c>
    </row>
  </sheetData>
  <mergeCells count="11">
    <mergeCell ref="B2:B4"/>
    <mergeCell ref="O2:Y2"/>
    <mergeCell ref="O3:O4"/>
    <mergeCell ref="P3:P4"/>
    <mergeCell ref="Q3:T3"/>
    <mergeCell ref="U3:Y3"/>
    <mergeCell ref="C2:M2"/>
    <mergeCell ref="C3:C4"/>
    <mergeCell ref="D3:D4"/>
    <mergeCell ref="E3:H3"/>
    <mergeCell ref="I3:M3"/>
  </mergeCells>
  <pageMargins left="0.7" right="0.7" top="0.75" bottom="0.75" header="0.3" footer="0.3"/>
  <pageSetup scale="64" orientation="landscape" horizontalDpi="0" verticalDpi="0" r:id="rId1"/>
</worksheet>
</file>

<file path=xl/worksheets/sheet204.xml><?xml version="1.0" encoding="utf-8"?>
<worksheet xmlns="http://schemas.openxmlformats.org/spreadsheetml/2006/main" xmlns:r="http://schemas.openxmlformats.org/officeDocument/2006/relationships">
  <sheetPr codeName="Sheet198"/>
  <dimension ref="A1:Z43"/>
  <sheetViews>
    <sheetView view="pageBreakPreview" zoomScale="85" zoomScaleNormal="70"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Col="1"/>
  <cols>
    <col min="1" max="1" width="10.42578125" style="64" customWidth="1"/>
    <col min="2" max="2" width="10.5703125" style="64" customWidth="1"/>
    <col min="3" max="5" width="14.85546875" style="64" customWidth="1"/>
    <col min="6" max="6" width="14.140625" style="64" customWidth="1"/>
    <col min="7" max="7" width="14.7109375" style="64" customWidth="1"/>
    <col min="8" max="8" width="14.85546875" style="64" customWidth="1"/>
    <col min="9" max="9" width="15.5703125" style="64" customWidth="1"/>
    <col min="10" max="10" width="15.140625" style="64" customWidth="1"/>
    <col min="11" max="11" width="15" style="64" customWidth="1"/>
    <col min="12" max="12" width="14.85546875" style="64" customWidth="1"/>
    <col min="13" max="13" width="9.140625" style="64"/>
    <col min="14" max="25" width="9.140625" style="64" hidden="1" customWidth="1" outlineLevel="1"/>
    <col min="26" max="26" width="9.140625" style="64" collapsed="1"/>
    <col min="27" max="16384" width="9.140625" style="64"/>
  </cols>
  <sheetData>
    <row r="1" spans="1:24">
      <c r="A1" s="108" t="s">
        <v>2048</v>
      </c>
      <c r="B1" s="108"/>
      <c r="C1" s="108"/>
      <c r="D1" s="108"/>
      <c r="E1" s="108"/>
      <c r="F1" s="108"/>
      <c r="G1" s="108"/>
      <c r="H1" s="108"/>
      <c r="I1" s="108"/>
      <c r="J1" s="108"/>
      <c r="K1" s="108"/>
      <c r="L1" s="108"/>
    </row>
    <row r="2" spans="1:24">
      <c r="B2" s="123" t="s">
        <v>860</v>
      </c>
      <c r="C2" s="112" t="s">
        <v>2</v>
      </c>
      <c r="D2" s="112"/>
      <c r="E2" s="112"/>
      <c r="F2" s="112"/>
      <c r="G2" s="112"/>
      <c r="H2" s="112"/>
      <c r="I2" s="112"/>
      <c r="J2" s="112"/>
      <c r="K2" s="112"/>
      <c r="L2" s="112"/>
      <c r="M2" s="124"/>
      <c r="N2" s="123" t="s">
        <v>860</v>
      </c>
      <c r="O2" s="112" t="s">
        <v>2</v>
      </c>
      <c r="P2" s="112"/>
      <c r="Q2" s="112"/>
      <c r="R2" s="112"/>
      <c r="S2" s="112"/>
      <c r="T2" s="112"/>
      <c r="U2" s="112"/>
      <c r="V2" s="112"/>
      <c r="W2" s="112"/>
      <c r="X2" s="112"/>
    </row>
    <row r="3" spans="1:24" ht="36" customHeight="1">
      <c r="B3" s="125"/>
      <c r="C3" s="94" t="s">
        <v>517</v>
      </c>
      <c r="D3" s="98" t="s">
        <v>13</v>
      </c>
      <c r="E3" s="99"/>
      <c r="F3" s="97" t="s">
        <v>19</v>
      </c>
      <c r="G3" s="97"/>
      <c r="H3" s="97"/>
      <c r="I3" s="97"/>
      <c r="J3" s="97"/>
      <c r="K3" s="97"/>
      <c r="L3" s="97"/>
      <c r="M3" s="62"/>
      <c r="N3" s="125"/>
      <c r="O3" s="94" t="s">
        <v>517</v>
      </c>
      <c r="P3" s="98" t="s">
        <v>13</v>
      </c>
      <c r="Q3" s="99"/>
      <c r="R3" s="97" t="s">
        <v>19</v>
      </c>
      <c r="S3" s="97"/>
      <c r="T3" s="97"/>
      <c r="U3" s="97"/>
      <c r="V3" s="97"/>
      <c r="W3" s="97"/>
      <c r="X3" s="97"/>
    </row>
    <row r="4" spans="1:24" ht="150">
      <c r="B4" s="126"/>
      <c r="C4" s="94"/>
      <c r="D4" s="73" t="s">
        <v>561</v>
      </c>
      <c r="E4" s="73" t="s">
        <v>18</v>
      </c>
      <c r="F4" s="73" t="s">
        <v>562</v>
      </c>
      <c r="G4" s="73" t="s">
        <v>20</v>
      </c>
      <c r="H4" s="73" t="s">
        <v>21</v>
      </c>
      <c r="I4" s="73" t="s">
        <v>869</v>
      </c>
      <c r="J4" s="73" t="s">
        <v>870</v>
      </c>
      <c r="K4" s="73" t="s">
        <v>871</v>
      </c>
      <c r="L4" s="73" t="s">
        <v>872</v>
      </c>
      <c r="M4" s="62"/>
      <c r="N4" s="126"/>
      <c r="O4" s="94"/>
      <c r="P4" s="73" t="s">
        <v>561</v>
      </c>
      <c r="Q4" s="73" t="s">
        <v>18</v>
      </c>
      <c r="R4" s="73" t="s">
        <v>562</v>
      </c>
      <c r="S4" s="73" t="s">
        <v>20</v>
      </c>
      <c r="T4" s="73" t="s">
        <v>21</v>
      </c>
      <c r="U4" s="73" t="s">
        <v>869</v>
      </c>
      <c r="V4" s="73" t="s">
        <v>870</v>
      </c>
      <c r="W4" s="73" t="s">
        <v>871</v>
      </c>
      <c r="X4" s="73" t="s">
        <v>872</v>
      </c>
    </row>
    <row r="5" spans="1:24">
      <c r="A5" s="66">
        <v>1987</v>
      </c>
      <c r="B5" s="28">
        <f>N5/N$5*100</f>
        <v>100</v>
      </c>
      <c r="C5" s="28">
        <f>O5/O$5*100</f>
        <v>100</v>
      </c>
      <c r="D5" s="28">
        <f>IF(P5/P$5*100=0,"..",P5/P$5*100)</f>
        <v>100</v>
      </c>
      <c r="E5" s="28">
        <f t="shared" ref="E5:L20" si="0">IF(Q5/Q$5*100=0,"..",Q5/Q$5*100)</f>
        <v>100</v>
      </c>
      <c r="F5" s="28">
        <f t="shared" si="0"/>
        <v>100</v>
      </c>
      <c r="G5" s="28">
        <f t="shared" si="0"/>
        <v>100</v>
      </c>
      <c r="H5" s="28">
        <f t="shared" si="0"/>
        <v>100</v>
      </c>
      <c r="I5" s="28">
        <f t="shared" si="0"/>
        <v>100</v>
      </c>
      <c r="J5" s="28">
        <f t="shared" si="0"/>
        <v>100</v>
      </c>
      <c r="K5" s="28">
        <f t="shared" si="0"/>
        <v>100</v>
      </c>
      <c r="L5" s="28">
        <f>IF(X5/X$5*100=0,"..",X5/X$5*100)</f>
        <v>100</v>
      </c>
      <c r="N5" s="28">
        <v>65.945999999999998</v>
      </c>
      <c r="O5" s="28">
        <v>75.543000000000006</v>
      </c>
      <c r="P5" s="28">
        <v>61.905000000000001</v>
      </c>
      <c r="Q5" s="28">
        <v>80.102999999999994</v>
      </c>
      <c r="R5" s="28">
        <v>84.528999999999996</v>
      </c>
      <c r="S5" s="28">
        <v>91.388000000000005</v>
      </c>
      <c r="T5" s="28">
        <v>87.072000000000003</v>
      </c>
      <c r="U5" s="28">
        <v>79.146000000000001</v>
      </c>
      <c r="V5" s="28">
        <v>110.848</v>
      </c>
      <c r="W5" s="28">
        <v>77.91</v>
      </c>
      <c r="X5" s="28">
        <v>86.578999999999994</v>
      </c>
    </row>
    <row r="6" spans="1:24">
      <c r="A6" s="66">
        <v>1988</v>
      </c>
      <c r="B6" s="28">
        <f t="shared" ref="B6:B25" si="1">N6/N$5*100</f>
        <v>101.50122827768175</v>
      </c>
      <c r="C6" s="28">
        <f t="shared" ref="C6:C28" si="2">O6/O$5*100</f>
        <v>102.54159882451053</v>
      </c>
      <c r="D6" s="28">
        <f t="shared" ref="D6:D29" si="3">IF(P6/P$5*100=0,"..",P6/P$5*100)</f>
        <v>104.13213795331555</v>
      </c>
      <c r="E6" s="28">
        <f t="shared" si="0"/>
        <v>106.32186060447175</v>
      </c>
      <c r="F6" s="28">
        <f t="shared" si="0"/>
        <v>101.48588058536123</v>
      </c>
      <c r="G6" s="28">
        <f t="shared" si="0"/>
        <v>99.137742373178085</v>
      </c>
      <c r="H6" s="28">
        <f t="shared" si="0"/>
        <v>104.57667217934583</v>
      </c>
      <c r="I6" s="28">
        <f t="shared" si="0"/>
        <v>107.76918606120334</v>
      </c>
      <c r="J6" s="28">
        <f t="shared" si="0"/>
        <v>99.50923787528869</v>
      </c>
      <c r="K6" s="28">
        <f t="shared" si="0"/>
        <v>100.22076755230394</v>
      </c>
      <c r="L6" s="28">
        <f t="shared" si="0"/>
        <v>101.96352464223426</v>
      </c>
      <c r="N6" s="28">
        <v>66.936000000000007</v>
      </c>
      <c r="O6" s="28">
        <v>77.462999999999994</v>
      </c>
      <c r="P6" s="28">
        <v>64.462999999999994</v>
      </c>
      <c r="Q6" s="28">
        <v>85.167000000000002</v>
      </c>
      <c r="R6" s="28">
        <v>85.784999999999997</v>
      </c>
      <c r="S6" s="28">
        <v>90.6</v>
      </c>
      <c r="T6" s="28">
        <v>91.057000000000002</v>
      </c>
      <c r="U6" s="28">
        <v>85.295000000000002</v>
      </c>
      <c r="V6" s="28">
        <v>110.304</v>
      </c>
      <c r="W6" s="28">
        <v>78.081999999999994</v>
      </c>
      <c r="X6" s="28">
        <v>88.278999999999996</v>
      </c>
    </row>
    <row r="7" spans="1:24">
      <c r="A7" s="66">
        <v>1989</v>
      </c>
      <c r="B7" s="28">
        <f t="shared" si="1"/>
        <v>102.55208807205898</v>
      </c>
      <c r="C7" s="28">
        <f t="shared" si="2"/>
        <v>102.04386905471057</v>
      </c>
      <c r="D7" s="28">
        <f t="shared" si="3"/>
        <v>103.73637024472984</v>
      </c>
      <c r="E7" s="28">
        <f t="shared" si="0"/>
        <v>101.65162353469907</v>
      </c>
      <c r="F7" s="28">
        <f t="shared" si="0"/>
        <v>101.38532338014174</v>
      </c>
      <c r="G7" s="28">
        <f t="shared" si="0"/>
        <v>100.99684860156695</v>
      </c>
      <c r="H7" s="28">
        <f t="shared" si="0"/>
        <v>96.999035281146632</v>
      </c>
      <c r="I7" s="28">
        <f t="shared" si="0"/>
        <v>101.85479998989211</v>
      </c>
      <c r="J7" s="28">
        <f t="shared" si="0"/>
        <v>89.726472286374133</v>
      </c>
      <c r="K7" s="28">
        <f t="shared" si="0"/>
        <v>97.168527788473881</v>
      </c>
      <c r="L7" s="28">
        <f t="shared" si="0"/>
        <v>108.89592164381665</v>
      </c>
      <c r="N7" s="28">
        <v>67.629000000000005</v>
      </c>
      <c r="O7" s="28">
        <v>77.087000000000003</v>
      </c>
      <c r="P7" s="28">
        <v>64.218000000000004</v>
      </c>
      <c r="Q7" s="28">
        <v>81.426000000000002</v>
      </c>
      <c r="R7" s="28">
        <v>85.7</v>
      </c>
      <c r="S7" s="28">
        <v>92.299000000000007</v>
      </c>
      <c r="T7" s="28">
        <v>84.459000000000003</v>
      </c>
      <c r="U7" s="28">
        <v>80.614000000000004</v>
      </c>
      <c r="V7" s="28">
        <v>99.46</v>
      </c>
      <c r="W7" s="28">
        <v>75.703999999999994</v>
      </c>
      <c r="X7" s="28">
        <v>94.281000000000006</v>
      </c>
    </row>
    <row r="8" spans="1:24">
      <c r="A8" s="66">
        <v>1990</v>
      </c>
      <c r="B8" s="28">
        <f t="shared" si="1"/>
        <v>104.73569283959606</v>
      </c>
      <c r="C8" s="28">
        <f t="shared" si="2"/>
        <v>101.77911917715736</v>
      </c>
      <c r="D8" s="28">
        <f t="shared" si="3"/>
        <v>102.80429690655035</v>
      </c>
      <c r="E8" s="28">
        <f t="shared" si="0"/>
        <v>100.42944708687567</v>
      </c>
      <c r="F8" s="28">
        <f t="shared" si="0"/>
        <v>101.67279868447517</v>
      </c>
      <c r="G8" s="28">
        <f t="shared" si="0"/>
        <v>100.70359346960214</v>
      </c>
      <c r="H8" s="28">
        <f t="shared" si="0"/>
        <v>94.59642594634326</v>
      </c>
      <c r="I8" s="28">
        <f t="shared" si="0"/>
        <v>99.034695373107922</v>
      </c>
      <c r="J8" s="28">
        <f t="shared" si="0"/>
        <v>87.225750577367208</v>
      </c>
      <c r="K8" s="28">
        <f t="shared" si="0"/>
        <v>101.63008599666283</v>
      </c>
      <c r="L8" s="28">
        <f t="shared" si="0"/>
        <v>112.42795597084745</v>
      </c>
      <c r="N8" s="28">
        <v>69.069000000000003</v>
      </c>
      <c r="O8" s="28">
        <v>76.887</v>
      </c>
      <c r="P8" s="28">
        <v>63.640999999999998</v>
      </c>
      <c r="Q8" s="28">
        <v>80.447000000000003</v>
      </c>
      <c r="R8" s="28">
        <v>85.942999999999998</v>
      </c>
      <c r="S8" s="28">
        <v>92.031000000000006</v>
      </c>
      <c r="T8" s="28">
        <v>82.367000000000004</v>
      </c>
      <c r="U8" s="28">
        <v>78.382000000000005</v>
      </c>
      <c r="V8" s="28">
        <v>96.688000000000002</v>
      </c>
      <c r="W8" s="28">
        <v>79.180000000000007</v>
      </c>
      <c r="X8" s="28">
        <v>97.338999999999999</v>
      </c>
    </row>
    <row r="9" spans="1:24">
      <c r="A9" s="66">
        <v>1991</v>
      </c>
      <c r="B9" s="28">
        <f t="shared" si="1"/>
        <v>106.31880629606042</v>
      </c>
      <c r="C9" s="28">
        <f t="shared" si="2"/>
        <v>103.38350343512965</v>
      </c>
      <c r="D9" s="28">
        <f t="shared" si="3"/>
        <v>102.24052984411598</v>
      </c>
      <c r="E9" s="28">
        <f t="shared" si="0"/>
        <v>100.77025829244847</v>
      </c>
      <c r="F9" s="28">
        <f t="shared" si="0"/>
        <v>105.24553703462716</v>
      </c>
      <c r="G9" s="28">
        <f t="shared" si="0"/>
        <v>103.67553726966341</v>
      </c>
      <c r="H9" s="28">
        <f t="shared" si="0"/>
        <v>98.280733186328547</v>
      </c>
      <c r="I9" s="28">
        <f t="shared" si="0"/>
        <v>103.86248199529985</v>
      </c>
      <c r="J9" s="28">
        <f t="shared" si="0"/>
        <v>89.976364030023092</v>
      </c>
      <c r="K9" s="28">
        <f t="shared" si="0"/>
        <v>110.20408163265307</v>
      </c>
      <c r="L9" s="28">
        <f t="shared" si="0"/>
        <v>116.9787130828492</v>
      </c>
      <c r="N9" s="28">
        <v>70.113</v>
      </c>
      <c r="O9" s="28">
        <v>78.099000000000004</v>
      </c>
      <c r="P9" s="28">
        <v>63.292000000000002</v>
      </c>
      <c r="Q9" s="28">
        <v>80.72</v>
      </c>
      <c r="R9" s="28">
        <v>88.962999999999994</v>
      </c>
      <c r="S9" s="28">
        <v>94.747</v>
      </c>
      <c r="T9" s="28">
        <v>85.575000000000003</v>
      </c>
      <c r="U9" s="28">
        <v>82.203000000000003</v>
      </c>
      <c r="V9" s="28">
        <v>99.736999999999995</v>
      </c>
      <c r="W9" s="28">
        <v>85.86</v>
      </c>
      <c r="X9" s="28">
        <v>101.279</v>
      </c>
    </row>
    <row r="10" spans="1:24">
      <c r="A10" s="66">
        <v>1992</v>
      </c>
      <c r="B10" s="28">
        <f t="shared" si="1"/>
        <v>110.78154853971431</v>
      </c>
      <c r="C10" s="28">
        <f t="shared" si="2"/>
        <v>105.50017870616732</v>
      </c>
      <c r="D10" s="28">
        <f t="shared" si="3"/>
        <v>107.31443340602537</v>
      </c>
      <c r="E10" s="28">
        <f t="shared" si="0"/>
        <v>105.38306929827847</v>
      </c>
      <c r="F10" s="28">
        <f t="shared" si="0"/>
        <v>105.50107063847911</v>
      </c>
      <c r="G10" s="28">
        <f t="shared" si="0"/>
        <v>106.01391867641266</v>
      </c>
      <c r="H10" s="28">
        <f t="shared" si="0"/>
        <v>99.216740169055498</v>
      </c>
      <c r="I10" s="28">
        <f t="shared" si="0"/>
        <v>104.90485937381548</v>
      </c>
      <c r="J10" s="28">
        <f t="shared" si="0"/>
        <v>90.109880196304857</v>
      </c>
      <c r="K10" s="28">
        <f t="shared" si="0"/>
        <v>114.12398921832884</v>
      </c>
      <c r="L10" s="28">
        <f t="shared" si="0"/>
        <v>108.05276106215133</v>
      </c>
      <c r="N10" s="28">
        <v>73.055999999999997</v>
      </c>
      <c r="O10" s="28">
        <v>79.697999999999993</v>
      </c>
      <c r="P10" s="28">
        <v>66.433000000000007</v>
      </c>
      <c r="Q10" s="28">
        <v>84.415000000000006</v>
      </c>
      <c r="R10" s="28">
        <v>89.179000000000002</v>
      </c>
      <c r="S10" s="28">
        <v>96.884</v>
      </c>
      <c r="T10" s="28">
        <v>86.39</v>
      </c>
      <c r="U10" s="28">
        <v>83.028000000000006</v>
      </c>
      <c r="V10" s="28">
        <v>99.885000000000005</v>
      </c>
      <c r="W10" s="28">
        <v>88.914000000000001</v>
      </c>
      <c r="X10" s="28">
        <v>93.551000000000002</v>
      </c>
    </row>
    <row r="11" spans="1:24">
      <c r="A11" s="66">
        <v>1993</v>
      </c>
      <c r="B11" s="28">
        <f t="shared" si="1"/>
        <v>111.31380220180147</v>
      </c>
      <c r="C11" s="28">
        <f t="shared" si="2"/>
        <v>108.27608117231244</v>
      </c>
      <c r="D11" s="28">
        <f t="shared" si="3"/>
        <v>109.00734997173087</v>
      </c>
      <c r="E11" s="28">
        <f t="shared" si="0"/>
        <v>110.01585458721897</v>
      </c>
      <c r="F11" s="28">
        <f t="shared" si="0"/>
        <v>108.78988276212897</v>
      </c>
      <c r="G11" s="28">
        <f t="shared" si="0"/>
        <v>108.00980435068061</v>
      </c>
      <c r="H11" s="28">
        <f t="shared" si="0"/>
        <v>101.66988239617787</v>
      </c>
      <c r="I11" s="28">
        <f t="shared" si="0"/>
        <v>109.54691329947185</v>
      </c>
      <c r="J11" s="28">
        <f t="shared" si="0"/>
        <v>89.598368937644352</v>
      </c>
      <c r="K11" s="28">
        <f t="shared" si="0"/>
        <v>114.48209472468234</v>
      </c>
      <c r="L11" s="28">
        <f t="shared" si="0"/>
        <v>115.39056815163032</v>
      </c>
      <c r="N11" s="28">
        <v>73.406999999999996</v>
      </c>
      <c r="O11" s="28">
        <v>81.795000000000002</v>
      </c>
      <c r="P11" s="28">
        <v>67.480999999999995</v>
      </c>
      <c r="Q11" s="28">
        <v>88.126000000000005</v>
      </c>
      <c r="R11" s="28">
        <v>91.959000000000003</v>
      </c>
      <c r="S11" s="28">
        <v>98.707999999999998</v>
      </c>
      <c r="T11" s="28">
        <v>88.525999999999996</v>
      </c>
      <c r="U11" s="28">
        <v>86.701999999999998</v>
      </c>
      <c r="V11" s="28">
        <v>99.317999999999998</v>
      </c>
      <c r="W11" s="28">
        <v>89.192999999999998</v>
      </c>
      <c r="X11" s="28">
        <v>99.903999999999996</v>
      </c>
    </row>
    <row r="12" spans="1:24">
      <c r="A12" s="66">
        <v>1994</v>
      </c>
      <c r="B12" s="28">
        <f t="shared" si="1"/>
        <v>112.2873259939951</v>
      </c>
      <c r="C12" s="28">
        <f t="shared" si="2"/>
        <v>111.44778470539958</v>
      </c>
      <c r="D12" s="28">
        <f t="shared" si="3"/>
        <v>114.87440432921412</v>
      </c>
      <c r="E12" s="28">
        <f t="shared" si="0"/>
        <v>113.98449496273551</v>
      </c>
      <c r="F12" s="28">
        <f t="shared" si="0"/>
        <v>109.72565628364231</v>
      </c>
      <c r="G12" s="28">
        <f t="shared" si="0"/>
        <v>107.89490961614214</v>
      </c>
      <c r="H12" s="28">
        <f t="shared" si="0"/>
        <v>104.84196986402057</v>
      </c>
      <c r="I12" s="28">
        <f t="shared" si="0"/>
        <v>114.81944760316378</v>
      </c>
      <c r="J12" s="28">
        <f t="shared" si="0"/>
        <v>89.030925230946877</v>
      </c>
      <c r="K12" s="28">
        <f t="shared" si="0"/>
        <v>113.19214478244129</v>
      </c>
      <c r="L12" s="28">
        <f t="shared" si="0"/>
        <v>119.23330137793229</v>
      </c>
      <c r="N12" s="28">
        <v>74.049000000000007</v>
      </c>
      <c r="O12" s="28">
        <v>84.191000000000003</v>
      </c>
      <c r="P12" s="28">
        <v>71.113</v>
      </c>
      <c r="Q12" s="28">
        <v>91.305000000000007</v>
      </c>
      <c r="R12" s="28">
        <v>92.75</v>
      </c>
      <c r="S12" s="28">
        <v>98.602999999999994</v>
      </c>
      <c r="T12" s="28">
        <v>91.287999999999997</v>
      </c>
      <c r="U12" s="28">
        <v>90.875</v>
      </c>
      <c r="V12" s="28">
        <v>98.688999999999993</v>
      </c>
      <c r="W12" s="28">
        <v>88.188000000000002</v>
      </c>
      <c r="X12" s="28">
        <v>103.23099999999999</v>
      </c>
    </row>
    <row r="13" spans="1:24">
      <c r="A13" s="66">
        <v>1995</v>
      </c>
      <c r="B13" s="28">
        <f t="shared" si="1"/>
        <v>112.34343250538319</v>
      </c>
      <c r="C13" s="28">
        <f t="shared" si="2"/>
        <v>113.86362733807236</v>
      </c>
      <c r="D13" s="28">
        <f t="shared" si="3"/>
        <v>120.21646070592035</v>
      </c>
      <c r="E13" s="28">
        <f t="shared" si="0"/>
        <v>116.07929790394869</v>
      </c>
      <c r="F13" s="28">
        <f t="shared" si="0"/>
        <v>109.07972411834992</v>
      </c>
      <c r="G13" s="28">
        <f t="shared" si="0"/>
        <v>104.06399089596007</v>
      </c>
      <c r="H13" s="28">
        <f t="shared" si="0"/>
        <v>104.49398199191474</v>
      </c>
      <c r="I13" s="28">
        <f t="shared" si="0"/>
        <v>115.74684759810982</v>
      </c>
      <c r="J13" s="28">
        <f t="shared" si="0"/>
        <v>86.673643187066972</v>
      </c>
      <c r="K13" s="28">
        <f t="shared" si="0"/>
        <v>110.97035040431267</v>
      </c>
      <c r="L13" s="28">
        <f t="shared" si="0"/>
        <v>132.63031451044711</v>
      </c>
      <c r="N13" s="28">
        <v>74.085999999999999</v>
      </c>
      <c r="O13" s="28">
        <v>86.016000000000005</v>
      </c>
      <c r="P13" s="28">
        <v>74.42</v>
      </c>
      <c r="Q13" s="28">
        <v>92.983000000000004</v>
      </c>
      <c r="R13" s="28">
        <v>92.203999999999994</v>
      </c>
      <c r="S13" s="28">
        <v>95.102000000000004</v>
      </c>
      <c r="T13" s="28">
        <v>90.984999999999999</v>
      </c>
      <c r="U13" s="28">
        <v>91.608999999999995</v>
      </c>
      <c r="V13" s="28">
        <v>96.075999999999993</v>
      </c>
      <c r="W13" s="28">
        <v>86.456999999999994</v>
      </c>
      <c r="X13" s="28">
        <v>114.83</v>
      </c>
    </row>
    <row r="14" spans="1:24">
      <c r="A14" s="66">
        <v>1996</v>
      </c>
      <c r="B14" s="28">
        <f t="shared" si="1"/>
        <v>115.62187244108817</v>
      </c>
      <c r="C14" s="28">
        <f t="shared" si="2"/>
        <v>112.69608037806282</v>
      </c>
      <c r="D14" s="28">
        <f t="shared" si="3"/>
        <v>116.43324448752122</v>
      </c>
      <c r="E14" s="28">
        <f t="shared" si="0"/>
        <v>115.89578417787098</v>
      </c>
      <c r="F14" s="28">
        <f t="shared" si="0"/>
        <v>110.12906813046411</v>
      </c>
      <c r="G14" s="28">
        <f t="shared" si="0"/>
        <v>104.08259290059962</v>
      </c>
      <c r="H14" s="28">
        <f t="shared" si="0"/>
        <v>108.10938074237413</v>
      </c>
      <c r="I14" s="28">
        <f t="shared" si="0"/>
        <v>118.585904530867</v>
      </c>
      <c r="J14" s="28">
        <f t="shared" si="0"/>
        <v>90.807231524249417</v>
      </c>
      <c r="K14" s="28">
        <f t="shared" si="0"/>
        <v>111.6673084328071</v>
      </c>
      <c r="L14" s="28">
        <f t="shared" si="0"/>
        <v>131.78253387080011</v>
      </c>
      <c r="N14" s="28">
        <v>76.248000000000005</v>
      </c>
      <c r="O14" s="28">
        <v>85.134</v>
      </c>
      <c r="P14" s="28">
        <v>72.078000000000003</v>
      </c>
      <c r="Q14" s="28">
        <v>92.835999999999999</v>
      </c>
      <c r="R14" s="28">
        <v>93.090999999999994</v>
      </c>
      <c r="S14" s="28">
        <v>95.119</v>
      </c>
      <c r="T14" s="28">
        <v>94.132999999999996</v>
      </c>
      <c r="U14" s="28">
        <v>93.855999999999995</v>
      </c>
      <c r="V14" s="28">
        <v>100.658</v>
      </c>
      <c r="W14" s="28">
        <v>87</v>
      </c>
      <c r="X14" s="28">
        <v>114.096</v>
      </c>
    </row>
    <row r="15" spans="1:24">
      <c r="A15" s="66">
        <v>1997</v>
      </c>
      <c r="B15" s="28">
        <f t="shared" si="1"/>
        <v>117.63715767446092</v>
      </c>
      <c r="C15" s="28">
        <f t="shared" si="2"/>
        <v>116.62496856095204</v>
      </c>
      <c r="D15" s="28">
        <f t="shared" si="3"/>
        <v>122.10806881511994</v>
      </c>
      <c r="E15" s="28">
        <f t="shared" si="0"/>
        <v>124.83926944059525</v>
      </c>
      <c r="F15" s="28">
        <f t="shared" si="0"/>
        <v>112.61342261235789</v>
      </c>
      <c r="G15" s="28">
        <f t="shared" si="0"/>
        <v>108.18269357027179</v>
      </c>
      <c r="H15" s="28">
        <f t="shared" si="0"/>
        <v>112.48162440279307</v>
      </c>
      <c r="I15" s="28">
        <f t="shared" si="0"/>
        <v>126.34877315341268</v>
      </c>
      <c r="J15" s="28">
        <f t="shared" si="0"/>
        <v>90.213625866050805</v>
      </c>
      <c r="K15" s="28">
        <f t="shared" si="0"/>
        <v>128.3532280836863</v>
      </c>
      <c r="L15" s="28">
        <f t="shared" si="0"/>
        <v>115.50144954319177</v>
      </c>
      <c r="N15" s="28">
        <v>77.576999999999998</v>
      </c>
      <c r="O15" s="28">
        <v>88.102000000000004</v>
      </c>
      <c r="P15" s="28">
        <v>75.590999999999994</v>
      </c>
      <c r="Q15" s="28">
        <v>100</v>
      </c>
      <c r="R15" s="28">
        <v>95.191000000000003</v>
      </c>
      <c r="S15" s="28">
        <v>98.866</v>
      </c>
      <c r="T15" s="28">
        <v>97.94</v>
      </c>
      <c r="U15" s="28">
        <v>100</v>
      </c>
      <c r="V15" s="28">
        <v>100</v>
      </c>
      <c r="W15" s="28">
        <v>100</v>
      </c>
      <c r="X15" s="28">
        <v>100</v>
      </c>
    </row>
    <row r="16" spans="1:24">
      <c r="A16" s="66">
        <v>1998</v>
      </c>
      <c r="B16" s="28">
        <f>N16/N$5*100</f>
        <v>121.1278925181209</v>
      </c>
      <c r="C16" s="28">
        <f t="shared" si="2"/>
        <v>119.06993368015566</v>
      </c>
      <c r="D16" s="28">
        <f t="shared" si="3"/>
        <v>125.16436475244326</v>
      </c>
      <c r="E16" s="28">
        <f t="shared" si="0"/>
        <v>125.18382582425127</v>
      </c>
      <c r="F16" s="28">
        <f t="shared" si="0"/>
        <v>114.96291213666316</v>
      </c>
      <c r="G16" s="28">
        <f t="shared" si="0"/>
        <v>112.56838972293954</v>
      </c>
      <c r="H16" s="28">
        <f t="shared" si="0"/>
        <v>111.14824513046673</v>
      </c>
      <c r="I16" s="28">
        <f t="shared" si="0"/>
        <v>122.76046799585576</v>
      </c>
      <c r="J16" s="28">
        <f t="shared" si="0"/>
        <v>91.878969399538107</v>
      </c>
      <c r="K16" s="28">
        <f t="shared" si="0"/>
        <v>128.59966628160697</v>
      </c>
      <c r="L16" s="28">
        <f t="shared" si="0"/>
        <v>121.97068573210595</v>
      </c>
      <c r="N16" s="28">
        <v>79.879000000000005</v>
      </c>
      <c r="O16" s="28">
        <v>89.948999999999998</v>
      </c>
      <c r="P16" s="28">
        <v>77.483000000000004</v>
      </c>
      <c r="Q16" s="28">
        <v>100.276</v>
      </c>
      <c r="R16" s="28">
        <v>97.177000000000007</v>
      </c>
      <c r="S16" s="28">
        <v>102.874</v>
      </c>
      <c r="T16" s="28">
        <v>96.778999999999996</v>
      </c>
      <c r="U16" s="28">
        <v>97.16</v>
      </c>
      <c r="V16" s="28">
        <v>101.846</v>
      </c>
      <c r="W16" s="28">
        <v>100.19199999999999</v>
      </c>
      <c r="X16" s="28">
        <v>105.601</v>
      </c>
    </row>
    <row r="17" spans="1:24">
      <c r="A17" s="66">
        <v>1999</v>
      </c>
      <c r="B17" s="28">
        <f t="shared" si="1"/>
        <v>125.39350377581657</v>
      </c>
      <c r="C17" s="28">
        <f t="shared" si="2"/>
        <v>121.35604887282739</v>
      </c>
      <c r="D17" s="28">
        <f t="shared" si="3"/>
        <v>135.32832566028591</v>
      </c>
      <c r="E17" s="28">
        <f t="shared" si="0"/>
        <v>132.98378337889966</v>
      </c>
      <c r="F17" s="28">
        <f t="shared" si="0"/>
        <v>112.82991636006578</v>
      </c>
      <c r="G17" s="28">
        <f t="shared" si="0"/>
        <v>109.21455770998381</v>
      </c>
      <c r="H17" s="28">
        <f t="shared" si="0"/>
        <v>110.60846196251377</v>
      </c>
      <c r="I17" s="28">
        <f t="shared" si="0"/>
        <v>127.22563363909735</v>
      </c>
      <c r="J17" s="28">
        <f t="shared" si="0"/>
        <v>84.068273672055426</v>
      </c>
      <c r="K17" s="28">
        <f t="shared" si="0"/>
        <v>128.54832499037352</v>
      </c>
      <c r="L17" s="28">
        <f t="shared" si="0"/>
        <v>117.11038473532844</v>
      </c>
      <c r="N17" s="28">
        <v>82.691999999999993</v>
      </c>
      <c r="O17" s="28">
        <v>91.676000000000002</v>
      </c>
      <c r="P17" s="28">
        <v>83.775000000000006</v>
      </c>
      <c r="Q17" s="28">
        <v>106.524</v>
      </c>
      <c r="R17" s="28">
        <v>95.373999999999995</v>
      </c>
      <c r="S17" s="28">
        <v>99.808999999999997</v>
      </c>
      <c r="T17" s="28">
        <v>96.308999999999997</v>
      </c>
      <c r="U17" s="28">
        <v>100.694</v>
      </c>
      <c r="V17" s="28">
        <v>93.188000000000002</v>
      </c>
      <c r="W17" s="28">
        <v>100.152</v>
      </c>
      <c r="X17" s="28">
        <v>101.393</v>
      </c>
    </row>
    <row r="18" spans="1:24">
      <c r="A18" s="66">
        <v>2000</v>
      </c>
      <c r="B18" s="28">
        <f t="shared" si="1"/>
        <v>129.73190185909684</v>
      </c>
      <c r="C18" s="28">
        <f t="shared" si="2"/>
        <v>123.81954648345975</v>
      </c>
      <c r="D18" s="28">
        <f t="shared" si="3"/>
        <v>142.41660608997657</v>
      </c>
      <c r="E18" s="28">
        <f t="shared" si="0"/>
        <v>135.31203575396677</v>
      </c>
      <c r="F18" s="28">
        <f t="shared" si="0"/>
        <v>113.56812454897135</v>
      </c>
      <c r="G18" s="28">
        <f t="shared" si="0"/>
        <v>110.79353963321223</v>
      </c>
      <c r="H18" s="28">
        <f t="shared" si="0"/>
        <v>110.14218118338846</v>
      </c>
      <c r="I18" s="28">
        <f t="shared" si="0"/>
        <v>127.74619058448941</v>
      </c>
      <c r="J18" s="28">
        <f t="shared" si="0"/>
        <v>82.287456697459589</v>
      </c>
      <c r="K18" s="28">
        <f t="shared" si="0"/>
        <v>137.18007957900141</v>
      </c>
      <c r="L18" s="28">
        <f t="shared" si="0"/>
        <v>114.6120883817092</v>
      </c>
      <c r="N18" s="28">
        <v>85.552999999999997</v>
      </c>
      <c r="O18" s="28">
        <v>93.537000000000006</v>
      </c>
      <c r="P18" s="28">
        <v>88.162999999999997</v>
      </c>
      <c r="Q18" s="28">
        <v>108.389</v>
      </c>
      <c r="R18" s="28">
        <v>95.998000000000005</v>
      </c>
      <c r="S18" s="28">
        <v>101.252</v>
      </c>
      <c r="T18" s="28">
        <v>95.903000000000006</v>
      </c>
      <c r="U18" s="28">
        <v>101.10599999999999</v>
      </c>
      <c r="V18" s="28">
        <v>91.213999999999999</v>
      </c>
      <c r="W18" s="28">
        <v>106.877</v>
      </c>
      <c r="X18" s="28">
        <v>99.23</v>
      </c>
    </row>
    <row r="19" spans="1:24">
      <c r="A19" s="66">
        <v>2001</v>
      </c>
      <c r="B19" s="28">
        <f t="shared" si="1"/>
        <v>133.66390683286326</v>
      </c>
      <c r="C19" s="28">
        <f t="shared" si="2"/>
        <v>124.26432627774908</v>
      </c>
      <c r="D19" s="28">
        <f t="shared" si="3"/>
        <v>145.96720781843146</v>
      </c>
      <c r="E19" s="28">
        <f t="shared" si="0"/>
        <v>140.45915883300253</v>
      </c>
      <c r="F19" s="28">
        <f t="shared" si="0"/>
        <v>112.91746027990392</v>
      </c>
      <c r="G19" s="28">
        <f t="shared" si="0"/>
        <v>110.46089202083422</v>
      </c>
      <c r="H19" s="28">
        <f t="shared" si="0"/>
        <v>109.72069092245498</v>
      </c>
      <c r="I19" s="28">
        <f t="shared" si="0"/>
        <v>122.80089960326484</v>
      </c>
      <c r="J19" s="28">
        <f t="shared" si="0"/>
        <v>86.159425519630489</v>
      </c>
      <c r="K19" s="28">
        <f t="shared" si="0"/>
        <v>142.20254139391608</v>
      </c>
      <c r="L19" s="28">
        <f t="shared" si="0"/>
        <v>109.18467526767461</v>
      </c>
      <c r="N19" s="28">
        <v>88.146000000000001</v>
      </c>
      <c r="O19" s="28">
        <v>93.873000000000005</v>
      </c>
      <c r="P19" s="28">
        <v>90.361000000000004</v>
      </c>
      <c r="Q19" s="28">
        <v>112.512</v>
      </c>
      <c r="R19" s="28">
        <v>95.447999999999993</v>
      </c>
      <c r="S19" s="28">
        <v>100.94799999999999</v>
      </c>
      <c r="T19" s="28">
        <v>95.536000000000001</v>
      </c>
      <c r="U19" s="28">
        <v>97.191999999999993</v>
      </c>
      <c r="V19" s="28">
        <v>95.506</v>
      </c>
      <c r="W19" s="28">
        <v>110.79</v>
      </c>
      <c r="X19" s="28">
        <v>94.531000000000006</v>
      </c>
    </row>
    <row r="20" spans="1:24">
      <c r="A20" s="66">
        <v>2002</v>
      </c>
      <c r="B20" s="28">
        <f t="shared" si="1"/>
        <v>139.63091013859824</v>
      </c>
      <c r="C20" s="28">
        <f t="shared" si="2"/>
        <v>132.37493877659082</v>
      </c>
      <c r="D20" s="28">
        <f t="shared" si="3"/>
        <v>161.53784023907599</v>
      </c>
      <c r="E20" s="28">
        <f t="shared" si="0"/>
        <v>151.26649438847483</v>
      </c>
      <c r="F20" s="28">
        <f t="shared" si="0"/>
        <v>118.30259437589467</v>
      </c>
      <c r="G20" s="28">
        <f t="shared" si="0"/>
        <v>109.42355670328708</v>
      </c>
      <c r="H20" s="28">
        <f t="shared" si="0"/>
        <v>114.84748254318265</v>
      </c>
      <c r="I20" s="28">
        <f t="shared" si="0"/>
        <v>131.70090718419124</v>
      </c>
      <c r="J20" s="28">
        <f t="shared" si="0"/>
        <v>86.283018187066972</v>
      </c>
      <c r="K20" s="28">
        <f t="shared" si="0"/>
        <v>151.18341676293161</v>
      </c>
      <c r="L20" s="28">
        <f t="shared" si="0"/>
        <v>138.47237782834176</v>
      </c>
      <c r="N20" s="28">
        <v>92.081000000000003</v>
      </c>
      <c r="O20" s="28">
        <v>100</v>
      </c>
      <c r="P20" s="28">
        <v>100</v>
      </c>
      <c r="Q20" s="28">
        <v>121.169</v>
      </c>
      <c r="R20" s="28">
        <v>100</v>
      </c>
      <c r="S20" s="28">
        <v>100</v>
      </c>
      <c r="T20" s="28">
        <v>100</v>
      </c>
      <c r="U20" s="28">
        <v>104.236</v>
      </c>
      <c r="V20" s="28">
        <v>95.643000000000001</v>
      </c>
      <c r="W20" s="28">
        <v>117.78700000000001</v>
      </c>
      <c r="X20" s="28">
        <v>119.88800000000001</v>
      </c>
    </row>
    <row r="21" spans="1:24">
      <c r="A21" s="66">
        <v>2003</v>
      </c>
      <c r="B21" s="28">
        <f t="shared" si="1"/>
        <v>145.00197130985958</v>
      </c>
      <c r="C21" s="28">
        <f t="shared" si="2"/>
        <v>138.65480587215225</v>
      </c>
      <c r="D21" s="28">
        <f t="shared" si="3"/>
        <v>171.57903238833697</v>
      </c>
      <c r="E21" s="28">
        <f t="shared" ref="E21:E28" si="4">IF(Q21/Q$5*100=0,"..",Q21/Q$5*100)</f>
        <v>139.34684094228683</v>
      </c>
      <c r="F21" s="28">
        <f t="shared" ref="F21:F28" si="5">IF(R21/R$5*100=0,"..",R21/R$5*100)</f>
        <v>123.567059825622</v>
      </c>
      <c r="G21" s="28">
        <f t="shared" ref="G21:G28" si="6">IF(S21/S$5*100=0,"..",S21/S$5*100)</f>
        <v>113.19210399614829</v>
      </c>
      <c r="H21" s="28">
        <f t="shared" ref="H21:H28" si="7">IF(T21/T$5*100=0,"..",T21/T$5*100)</f>
        <v>122.93733921352444</v>
      </c>
      <c r="I21" s="28">
        <f t="shared" ref="I21:I28" si="8">IF(U21/U$5*100=0,"..",U21/U$5*100)</f>
        <v>137.2274025219215</v>
      </c>
      <c r="J21" s="28">
        <f t="shared" ref="J21:J28" si="9">IF(V21/V$5*100=0,"..",V21/V$5*100)</f>
        <v>96.545720265588926</v>
      </c>
      <c r="K21" s="28">
        <f t="shared" ref="K21:K28" si="10">IF(W21/W$5*100=0,"..",W21/W$5*100)</f>
        <v>159.97561288666412</v>
      </c>
      <c r="L21" s="28">
        <f t="shared" ref="L21:L28" si="11">IF(X21/X$5*100=0,"..",X21/X$5*100)</f>
        <v>140.0478176001109</v>
      </c>
      <c r="N21" s="28">
        <v>95.623000000000005</v>
      </c>
      <c r="O21" s="28">
        <v>104.744</v>
      </c>
      <c r="P21" s="28">
        <v>106.21599999999999</v>
      </c>
      <c r="Q21" s="28">
        <v>111.621</v>
      </c>
      <c r="R21" s="28">
        <v>104.45</v>
      </c>
      <c r="S21" s="28">
        <v>103.444</v>
      </c>
      <c r="T21" s="28">
        <v>107.044</v>
      </c>
      <c r="U21" s="28">
        <v>108.61</v>
      </c>
      <c r="V21" s="28">
        <v>107.01900000000001</v>
      </c>
      <c r="W21" s="28">
        <v>124.637</v>
      </c>
      <c r="X21" s="28">
        <v>121.252</v>
      </c>
    </row>
    <row r="22" spans="1:24">
      <c r="A22" s="66">
        <v>2004</v>
      </c>
      <c r="B22" s="28">
        <f t="shared" si="1"/>
        <v>149.02950899220576</v>
      </c>
      <c r="C22" s="28">
        <f t="shared" si="2"/>
        <v>143.89155845015421</v>
      </c>
      <c r="D22" s="28">
        <f t="shared" si="3"/>
        <v>178.29092965027056</v>
      </c>
      <c r="E22" s="28">
        <f t="shared" si="4"/>
        <v>142.86356316242839</v>
      </c>
      <c r="F22" s="28">
        <f t="shared" si="5"/>
        <v>128.31690898981415</v>
      </c>
      <c r="G22" s="28">
        <f t="shared" si="6"/>
        <v>119.30231540245984</v>
      </c>
      <c r="H22" s="28">
        <f t="shared" si="7"/>
        <v>123.70222344726203</v>
      </c>
      <c r="I22" s="28">
        <f t="shared" si="8"/>
        <v>135.76175675334193</v>
      </c>
      <c r="J22" s="28">
        <f t="shared" si="9"/>
        <v>98.428478637413392</v>
      </c>
      <c r="K22" s="28">
        <f t="shared" si="10"/>
        <v>153.44115004492366</v>
      </c>
      <c r="L22" s="28">
        <f t="shared" si="11"/>
        <v>145.0201550029453</v>
      </c>
      <c r="N22" s="28">
        <v>98.278999999999996</v>
      </c>
      <c r="O22" s="28">
        <v>108.7</v>
      </c>
      <c r="P22" s="28">
        <v>110.371</v>
      </c>
      <c r="Q22" s="28">
        <v>114.438</v>
      </c>
      <c r="R22" s="28">
        <v>108.465</v>
      </c>
      <c r="S22" s="28">
        <v>109.02800000000001</v>
      </c>
      <c r="T22" s="28">
        <v>107.71</v>
      </c>
      <c r="U22" s="28">
        <v>107.45</v>
      </c>
      <c r="V22" s="28">
        <v>109.10599999999999</v>
      </c>
      <c r="W22" s="28">
        <v>119.54600000000001</v>
      </c>
      <c r="X22" s="28">
        <v>125.557</v>
      </c>
    </row>
    <row r="23" spans="1:24">
      <c r="A23" s="66">
        <v>2005</v>
      </c>
      <c r="B23" s="28">
        <f t="shared" si="1"/>
        <v>151.63921996785251</v>
      </c>
      <c r="C23" s="28">
        <f t="shared" si="2"/>
        <v>143.76183101015314</v>
      </c>
      <c r="D23" s="28">
        <f t="shared" si="3"/>
        <v>177.9355464017446</v>
      </c>
      <c r="E23" s="28">
        <f t="shared" si="4"/>
        <v>140.76751182852078</v>
      </c>
      <c r="F23" s="28">
        <f t="shared" si="5"/>
        <v>128.7416153036236</v>
      </c>
      <c r="G23" s="28">
        <f t="shared" si="6"/>
        <v>118.12820063903355</v>
      </c>
      <c r="H23" s="28">
        <f t="shared" si="7"/>
        <v>128.51662991547227</v>
      </c>
      <c r="I23" s="28">
        <f t="shared" si="8"/>
        <v>137.63298208374397</v>
      </c>
      <c r="J23" s="28">
        <f t="shared" si="9"/>
        <v>110.16346709006928</v>
      </c>
      <c r="K23" s="28">
        <f t="shared" si="10"/>
        <v>153.27814144525735</v>
      </c>
      <c r="L23" s="28">
        <f t="shared" si="11"/>
        <v>156.45133346423498</v>
      </c>
      <c r="N23" s="28">
        <v>100</v>
      </c>
      <c r="O23" s="28">
        <v>108.602</v>
      </c>
      <c r="P23" s="28">
        <v>110.151</v>
      </c>
      <c r="Q23" s="28">
        <v>112.759</v>
      </c>
      <c r="R23" s="28">
        <v>108.824</v>
      </c>
      <c r="S23" s="28">
        <v>107.955</v>
      </c>
      <c r="T23" s="28">
        <v>111.902</v>
      </c>
      <c r="U23" s="28">
        <v>108.931</v>
      </c>
      <c r="V23" s="28">
        <v>122.114</v>
      </c>
      <c r="W23" s="28">
        <v>119.419</v>
      </c>
      <c r="X23" s="28">
        <v>135.45400000000001</v>
      </c>
    </row>
    <row r="24" spans="1:24">
      <c r="A24" s="66">
        <v>2006</v>
      </c>
      <c r="B24" s="28">
        <f t="shared" si="1"/>
        <v>153.0722105965487</v>
      </c>
      <c r="C24" s="28">
        <f t="shared" si="2"/>
        <v>145.13323537587863</v>
      </c>
      <c r="D24" s="28">
        <f t="shared" si="3"/>
        <v>179.10992650028268</v>
      </c>
      <c r="E24" s="28">
        <f t="shared" si="4"/>
        <v>145.4464876471543</v>
      </c>
      <c r="F24" s="28">
        <f t="shared" si="5"/>
        <v>130.14705012480925</v>
      </c>
      <c r="G24" s="28">
        <f t="shared" si="6"/>
        <v>120.02888781896965</v>
      </c>
      <c r="H24" s="28">
        <f t="shared" si="7"/>
        <v>125.55471334068355</v>
      </c>
      <c r="I24" s="28">
        <f t="shared" si="8"/>
        <v>134.28221261971544</v>
      </c>
      <c r="J24" s="28">
        <f t="shared" si="9"/>
        <v>108.45301674364896</v>
      </c>
      <c r="K24" s="28">
        <f t="shared" si="10"/>
        <v>166.85919650879219</v>
      </c>
      <c r="L24" s="28">
        <f t="shared" si="11"/>
        <v>157.4215456403978</v>
      </c>
      <c r="N24" s="28">
        <v>100.94499999999999</v>
      </c>
      <c r="O24" s="28">
        <v>109.63800000000001</v>
      </c>
      <c r="P24" s="28">
        <v>110.878</v>
      </c>
      <c r="Q24" s="28">
        <v>116.50700000000001</v>
      </c>
      <c r="R24" s="28">
        <v>110.012</v>
      </c>
      <c r="S24" s="28">
        <v>109.69199999999999</v>
      </c>
      <c r="T24" s="28">
        <v>109.32299999999999</v>
      </c>
      <c r="U24" s="28">
        <v>106.279</v>
      </c>
      <c r="V24" s="28">
        <v>120.218</v>
      </c>
      <c r="W24" s="28">
        <v>130</v>
      </c>
      <c r="X24" s="28">
        <v>136.29400000000001</v>
      </c>
    </row>
    <row r="25" spans="1:24">
      <c r="A25" s="66">
        <v>2007</v>
      </c>
      <c r="B25" s="28">
        <f t="shared" si="1"/>
        <v>155.2891759924787</v>
      </c>
      <c r="C25" s="28">
        <f t="shared" si="2"/>
        <v>151.54812490899221</v>
      </c>
      <c r="D25" s="28">
        <f t="shared" si="3"/>
        <v>185.20959534771021</v>
      </c>
      <c r="E25" s="28" t="str">
        <f t="shared" si="4"/>
        <v>..</v>
      </c>
      <c r="F25" s="28">
        <f t="shared" si="5"/>
        <v>137.29134379916951</v>
      </c>
      <c r="G25" s="28">
        <f t="shared" si="6"/>
        <v>125.54711778351644</v>
      </c>
      <c r="H25" s="28">
        <f t="shared" si="7"/>
        <v>129.45263689819919</v>
      </c>
      <c r="I25" s="28" t="str">
        <f t="shared" si="8"/>
        <v>..</v>
      </c>
      <c r="J25" s="28" t="str">
        <f t="shared" si="9"/>
        <v>..</v>
      </c>
      <c r="K25" s="28" t="str">
        <f t="shared" si="10"/>
        <v>..</v>
      </c>
      <c r="L25" s="28" t="str">
        <f t="shared" si="11"/>
        <v>..</v>
      </c>
      <c r="N25" s="28">
        <v>102.407</v>
      </c>
      <c r="O25" s="28">
        <v>114.48399999999999</v>
      </c>
      <c r="P25" s="28">
        <v>114.654</v>
      </c>
      <c r="Q25" s="28"/>
      <c r="R25" s="28">
        <v>116.051</v>
      </c>
      <c r="S25" s="28">
        <v>114.735</v>
      </c>
      <c r="T25" s="28">
        <v>112.717</v>
      </c>
      <c r="U25" s="28"/>
      <c r="V25" s="28"/>
      <c r="W25" s="28"/>
      <c r="X25" s="28"/>
    </row>
    <row r="26" spans="1:24">
      <c r="A26" s="66">
        <v>2008</v>
      </c>
      <c r="B26" s="28">
        <f t="shared" ref="B26:B29" si="12">N26/N$5*100</f>
        <v>156.3567161010524</v>
      </c>
      <c r="C26" s="28">
        <f>O26/O$5*100</f>
        <v>150.27732549673692</v>
      </c>
      <c r="D26" s="28">
        <f t="shared" si="3"/>
        <v>186.50351344802522</v>
      </c>
      <c r="E26" s="28" t="str">
        <f t="shared" si="4"/>
        <v>..</v>
      </c>
      <c r="F26" s="28">
        <f t="shared" si="5"/>
        <v>135.02939819470242</v>
      </c>
      <c r="G26" s="28">
        <f t="shared" si="6"/>
        <v>127.37449118046132</v>
      </c>
      <c r="H26" s="28">
        <f t="shared" si="7"/>
        <v>126.85938074237413</v>
      </c>
      <c r="I26" s="28" t="str">
        <f t="shared" si="8"/>
        <v>..</v>
      </c>
      <c r="J26" s="28" t="str">
        <f t="shared" si="9"/>
        <v>..</v>
      </c>
      <c r="K26" s="28" t="str">
        <f t="shared" si="10"/>
        <v>..</v>
      </c>
      <c r="L26" s="28" t="str">
        <f t="shared" si="11"/>
        <v>..</v>
      </c>
      <c r="N26" s="28">
        <v>103.111</v>
      </c>
      <c r="O26" s="28">
        <v>113.524</v>
      </c>
      <c r="P26" s="28">
        <v>115.455</v>
      </c>
      <c r="Q26" s="28"/>
      <c r="R26" s="28">
        <v>114.139</v>
      </c>
      <c r="S26" s="28">
        <v>116.405</v>
      </c>
      <c r="T26" s="28">
        <v>110.459</v>
      </c>
      <c r="U26" s="28"/>
      <c r="V26" s="28"/>
      <c r="W26" s="28"/>
      <c r="X26" s="28"/>
    </row>
    <row r="27" spans="1:24">
      <c r="A27" s="66">
        <v>2009</v>
      </c>
      <c r="B27" s="28">
        <f t="shared" si="12"/>
        <v>161.11818760804294</v>
      </c>
      <c r="C27" s="28">
        <f t="shared" si="2"/>
        <v>149.48439961346514</v>
      </c>
      <c r="D27" s="28">
        <f t="shared" si="3"/>
        <v>183.8769081657378</v>
      </c>
      <c r="E27" s="28" t="str">
        <f t="shared" si="4"/>
        <v>..</v>
      </c>
      <c r="F27" s="28">
        <f t="shared" si="5"/>
        <v>134.776230642738</v>
      </c>
      <c r="G27" s="28">
        <f t="shared" si="6"/>
        <v>134.22002888781896</v>
      </c>
      <c r="H27" s="28">
        <f t="shared" si="7"/>
        <v>120.7345644983462</v>
      </c>
      <c r="I27" s="28" t="str">
        <f t="shared" si="8"/>
        <v>..</v>
      </c>
      <c r="J27" s="28" t="str">
        <f t="shared" si="9"/>
        <v>..</v>
      </c>
      <c r="K27" s="28" t="str">
        <f t="shared" si="10"/>
        <v>..</v>
      </c>
      <c r="L27" s="28" t="str">
        <f t="shared" si="11"/>
        <v>..</v>
      </c>
      <c r="N27" s="28">
        <v>106.251</v>
      </c>
      <c r="O27" s="28">
        <v>112.925</v>
      </c>
      <c r="P27" s="28">
        <v>113.82899999999999</v>
      </c>
      <c r="Q27" s="28"/>
      <c r="R27" s="28">
        <v>113.925</v>
      </c>
      <c r="S27" s="28">
        <v>122.661</v>
      </c>
      <c r="T27" s="28">
        <v>105.126</v>
      </c>
      <c r="U27" s="28"/>
      <c r="V27" s="28"/>
      <c r="W27" s="28"/>
      <c r="X27" s="28"/>
    </row>
    <row r="28" spans="1:24">
      <c r="A28" s="66">
        <v>2010</v>
      </c>
      <c r="B28" s="28">
        <f t="shared" si="12"/>
        <v>166.02068358960361</v>
      </c>
      <c r="C28" s="28">
        <f t="shared" si="2"/>
        <v>153.60390770819268</v>
      </c>
      <c r="D28" s="28">
        <f t="shared" si="3"/>
        <v>196.00032307568048</v>
      </c>
      <c r="E28" s="28" t="str">
        <f t="shared" si="4"/>
        <v>..</v>
      </c>
      <c r="F28" s="28">
        <f t="shared" si="5"/>
        <v>136.01249275396609</v>
      </c>
      <c r="G28" s="28">
        <f t="shared" si="6"/>
        <v>133.97382588523655</v>
      </c>
      <c r="H28" s="28">
        <f t="shared" si="7"/>
        <v>125.52255604557148</v>
      </c>
      <c r="I28" s="28" t="str">
        <f t="shared" si="8"/>
        <v>..</v>
      </c>
      <c r="J28" s="28" t="str">
        <f t="shared" si="9"/>
        <v>..</v>
      </c>
      <c r="K28" s="28" t="str">
        <f t="shared" si="10"/>
        <v>..</v>
      </c>
      <c r="L28" s="28" t="str">
        <f t="shared" si="11"/>
        <v>..</v>
      </c>
      <c r="N28" s="28">
        <v>109.48399999999999</v>
      </c>
      <c r="O28" s="28">
        <v>116.03700000000001</v>
      </c>
      <c r="P28" s="28">
        <v>121.334</v>
      </c>
      <c r="Q28" s="28"/>
      <c r="R28" s="28">
        <v>114.97</v>
      </c>
      <c r="S28" s="28">
        <v>122.43600000000001</v>
      </c>
      <c r="T28" s="28">
        <v>109.295</v>
      </c>
      <c r="U28" s="28"/>
      <c r="V28" s="28"/>
      <c r="W28" s="28"/>
      <c r="X28" s="28"/>
    </row>
    <row r="29" spans="1:24">
      <c r="A29" s="66">
        <v>2011</v>
      </c>
      <c r="B29" s="28">
        <f t="shared" si="12"/>
        <v>166.57871591908534</v>
      </c>
      <c r="C29" s="28">
        <f>O29/O$5*100</f>
        <v>157.730034549859</v>
      </c>
      <c r="D29" s="28">
        <f t="shared" si="3"/>
        <v>198.11323802600756</v>
      </c>
      <c r="E29" s="28"/>
      <c r="F29" s="28">
        <f t="shared" ref="F29" si="13">IF(R29/R$5*100=0,"..",R29/R$5*100)</f>
        <v>140.5139064699689</v>
      </c>
      <c r="G29" s="28">
        <f t="shared" ref="G29" si="14">IF(S29/S$5*100=0,"..",S29/S$5*100)</f>
        <v>135.67207948527158</v>
      </c>
      <c r="H29" s="28">
        <f t="shared" ref="H29" si="15">IF(T29/T$5*100=0,"..",T29/T$5*100)</f>
        <v>121.54538772510107</v>
      </c>
      <c r="I29" s="28"/>
      <c r="J29" s="28"/>
      <c r="K29" s="28"/>
      <c r="L29" s="28"/>
      <c r="N29" s="28">
        <v>109.852</v>
      </c>
      <c r="O29" s="28">
        <v>119.154</v>
      </c>
      <c r="P29" s="28">
        <v>122.642</v>
      </c>
      <c r="Q29" s="28"/>
      <c r="R29" s="28">
        <v>118.77500000000001</v>
      </c>
      <c r="S29" s="28">
        <v>123.988</v>
      </c>
      <c r="T29" s="28">
        <v>105.83199999999999</v>
      </c>
      <c r="U29" s="28"/>
      <c r="V29" s="28"/>
      <c r="W29" s="28"/>
      <c r="X29" s="28"/>
    </row>
    <row r="31" spans="1:24">
      <c r="A31" s="66" t="s">
        <v>23</v>
      </c>
      <c r="B31" s="66"/>
    </row>
    <row r="32" spans="1:24">
      <c r="A32" s="64" t="s">
        <v>2145</v>
      </c>
      <c r="B32" s="65">
        <f>((B29/B5)^(1/24)-1)*100</f>
        <v>2.1490063125426007</v>
      </c>
      <c r="C32" s="65">
        <f t="shared" ref="C32:H32" si="16">((C29/C5)^(1/24)-1)*100</f>
        <v>1.9169535017176331</v>
      </c>
      <c r="D32" s="65">
        <f t="shared" si="16"/>
        <v>2.8895802990841046</v>
      </c>
      <c r="E32" s="65" t="s">
        <v>2147</v>
      </c>
      <c r="F32" s="65">
        <f t="shared" si="16"/>
        <v>1.4273248643590808</v>
      </c>
      <c r="G32" s="65">
        <f t="shared" si="16"/>
        <v>1.2792406987937488</v>
      </c>
      <c r="H32" s="65">
        <f t="shared" si="16"/>
        <v>0.81630360565951854</v>
      </c>
      <c r="I32" s="65" t="s">
        <v>2147</v>
      </c>
      <c r="J32" s="65" t="s">
        <v>2147</v>
      </c>
      <c r="K32" s="65" t="s">
        <v>2147</v>
      </c>
      <c r="L32" s="65" t="s">
        <v>2147</v>
      </c>
      <c r="M32" s="65"/>
      <c r="N32" s="65">
        <f>((N24/N5)^(1/19)-1)*100</f>
        <v>2.2660277003195617</v>
      </c>
      <c r="O32" s="65">
        <f t="shared" ref="O32:X32" si="17">((O24/O5)^(1/19)-1)*100</f>
        <v>1.9797742275682317</v>
      </c>
      <c r="P32" s="65">
        <f t="shared" si="17"/>
        <v>3.1150572277433231</v>
      </c>
      <c r="Q32" s="65">
        <f t="shared" si="17"/>
        <v>1.9913471801461746</v>
      </c>
      <c r="R32" s="65">
        <f t="shared" si="17"/>
        <v>1.3964755135400297</v>
      </c>
      <c r="S32" s="65">
        <f t="shared" si="17"/>
        <v>0.96548502074433884</v>
      </c>
      <c r="T32" s="65">
        <f t="shared" si="17"/>
        <v>1.2049461058205813</v>
      </c>
      <c r="U32" s="65">
        <f t="shared" si="17"/>
        <v>1.5635365813568392</v>
      </c>
      <c r="V32" s="65">
        <f t="shared" si="17"/>
        <v>0.42800210181754839</v>
      </c>
      <c r="W32" s="65">
        <f t="shared" si="17"/>
        <v>2.7312658173981319</v>
      </c>
      <c r="X32" s="65">
        <f t="shared" si="17"/>
        <v>2.4169406221624445</v>
      </c>
    </row>
    <row r="33" spans="1:25">
      <c r="A33" s="64" t="s">
        <v>873</v>
      </c>
      <c r="B33" s="65">
        <f>((B18/B5)^(1/13)-1)*100</f>
        <v>2.0224870976832676</v>
      </c>
      <c r="C33" s="65">
        <f t="shared" ref="C33:L33" si="18">((C18/C5)^(1/13)-1)*100</f>
        <v>1.6570801398693824</v>
      </c>
      <c r="D33" s="65">
        <f t="shared" si="18"/>
        <v>2.7572223611837421</v>
      </c>
      <c r="E33" s="65">
        <f t="shared" si="18"/>
        <v>2.3535245359639356</v>
      </c>
      <c r="F33" s="65">
        <f t="shared" si="18"/>
        <v>0.98351803678649041</v>
      </c>
      <c r="G33" s="65">
        <f t="shared" si="18"/>
        <v>0.79156474699018098</v>
      </c>
      <c r="H33" s="65">
        <f t="shared" si="18"/>
        <v>0.74585932582698078</v>
      </c>
      <c r="I33" s="65">
        <f t="shared" si="18"/>
        <v>1.9015082740102329</v>
      </c>
      <c r="J33" s="65">
        <f t="shared" si="18"/>
        <v>-1.4884385121496591</v>
      </c>
      <c r="K33" s="65">
        <f t="shared" si="18"/>
        <v>2.4615331550568831</v>
      </c>
      <c r="L33" s="65">
        <f t="shared" si="18"/>
        <v>1.0546230949849633</v>
      </c>
      <c r="M33" s="65"/>
      <c r="N33" s="65">
        <f>((N18/N5)^(1/13)-1)*100</f>
        <v>2.0224870976832676</v>
      </c>
      <c r="O33" s="65">
        <f t="shared" ref="O33:X33" si="19">((O18/O5)^(1/13)-1)*100</f>
        <v>1.6570801398693824</v>
      </c>
      <c r="P33" s="65">
        <f t="shared" si="19"/>
        <v>2.7572223611837421</v>
      </c>
      <c r="Q33" s="65">
        <f t="shared" si="19"/>
        <v>2.3535245359639356</v>
      </c>
      <c r="R33" s="65">
        <f t="shared" si="19"/>
        <v>0.98351803678649041</v>
      </c>
      <c r="S33" s="65">
        <f t="shared" si="19"/>
        <v>0.79156474699018098</v>
      </c>
      <c r="T33" s="65">
        <f t="shared" si="19"/>
        <v>0.74585932582698078</v>
      </c>
      <c r="U33" s="65">
        <f t="shared" si="19"/>
        <v>1.9015082740102329</v>
      </c>
      <c r="V33" s="65">
        <f t="shared" si="19"/>
        <v>-1.4884385121496591</v>
      </c>
      <c r="W33" s="65">
        <f t="shared" si="19"/>
        <v>2.4615331550568831</v>
      </c>
      <c r="X33" s="65">
        <f t="shared" si="19"/>
        <v>1.0546230949849633</v>
      </c>
    </row>
    <row r="34" spans="1:25">
      <c r="A34" s="64" t="s">
        <v>26</v>
      </c>
      <c r="B34" s="65">
        <f>((B18/B7)^(1/11)-1)*100</f>
        <v>2.1602683904357933</v>
      </c>
      <c r="C34" s="65">
        <f t="shared" ref="C34:L34" si="20">((C18/C7)^(1/11)-1)*100</f>
        <v>1.7739363029558142</v>
      </c>
      <c r="D34" s="65">
        <f t="shared" si="20"/>
        <v>2.9228444950501364</v>
      </c>
      <c r="E34" s="65">
        <f t="shared" si="20"/>
        <v>2.6343931912308882</v>
      </c>
      <c r="F34" s="65">
        <f t="shared" si="20"/>
        <v>1.0369258562503259</v>
      </c>
      <c r="G34" s="65">
        <f t="shared" si="20"/>
        <v>0.8451803023379556</v>
      </c>
      <c r="H34" s="65">
        <f t="shared" si="20"/>
        <v>1.1618895073401525</v>
      </c>
      <c r="I34" s="65">
        <f t="shared" si="20"/>
        <v>2.0804098989311237</v>
      </c>
      <c r="J34" s="65">
        <f t="shared" si="20"/>
        <v>-0.78370524713045064</v>
      </c>
      <c r="K34" s="65">
        <f t="shared" si="20"/>
        <v>3.1846365745172633</v>
      </c>
      <c r="L34" s="65">
        <f t="shared" si="20"/>
        <v>0.46618055816716186</v>
      </c>
      <c r="M34" s="65"/>
      <c r="N34" s="65"/>
      <c r="O34" s="65"/>
      <c r="P34" s="65"/>
      <c r="Q34" s="65"/>
      <c r="R34" s="65"/>
      <c r="S34" s="65"/>
      <c r="T34" s="65"/>
      <c r="U34" s="65"/>
      <c r="V34" s="65"/>
      <c r="W34" s="65"/>
      <c r="X34" s="65"/>
    </row>
    <row r="35" spans="1:25">
      <c r="A35" s="64" t="s">
        <v>1782</v>
      </c>
      <c r="B35" s="65">
        <f>((B29/B18)^(1/11)-1)*100</f>
        <v>2.2987313177736501</v>
      </c>
      <c r="C35" s="65">
        <f t="shared" ref="C35:H35" si="21">((C29/C18)^(1/11)-1)*100</f>
        <v>2.2249331939288464</v>
      </c>
      <c r="D35" s="65">
        <f t="shared" si="21"/>
        <v>3.0462231333358236</v>
      </c>
      <c r="E35" s="65" t="s">
        <v>2147</v>
      </c>
      <c r="F35" s="65">
        <f t="shared" si="21"/>
        <v>1.954339156624374</v>
      </c>
      <c r="G35" s="65">
        <f t="shared" si="21"/>
        <v>1.8586280263283239</v>
      </c>
      <c r="H35" s="65">
        <f t="shared" si="21"/>
        <v>0.89961944341354627</v>
      </c>
      <c r="I35" s="65" t="s">
        <v>2147</v>
      </c>
      <c r="J35" s="65" t="s">
        <v>2147</v>
      </c>
      <c r="K35" s="65" t="s">
        <v>2147</v>
      </c>
      <c r="L35" s="65" t="s">
        <v>2147</v>
      </c>
      <c r="M35" s="65"/>
      <c r="N35" s="65">
        <f>((N24/N18)^(1/6)-1)*100</f>
        <v>2.7956952532470103</v>
      </c>
      <c r="O35" s="65">
        <f t="shared" ref="O35:X35" si="22">((O24/O18)^(1/6)-1)*100</f>
        <v>2.6824631467996518</v>
      </c>
      <c r="P35" s="65">
        <f t="shared" si="22"/>
        <v>3.8946467111011351</v>
      </c>
      <c r="Q35" s="65">
        <f t="shared" si="22"/>
        <v>1.2110199981622882</v>
      </c>
      <c r="R35" s="65">
        <f t="shared" si="22"/>
        <v>2.2970192092692132</v>
      </c>
      <c r="S35" s="65">
        <f t="shared" si="22"/>
        <v>1.3433425054496295</v>
      </c>
      <c r="T35" s="65">
        <f t="shared" si="22"/>
        <v>2.2068235831762761</v>
      </c>
      <c r="U35" s="65">
        <f t="shared" si="22"/>
        <v>0.8351050477828359</v>
      </c>
      <c r="V35" s="65">
        <f t="shared" si="22"/>
        <v>4.7091577400035778</v>
      </c>
      <c r="W35" s="65">
        <f t="shared" si="22"/>
        <v>3.3181250429045628</v>
      </c>
      <c r="X35" s="65">
        <f t="shared" si="22"/>
        <v>5.4319626268842791</v>
      </c>
    </row>
    <row r="37" spans="1:25">
      <c r="A37" s="66" t="s">
        <v>986</v>
      </c>
      <c r="B37" s="65"/>
      <c r="C37" s="65"/>
      <c r="D37" s="65"/>
      <c r="E37" s="65"/>
      <c r="F37" s="65"/>
      <c r="G37" s="65"/>
      <c r="H37" s="65"/>
      <c r="I37" s="65"/>
      <c r="J37" s="65"/>
      <c r="K37" s="65"/>
      <c r="L37" s="65"/>
      <c r="M37" s="65"/>
      <c r="N37" s="65"/>
      <c r="O37" s="65"/>
      <c r="P37" s="65"/>
      <c r="Q37" s="65"/>
      <c r="R37" s="65"/>
      <c r="S37" s="65"/>
      <c r="T37" s="65"/>
      <c r="U37" s="65"/>
      <c r="V37" s="65"/>
      <c r="W37" s="65"/>
      <c r="X37" s="65"/>
      <c r="Y37" s="65"/>
    </row>
    <row r="38" spans="1:25">
      <c r="A38" s="64" t="s">
        <v>2145</v>
      </c>
      <c r="B38" s="28">
        <f>(B29/B5)*100</f>
        <v>166.57871591908534</v>
      </c>
      <c r="C38" s="28">
        <f t="shared" ref="C38:H38" si="23">(C29/C5)*100</f>
        <v>157.730034549859</v>
      </c>
      <c r="D38" s="28">
        <f t="shared" si="23"/>
        <v>198.11323802600756</v>
      </c>
      <c r="E38" s="65" t="s">
        <v>2147</v>
      </c>
      <c r="F38" s="28">
        <f t="shared" si="23"/>
        <v>140.5139064699689</v>
      </c>
      <c r="G38" s="28">
        <f t="shared" si="23"/>
        <v>135.67207948527158</v>
      </c>
      <c r="H38" s="28">
        <f t="shared" si="23"/>
        <v>121.54538772510107</v>
      </c>
      <c r="I38" s="65" t="s">
        <v>2147</v>
      </c>
      <c r="J38" s="65" t="s">
        <v>2147</v>
      </c>
      <c r="K38" s="65" t="s">
        <v>2147</v>
      </c>
      <c r="L38" s="65" t="s">
        <v>2147</v>
      </c>
      <c r="M38" s="28"/>
      <c r="N38" s="65"/>
      <c r="O38" s="65"/>
      <c r="P38" s="65"/>
      <c r="Q38" s="65"/>
      <c r="R38" s="65"/>
      <c r="S38" s="65"/>
      <c r="T38" s="65"/>
      <c r="U38" s="65"/>
      <c r="V38" s="65"/>
      <c r="W38" s="65"/>
      <c r="X38" s="65"/>
      <c r="Y38" s="65"/>
    </row>
    <row r="39" spans="1:25">
      <c r="A39" s="64" t="s">
        <v>873</v>
      </c>
      <c r="B39" s="28">
        <f>B18/B5*100</f>
        <v>129.73190185909684</v>
      </c>
      <c r="C39" s="28">
        <f t="shared" ref="C39:L39" si="24">C18/C5*100</f>
        <v>123.81954648345975</v>
      </c>
      <c r="D39" s="28">
        <f t="shared" si="24"/>
        <v>142.41660608997657</v>
      </c>
      <c r="E39" s="28">
        <f t="shared" si="24"/>
        <v>135.31203575396677</v>
      </c>
      <c r="F39" s="28">
        <f t="shared" si="24"/>
        <v>113.56812454897135</v>
      </c>
      <c r="G39" s="28">
        <f t="shared" si="24"/>
        <v>110.79353963321223</v>
      </c>
      <c r="H39" s="28">
        <f t="shared" si="24"/>
        <v>110.14218118338846</v>
      </c>
      <c r="I39" s="28">
        <f t="shared" si="24"/>
        <v>127.74619058448941</v>
      </c>
      <c r="J39" s="28">
        <f t="shared" si="24"/>
        <v>82.287456697459589</v>
      </c>
      <c r="K39" s="28">
        <f t="shared" si="24"/>
        <v>137.18007957900141</v>
      </c>
      <c r="L39" s="28">
        <f t="shared" si="24"/>
        <v>114.6120883817092</v>
      </c>
      <c r="M39" s="28"/>
      <c r="N39" s="65"/>
      <c r="O39" s="65"/>
      <c r="P39" s="65"/>
      <c r="Q39" s="65"/>
      <c r="R39" s="65"/>
      <c r="S39" s="65"/>
      <c r="T39" s="65"/>
      <c r="U39" s="65"/>
      <c r="V39" s="65"/>
      <c r="W39" s="65"/>
      <c r="X39" s="65"/>
      <c r="Y39" s="65"/>
    </row>
    <row r="40" spans="1:25">
      <c r="A40" s="64" t="s">
        <v>1782</v>
      </c>
      <c r="B40" s="28">
        <f>B29/B18*100</f>
        <v>128.40227695112972</v>
      </c>
      <c r="C40" s="28">
        <f t="shared" ref="C40:H40" si="25">C29/C18*100</f>
        <v>127.38702331697615</v>
      </c>
      <c r="D40" s="28">
        <f t="shared" si="25"/>
        <v>139.10824268684141</v>
      </c>
      <c r="E40" s="65" t="s">
        <v>2147</v>
      </c>
      <c r="F40" s="28">
        <f t="shared" si="25"/>
        <v>123.72653596949938</v>
      </c>
      <c r="G40" s="28">
        <f t="shared" si="25"/>
        <v>122.45486508908465</v>
      </c>
      <c r="H40" s="28">
        <f t="shared" si="25"/>
        <v>110.35316934819556</v>
      </c>
      <c r="I40" s="65" t="s">
        <v>2147</v>
      </c>
      <c r="J40" s="65" t="s">
        <v>2147</v>
      </c>
      <c r="K40" s="65" t="s">
        <v>2147</v>
      </c>
      <c r="L40" s="65" t="s">
        <v>2147</v>
      </c>
      <c r="M40" s="28"/>
      <c r="N40" s="65"/>
      <c r="O40" s="65"/>
      <c r="P40" s="65"/>
      <c r="Q40" s="65"/>
      <c r="R40" s="65"/>
      <c r="S40" s="65"/>
      <c r="T40" s="65"/>
      <c r="U40" s="65"/>
      <c r="V40" s="65"/>
      <c r="W40" s="65"/>
      <c r="X40" s="65"/>
      <c r="Y40" s="65"/>
    </row>
    <row r="42" spans="1:25">
      <c r="A42" s="64" t="s">
        <v>898</v>
      </c>
    </row>
    <row r="43" spans="1:25">
      <c r="A43" s="64" t="s">
        <v>868</v>
      </c>
    </row>
  </sheetData>
  <mergeCells count="11">
    <mergeCell ref="O3:O4"/>
    <mergeCell ref="P3:Q3"/>
    <mergeCell ref="R3:X3"/>
    <mergeCell ref="B2:B4"/>
    <mergeCell ref="N2:N4"/>
    <mergeCell ref="O2:X2"/>
    <mergeCell ref="A1:L1"/>
    <mergeCell ref="C2:L2"/>
    <mergeCell ref="C3:C4"/>
    <mergeCell ref="D3:E3"/>
    <mergeCell ref="F3:L3"/>
  </mergeCells>
  <pageMargins left="0.7" right="0.7" top="0.75" bottom="0.75" header="0.3" footer="0.3"/>
  <pageSetup scale="65" orientation="landscape" horizontalDpi="0" verticalDpi="0" r:id="rId1"/>
</worksheet>
</file>

<file path=xl/worksheets/sheet205.xml><?xml version="1.0" encoding="utf-8"?>
<worksheet xmlns="http://schemas.openxmlformats.org/spreadsheetml/2006/main" xmlns:r="http://schemas.openxmlformats.org/officeDocument/2006/relationships">
  <sheetPr codeName="Sheet199"/>
  <dimension ref="A1:AG74"/>
  <sheetViews>
    <sheetView view="pageBreakPreview" zoomScale="85" zoomScaleNormal="100" zoomScaleSheetLayoutView="85" workbookViewId="0">
      <selection activeCell="AC38" sqref="AC38"/>
    </sheetView>
  </sheetViews>
  <sheetFormatPr defaultRowHeight="15" outlineLevelRow="1" outlineLevelCol="1"/>
  <cols>
    <col min="1" max="1" width="9.140625" style="109"/>
    <col min="2" max="2" width="12.7109375" style="109" customWidth="1"/>
    <col min="3" max="6" width="9.140625" style="109"/>
    <col min="7" max="7" width="14.140625" style="109" customWidth="1"/>
    <col min="8" max="8" width="11.42578125" style="109" customWidth="1"/>
    <col min="9" max="9" width="9.140625" style="109"/>
    <col min="10" max="10" width="12.85546875" style="109" customWidth="1"/>
    <col min="11" max="11" width="9.140625" style="109"/>
    <col min="12" max="12" width="10.42578125" style="109" customWidth="1"/>
    <col min="13" max="13" width="9.140625" style="109"/>
    <col min="14" max="14" width="13" style="109" customWidth="1"/>
    <col min="15" max="17" width="9.140625" style="109"/>
    <col min="18" max="32" width="9.140625" style="109" hidden="1" customWidth="1" outlineLevel="1"/>
    <col min="33" max="33" width="9.140625" style="109" collapsed="1"/>
    <col min="34" max="16384" width="9.140625" style="109"/>
  </cols>
  <sheetData>
    <row r="1" spans="1:32">
      <c r="A1" s="66" t="s">
        <v>2148</v>
      </c>
    </row>
    <row r="2" spans="1:32" ht="75">
      <c r="B2" s="72" t="s">
        <v>675</v>
      </c>
      <c r="C2" s="72" t="s">
        <v>900</v>
      </c>
      <c r="D2" s="72" t="s">
        <v>901</v>
      </c>
      <c r="E2" s="72" t="s">
        <v>913</v>
      </c>
      <c r="F2" s="72" t="s">
        <v>902</v>
      </c>
      <c r="G2" s="72" t="s">
        <v>903</v>
      </c>
      <c r="H2" s="72" t="s">
        <v>904</v>
      </c>
      <c r="I2" s="72" t="s">
        <v>905</v>
      </c>
      <c r="J2" s="72" t="s">
        <v>906</v>
      </c>
      <c r="K2" s="72" t="s">
        <v>907</v>
      </c>
      <c r="L2" s="72" t="s">
        <v>908</v>
      </c>
      <c r="M2" s="72" t="s">
        <v>909</v>
      </c>
      <c r="N2" s="72" t="s">
        <v>910</v>
      </c>
      <c r="O2" s="72" t="s">
        <v>911</v>
      </c>
      <c r="P2" s="72" t="s">
        <v>912</v>
      </c>
      <c r="R2" s="110" t="s">
        <v>675</v>
      </c>
      <c r="S2" s="110" t="s">
        <v>900</v>
      </c>
      <c r="T2" s="110" t="s">
        <v>901</v>
      </c>
      <c r="U2" s="110" t="s">
        <v>913</v>
      </c>
      <c r="V2" s="110" t="s">
        <v>902</v>
      </c>
      <c r="W2" s="110" t="s">
        <v>903</v>
      </c>
      <c r="X2" s="110" t="s">
        <v>904</v>
      </c>
      <c r="Y2" s="110" t="s">
        <v>905</v>
      </c>
      <c r="Z2" s="110" t="s">
        <v>906</v>
      </c>
      <c r="AA2" s="110" t="s">
        <v>907</v>
      </c>
      <c r="AB2" s="110" t="s">
        <v>908</v>
      </c>
      <c r="AC2" s="110" t="s">
        <v>909</v>
      </c>
      <c r="AD2" s="110" t="s">
        <v>910</v>
      </c>
      <c r="AE2" s="110" t="s">
        <v>2050</v>
      </c>
      <c r="AF2" s="110" t="s">
        <v>912</v>
      </c>
    </row>
    <row r="3" spans="1:32">
      <c r="A3" s="66">
        <v>1947</v>
      </c>
      <c r="B3" s="41"/>
      <c r="C3" s="41"/>
      <c r="D3" s="41"/>
      <c r="E3" s="41"/>
      <c r="F3" s="41"/>
      <c r="G3" s="41"/>
      <c r="H3" s="41"/>
      <c r="I3" s="41"/>
      <c r="J3" s="41"/>
      <c r="K3" s="41"/>
      <c r="L3" s="41"/>
      <c r="M3" s="41"/>
      <c r="N3" s="41"/>
      <c r="O3" s="41"/>
      <c r="P3" s="41"/>
      <c r="R3" s="110"/>
      <c r="S3" s="110"/>
      <c r="T3" s="110"/>
      <c r="U3" s="110"/>
      <c r="V3" s="110"/>
      <c r="W3" s="110"/>
      <c r="X3" s="110"/>
      <c r="Y3" s="110"/>
      <c r="Z3" s="110"/>
      <c r="AA3" s="110"/>
      <c r="AB3" s="110"/>
      <c r="AC3" s="110"/>
      <c r="AD3" s="110"/>
      <c r="AE3" s="110"/>
      <c r="AF3" s="110"/>
    </row>
    <row r="4" spans="1:32" hidden="1" outlineLevel="1">
      <c r="A4" s="66">
        <v>1948</v>
      </c>
      <c r="B4" s="41"/>
      <c r="C4" s="41"/>
      <c r="D4" s="41"/>
      <c r="E4" s="41"/>
      <c r="F4" s="41"/>
      <c r="G4" s="41"/>
      <c r="H4" s="41"/>
      <c r="I4" s="41"/>
      <c r="J4" s="41"/>
      <c r="K4" s="41"/>
      <c r="L4" s="41"/>
      <c r="M4" s="41"/>
      <c r="N4" s="41"/>
      <c r="O4" s="41"/>
      <c r="P4" s="41"/>
      <c r="R4" s="119">
        <v>46.320999999999998</v>
      </c>
      <c r="S4" s="110">
        <v>115.75700000000001</v>
      </c>
      <c r="T4" s="119">
        <v>53.619</v>
      </c>
      <c r="U4" s="119">
        <v>12.629</v>
      </c>
      <c r="V4" s="119">
        <v>2.0979999999999999</v>
      </c>
      <c r="W4" s="119">
        <v>2.3029999999999999</v>
      </c>
      <c r="X4" s="119">
        <v>1.782</v>
      </c>
      <c r="Y4" s="119">
        <v>23.553000000000001</v>
      </c>
      <c r="Z4" s="110">
        <v>4.2960000000000003</v>
      </c>
      <c r="AA4" s="119">
        <v>18.238</v>
      </c>
      <c r="AB4" s="119">
        <v>14.113</v>
      </c>
      <c r="AC4" s="119">
        <v>16.61</v>
      </c>
      <c r="AD4" s="110">
        <v>34.304000000000002</v>
      </c>
      <c r="AE4" s="110">
        <v>27.263999999999999</v>
      </c>
      <c r="AF4" s="119">
        <v>109.80200000000001</v>
      </c>
    </row>
    <row r="5" spans="1:32" hidden="1" outlineLevel="1">
      <c r="A5" s="66">
        <v>1949</v>
      </c>
      <c r="B5" s="41"/>
      <c r="C5" s="41"/>
      <c r="D5" s="41"/>
      <c r="E5" s="41"/>
      <c r="F5" s="41"/>
      <c r="G5" s="41"/>
      <c r="H5" s="41"/>
      <c r="I5" s="41"/>
      <c r="J5" s="41"/>
      <c r="K5" s="41"/>
      <c r="L5" s="41"/>
      <c r="M5" s="41"/>
      <c r="N5" s="41"/>
      <c r="O5" s="41"/>
      <c r="P5" s="41"/>
      <c r="R5" s="119">
        <v>46.844000000000001</v>
      </c>
      <c r="S5" s="110">
        <v>115.307</v>
      </c>
      <c r="T5" s="119">
        <v>54.015000000000001</v>
      </c>
      <c r="U5" s="119">
        <v>13.314</v>
      </c>
      <c r="V5" s="119">
        <v>2.347</v>
      </c>
      <c r="W5" s="119">
        <v>2.516</v>
      </c>
      <c r="X5" s="119">
        <v>2.0880000000000001</v>
      </c>
      <c r="Y5" s="119">
        <v>24.649000000000001</v>
      </c>
      <c r="Z5" s="110">
        <v>4.6589999999999998</v>
      </c>
      <c r="AA5" s="119">
        <v>18.901</v>
      </c>
      <c r="AB5" s="119">
        <v>15.683</v>
      </c>
      <c r="AC5" s="119">
        <v>17.631</v>
      </c>
      <c r="AD5" s="110">
        <v>34.424999999999997</v>
      </c>
      <c r="AE5" s="110">
        <v>28.422000000000001</v>
      </c>
      <c r="AF5" s="119">
        <v>107.203</v>
      </c>
    </row>
    <row r="6" spans="1:32" hidden="1" outlineLevel="1">
      <c r="A6" s="66">
        <v>1950</v>
      </c>
      <c r="B6" s="41"/>
      <c r="C6" s="41"/>
      <c r="D6" s="41"/>
      <c r="E6" s="41"/>
      <c r="F6" s="41"/>
      <c r="G6" s="41"/>
      <c r="H6" s="41"/>
      <c r="I6" s="41"/>
      <c r="J6" s="41"/>
      <c r="K6" s="41"/>
      <c r="L6" s="41"/>
      <c r="M6" s="41"/>
      <c r="N6" s="41"/>
      <c r="O6" s="41"/>
      <c r="P6" s="41"/>
      <c r="R6" s="119">
        <v>45.808</v>
      </c>
      <c r="S6" s="110">
        <v>114.158</v>
      </c>
      <c r="T6" s="119">
        <v>52.292999999999999</v>
      </c>
      <c r="U6" s="119">
        <v>13.186</v>
      </c>
      <c r="V6" s="119">
        <v>2.3029999999999999</v>
      </c>
      <c r="W6" s="119">
        <v>2.4700000000000002</v>
      </c>
      <c r="X6" s="119">
        <v>2.0470000000000002</v>
      </c>
      <c r="Y6" s="119">
        <v>25.215</v>
      </c>
      <c r="Z6" s="110">
        <v>4.7229999999999999</v>
      </c>
      <c r="AA6" s="119">
        <v>18.728999999999999</v>
      </c>
      <c r="AB6" s="119">
        <v>15.526999999999999</v>
      </c>
      <c r="AC6" s="119">
        <v>17.465</v>
      </c>
      <c r="AD6" s="110">
        <v>35.335999999999999</v>
      </c>
      <c r="AE6" s="110">
        <v>28.785</v>
      </c>
      <c r="AF6" s="119">
        <v>107.23699999999999</v>
      </c>
    </row>
    <row r="7" spans="1:32" hidden="1" outlineLevel="1">
      <c r="A7" s="66">
        <v>1951</v>
      </c>
      <c r="B7" s="41"/>
      <c r="C7" s="41"/>
      <c r="D7" s="41"/>
      <c r="E7" s="41"/>
      <c r="F7" s="41"/>
      <c r="G7" s="41"/>
      <c r="H7" s="41"/>
      <c r="I7" s="41"/>
      <c r="J7" s="41"/>
      <c r="K7" s="41"/>
      <c r="L7" s="41"/>
      <c r="M7" s="41"/>
      <c r="N7" s="41"/>
      <c r="O7" s="41"/>
      <c r="P7" s="41"/>
      <c r="R7" s="119">
        <v>46.256</v>
      </c>
      <c r="S7" s="110">
        <v>114.61199999999999</v>
      </c>
      <c r="T7" s="119">
        <v>53.015999999999998</v>
      </c>
      <c r="U7" s="119">
        <v>14.468</v>
      </c>
      <c r="V7" s="119">
        <v>2.5550000000000002</v>
      </c>
      <c r="W7" s="119">
        <v>2.68</v>
      </c>
      <c r="X7" s="119">
        <v>2.363</v>
      </c>
      <c r="Y7" s="119">
        <v>27.29</v>
      </c>
      <c r="Z7" s="110">
        <v>5.056</v>
      </c>
      <c r="AA7" s="119">
        <v>18.526</v>
      </c>
      <c r="AB7" s="119">
        <v>16.334</v>
      </c>
      <c r="AC7" s="119">
        <v>17.661000000000001</v>
      </c>
      <c r="AD7" s="110">
        <v>37.356999999999999</v>
      </c>
      <c r="AE7" s="110">
        <v>31.277999999999999</v>
      </c>
      <c r="AF7" s="119">
        <v>104.898</v>
      </c>
    </row>
    <row r="8" spans="1:32" hidden="1" outlineLevel="1">
      <c r="A8" s="66">
        <v>1952</v>
      </c>
      <c r="B8" s="41"/>
      <c r="C8" s="41"/>
      <c r="D8" s="41"/>
      <c r="E8" s="41"/>
      <c r="F8" s="41"/>
      <c r="G8" s="41"/>
      <c r="H8" s="41"/>
      <c r="I8" s="41"/>
      <c r="J8" s="41"/>
      <c r="K8" s="41"/>
      <c r="L8" s="41"/>
      <c r="M8" s="41"/>
      <c r="N8" s="41"/>
      <c r="O8" s="41"/>
      <c r="P8" s="41"/>
      <c r="R8" s="119">
        <v>47.478000000000002</v>
      </c>
      <c r="S8" s="110">
        <v>115.23</v>
      </c>
      <c r="T8" s="119">
        <v>54.709000000000003</v>
      </c>
      <c r="U8" s="119">
        <v>15.403</v>
      </c>
      <c r="V8" s="119">
        <v>2.9289999999999998</v>
      </c>
      <c r="W8" s="119">
        <v>3.0310000000000001</v>
      </c>
      <c r="X8" s="119">
        <v>2.774</v>
      </c>
      <c r="Y8" s="119">
        <v>28.154</v>
      </c>
      <c r="Z8" s="110">
        <v>5.5389999999999997</v>
      </c>
      <c r="AA8" s="119">
        <v>19.675000000000001</v>
      </c>
      <c r="AB8" s="119">
        <v>18.007999999999999</v>
      </c>
      <c r="AC8" s="119">
        <v>19.016999999999999</v>
      </c>
      <c r="AD8" s="110">
        <v>37.94</v>
      </c>
      <c r="AE8" s="110">
        <v>32.442</v>
      </c>
      <c r="AF8" s="119">
        <v>103.46</v>
      </c>
    </row>
    <row r="9" spans="1:32" hidden="1" outlineLevel="1">
      <c r="A9" s="66">
        <v>1953</v>
      </c>
      <c r="B9" s="41"/>
      <c r="C9" s="41"/>
      <c r="D9" s="41"/>
      <c r="E9" s="41"/>
      <c r="F9" s="41"/>
      <c r="G9" s="41"/>
      <c r="H9" s="41"/>
      <c r="I9" s="41"/>
      <c r="J9" s="41"/>
      <c r="K9" s="41"/>
      <c r="L9" s="41"/>
      <c r="M9" s="41"/>
      <c r="N9" s="41"/>
      <c r="O9" s="41"/>
      <c r="P9" s="41"/>
      <c r="R9" s="119">
        <v>47.704000000000001</v>
      </c>
      <c r="S9" s="110">
        <v>114.94799999999999</v>
      </c>
      <c r="T9" s="119">
        <v>54.834000000000003</v>
      </c>
      <c r="U9" s="119">
        <v>15.877000000000001</v>
      </c>
      <c r="V9" s="119">
        <v>3.0550000000000002</v>
      </c>
      <c r="W9" s="119">
        <v>3.2240000000000002</v>
      </c>
      <c r="X9" s="119">
        <v>2.7959999999999998</v>
      </c>
      <c r="Y9" s="119">
        <v>28.954000000000001</v>
      </c>
      <c r="Z9" s="110">
        <v>5.8789999999999996</v>
      </c>
      <c r="AA9" s="119">
        <v>20.305</v>
      </c>
      <c r="AB9" s="119">
        <v>17.611000000000001</v>
      </c>
      <c r="AC9" s="119">
        <v>19.242000000000001</v>
      </c>
      <c r="AD9" s="110">
        <v>39.508000000000003</v>
      </c>
      <c r="AE9" s="110">
        <v>33.281999999999996</v>
      </c>
      <c r="AF9" s="119">
        <v>105.527</v>
      </c>
    </row>
    <row r="10" spans="1:32" hidden="1" outlineLevel="1">
      <c r="A10" s="66">
        <v>1954</v>
      </c>
      <c r="B10" s="41"/>
      <c r="C10" s="41"/>
      <c r="D10" s="41"/>
      <c r="E10" s="41"/>
      <c r="F10" s="41"/>
      <c r="G10" s="41"/>
      <c r="H10" s="41"/>
      <c r="I10" s="41"/>
      <c r="J10" s="41"/>
      <c r="K10" s="41"/>
      <c r="L10" s="41"/>
      <c r="M10" s="41"/>
      <c r="N10" s="41"/>
      <c r="O10" s="41"/>
      <c r="P10" s="41"/>
      <c r="R10" s="119">
        <v>48.377000000000002</v>
      </c>
      <c r="S10" s="110">
        <v>114.765</v>
      </c>
      <c r="T10" s="119">
        <v>55.52</v>
      </c>
      <c r="U10" s="119">
        <v>16.651</v>
      </c>
      <c r="V10" s="119">
        <v>3.2290000000000001</v>
      </c>
      <c r="W10" s="119">
        <v>3.472</v>
      </c>
      <c r="X10" s="119">
        <v>2.8559999999999999</v>
      </c>
      <c r="Y10" s="119">
        <v>29.991</v>
      </c>
      <c r="Z10" s="110">
        <v>6.2530000000000001</v>
      </c>
      <c r="AA10" s="119">
        <v>20.850999999999999</v>
      </c>
      <c r="AB10" s="119">
        <v>17.154</v>
      </c>
      <c r="AC10" s="119">
        <v>19.391999999999999</v>
      </c>
      <c r="AD10" s="110">
        <v>41.707999999999998</v>
      </c>
      <c r="AE10" s="110">
        <v>34.418999999999997</v>
      </c>
      <c r="AF10" s="119">
        <v>107.52500000000001</v>
      </c>
    </row>
    <row r="11" spans="1:32" hidden="1" outlineLevel="1">
      <c r="A11" s="66">
        <v>1955</v>
      </c>
      <c r="B11" s="41"/>
      <c r="C11" s="41"/>
      <c r="D11" s="41"/>
      <c r="E11" s="41"/>
      <c r="F11" s="41"/>
      <c r="G11" s="41"/>
      <c r="H11" s="41"/>
      <c r="I11" s="41"/>
      <c r="J11" s="41"/>
      <c r="K11" s="41"/>
      <c r="L11" s="41"/>
      <c r="M11" s="41"/>
      <c r="N11" s="41"/>
      <c r="O11" s="41"/>
      <c r="P11" s="41"/>
      <c r="R11" s="119">
        <v>47.183</v>
      </c>
      <c r="S11" s="110">
        <v>113.72499999999999</v>
      </c>
      <c r="T11" s="119">
        <v>53.658999999999999</v>
      </c>
      <c r="U11" s="119">
        <v>16.443999999999999</v>
      </c>
      <c r="V11" s="119">
        <v>3.2040000000000002</v>
      </c>
      <c r="W11" s="119">
        <v>3.4630000000000001</v>
      </c>
      <c r="X11" s="119">
        <v>2.8069999999999999</v>
      </c>
      <c r="Y11" s="119">
        <v>30.645</v>
      </c>
      <c r="Z11" s="110">
        <v>6.4530000000000003</v>
      </c>
      <c r="AA11" s="119">
        <v>21.056999999999999</v>
      </c>
      <c r="AB11" s="119">
        <v>17.068999999999999</v>
      </c>
      <c r="AC11" s="119">
        <v>19.483000000000001</v>
      </c>
      <c r="AD11" s="110">
        <v>42.719000000000001</v>
      </c>
      <c r="AE11" s="110">
        <v>34.850999999999999</v>
      </c>
      <c r="AF11" s="119">
        <v>108.08</v>
      </c>
    </row>
    <row r="12" spans="1:32" hidden="1" outlineLevel="1">
      <c r="A12" s="66">
        <v>1956</v>
      </c>
      <c r="B12" s="41"/>
      <c r="C12" s="41"/>
      <c r="D12" s="41"/>
      <c r="E12" s="41"/>
      <c r="F12" s="41"/>
      <c r="G12" s="41"/>
      <c r="H12" s="41"/>
      <c r="I12" s="41"/>
      <c r="J12" s="41"/>
      <c r="K12" s="41"/>
      <c r="L12" s="41"/>
      <c r="M12" s="41"/>
      <c r="N12" s="41"/>
      <c r="O12" s="41"/>
      <c r="P12" s="41"/>
      <c r="R12" s="119">
        <v>48.557000000000002</v>
      </c>
      <c r="S12" s="110">
        <v>114.61</v>
      </c>
      <c r="T12" s="119">
        <v>55.652000000000001</v>
      </c>
      <c r="U12" s="119">
        <v>17.774999999999999</v>
      </c>
      <c r="V12" s="119">
        <v>3.508</v>
      </c>
      <c r="W12" s="119">
        <v>3.6829999999999998</v>
      </c>
      <c r="X12" s="119">
        <v>3.2389999999999999</v>
      </c>
      <c r="Y12" s="119">
        <v>31.94</v>
      </c>
      <c r="Z12" s="110">
        <v>6.6180000000000003</v>
      </c>
      <c r="AA12" s="119">
        <v>20.719000000000001</v>
      </c>
      <c r="AB12" s="119">
        <v>18.222000000000001</v>
      </c>
      <c r="AC12" s="119">
        <v>19.734000000000002</v>
      </c>
      <c r="AD12" s="110">
        <v>43.972999999999999</v>
      </c>
      <c r="AE12" s="110">
        <v>36.606000000000002</v>
      </c>
      <c r="AF12" s="119">
        <v>104.995</v>
      </c>
    </row>
    <row r="13" spans="1:32" hidden="1" outlineLevel="1">
      <c r="A13" s="66">
        <v>1957</v>
      </c>
      <c r="B13" s="41"/>
      <c r="C13" s="41"/>
      <c r="D13" s="41"/>
      <c r="E13" s="41"/>
      <c r="F13" s="41"/>
      <c r="G13" s="41"/>
      <c r="H13" s="41"/>
      <c r="I13" s="41"/>
      <c r="J13" s="41"/>
      <c r="K13" s="41"/>
      <c r="L13" s="41"/>
      <c r="M13" s="41"/>
      <c r="N13" s="41"/>
      <c r="O13" s="41"/>
      <c r="P13" s="41"/>
      <c r="R13" s="119">
        <v>49.557000000000002</v>
      </c>
      <c r="S13" s="110">
        <v>114.006</v>
      </c>
      <c r="T13" s="119">
        <v>56.497999999999998</v>
      </c>
      <c r="U13" s="119">
        <v>18.062999999999999</v>
      </c>
      <c r="V13" s="119">
        <v>3.681</v>
      </c>
      <c r="W13" s="119">
        <v>3.9860000000000002</v>
      </c>
      <c r="X13" s="119">
        <v>3.2130000000000001</v>
      </c>
      <c r="Y13" s="119">
        <v>31.971</v>
      </c>
      <c r="Z13" s="110">
        <v>7.056</v>
      </c>
      <c r="AA13" s="119">
        <v>22.068999999999999</v>
      </c>
      <c r="AB13" s="119">
        <v>17.788</v>
      </c>
      <c r="AC13" s="119">
        <v>20.379000000000001</v>
      </c>
      <c r="AD13" s="110">
        <v>46.192999999999998</v>
      </c>
      <c r="AE13" s="110">
        <v>36.448999999999998</v>
      </c>
      <c r="AF13" s="119">
        <v>108.29</v>
      </c>
    </row>
    <row r="14" spans="1:32" hidden="1" outlineLevel="1">
      <c r="A14" s="66">
        <v>1958</v>
      </c>
      <c r="B14" s="41"/>
      <c r="C14" s="41"/>
      <c r="D14" s="41"/>
      <c r="E14" s="41"/>
      <c r="F14" s="41"/>
      <c r="G14" s="41"/>
      <c r="H14" s="41"/>
      <c r="I14" s="41"/>
      <c r="J14" s="41"/>
      <c r="K14" s="41"/>
      <c r="L14" s="41"/>
      <c r="M14" s="41"/>
      <c r="N14" s="41"/>
      <c r="O14" s="41"/>
      <c r="P14" s="41"/>
      <c r="R14" s="119">
        <v>49.445</v>
      </c>
      <c r="S14" s="110">
        <v>112.646</v>
      </c>
      <c r="T14" s="119">
        <v>55.698</v>
      </c>
      <c r="U14" s="119">
        <v>18.370999999999999</v>
      </c>
      <c r="V14" s="119">
        <v>3.863</v>
      </c>
      <c r="W14" s="119">
        <v>4.1849999999999996</v>
      </c>
      <c r="X14" s="119">
        <v>3.37</v>
      </c>
      <c r="Y14" s="119">
        <v>32.982999999999997</v>
      </c>
      <c r="Z14" s="110">
        <v>7.5140000000000002</v>
      </c>
      <c r="AA14" s="119">
        <v>22.78</v>
      </c>
      <c r="AB14" s="119">
        <v>18.346</v>
      </c>
      <c r="AC14" s="119">
        <v>21.03</v>
      </c>
      <c r="AD14" s="110">
        <v>47.616</v>
      </c>
      <c r="AE14" s="110">
        <v>37.155000000000001</v>
      </c>
      <c r="AF14" s="119">
        <v>108.32</v>
      </c>
    </row>
    <row r="15" spans="1:32" hidden="1" outlineLevel="1">
      <c r="A15" s="66">
        <v>1959</v>
      </c>
      <c r="B15" s="41"/>
      <c r="C15" s="41"/>
      <c r="D15" s="41"/>
      <c r="E15" s="41"/>
      <c r="F15" s="41"/>
      <c r="G15" s="41"/>
      <c r="H15" s="41"/>
      <c r="I15" s="41"/>
      <c r="J15" s="41"/>
      <c r="K15" s="41"/>
      <c r="L15" s="41"/>
      <c r="M15" s="41"/>
      <c r="N15" s="41"/>
      <c r="O15" s="41"/>
      <c r="P15" s="41"/>
      <c r="R15" s="119">
        <v>47.572000000000003</v>
      </c>
      <c r="S15" s="110">
        <v>111.83</v>
      </c>
      <c r="T15" s="119">
        <v>53.2</v>
      </c>
      <c r="U15" s="119">
        <v>18.042999999999999</v>
      </c>
      <c r="V15" s="119">
        <v>3.8620000000000001</v>
      </c>
      <c r="W15" s="119">
        <v>4.1749999999999998</v>
      </c>
      <c r="X15" s="119">
        <v>3.3820000000000001</v>
      </c>
      <c r="Y15" s="119">
        <v>33.914999999999999</v>
      </c>
      <c r="Z15" s="110">
        <v>7.8470000000000004</v>
      </c>
      <c r="AA15" s="119">
        <v>23.138000000000002</v>
      </c>
      <c r="AB15" s="119">
        <v>18.745000000000001</v>
      </c>
      <c r="AC15" s="119">
        <v>21.404</v>
      </c>
      <c r="AD15" s="110">
        <v>48.353999999999999</v>
      </c>
      <c r="AE15" s="110">
        <v>37.927</v>
      </c>
      <c r="AF15" s="119">
        <v>108.101</v>
      </c>
    </row>
    <row r="16" spans="1:32" hidden="1" outlineLevel="1">
      <c r="A16" s="66">
        <v>1960</v>
      </c>
      <c r="B16" s="41"/>
      <c r="C16" s="41"/>
      <c r="D16" s="41"/>
      <c r="E16" s="41"/>
      <c r="F16" s="41"/>
      <c r="G16" s="41"/>
      <c r="H16" s="41"/>
      <c r="I16" s="41"/>
      <c r="J16" s="41"/>
      <c r="K16" s="41"/>
      <c r="L16" s="41"/>
      <c r="M16" s="41"/>
      <c r="N16" s="41"/>
      <c r="O16" s="41"/>
      <c r="P16" s="41"/>
      <c r="R16" s="119">
        <v>49.043999999999997</v>
      </c>
      <c r="S16" s="110">
        <v>112.99299999999999</v>
      </c>
      <c r="T16" s="119">
        <v>55.415999999999997</v>
      </c>
      <c r="U16" s="119">
        <v>19.523</v>
      </c>
      <c r="V16" s="119">
        <v>4.2110000000000003</v>
      </c>
      <c r="W16" s="119">
        <v>4.5270000000000001</v>
      </c>
      <c r="X16" s="119">
        <v>3.7269999999999999</v>
      </c>
      <c r="Y16" s="119">
        <v>35.229999999999997</v>
      </c>
      <c r="Z16" s="110">
        <v>8.1690000000000005</v>
      </c>
      <c r="AA16" s="119">
        <v>23.187999999999999</v>
      </c>
      <c r="AB16" s="119">
        <v>19.091999999999999</v>
      </c>
      <c r="AC16" s="119">
        <v>21.571000000000002</v>
      </c>
      <c r="AD16" s="110">
        <v>49.991</v>
      </c>
      <c r="AE16" s="110">
        <v>39.807000000000002</v>
      </c>
      <c r="AF16" s="119">
        <v>107.49299999999999</v>
      </c>
    </row>
    <row r="17" spans="1:32" hidden="1" outlineLevel="1">
      <c r="A17" s="66">
        <v>1961</v>
      </c>
      <c r="B17" s="41"/>
      <c r="C17" s="41"/>
      <c r="D17" s="41"/>
      <c r="E17" s="41"/>
      <c r="F17" s="41"/>
      <c r="G17" s="41"/>
      <c r="H17" s="41"/>
      <c r="I17" s="41"/>
      <c r="J17" s="41"/>
      <c r="K17" s="41"/>
      <c r="L17" s="41"/>
      <c r="M17" s="41"/>
      <c r="N17" s="41"/>
      <c r="O17" s="41"/>
      <c r="P17" s="41"/>
      <c r="R17" s="119">
        <v>49.304000000000002</v>
      </c>
      <c r="S17" s="110">
        <v>112.581</v>
      </c>
      <c r="T17" s="119">
        <v>55.506999999999998</v>
      </c>
      <c r="U17" s="119">
        <v>19.896000000000001</v>
      </c>
      <c r="V17" s="119">
        <v>4.3380000000000001</v>
      </c>
      <c r="W17" s="119">
        <v>4.7240000000000002</v>
      </c>
      <c r="X17" s="119">
        <v>3.746</v>
      </c>
      <c r="Y17" s="119">
        <v>35.844000000000001</v>
      </c>
      <c r="Z17" s="110">
        <v>8.51</v>
      </c>
      <c r="AA17" s="119">
        <v>23.742000000000001</v>
      </c>
      <c r="AB17" s="119">
        <v>18.827999999999999</v>
      </c>
      <c r="AC17" s="119">
        <v>21.803000000000001</v>
      </c>
      <c r="AD17" s="110">
        <v>51.198999999999998</v>
      </c>
      <c r="AE17" s="110">
        <v>40.353999999999999</v>
      </c>
      <c r="AF17" s="119">
        <v>108.895</v>
      </c>
    </row>
    <row r="18" spans="1:32" hidden="1" outlineLevel="1">
      <c r="A18" s="66">
        <v>1962</v>
      </c>
      <c r="B18" s="41"/>
      <c r="C18" s="41"/>
      <c r="D18" s="41"/>
      <c r="E18" s="41"/>
      <c r="F18" s="41"/>
      <c r="G18" s="41"/>
      <c r="H18" s="41"/>
      <c r="I18" s="41"/>
      <c r="J18" s="41"/>
      <c r="K18" s="41"/>
      <c r="L18" s="41"/>
      <c r="M18" s="41"/>
      <c r="N18" s="41"/>
      <c r="O18" s="41"/>
      <c r="P18" s="41"/>
      <c r="R18" s="119">
        <v>48.783999999999999</v>
      </c>
      <c r="S18" s="110">
        <v>112.09099999999999</v>
      </c>
      <c r="T18" s="119">
        <v>54.682000000000002</v>
      </c>
      <c r="U18" s="119">
        <v>20.285</v>
      </c>
      <c r="V18" s="119">
        <v>4.4569999999999999</v>
      </c>
      <c r="W18" s="119">
        <v>4.8339999999999996</v>
      </c>
      <c r="X18" s="119">
        <v>3.879</v>
      </c>
      <c r="Y18" s="119">
        <v>37.095999999999997</v>
      </c>
      <c r="Z18" s="110">
        <v>8.84</v>
      </c>
      <c r="AA18" s="119">
        <v>23.83</v>
      </c>
      <c r="AB18" s="119">
        <v>19.122</v>
      </c>
      <c r="AC18" s="119">
        <v>21.972000000000001</v>
      </c>
      <c r="AD18" s="110">
        <v>52.649000000000001</v>
      </c>
      <c r="AE18" s="110">
        <v>41.581000000000003</v>
      </c>
      <c r="AF18" s="119">
        <v>108.456</v>
      </c>
    </row>
    <row r="19" spans="1:32" hidden="1" outlineLevel="1">
      <c r="A19" s="66">
        <v>1963</v>
      </c>
      <c r="B19" s="41"/>
      <c r="C19" s="41"/>
      <c r="D19" s="41"/>
      <c r="E19" s="41"/>
      <c r="F19" s="41"/>
      <c r="G19" s="41"/>
      <c r="H19" s="41"/>
      <c r="I19" s="41"/>
      <c r="J19" s="41"/>
      <c r="K19" s="41"/>
      <c r="L19" s="41"/>
      <c r="M19" s="41"/>
      <c r="N19" s="41"/>
      <c r="O19" s="41"/>
      <c r="P19" s="41"/>
      <c r="R19" s="119">
        <v>49.405999999999999</v>
      </c>
      <c r="S19" s="110">
        <v>112.657</v>
      </c>
      <c r="T19" s="119">
        <v>55.66</v>
      </c>
      <c r="U19" s="119">
        <v>21.593</v>
      </c>
      <c r="V19" s="119">
        <v>4.7930000000000001</v>
      </c>
      <c r="W19" s="119">
        <v>5.1379999999999999</v>
      </c>
      <c r="X19" s="119">
        <v>4.2629999999999999</v>
      </c>
      <c r="Y19" s="119">
        <v>38.795000000000002</v>
      </c>
      <c r="Z19" s="110">
        <v>9.2309999999999999</v>
      </c>
      <c r="AA19" s="119">
        <v>23.795000000000002</v>
      </c>
      <c r="AB19" s="119">
        <v>19.741</v>
      </c>
      <c r="AC19" s="119">
        <v>22.195</v>
      </c>
      <c r="AD19" s="110">
        <v>54.433</v>
      </c>
      <c r="AE19" s="110">
        <v>43.704999999999998</v>
      </c>
      <c r="AF19" s="119">
        <v>107.21</v>
      </c>
    </row>
    <row r="20" spans="1:32" hidden="1" outlineLevel="1">
      <c r="A20" s="66">
        <v>1964</v>
      </c>
      <c r="B20" s="41"/>
      <c r="C20" s="41"/>
      <c r="D20" s="41"/>
      <c r="E20" s="41"/>
      <c r="F20" s="41"/>
      <c r="G20" s="41"/>
      <c r="H20" s="41"/>
      <c r="I20" s="41"/>
      <c r="J20" s="41"/>
      <c r="K20" s="41"/>
      <c r="L20" s="41"/>
      <c r="M20" s="41"/>
      <c r="N20" s="41"/>
      <c r="O20" s="41"/>
      <c r="P20" s="41"/>
      <c r="R20" s="119">
        <v>49.683999999999997</v>
      </c>
      <c r="S20" s="110">
        <v>112.788</v>
      </c>
      <c r="T20" s="119">
        <v>56.037999999999997</v>
      </c>
      <c r="U20" s="119">
        <v>22.591000000000001</v>
      </c>
      <c r="V20" s="119">
        <v>5.0410000000000004</v>
      </c>
      <c r="W20" s="119">
        <v>5.3570000000000002</v>
      </c>
      <c r="X20" s="119">
        <v>4.5570000000000004</v>
      </c>
      <c r="Y20" s="119">
        <v>40.314</v>
      </c>
      <c r="Z20" s="110">
        <v>9.56</v>
      </c>
      <c r="AA20" s="119">
        <v>23.715</v>
      </c>
      <c r="AB20" s="119">
        <v>20.170999999999999</v>
      </c>
      <c r="AC20" s="119">
        <v>22.315999999999999</v>
      </c>
      <c r="AD20" s="110">
        <v>55.637</v>
      </c>
      <c r="AE20" s="110">
        <v>45.469000000000001</v>
      </c>
      <c r="AF20" s="119">
        <v>106.268</v>
      </c>
    </row>
    <row r="21" spans="1:32" hidden="1" outlineLevel="1">
      <c r="A21" s="66">
        <v>1965</v>
      </c>
      <c r="B21" s="41"/>
      <c r="C21" s="41"/>
      <c r="D21" s="41"/>
      <c r="E21" s="41"/>
      <c r="F21" s="41"/>
      <c r="G21" s="41"/>
      <c r="H21" s="41"/>
      <c r="I21" s="41"/>
      <c r="J21" s="41"/>
      <c r="K21" s="41"/>
      <c r="L21" s="41"/>
      <c r="M21" s="41"/>
      <c r="N21" s="41"/>
      <c r="O21" s="41"/>
      <c r="P21" s="41"/>
      <c r="R21" s="119">
        <v>50.61</v>
      </c>
      <c r="S21" s="110">
        <v>113.92</v>
      </c>
      <c r="T21" s="119">
        <v>57.655000000000001</v>
      </c>
      <c r="U21" s="119">
        <v>24.021999999999998</v>
      </c>
      <c r="V21" s="119">
        <v>5.4219999999999997</v>
      </c>
      <c r="W21" s="119">
        <v>5.72</v>
      </c>
      <c r="X21" s="119">
        <v>4.9649999999999999</v>
      </c>
      <c r="Y21" s="119">
        <v>41.664999999999999</v>
      </c>
      <c r="Z21" s="110">
        <v>9.9209999999999994</v>
      </c>
      <c r="AA21" s="119">
        <v>23.812000000000001</v>
      </c>
      <c r="AB21" s="119">
        <v>20.669</v>
      </c>
      <c r="AC21" s="119">
        <v>22.571999999999999</v>
      </c>
      <c r="AD21" s="110">
        <v>56.991999999999997</v>
      </c>
      <c r="AE21" s="110">
        <v>47.465000000000003</v>
      </c>
      <c r="AF21" s="119">
        <v>105.495</v>
      </c>
    </row>
    <row r="22" spans="1:32" hidden="1" outlineLevel="1">
      <c r="A22" s="66">
        <v>1966</v>
      </c>
      <c r="B22" s="41"/>
      <c r="C22" s="41"/>
      <c r="D22" s="41"/>
      <c r="E22" s="41"/>
      <c r="F22" s="41"/>
      <c r="G22" s="41"/>
      <c r="H22" s="41"/>
      <c r="I22" s="41"/>
      <c r="J22" s="41"/>
      <c r="K22" s="41"/>
      <c r="L22" s="41"/>
      <c r="M22" s="41"/>
      <c r="N22" s="41"/>
      <c r="O22" s="41"/>
      <c r="P22" s="41"/>
      <c r="R22" s="119">
        <v>52.070999999999998</v>
      </c>
      <c r="S22" s="110">
        <v>114.48099999999999</v>
      </c>
      <c r="T22" s="119">
        <v>59.612000000000002</v>
      </c>
      <c r="U22" s="119">
        <v>25.718</v>
      </c>
      <c r="V22" s="119">
        <v>5.8949999999999996</v>
      </c>
      <c r="W22" s="119">
        <v>6.1340000000000003</v>
      </c>
      <c r="X22" s="119">
        <v>5.5289999999999999</v>
      </c>
      <c r="Y22" s="119">
        <v>43.143000000000001</v>
      </c>
      <c r="Z22" s="110">
        <v>10.291</v>
      </c>
      <c r="AA22" s="119">
        <v>23.853000000000002</v>
      </c>
      <c r="AB22" s="119">
        <v>21.497</v>
      </c>
      <c r="AC22" s="119">
        <v>22.922999999999998</v>
      </c>
      <c r="AD22" s="110">
        <v>58.177</v>
      </c>
      <c r="AE22" s="110">
        <v>49.39</v>
      </c>
      <c r="AF22" s="119">
        <v>104.056</v>
      </c>
    </row>
    <row r="23" spans="1:32" hidden="1" outlineLevel="1">
      <c r="A23" s="66">
        <v>1967</v>
      </c>
      <c r="B23" s="41"/>
      <c r="C23" s="41"/>
      <c r="D23" s="41"/>
      <c r="E23" s="41"/>
      <c r="F23" s="41"/>
      <c r="G23" s="41"/>
      <c r="H23" s="41"/>
      <c r="I23" s="41"/>
      <c r="J23" s="41"/>
      <c r="K23" s="41"/>
      <c r="L23" s="41"/>
      <c r="M23" s="41"/>
      <c r="N23" s="41"/>
      <c r="O23" s="41"/>
      <c r="P23" s="41"/>
      <c r="R23" s="119">
        <v>53.61</v>
      </c>
      <c r="S23" s="110">
        <v>114.09099999999999</v>
      </c>
      <c r="T23" s="119">
        <v>61.164999999999999</v>
      </c>
      <c r="U23" s="119">
        <v>27.459</v>
      </c>
      <c r="V23" s="119">
        <v>6.4489999999999998</v>
      </c>
      <c r="W23" s="119">
        <v>6.718</v>
      </c>
      <c r="X23" s="119">
        <v>6.0380000000000003</v>
      </c>
      <c r="Y23" s="119">
        <v>44.893999999999998</v>
      </c>
      <c r="Z23" s="110">
        <v>10.983000000000001</v>
      </c>
      <c r="AA23" s="119">
        <v>24.465</v>
      </c>
      <c r="AB23" s="119">
        <v>21.988</v>
      </c>
      <c r="AC23" s="119">
        <v>23.486999999999998</v>
      </c>
      <c r="AD23" s="110">
        <v>60.368000000000002</v>
      </c>
      <c r="AE23" s="110">
        <v>51.22</v>
      </c>
      <c r="AF23" s="119">
        <v>104.163</v>
      </c>
    </row>
    <row r="24" spans="1:32" hidden="1" outlineLevel="1">
      <c r="A24" s="66">
        <v>1968</v>
      </c>
      <c r="B24" s="41"/>
      <c r="C24" s="41"/>
      <c r="D24" s="41"/>
      <c r="E24" s="41"/>
      <c r="F24" s="41"/>
      <c r="G24" s="41"/>
      <c r="H24" s="41"/>
      <c r="I24" s="41"/>
      <c r="J24" s="41"/>
      <c r="K24" s="41"/>
      <c r="L24" s="41"/>
      <c r="M24" s="41"/>
      <c r="N24" s="41"/>
      <c r="O24" s="41"/>
      <c r="P24" s="41"/>
      <c r="R24" s="119">
        <v>54.335999999999999</v>
      </c>
      <c r="S24" s="110">
        <v>112.255</v>
      </c>
      <c r="T24" s="119">
        <v>60.994999999999997</v>
      </c>
      <c r="U24" s="119">
        <v>27.984999999999999</v>
      </c>
      <c r="V24" s="119">
        <v>6.7519999999999998</v>
      </c>
      <c r="W24" s="119">
        <v>7.08</v>
      </c>
      <c r="X24" s="119">
        <v>6.25</v>
      </c>
      <c r="Y24" s="119">
        <v>45.881</v>
      </c>
      <c r="Z24" s="110">
        <v>11.608000000000001</v>
      </c>
      <c r="AA24" s="119">
        <v>25.298999999999999</v>
      </c>
      <c r="AB24" s="119">
        <v>22.332999999999998</v>
      </c>
      <c r="AC24" s="119">
        <v>24.129000000000001</v>
      </c>
      <c r="AD24" s="110">
        <v>61.889000000000003</v>
      </c>
      <c r="AE24" s="110">
        <v>51.503999999999998</v>
      </c>
      <c r="AF24" s="119">
        <v>104.852</v>
      </c>
    </row>
    <row r="25" spans="1:32" hidden="1" outlineLevel="1">
      <c r="A25" s="66">
        <v>1969</v>
      </c>
      <c r="B25" s="41"/>
      <c r="C25" s="41"/>
      <c r="D25" s="41"/>
      <c r="E25" s="41"/>
      <c r="F25" s="41"/>
      <c r="G25" s="41"/>
      <c r="H25" s="41"/>
      <c r="I25" s="41"/>
      <c r="J25" s="41"/>
      <c r="K25" s="41"/>
      <c r="L25" s="41"/>
      <c r="M25" s="41"/>
      <c r="N25" s="41"/>
      <c r="O25" s="41"/>
      <c r="P25" s="41"/>
      <c r="R25" s="119">
        <v>55.423000000000002</v>
      </c>
      <c r="S25" s="110">
        <v>111.705</v>
      </c>
      <c r="T25" s="119">
        <v>61.91</v>
      </c>
      <c r="U25" s="119">
        <v>29.376000000000001</v>
      </c>
      <c r="V25" s="119">
        <v>7.3710000000000004</v>
      </c>
      <c r="W25" s="119">
        <v>7.7679999999999998</v>
      </c>
      <c r="X25" s="119">
        <v>6.7619999999999996</v>
      </c>
      <c r="Y25" s="119">
        <v>47.45</v>
      </c>
      <c r="Z25" s="110">
        <v>12.547000000000001</v>
      </c>
      <c r="AA25" s="119">
        <v>26.442</v>
      </c>
      <c r="AB25" s="119">
        <v>23.018999999999998</v>
      </c>
      <c r="AC25" s="119">
        <v>25.091000000000001</v>
      </c>
      <c r="AD25" s="110">
        <v>64.204999999999998</v>
      </c>
      <c r="AE25" s="110">
        <v>53.003999999999998</v>
      </c>
      <c r="AF25" s="119">
        <v>105.384</v>
      </c>
    </row>
    <row r="26" spans="1:32" hidden="1" outlineLevel="1">
      <c r="A26" s="66">
        <v>1970</v>
      </c>
      <c r="B26" s="41"/>
      <c r="C26" s="41"/>
      <c r="D26" s="41"/>
      <c r="E26" s="41"/>
      <c r="F26" s="41"/>
      <c r="G26" s="41"/>
      <c r="H26" s="41"/>
      <c r="I26" s="41"/>
      <c r="J26" s="41"/>
      <c r="K26" s="41"/>
      <c r="L26" s="41"/>
      <c r="M26" s="41"/>
      <c r="N26" s="41"/>
      <c r="O26" s="41"/>
      <c r="P26" s="41"/>
      <c r="R26" s="119">
        <v>57.152999999999999</v>
      </c>
      <c r="S26" s="110">
        <v>111.078</v>
      </c>
      <c r="T26" s="119">
        <v>63.484000000000002</v>
      </c>
      <c r="U26" s="119">
        <v>30.276</v>
      </c>
      <c r="V26" s="119">
        <v>7.9450000000000003</v>
      </c>
      <c r="W26" s="119">
        <v>8.5220000000000002</v>
      </c>
      <c r="X26" s="119">
        <v>7.0609999999999999</v>
      </c>
      <c r="Y26" s="119">
        <v>47.691000000000003</v>
      </c>
      <c r="Z26" s="110">
        <v>13.423</v>
      </c>
      <c r="AA26" s="119">
        <v>28.146999999999998</v>
      </c>
      <c r="AB26" s="119">
        <v>23.323</v>
      </c>
      <c r="AC26" s="119">
        <v>26.242999999999999</v>
      </c>
      <c r="AD26" s="110">
        <v>65.134</v>
      </c>
      <c r="AE26" s="110">
        <v>52.973999999999997</v>
      </c>
      <c r="AF26" s="119">
        <v>107.255</v>
      </c>
    </row>
    <row r="27" spans="1:32" hidden="1" outlineLevel="1">
      <c r="A27" s="66">
        <v>1971</v>
      </c>
      <c r="B27" s="41"/>
      <c r="C27" s="41"/>
      <c r="D27" s="41"/>
      <c r="E27" s="41"/>
      <c r="F27" s="41"/>
      <c r="G27" s="41"/>
      <c r="H27" s="41"/>
      <c r="I27" s="41"/>
      <c r="J27" s="41"/>
      <c r="K27" s="41"/>
      <c r="L27" s="41"/>
      <c r="M27" s="41"/>
      <c r="N27" s="41"/>
      <c r="O27" s="41"/>
      <c r="P27" s="41"/>
      <c r="R27" s="119">
        <v>56.99</v>
      </c>
      <c r="S27" s="110">
        <v>109.187</v>
      </c>
      <c r="T27" s="119">
        <v>62.225999999999999</v>
      </c>
      <c r="U27" s="119">
        <v>30.268000000000001</v>
      </c>
      <c r="V27" s="119">
        <v>8.2870000000000008</v>
      </c>
      <c r="W27" s="119">
        <v>8.9939999999999998</v>
      </c>
      <c r="X27" s="119">
        <v>7.202</v>
      </c>
      <c r="Y27" s="119">
        <v>48.642000000000003</v>
      </c>
      <c r="Z27" s="110">
        <v>14.454000000000001</v>
      </c>
      <c r="AA27" s="119">
        <v>29.715</v>
      </c>
      <c r="AB27" s="119">
        <v>23.794</v>
      </c>
      <c r="AC27" s="119">
        <v>27.378</v>
      </c>
      <c r="AD27" s="110">
        <v>66.34</v>
      </c>
      <c r="AE27" s="110">
        <v>53.110999999999997</v>
      </c>
      <c r="AF27" s="119">
        <v>108.536</v>
      </c>
    </row>
    <row r="28" spans="1:32" hidden="1" outlineLevel="1">
      <c r="A28" s="66">
        <v>1972</v>
      </c>
      <c r="B28" s="41"/>
      <c r="C28" s="41"/>
      <c r="D28" s="41"/>
      <c r="E28" s="41"/>
      <c r="F28" s="41"/>
      <c r="G28" s="41"/>
      <c r="H28" s="41"/>
      <c r="I28" s="41"/>
      <c r="J28" s="41"/>
      <c r="K28" s="41"/>
      <c r="L28" s="41"/>
      <c r="M28" s="41"/>
      <c r="N28" s="41"/>
      <c r="O28" s="41"/>
      <c r="P28" s="41"/>
      <c r="R28" s="119">
        <v>57.091000000000001</v>
      </c>
      <c r="S28" s="110">
        <v>108.705</v>
      </c>
      <c r="T28" s="119">
        <v>62.061</v>
      </c>
      <c r="U28" s="119">
        <v>31.431000000000001</v>
      </c>
      <c r="V28" s="119">
        <v>8.9700000000000006</v>
      </c>
      <c r="W28" s="119">
        <v>9.532</v>
      </c>
      <c r="X28" s="119">
        <v>8.1059999999999999</v>
      </c>
      <c r="Y28" s="119">
        <v>50.645000000000003</v>
      </c>
      <c r="Z28" s="110">
        <v>15.36</v>
      </c>
      <c r="AA28" s="119">
        <v>30.327999999999999</v>
      </c>
      <c r="AB28" s="119">
        <v>25.791</v>
      </c>
      <c r="AC28" s="119">
        <v>28.536999999999999</v>
      </c>
      <c r="AD28" s="110">
        <v>67.537999999999997</v>
      </c>
      <c r="AE28" s="110">
        <v>55.054000000000002</v>
      </c>
      <c r="AF28" s="119">
        <v>106.276</v>
      </c>
    </row>
    <row r="29" spans="1:32" hidden="1" outlineLevel="1">
      <c r="A29" s="66">
        <v>1973</v>
      </c>
      <c r="B29" s="41"/>
      <c r="C29" s="41"/>
      <c r="D29" s="41"/>
      <c r="E29" s="41"/>
      <c r="F29" s="41"/>
      <c r="G29" s="41"/>
      <c r="H29" s="41"/>
      <c r="I29" s="41"/>
      <c r="J29" s="41"/>
      <c r="K29" s="41"/>
      <c r="L29" s="41"/>
      <c r="M29" s="41"/>
      <c r="N29" s="41"/>
      <c r="O29" s="41"/>
      <c r="P29" s="41"/>
      <c r="R29" s="119">
        <v>58.773000000000003</v>
      </c>
      <c r="S29" s="110">
        <v>108.895</v>
      </c>
      <c r="T29" s="119">
        <v>64.001000000000005</v>
      </c>
      <c r="U29" s="119">
        <v>33.456000000000003</v>
      </c>
      <c r="V29" s="119">
        <v>9.8879999999999999</v>
      </c>
      <c r="W29" s="119">
        <v>10.452</v>
      </c>
      <c r="X29" s="119">
        <v>9.0220000000000002</v>
      </c>
      <c r="Y29" s="119">
        <v>52.274000000000001</v>
      </c>
      <c r="Z29" s="110">
        <v>16.331</v>
      </c>
      <c r="AA29" s="119">
        <v>31.242000000000001</v>
      </c>
      <c r="AB29" s="119">
        <v>26.966000000000001</v>
      </c>
      <c r="AC29" s="119">
        <v>29.553999999999998</v>
      </c>
      <c r="AD29" s="110">
        <v>69.575999999999993</v>
      </c>
      <c r="AE29" s="110">
        <v>56.923999999999999</v>
      </c>
      <c r="AF29" s="119">
        <v>105.71</v>
      </c>
    </row>
    <row r="30" spans="1:32" hidden="1" outlineLevel="1">
      <c r="A30" s="66">
        <v>1974</v>
      </c>
      <c r="B30" s="41"/>
      <c r="C30" s="41"/>
      <c r="D30" s="41"/>
      <c r="E30" s="41"/>
      <c r="F30" s="41"/>
      <c r="G30" s="41"/>
      <c r="H30" s="41"/>
      <c r="I30" s="41"/>
      <c r="J30" s="41"/>
      <c r="K30" s="41"/>
      <c r="L30" s="41"/>
      <c r="M30" s="41"/>
      <c r="N30" s="41"/>
      <c r="O30" s="41"/>
      <c r="P30" s="41"/>
      <c r="R30" s="119">
        <v>61.3</v>
      </c>
      <c r="S30" s="110">
        <v>108.39700000000001</v>
      </c>
      <c r="T30" s="119">
        <v>66.447999999999993</v>
      </c>
      <c r="U30" s="119">
        <v>35.799999999999997</v>
      </c>
      <c r="V30" s="119">
        <v>11.13</v>
      </c>
      <c r="W30" s="119">
        <v>11.766999999999999</v>
      </c>
      <c r="X30" s="119">
        <v>10.153</v>
      </c>
      <c r="Y30" s="119">
        <v>53.877000000000002</v>
      </c>
      <c r="Z30" s="110">
        <v>17.707999999999998</v>
      </c>
      <c r="AA30" s="119">
        <v>32.868000000000002</v>
      </c>
      <c r="AB30" s="119">
        <v>28.359000000000002</v>
      </c>
      <c r="AC30" s="119">
        <v>31.088000000000001</v>
      </c>
      <c r="AD30" s="110">
        <v>71.025000000000006</v>
      </c>
      <c r="AE30" s="110">
        <v>58.401000000000003</v>
      </c>
      <c r="AF30" s="119">
        <v>105.724</v>
      </c>
    </row>
    <row r="31" spans="1:32" hidden="1" outlineLevel="1">
      <c r="A31" s="66">
        <v>1975</v>
      </c>
      <c r="B31" s="41"/>
      <c r="C31" s="41"/>
      <c r="D31" s="41"/>
      <c r="E31" s="41"/>
      <c r="F31" s="41"/>
      <c r="G31" s="41"/>
      <c r="H31" s="41"/>
      <c r="I31" s="41"/>
      <c r="J31" s="41"/>
      <c r="K31" s="41"/>
      <c r="L31" s="41"/>
      <c r="M31" s="41"/>
      <c r="N31" s="41"/>
      <c r="O31" s="41"/>
      <c r="P31" s="41"/>
      <c r="R31" s="119">
        <v>62.238999999999997</v>
      </c>
      <c r="S31" s="110">
        <v>106.959</v>
      </c>
      <c r="T31" s="119">
        <v>66.569999999999993</v>
      </c>
      <c r="U31" s="119">
        <v>35.265000000000001</v>
      </c>
      <c r="V31" s="119">
        <v>12.03</v>
      </c>
      <c r="W31" s="119">
        <v>12.923999999999999</v>
      </c>
      <c r="X31" s="119">
        <v>10.659000000000001</v>
      </c>
      <c r="Y31" s="119">
        <v>52.973999999999997</v>
      </c>
      <c r="Z31" s="110">
        <v>19.414000000000001</v>
      </c>
      <c r="AA31" s="119">
        <v>36.649000000000001</v>
      </c>
      <c r="AB31" s="119">
        <v>30.224</v>
      </c>
      <c r="AC31" s="119">
        <v>34.113</v>
      </c>
      <c r="AD31" s="110">
        <v>70.128</v>
      </c>
      <c r="AE31" s="110">
        <v>56.661000000000001</v>
      </c>
      <c r="AF31" s="119">
        <v>107.43300000000001</v>
      </c>
    </row>
    <row r="32" spans="1:32" hidden="1" outlineLevel="1">
      <c r="A32" s="66">
        <v>1976</v>
      </c>
      <c r="B32" s="41"/>
      <c r="C32" s="41"/>
      <c r="D32" s="41"/>
      <c r="E32" s="41"/>
      <c r="F32" s="41"/>
      <c r="G32" s="41"/>
      <c r="H32" s="41"/>
      <c r="I32" s="41"/>
      <c r="J32" s="41"/>
      <c r="K32" s="41"/>
      <c r="L32" s="41"/>
      <c r="M32" s="41"/>
      <c r="N32" s="41"/>
      <c r="O32" s="41"/>
      <c r="P32" s="41"/>
      <c r="R32" s="119">
        <v>60.374000000000002</v>
      </c>
      <c r="S32" s="110">
        <v>105.49</v>
      </c>
      <c r="T32" s="119">
        <v>63.689</v>
      </c>
      <c r="U32" s="119">
        <v>34.936</v>
      </c>
      <c r="V32" s="119">
        <v>13.076000000000001</v>
      </c>
      <c r="W32" s="119">
        <v>13.631</v>
      </c>
      <c r="X32" s="119">
        <v>12.225</v>
      </c>
      <c r="Y32" s="119">
        <v>54.853999999999999</v>
      </c>
      <c r="Z32" s="110">
        <v>21.402000000000001</v>
      </c>
      <c r="AA32" s="119">
        <v>39.015999999999998</v>
      </c>
      <c r="AB32" s="119">
        <v>34.993000000000002</v>
      </c>
      <c r="AC32" s="119">
        <v>37.427999999999997</v>
      </c>
      <c r="AD32" s="110">
        <v>70.841999999999999</v>
      </c>
      <c r="AE32" s="110">
        <v>57.866</v>
      </c>
      <c r="AF32" s="119">
        <v>104.24299999999999</v>
      </c>
    </row>
    <row r="33" spans="1:32" hidden="1" outlineLevel="1">
      <c r="A33" s="66">
        <v>1977</v>
      </c>
      <c r="B33" s="41"/>
      <c r="C33" s="41"/>
      <c r="D33" s="41"/>
      <c r="E33" s="41"/>
      <c r="F33" s="41"/>
      <c r="G33" s="41"/>
      <c r="H33" s="41"/>
      <c r="I33" s="41"/>
      <c r="J33" s="41"/>
      <c r="K33" s="41"/>
      <c r="L33" s="41"/>
      <c r="M33" s="41"/>
      <c r="N33" s="41"/>
      <c r="O33" s="41"/>
      <c r="P33" s="41"/>
      <c r="R33" s="119">
        <v>62.241999999999997</v>
      </c>
      <c r="S33" s="110">
        <v>105.72</v>
      </c>
      <c r="T33" s="119">
        <v>65.802000000000007</v>
      </c>
      <c r="U33" s="119">
        <v>37.243000000000002</v>
      </c>
      <c r="V33" s="119">
        <v>14.676</v>
      </c>
      <c r="W33" s="119">
        <v>15.298999999999999</v>
      </c>
      <c r="X33" s="119">
        <v>13.721</v>
      </c>
      <c r="Y33" s="119">
        <v>56.598999999999997</v>
      </c>
      <c r="Z33" s="110">
        <v>23.25</v>
      </c>
      <c r="AA33" s="119">
        <v>41.079000000000001</v>
      </c>
      <c r="AB33" s="119">
        <v>36.841999999999999</v>
      </c>
      <c r="AC33" s="119">
        <v>39.406999999999996</v>
      </c>
      <c r="AD33" s="110">
        <v>72.766000000000005</v>
      </c>
      <c r="AE33" s="110">
        <v>59.835999999999999</v>
      </c>
      <c r="AF33" s="119">
        <v>104.24299999999999</v>
      </c>
    </row>
    <row r="34" spans="1:32" hidden="1" outlineLevel="1">
      <c r="A34" s="66">
        <v>1978</v>
      </c>
      <c r="B34" s="41"/>
      <c r="C34" s="41"/>
      <c r="D34" s="41"/>
      <c r="E34" s="41"/>
      <c r="F34" s="41"/>
      <c r="G34" s="41"/>
      <c r="H34" s="41"/>
      <c r="I34" s="41"/>
      <c r="J34" s="41"/>
      <c r="K34" s="41"/>
      <c r="L34" s="41"/>
      <c r="M34" s="41"/>
      <c r="N34" s="41"/>
      <c r="O34" s="41"/>
      <c r="P34" s="41"/>
      <c r="R34" s="119">
        <v>64.936000000000007</v>
      </c>
      <c r="S34" s="110">
        <v>105.22199999999999</v>
      </c>
      <c r="T34" s="119">
        <v>68.326999999999998</v>
      </c>
      <c r="U34" s="119">
        <v>39.316000000000003</v>
      </c>
      <c r="V34" s="119">
        <v>16.425999999999998</v>
      </c>
      <c r="W34" s="119">
        <v>17.149999999999999</v>
      </c>
      <c r="X34" s="119">
        <v>15.315</v>
      </c>
      <c r="Y34" s="119">
        <v>57.540999999999997</v>
      </c>
      <c r="Z34" s="110">
        <v>25.099</v>
      </c>
      <c r="AA34" s="119">
        <v>43.62</v>
      </c>
      <c r="AB34" s="119">
        <v>38.954000000000001</v>
      </c>
      <c r="AC34" s="119">
        <v>41.777999999999999</v>
      </c>
      <c r="AD34" s="110">
        <v>73.757000000000005</v>
      </c>
      <c r="AE34" s="110">
        <v>60.545999999999999</v>
      </c>
      <c r="AF34" s="119">
        <v>104.408</v>
      </c>
    </row>
    <row r="35" spans="1:32" hidden="1" outlineLevel="1">
      <c r="A35" s="66">
        <v>1979</v>
      </c>
      <c r="B35" s="41"/>
      <c r="C35" s="41"/>
      <c r="D35" s="41"/>
      <c r="E35" s="41"/>
      <c r="F35" s="41"/>
      <c r="G35" s="41"/>
      <c r="H35" s="41"/>
      <c r="I35" s="41"/>
      <c r="J35" s="41"/>
      <c r="K35" s="41"/>
      <c r="L35" s="41"/>
      <c r="M35" s="41"/>
      <c r="N35" s="41"/>
      <c r="O35" s="41"/>
      <c r="P35" s="41"/>
      <c r="R35" s="119">
        <v>68.516999999999996</v>
      </c>
      <c r="S35" s="110">
        <v>104.831</v>
      </c>
      <c r="T35" s="119">
        <v>71.826999999999998</v>
      </c>
      <c r="U35" s="119">
        <v>41.792999999999999</v>
      </c>
      <c r="V35" s="119">
        <v>18.692</v>
      </c>
      <c r="W35" s="119">
        <v>19.588999999999999</v>
      </c>
      <c r="X35" s="119">
        <v>17.317</v>
      </c>
      <c r="Y35" s="119">
        <v>58.185000000000002</v>
      </c>
      <c r="Z35" s="110">
        <v>27.271999999999998</v>
      </c>
      <c r="AA35" s="119">
        <v>46.872</v>
      </c>
      <c r="AB35" s="119">
        <v>41.435000000000002</v>
      </c>
      <c r="AC35" s="119">
        <v>44.725999999999999</v>
      </c>
      <c r="AD35" s="110">
        <v>74.894999999999996</v>
      </c>
      <c r="AE35" s="110">
        <v>60.996000000000002</v>
      </c>
      <c r="AF35" s="119">
        <v>104.797</v>
      </c>
    </row>
    <row r="36" spans="1:32" hidden="1" outlineLevel="1">
      <c r="A36" s="66">
        <v>1980</v>
      </c>
      <c r="B36" s="41"/>
      <c r="C36" s="41"/>
      <c r="D36" s="41"/>
      <c r="E36" s="41"/>
      <c r="F36" s="41"/>
      <c r="G36" s="41"/>
      <c r="H36" s="41"/>
      <c r="I36" s="41"/>
      <c r="J36" s="41"/>
      <c r="K36" s="41"/>
      <c r="L36" s="41"/>
      <c r="M36" s="41"/>
      <c r="N36" s="41"/>
      <c r="O36" s="41"/>
      <c r="P36" s="41"/>
      <c r="R36" s="119">
        <v>71.171999999999997</v>
      </c>
      <c r="S36" s="110">
        <v>104.33</v>
      </c>
      <c r="T36" s="119">
        <v>74.254000000000005</v>
      </c>
      <c r="U36" s="119">
        <v>43.18</v>
      </c>
      <c r="V36" s="119">
        <v>20.954999999999998</v>
      </c>
      <c r="W36" s="119">
        <v>22.190999999999999</v>
      </c>
      <c r="X36" s="119">
        <v>19.059999999999999</v>
      </c>
      <c r="Y36" s="119">
        <v>58.152000000000001</v>
      </c>
      <c r="Z36" s="110">
        <v>29.885000000000002</v>
      </c>
      <c r="AA36" s="119">
        <v>51.390999999999998</v>
      </c>
      <c r="AB36" s="119">
        <v>44.142000000000003</v>
      </c>
      <c r="AC36" s="119">
        <v>48.53</v>
      </c>
      <c r="AD36" s="110">
        <v>74.894999999999996</v>
      </c>
      <c r="AE36" s="110">
        <v>60.67</v>
      </c>
      <c r="AF36" s="119">
        <v>105.895</v>
      </c>
    </row>
    <row r="37" spans="1:32" hidden="1" outlineLevel="1">
      <c r="A37" s="66">
        <v>1981</v>
      </c>
      <c r="B37" s="41"/>
      <c r="C37" s="41"/>
      <c r="D37" s="41"/>
      <c r="E37" s="41"/>
      <c r="F37" s="41"/>
      <c r="G37" s="41"/>
      <c r="H37" s="41"/>
      <c r="I37" s="41"/>
      <c r="J37" s="41"/>
      <c r="K37" s="41"/>
      <c r="L37" s="41"/>
      <c r="M37" s="41"/>
      <c r="N37" s="41"/>
      <c r="O37" s="41"/>
      <c r="P37" s="41"/>
      <c r="R37" s="119">
        <v>71.353999999999999</v>
      </c>
      <c r="S37" s="110">
        <v>103.15</v>
      </c>
      <c r="T37" s="119">
        <v>73.602000000000004</v>
      </c>
      <c r="U37" s="119">
        <v>42.694000000000003</v>
      </c>
      <c r="V37" s="119">
        <v>22.584</v>
      </c>
      <c r="W37" s="119">
        <v>24.338999999999999</v>
      </c>
      <c r="X37" s="119">
        <v>19.891999999999999</v>
      </c>
      <c r="Y37" s="119">
        <v>58.006999999999998</v>
      </c>
      <c r="Z37" s="110">
        <v>33.067999999999998</v>
      </c>
      <c r="AA37" s="119">
        <v>57.006999999999998</v>
      </c>
      <c r="AB37" s="119">
        <v>46.591999999999999</v>
      </c>
      <c r="AC37" s="119">
        <v>52.896000000000001</v>
      </c>
      <c r="AD37" s="110">
        <v>74.591999999999999</v>
      </c>
      <c r="AE37" s="110">
        <v>59.834000000000003</v>
      </c>
      <c r="AF37" s="119">
        <v>107.771</v>
      </c>
    </row>
    <row r="38" spans="1:32" hidden="1" outlineLevel="1">
      <c r="A38" s="66">
        <v>1982</v>
      </c>
      <c r="B38" s="41"/>
      <c r="C38" s="41"/>
      <c r="D38" s="41"/>
      <c r="E38" s="41"/>
      <c r="F38" s="41"/>
      <c r="G38" s="41"/>
      <c r="H38" s="41"/>
      <c r="I38" s="41"/>
      <c r="J38" s="41"/>
      <c r="K38" s="41"/>
      <c r="L38" s="41"/>
      <c r="M38" s="41"/>
      <c r="N38" s="41"/>
      <c r="O38" s="41"/>
      <c r="P38" s="41"/>
      <c r="R38" s="119">
        <v>72.063999999999993</v>
      </c>
      <c r="S38" s="110">
        <v>102.83199999999999</v>
      </c>
      <c r="T38" s="119">
        <v>74.105000000000004</v>
      </c>
      <c r="U38" s="119">
        <v>43.881</v>
      </c>
      <c r="V38" s="119">
        <v>25.350999999999999</v>
      </c>
      <c r="W38" s="119">
        <v>26.83</v>
      </c>
      <c r="X38" s="119">
        <v>23.082999999999998</v>
      </c>
      <c r="Y38" s="119">
        <v>59.215000000000003</v>
      </c>
      <c r="Z38" s="110">
        <v>36.204999999999998</v>
      </c>
      <c r="AA38" s="119">
        <v>61.142000000000003</v>
      </c>
      <c r="AB38" s="119">
        <v>52.603999999999999</v>
      </c>
      <c r="AC38" s="119">
        <v>57.771999999999998</v>
      </c>
      <c r="AD38" s="110">
        <v>74.569000000000003</v>
      </c>
      <c r="AE38" s="110">
        <v>60.892000000000003</v>
      </c>
      <c r="AF38" s="119">
        <v>105.83199999999999</v>
      </c>
    </row>
    <row r="39" spans="1:32" hidden="1" outlineLevel="1">
      <c r="A39" s="66">
        <v>1983</v>
      </c>
      <c r="B39" s="41"/>
      <c r="C39" s="41"/>
      <c r="D39" s="41"/>
      <c r="E39" s="41"/>
      <c r="F39" s="41"/>
      <c r="G39" s="41"/>
      <c r="H39" s="41"/>
      <c r="I39" s="41"/>
      <c r="J39" s="41"/>
      <c r="K39" s="41"/>
      <c r="L39" s="41"/>
      <c r="M39" s="41"/>
      <c r="N39" s="41"/>
      <c r="O39" s="41"/>
      <c r="P39" s="41"/>
      <c r="R39" s="119">
        <v>70.884</v>
      </c>
      <c r="S39" s="110">
        <v>102.187</v>
      </c>
      <c r="T39" s="119">
        <v>72.435000000000002</v>
      </c>
      <c r="U39" s="119">
        <v>42.552999999999997</v>
      </c>
      <c r="V39" s="119">
        <v>25.98</v>
      </c>
      <c r="W39" s="119">
        <v>28.12</v>
      </c>
      <c r="X39" s="119">
        <v>22.698</v>
      </c>
      <c r="Y39" s="119">
        <v>58.747</v>
      </c>
      <c r="Z39" s="110">
        <v>38.822000000000003</v>
      </c>
      <c r="AA39" s="119">
        <v>66.082999999999998</v>
      </c>
      <c r="AB39" s="119">
        <v>53.338999999999999</v>
      </c>
      <c r="AC39" s="119">
        <v>61.054000000000002</v>
      </c>
      <c r="AD39" s="110">
        <v>75.408000000000001</v>
      </c>
      <c r="AE39" s="110">
        <v>60.031999999999996</v>
      </c>
      <c r="AF39" s="119">
        <v>108.238</v>
      </c>
    </row>
    <row r="40" spans="1:32" hidden="1" outlineLevel="1">
      <c r="A40" s="66">
        <v>1984</v>
      </c>
      <c r="B40" s="41"/>
      <c r="C40" s="41"/>
      <c r="D40" s="41"/>
      <c r="E40" s="41"/>
      <c r="F40" s="41"/>
      <c r="G40" s="41"/>
      <c r="H40" s="41"/>
      <c r="I40" s="41"/>
      <c r="J40" s="41"/>
      <c r="K40" s="41"/>
      <c r="L40" s="41"/>
      <c r="M40" s="41"/>
      <c r="N40" s="41"/>
      <c r="O40" s="41"/>
      <c r="P40" s="41"/>
      <c r="R40" s="119">
        <v>71.507999999999996</v>
      </c>
      <c r="S40" s="110">
        <v>103.07299999999999</v>
      </c>
      <c r="T40" s="119">
        <v>73.706000000000003</v>
      </c>
      <c r="U40" s="119">
        <v>44.844000000000001</v>
      </c>
      <c r="V40" s="119">
        <v>28.317</v>
      </c>
      <c r="W40" s="119">
        <v>29.792999999999999</v>
      </c>
      <c r="X40" s="119">
        <v>26.053000000000001</v>
      </c>
      <c r="Y40" s="119">
        <v>60.841999999999999</v>
      </c>
      <c r="Z40" s="110">
        <v>40.421999999999997</v>
      </c>
      <c r="AA40" s="119">
        <v>66.436999999999998</v>
      </c>
      <c r="AB40" s="119">
        <v>58.095999999999997</v>
      </c>
      <c r="AC40" s="119">
        <v>63.145000000000003</v>
      </c>
      <c r="AD40" s="110">
        <v>75.301000000000002</v>
      </c>
      <c r="AE40" s="110">
        <v>62.712000000000003</v>
      </c>
      <c r="AF40" s="119">
        <v>105.21299999999999</v>
      </c>
    </row>
    <row r="41" spans="1:32" hidden="1" outlineLevel="1">
      <c r="A41" s="66">
        <v>1985</v>
      </c>
      <c r="B41" s="41"/>
      <c r="C41" s="41"/>
      <c r="D41" s="41"/>
      <c r="E41" s="41"/>
      <c r="F41" s="41"/>
      <c r="G41" s="41"/>
      <c r="H41" s="41"/>
      <c r="I41" s="41"/>
      <c r="J41" s="41"/>
      <c r="K41" s="41"/>
      <c r="L41" s="41"/>
      <c r="M41" s="41"/>
      <c r="N41" s="41"/>
      <c r="O41" s="41"/>
      <c r="P41" s="41"/>
      <c r="R41" s="119">
        <v>75.119</v>
      </c>
      <c r="S41" s="110">
        <v>103.85599999999999</v>
      </c>
      <c r="T41" s="119">
        <v>78.015000000000001</v>
      </c>
      <c r="U41" s="119">
        <v>48.738</v>
      </c>
      <c r="V41" s="119">
        <v>31.667999999999999</v>
      </c>
      <c r="W41" s="119">
        <v>32.866999999999997</v>
      </c>
      <c r="X41" s="119">
        <v>29.827999999999999</v>
      </c>
      <c r="Y41" s="119">
        <v>62.472000000000001</v>
      </c>
      <c r="Z41" s="110">
        <v>42.128999999999998</v>
      </c>
      <c r="AA41" s="119">
        <v>67.436999999999998</v>
      </c>
      <c r="AB41" s="119">
        <v>61.201000000000001</v>
      </c>
      <c r="AC41" s="119">
        <v>64.975999999999999</v>
      </c>
      <c r="AD41" s="110">
        <v>75.396000000000001</v>
      </c>
      <c r="AE41" s="110">
        <v>64.881</v>
      </c>
      <c r="AF41" s="119">
        <v>103.788</v>
      </c>
    </row>
    <row r="42" spans="1:32" hidden="1" outlineLevel="1">
      <c r="A42" s="66">
        <v>1986</v>
      </c>
      <c r="B42" s="41"/>
      <c r="C42" s="41"/>
      <c r="D42" s="41"/>
      <c r="E42" s="41"/>
      <c r="F42" s="41"/>
      <c r="G42" s="41"/>
      <c r="H42" s="41"/>
      <c r="I42" s="41"/>
      <c r="J42" s="41"/>
      <c r="K42" s="41"/>
      <c r="L42" s="41"/>
      <c r="M42" s="41"/>
      <c r="N42" s="41"/>
      <c r="O42" s="41"/>
      <c r="P42" s="41"/>
      <c r="R42" s="119">
        <v>76.989999999999995</v>
      </c>
      <c r="S42" s="110">
        <v>103.687</v>
      </c>
      <c r="T42" s="119">
        <v>79.828999999999994</v>
      </c>
      <c r="U42" s="119">
        <v>51.002000000000002</v>
      </c>
      <c r="V42" s="119">
        <v>33.924999999999997</v>
      </c>
      <c r="W42" s="119">
        <v>35.207000000000001</v>
      </c>
      <c r="X42" s="119">
        <v>31.957999999999998</v>
      </c>
      <c r="Y42" s="119">
        <v>63.889000000000003</v>
      </c>
      <c r="Z42" s="110">
        <v>44.103000000000002</v>
      </c>
      <c r="AA42" s="119">
        <v>69.031000000000006</v>
      </c>
      <c r="AB42" s="119">
        <v>62.661000000000001</v>
      </c>
      <c r="AC42" s="119">
        <v>66.516999999999996</v>
      </c>
      <c r="AD42" s="110">
        <v>76.308999999999997</v>
      </c>
      <c r="AE42" s="110">
        <v>66.245000000000005</v>
      </c>
      <c r="AF42" s="119">
        <v>103.78</v>
      </c>
    </row>
    <row r="43" spans="1:32" collapsed="1">
      <c r="A43" s="66">
        <v>1987</v>
      </c>
      <c r="B43" s="115">
        <f>R43/R$43*100</f>
        <v>100</v>
      </c>
      <c r="C43" s="115">
        <f t="shared" ref="C43:P43" si="0">S43/S$43*100</f>
        <v>100</v>
      </c>
      <c r="D43" s="115">
        <f t="shared" si="0"/>
        <v>100</v>
      </c>
      <c r="E43" s="115">
        <f t="shared" si="0"/>
        <v>100</v>
      </c>
      <c r="F43" s="115">
        <f t="shared" si="0"/>
        <v>100</v>
      </c>
      <c r="G43" s="115">
        <f t="shared" si="0"/>
        <v>100</v>
      </c>
      <c r="H43" s="115">
        <f t="shared" si="0"/>
        <v>100</v>
      </c>
      <c r="I43" s="115">
        <f t="shared" si="0"/>
        <v>100</v>
      </c>
      <c r="J43" s="115">
        <f t="shared" si="0"/>
        <v>100</v>
      </c>
      <c r="K43" s="115">
        <f t="shared" si="0"/>
        <v>100</v>
      </c>
      <c r="L43" s="115">
        <f t="shared" si="0"/>
        <v>100</v>
      </c>
      <c r="M43" s="115">
        <f t="shared" si="0"/>
        <v>100</v>
      </c>
      <c r="N43" s="115">
        <f t="shared" si="0"/>
        <v>100</v>
      </c>
      <c r="O43" s="115">
        <f t="shared" si="0"/>
        <v>100</v>
      </c>
      <c r="P43" s="115">
        <f t="shared" si="0"/>
        <v>100</v>
      </c>
      <c r="Q43" s="119"/>
      <c r="R43" s="119">
        <v>78.257000000000005</v>
      </c>
      <c r="S43" s="115">
        <v>102.81699999999999</v>
      </c>
      <c r="T43" s="119">
        <v>80.462000000000003</v>
      </c>
      <c r="U43" s="119">
        <v>52.905000000000001</v>
      </c>
      <c r="V43" s="119">
        <v>35.759</v>
      </c>
      <c r="W43" s="119">
        <v>37.308</v>
      </c>
      <c r="X43" s="119">
        <v>33.384999999999998</v>
      </c>
      <c r="Y43" s="119">
        <v>65.751999999999995</v>
      </c>
      <c r="Z43" s="115">
        <v>46.366999999999997</v>
      </c>
      <c r="AA43" s="119">
        <v>70.519000000000005</v>
      </c>
      <c r="AB43" s="119">
        <v>63.103000000000002</v>
      </c>
      <c r="AC43" s="119">
        <v>67.591999999999999</v>
      </c>
      <c r="AD43" s="115">
        <v>78.8</v>
      </c>
      <c r="AE43" s="115">
        <v>67.603999999999999</v>
      </c>
      <c r="AF43" s="119">
        <v>104.33</v>
      </c>
    </row>
    <row r="44" spans="1:32">
      <c r="A44" s="66">
        <v>1988</v>
      </c>
      <c r="B44" s="115">
        <f t="shared" ref="B44:B63" si="1">R44/R$43*100</f>
        <v>102.71796772173734</v>
      </c>
      <c r="C44" s="115">
        <f t="shared" ref="C44:C63" si="2">S44/S$43*100</f>
        <v>100.26162988610834</v>
      </c>
      <c r="D44" s="115">
        <f t="shared" ref="D44:D63" si="3">T44/T$43*100</f>
        <v>102.98650294548979</v>
      </c>
      <c r="E44" s="115">
        <f t="shared" ref="E44:E63" si="4">U44/U$43*100</f>
        <v>103.29080427180797</v>
      </c>
      <c r="F44" s="115">
        <f t="shared" ref="F44:F63" si="5">V44/V$43*100</f>
        <v>105.7915489806762</v>
      </c>
      <c r="G44" s="115">
        <f t="shared" ref="G44:G63" si="6">W44/W$43*100</f>
        <v>106.71705800364532</v>
      </c>
      <c r="H44" s="115">
        <f t="shared" ref="H44:H63" si="7">X44/X$43*100</f>
        <v>104.19949078927661</v>
      </c>
      <c r="I44" s="115">
        <f t="shared" ref="I44:I63" si="8">Y44/Y$43*100</f>
        <v>100.29504805937461</v>
      </c>
      <c r="J44" s="115">
        <f t="shared" ref="J44:J63" si="9">Z44/Z$43*100</f>
        <v>103.62326654732892</v>
      </c>
      <c r="K44" s="115">
        <f t="shared" ref="K44:K63" si="10">AA44/AA$43*100</f>
        <v>103.31825465477387</v>
      </c>
      <c r="L44" s="115">
        <f t="shared" ref="L44:L63" si="11">AB44/AB$43*100</f>
        <v>100.88109915534919</v>
      </c>
      <c r="M44" s="115">
        <f t="shared" ref="M44:M63" si="12">AC44/AC$43*100</f>
        <v>102.42040478163095</v>
      </c>
      <c r="N44" s="115">
        <f t="shared" ref="N44:N63" si="13">AD44/AD$43*100</f>
        <v>100.23604060913706</v>
      </c>
      <c r="O44" s="115">
        <f t="shared" ref="O44:O63" si="14">AE44/AE$43*100</f>
        <v>100.55765931009999</v>
      </c>
      <c r="P44" s="115">
        <f t="shared" ref="P44:P63" si="15">AF44/AF$43*100</f>
        <v>100.87702482507427</v>
      </c>
      <c r="Q44" s="119"/>
      <c r="R44" s="119">
        <v>80.384</v>
      </c>
      <c r="S44" s="115">
        <v>103.086</v>
      </c>
      <c r="T44" s="119">
        <v>82.864999999999995</v>
      </c>
      <c r="U44" s="119">
        <v>54.646000000000001</v>
      </c>
      <c r="V44" s="119">
        <v>37.83</v>
      </c>
      <c r="W44" s="119">
        <v>39.814</v>
      </c>
      <c r="X44" s="119">
        <v>34.786999999999999</v>
      </c>
      <c r="Y44" s="119">
        <v>65.945999999999998</v>
      </c>
      <c r="Z44" s="115">
        <v>48.046999999999997</v>
      </c>
      <c r="AA44" s="119">
        <v>72.858999999999995</v>
      </c>
      <c r="AB44" s="119">
        <v>63.658999999999999</v>
      </c>
      <c r="AC44" s="119">
        <v>69.227999999999994</v>
      </c>
      <c r="AD44" s="115">
        <v>78.986000000000004</v>
      </c>
      <c r="AE44" s="115">
        <v>67.980999999999995</v>
      </c>
      <c r="AF44" s="119">
        <v>105.245</v>
      </c>
    </row>
    <row r="45" spans="1:32">
      <c r="A45" s="66">
        <v>1989</v>
      </c>
      <c r="B45" s="115">
        <f t="shared" si="1"/>
        <v>105.8537894373666</v>
      </c>
      <c r="C45" s="115">
        <f t="shared" si="2"/>
        <v>99.962068529523336</v>
      </c>
      <c r="D45" s="115">
        <f t="shared" si="3"/>
        <v>105.81268176281971</v>
      </c>
      <c r="E45" s="115">
        <f t="shared" si="4"/>
        <v>107.71949721198372</v>
      </c>
      <c r="F45" s="115">
        <f t="shared" si="5"/>
        <v>113.82868648452138</v>
      </c>
      <c r="G45" s="115">
        <f t="shared" si="6"/>
        <v>115.3747185590222</v>
      </c>
      <c r="H45" s="115">
        <f t="shared" si="7"/>
        <v>111.17268234236934</v>
      </c>
      <c r="I45" s="115">
        <f t="shared" si="8"/>
        <v>101.80070568195644</v>
      </c>
      <c r="J45" s="115">
        <f t="shared" si="9"/>
        <v>109.03659930554059</v>
      </c>
      <c r="K45" s="115">
        <f t="shared" si="10"/>
        <v>107.10588635686835</v>
      </c>
      <c r="L45" s="115">
        <f t="shared" si="11"/>
        <v>103.20586976847378</v>
      </c>
      <c r="M45" s="115">
        <f t="shared" si="12"/>
        <v>105.66930997751214</v>
      </c>
      <c r="N45" s="115">
        <f t="shared" si="13"/>
        <v>101.73857868020306</v>
      </c>
      <c r="O45" s="115">
        <f t="shared" si="14"/>
        <v>101.76320927755755</v>
      </c>
      <c r="P45" s="115">
        <f t="shared" si="15"/>
        <v>101.36106584874915</v>
      </c>
      <c r="Q45" s="119"/>
      <c r="R45" s="119">
        <v>82.837999999999994</v>
      </c>
      <c r="S45" s="115">
        <v>102.77800000000001</v>
      </c>
      <c r="T45" s="119">
        <v>85.138999999999996</v>
      </c>
      <c r="U45" s="119">
        <v>56.988999999999997</v>
      </c>
      <c r="V45" s="119">
        <v>40.704000000000001</v>
      </c>
      <c r="W45" s="119">
        <v>43.043999999999997</v>
      </c>
      <c r="X45" s="119">
        <v>37.115000000000002</v>
      </c>
      <c r="Y45" s="119">
        <v>66.936000000000007</v>
      </c>
      <c r="Z45" s="115">
        <v>50.557000000000002</v>
      </c>
      <c r="AA45" s="119">
        <v>75.53</v>
      </c>
      <c r="AB45" s="119">
        <v>65.126000000000005</v>
      </c>
      <c r="AC45" s="119">
        <v>71.424000000000007</v>
      </c>
      <c r="AD45" s="115">
        <v>80.17</v>
      </c>
      <c r="AE45" s="115">
        <v>68.796000000000006</v>
      </c>
      <c r="AF45" s="119">
        <v>105.75</v>
      </c>
    </row>
    <row r="46" spans="1:32">
      <c r="A46" s="66">
        <v>1990</v>
      </c>
      <c r="B46" s="115">
        <f t="shared" si="1"/>
        <v>108.13729123273316</v>
      </c>
      <c r="C46" s="115">
        <f t="shared" si="2"/>
        <v>100.43572560957818</v>
      </c>
      <c r="D46" s="115">
        <f t="shared" si="3"/>
        <v>108.60903283537569</v>
      </c>
      <c r="E46" s="115">
        <f t="shared" si="4"/>
        <v>111.70966827332009</v>
      </c>
      <c r="F46" s="115">
        <f t="shared" si="5"/>
        <v>122.36639727061717</v>
      </c>
      <c r="G46" s="115">
        <f t="shared" si="6"/>
        <v>121.57178085129195</v>
      </c>
      <c r="H46" s="115">
        <f t="shared" si="7"/>
        <v>123.72322899505768</v>
      </c>
      <c r="I46" s="115">
        <f t="shared" si="8"/>
        <v>102.85466601776375</v>
      </c>
      <c r="J46" s="115">
        <f t="shared" si="9"/>
        <v>111.93736924968189</v>
      </c>
      <c r="K46" s="115">
        <f t="shared" si="10"/>
        <v>108.82882627377019</v>
      </c>
      <c r="L46" s="115">
        <f t="shared" si="11"/>
        <v>110.75701630667322</v>
      </c>
      <c r="M46" s="115">
        <f t="shared" si="12"/>
        <v>109.53959048408097</v>
      </c>
      <c r="N46" s="115">
        <f t="shared" si="13"/>
        <v>100.12436548223349</v>
      </c>
      <c r="O46" s="115">
        <f t="shared" si="14"/>
        <v>103.30305899059229</v>
      </c>
      <c r="P46" s="115">
        <f t="shared" si="15"/>
        <v>99.352055976229266</v>
      </c>
      <c r="Q46" s="119"/>
      <c r="R46" s="119">
        <v>84.625</v>
      </c>
      <c r="S46" s="115">
        <v>103.265</v>
      </c>
      <c r="T46" s="119">
        <v>87.388999999999996</v>
      </c>
      <c r="U46" s="119">
        <v>59.1</v>
      </c>
      <c r="V46" s="119">
        <v>43.756999999999998</v>
      </c>
      <c r="W46" s="119">
        <v>45.356000000000002</v>
      </c>
      <c r="X46" s="119">
        <v>41.305</v>
      </c>
      <c r="Y46" s="119">
        <v>67.629000000000005</v>
      </c>
      <c r="Z46" s="115">
        <v>51.902000000000001</v>
      </c>
      <c r="AA46" s="119">
        <v>76.745000000000005</v>
      </c>
      <c r="AB46" s="119">
        <v>69.891000000000005</v>
      </c>
      <c r="AC46" s="119">
        <v>74.040000000000006</v>
      </c>
      <c r="AD46" s="115">
        <v>78.897999999999996</v>
      </c>
      <c r="AE46" s="115">
        <v>69.837000000000003</v>
      </c>
      <c r="AF46" s="119">
        <v>103.654</v>
      </c>
    </row>
    <row r="47" spans="1:32">
      <c r="A47" s="66">
        <v>1991</v>
      </c>
      <c r="B47" s="115">
        <f t="shared" si="1"/>
        <v>108.84904864740534</v>
      </c>
      <c r="C47" s="115">
        <f t="shared" si="2"/>
        <v>99.200521314568618</v>
      </c>
      <c r="D47" s="115">
        <f t="shared" si="3"/>
        <v>107.9776789043275</v>
      </c>
      <c r="E47" s="115">
        <f t="shared" si="4"/>
        <v>113.42595217843305</v>
      </c>
      <c r="F47" s="115">
        <f t="shared" si="5"/>
        <v>128.66970552867809</v>
      </c>
      <c r="G47" s="115">
        <f t="shared" si="6"/>
        <v>128.62924841856972</v>
      </c>
      <c r="H47" s="115">
        <f t="shared" si="7"/>
        <v>128.73146622734762</v>
      </c>
      <c r="I47" s="115">
        <f t="shared" si="8"/>
        <v>105.04471346879183</v>
      </c>
      <c r="J47" s="115">
        <f t="shared" si="9"/>
        <v>119.12782798110726</v>
      </c>
      <c r="K47" s="115">
        <f t="shared" si="10"/>
        <v>113.40347991321487</v>
      </c>
      <c r="L47" s="115">
        <f t="shared" si="11"/>
        <v>113.49539641538438</v>
      </c>
      <c r="M47" s="115">
        <f t="shared" si="12"/>
        <v>113.43798082613328</v>
      </c>
      <c r="N47" s="115">
        <f t="shared" si="13"/>
        <v>101.49746192893403</v>
      </c>
      <c r="O47" s="115">
        <f t="shared" si="14"/>
        <v>104.20537246316786</v>
      </c>
      <c r="P47" s="115">
        <f t="shared" si="15"/>
        <v>99.971245087702471</v>
      </c>
      <c r="Q47" s="119"/>
      <c r="R47" s="119">
        <v>85.182000000000002</v>
      </c>
      <c r="S47" s="115">
        <v>101.995</v>
      </c>
      <c r="T47" s="119">
        <v>86.881</v>
      </c>
      <c r="U47" s="119">
        <v>60.008000000000003</v>
      </c>
      <c r="V47" s="119">
        <v>46.011000000000003</v>
      </c>
      <c r="W47" s="119">
        <v>47.988999999999997</v>
      </c>
      <c r="X47" s="119">
        <v>42.976999999999997</v>
      </c>
      <c r="Y47" s="119">
        <v>69.069000000000003</v>
      </c>
      <c r="Z47" s="115">
        <v>55.235999999999997</v>
      </c>
      <c r="AA47" s="119">
        <v>79.971000000000004</v>
      </c>
      <c r="AB47" s="119">
        <v>71.619</v>
      </c>
      <c r="AC47" s="119">
        <v>76.674999999999997</v>
      </c>
      <c r="AD47" s="115">
        <v>79.98</v>
      </c>
      <c r="AE47" s="115">
        <v>70.447000000000003</v>
      </c>
      <c r="AF47" s="119">
        <v>104.3</v>
      </c>
    </row>
    <row r="48" spans="1:32">
      <c r="A48" s="66">
        <v>1992</v>
      </c>
      <c r="B48" s="115">
        <f t="shared" si="1"/>
        <v>107.15590937551912</v>
      </c>
      <c r="C48" s="115">
        <f t="shared" si="2"/>
        <v>98.39715222190884</v>
      </c>
      <c r="D48" s="115">
        <f t="shared" si="3"/>
        <v>105.43859213044666</v>
      </c>
      <c r="E48" s="115">
        <f t="shared" si="4"/>
        <v>112.43171722899537</v>
      </c>
      <c r="F48" s="115">
        <f t="shared" si="5"/>
        <v>131.69272071366649</v>
      </c>
      <c r="G48" s="115">
        <f t="shared" si="6"/>
        <v>132.01994210357026</v>
      </c>
      <c r="H48" s="115">
        <f t="shared" si="7"/>
        <v>131.12775198442415</v>
      </c>
      <c r="I48" s="115">
        <f t="shared" si="8"/>
        <v>106.63249787078722</v>
      </c>
      <c r="J48" s="115">
        <f t="shared" si="9"/>
        <v>125.21189639183041</v>
      </c>
      <c r="K48" s="115">
        <f t="shared" si="10"/>
        <v>117.42225499510769</v>
      </c>
      <c r="L48" s="115">
        <f t="shared" si="11"/>
        <v>116.62995420186044</v>
      </c>
      <c r="M48" s="115">
        <f t="shared" si="12"/>
        <v>117.13072552964849</v>
      </c>
      <c r="N48" s="115">
        <f t="shared" si="13"/>
        <v>102.98857868020306</v>
      </c>
      <c r="O48" s="115">
        <f t="shared" si="14"/>
        <v>104.92426483640023</v>
      </c>
      <c r="P48" s="115">
        <f t="shared" si="15"/>
        <v>100.2501677369884</v>
      </c>
      <c r="Q48" s="120"/>
      <c r="R48" s="119">
        <v>83.856999999999999</v>
      </c>
      <c r="S48" s="115">
        <v>101.169</v>
      </c>
      <c r="T48" s="119">
        <v>84.837999999999994</v>
      </c>
      <c r="U48" s="119">
        <v>59.481999999999999</v>
      </c>
      <c r="V48" s="119">
        <v>47.091999999999999</v>
      </c>
      <c r="W48" s="119">
        <v>49.253999999999998</v>
      </c>
      <c r="X48" s="119">
        <v>43.777000000000001</v>
      </c>
      <c r="Y48" s="119">
        <v>70.113</v>
      </c>
      <c r="Z48" s="115">
        <v>58.057000000000002</v>
      </c>
      <c r="AA48" s="119">
        <v>82.805000000000007</v>
      </c>
      <c r="AB48" s="119">
        <v>73.596999999999994</v>
      </c>
      <c r="AC48" s="119">
        <v>79.171000000000006</v>
      </c>
      <c r="AD48" s="115">
        <v>81.155000000000001</v>
      </c>
      <c r="AE48" s="115">
        <v>70.933000000000007</v>
      </c>
      <c r="AF48" s="119">
        <v>104.59099999999999</v>
      </c>
    </row>
    <row r="49" spans="1:32">
      <c r="A49" s="66">
        <v>1993</v>
      </c>
      <c r="B49" s="115">
        <f t="shared" si="1"/>
        <v>106.56938037491852</v>
      </c>
      <c r="C49" s="115">
        <f t="shared" si="2"/>
        <v>98.699631383915118</v>
      </c>
      <c r="D49" s="115">
        <f t="shared" si="3"/>
        <v>105.18257065447042</v>
      </c>
      <c r="E49" s="115">
        <f t="shared" si="4"/>
        <v>116.86797089122012</v>
      </c>
      <c r="F49" s="115">
        <f t="shared" si="5"/>
        <v>139.51452781118041</v>
      </c>
      <c r="G49" s="115">
        <f t="shared" si="6"/>
        <v>138.68875308244878</v>
      </c>
      <c r="H49" s="115">
        <f t="shared" si="7"/>
        <v>140.91957465927814</v>
      </c>
      <c r="I49" s="115">
        <f t="shared" si="8"/>
        <v>111.10840734882589</v>
      </c>
      <c r="J49" s="115">
        <f t="shared" si="9"/>
        <v>131.85670843487827</v>
      </c>
      <c r="K49" s="115">
        <f t="shared" si="10"/>
        <v>118.67156369205463</v>
      </c>
      <c r="L49" s="115">
        <f t="shared" si="11"/>
        <v>120.58063800453228</v>
      </c>
      <c r="M49" s="115">
        <f t="shared" si="12"/>
        <v>119.37507397325129</v>
      </c>
      <c r="N49" s="115">
        <f t="shared" si="13"/>
        <v>105.7715736040609</v>
      </c>
      <c r="O49" s="115">
        <f t="shared" si="14"/>
        <v>109.66362937104313</v>
      </c>
      <c r="P49" s="115">
        <f t="shared" si="15"/>
        <v>99.410524297900892</v>
      </c>
      <c r="Q49" s="120"/>
      <c r="R49" s="119">
        <v>83.397999999999996</v>
      </c>
      <c r="S49" s="115">
        <v>101.48</v>
      </c>
      <c r="T49" s="119">
        <v>84.632000000000005</v>
      </c>
      <c r="U49" s="119">
        <v>61.829000000000001</v>
      </c>
      <c r="V49" s="119">
        <v>49.889000000000003</v>
      </c>
      <c r="W49" s="119">
        <v>51.741999999999997</v>
      </c>
      <c r="X49" s="119">
        <v>47.045999999999999</v>
      </c>
      <c r="Y49" s="119">
        <v>73.055999999999997</v>
      </c>
      <c r="Z49" s="115">
        <v>61.137999999999998</v>
      </c>
      <c r="AA49" s="119">
        <v>83.686000000000007</v>
      </c>
      <c r="AB49" s="119">
        <v>76.09</v>
      </c>
      <c r="AC49" s="119">
        <v>80.688000000000002</v>
      </c>
      <c r="AD49" s="115">
        <v>83.347999999999999</v>
      </c>
      <c r="AE49" s="115">
        <v>74.137</v>
      </c>
      <c r="AF49" s="119">
        <v>103.715</v>
      </c>
    </row>
    <row r="50" spans="1:32">
      <c r="A50" s="66">
        <v>1994</v>
      </c>
      <c r="B50" s="115">
        <f t="shared" si="1"/>
        <v>108.8286031920467</v>
      </c>
      <c r="C50" s="115">
        <f t="shared" si="2"/>
        <v>99.290000680821279</v>
      </c>
      <c r="D50" s="115">
        <f t="shared" si="3"/>
        <v>108.05597673435908</v>
      </c>
      <c r="E50" s="115">
        <f t="shared" si="4"/>
        <v>120.63699083262452</v>
      </c>
      <c r="F50" s="115">
        <f t="shared" si="5"/>
        <v>146.874912609413</v>
      </c>
      <c r="G50" s="115">
        <f t="shared" si="6"/>
        <v>145.63364425860405</v>
      </c>
      <c r="H50" s="115">
        <f t="shared" si="7"/>
        <v>148.99805301782237</v>
      </c>
      <c r="I50" s="115">
        <f t="shared" si="8"/>
        <v>111.642231415014</v>
      </c>
      <c r="J50" s="115">
        <f t="shared" si="9"/>
        <v>134.77904544180132</v>
      </c>
      <c r="K50" s="115">
        <f t="shared" si="10"/>
        <v>120.72065684425472</v>
      </c>
      <c r="L50" s="115">
        <f t="shared" si="11"/>
        <v>123.5091833985706</v>
      </c>
      <c r="M50" s="115">
        <f t="shared" si="12"/>
        <v>121.74813587406794</v>
      </c>
      <c r="N50" s="115">
        <f t="shared" si="13"/>
        <v>105.50761421319797</v>
      </c>
      <c r="O50" s="115">
        <f t="shared" si="14"/>
        <v>110.84994970711793</v>
      </c>
      <c r="P50" s="115">
        <f t="shared" si="15"/>
        <v>99.15652257260615</v>
      </c>
      <c r="Q50" s="120"/>
      <c r="R50" s="119">
        <v>85.165999999999997</v>
      </c>
      <c r="S50" s="115">
        <v>102.087</v>
      </c>
      <c r="T50" s="119">
        <v>86.944000000000003</v>
      </c>
      <c r="U50" s="119">
        <v>63.823</v>
      </c>
      <c r="V50" s="119">
        <v>52.521000000000001</v>
      </c>
      <c r="W50" s="119">
        <v>54.332999999999998</v>
      </c>
      <c r="X50" s="119">
        <v>49.743000000000002</v>
      </c>
      <c r="Y50" s="119">
        <v>73.406999999999996</v>
      </c>
      <c r="Z50" s="115">
        <v>62.493000000000002</v>
      </c>
      <c r="AA50" s="119">
        <v>85.131</v>
      </c>
      <c r="AB50" s="119">
        <v>77.938000000000002</v>
      </c>
      <c r="AC50" s="119">
        <v>82.292000000000002</v>
      </c>
      <c r="AD50" s="115">
        <v>83.14</v>
      </c>
      <c r="AE50" s="115">
        <v>74.938999999999993</v>
      </c>
      <c r="AF50" s="119">
        <v>103.45</v>
      </c>
    </row>
    <row r="51" spans="1:32">
      <c r="A51" s="66">
        <v>1995</v>
      </c>
      <c r="B51" s="115">
        <f t="shared" si="1"/>
        <v>112.51389652043906</v>
      </c>
      <c r="C51" s="115">
        <f t="shared" si="2"/>
        <v>99.873561765077767</v>
      </c>
      <c r="D51" s="115">
        <f t="shared" si="3"/>
        <v>112.3710571449877</v>
      </c>
      <c r="E51" s="115">
        <f t="shared" si="4"/>
        <v>126.55136565542008</v>
      </c>
      <c r="F51" s="115">
        <f t="shared" si="5"/>
        <v>156.73257082133171</v>
      </c>
      <c r="G51" s="115">
        <f t="shared" si="6"/>
        <v>153.69357778492548</v>
      </c>
      <c r="H51" s="115">
        <f t="shared" si="7"/>
        <v>161.92901003444661</v>
      </c>
      <c r="I51" s="115">
        <f t="shared" si="8"/>
        <v>112.61862757026404</v>
      </c>
      <c r="J51" s="115">
        <f t="shared" si="9"/>
        <v>136.77399874911035</v>
      </c>
      <c r="K51" s="115">
        <f t="shared" si="10"/>
        <v>121.44812036472439</v>
      </c>
      <c r="L51" s="115">
        <f t="shared" si="11"/>
        <v>127.9558816538041</v>
      </c>
      <c r="M51" s="115">
        <f t="shared" si="12"/>
        <v>123.8460172801515</v>
      </c>
      <c r="N51" s="115">
        <f t="shared" si="13"/>
        <v>104.83248730964468</v>
      </c>
      <c r="O51" s="115">
        <f t="shared" si="14"/>
        <v>112.47707236258211</v>
      </c>
      <c r="P51" s="115">
        <f t="shared" si="15"/>
        <v>98.063835905300493</v>
      </c>
      <c r="Q51" s="120"/>
      <c r="R51" s="119">
        <v>88.05</v>
      </c>
      <c r="S51" s="115">
        <v>102.687</v>
      </c>
      <c r="T51" s="119">
        <v>90.415999999999997</v>
      </c>
      <c r="U51" s="119">
        <v>66.951999999999998</v>
      </c>
      <c r="V51" s="119">
        <v>56.045999999999999</v>
      </c>
      <c r="W51" s="119">
        <v>57.34</v>
      </c>
      <c r="X51" s="119">
        <v>54.06</v>
      </c>
      <c r="Y51" s="119">
        <v>74.049000000000007</v>
      </c>
      <c r="Z51" s="115">
        <v>63.417999999999999</v>
      </c>
      <c r="AA51" s="119">
        <v>85.644000000000005</v>
      </c>
      <c r="AB51" s="119">
        <v>80.744</v>
      </c>
      <c r="AC51" s="119">
        <v>83.71</v>
      </c>
      <c r="AD51" s="115">
        <v>82.608000000000004</v>
      </c>
      <c r="AE51" s="115">
        <v>76.039000000000001</v>
      </c>
      <c r="AF51" s="119">
        <v>102.31</v>
      </c>
    </row>
    <row r="52" spans="1:32">
      <c r="A52" s="66">
        <v>1996</v>
      </c>
      <c r="B52" s="115">
        <f t="shared" si="1"/>
        <v>115.67144153238686</v>
      </c>
      <c r="C52" s="115">
        <f t="shared" si="2"/>
        <v>99.829794683758522</v>
      </c>
      <c r="D52" s="115">
        <f t="shared" si="3"/>
        <v>115.47438542417538</v>
      </c>
      <c r="E52" s="115">
        <f t="shared" si="4"/>
        <v>130.11057555996598</v>
      </c>
      <c r="F52" s="115">
        <f t="shared" si="5"/>
        <v>164.0286361475433</v>
      </c>
      <c r="G52" s="115">
        <f t="shared" si="6"/>
        <v>161.19062935563417</v>
      </c>
      <c r="H52" s="115">
        <f t="shared" si="7"/>
        <v>168.8812340871649</v>
      </c>
      <c r="I52" s="115">
        <f t="shared" si="8"/>
        <v>112.67489962282518</v>
      </c>
      <c r="J52" s="115">
        <f t="shared" si="9"/>
        <v>139.59281385468111</v>
      </c>
      <c r="K52" s="115">
        <f t="shared" si="10"/>
        <v>123.88859739928245</v>
      </c>
      <c r="L52" s="115">
        <f t="shared" si="11"/>
        <v>129.80048492147759</v>
      </c>
      <c r="M52" s="115">
        <f t="shared" si="12"/>
        <v>126.06669428334713</v>
      </c>
      <c r="N52" s="115">
        <f t="shared" si="13"/>
        <v>104.4758883248731</v>
      </c>
      <c r="O52" s="115">
        <f t="shared" si="14"/>
        <v>112.48298917223833</v>
      </c>
      <c r="P52" s="115">
        <f t="shared" si="15"/>
        <v>98.272788267995793</v>
      </c>
      <c r="Q52" s="120"/>
      <c r="R52" s="119">
        <v>90.521000000000001</v>
      </c>
      <c r="S52" s="115">
        <v>102.642</v>
      </c>
      <c r="T52" s="119">
        <v>92.912999999999997</v>
      </c>
      <c r="U52" s="119">
        <v>68.834999999999994</v>
      </c>
      <c r="V52" s="119">
        <v>58.655000000000001</v>
      </c>
      <c r="W52" s="119">
        <v>60.137</v>
      </c>
      <c r="X52" s="119">
        <v>56.381</v>
      </c>
      <c r="Y52" s="119">
        <v>74.085999999999999</v>
      </c>
      <c r="Z52" s="115">
        <v>64.724999999999994</v>
      </c>
      <c r="AA52" s="119">
        <v>87.364999999999995</v>
      </c>
      <c r="AB52" s="119">
        <v>81.908000000000001</v>
      </c>
      <c r="AC52" s="119">
        <v>85.210999999999999</v>
      </c>
      <c r="AD52" s="115">
        <v>82.326999999999998</v>
      </c>
      <c r="AE52" s="115">
        <v>76.043000000000006</v>
      </c>
      <c r="AF52" s="119">
        <v>102.52800000000001</v>
      </c>
    </row>
    <row r="53" spans="1:32">
      <c r="A53" s="66">
        <v>1997</v>
      </c>
      <c r="B53" s="115">
        <f t="shared" si="1"/>
        <v>118.22967913413495</v>
      </c>
      <c r="C53" s="115">
        <f t="shared" si="2"/>
        <v>99.223863757938886</v>
      </c>
      <c r="D53" s="115">
        <f t="shared" si="3"/>
        <v>117.31127737316996</v>
      </c>
      <c r="E53" s="115">
        <f t="shared" si="4"/>
        <v>136.03818164634723</v>
      </c>
      <c r="F53" s="115">
        <f t="shared" si="5"/>
        <v>174.2078917195671</v>
      </c>
      <c r="G53" s="115">
        <f t="shared" si="6"/>
        <v>169.31489224831137</v>
      </c>
      <c r="H53" s="115">
        <f t="shared" si="7"/>
        <v>182.58499326044634</v>
      </c>
      <c r="I53" s="115">
        <f t="shared" si="8"/>
        <v>115.96301253193822</v>
      </c>
      <c r="J53" s="115">
        <f t="shared" si="9"/>
        <v>144.32894084154682</v>
      </c>
      <c r="K53" s="115">
        <f t="shared" si="10"/>
        <v>124.46007458982685</v>
      </c>
      <c r="L53" s="115">
        <f t="shared" si="11"/>
        <v>134.21707367320096</v>
      </c>
      <c r="M53" s="115">
        <f t="shared" si="12"/>
        <v>128.05509527754765</v>
      </c>
      <c r="N53" s="115">
        <f t="shared" si="13"/>
        <v>105.22081218274113</v>
      </c>
      <c r="O53" s="115">
        <f t="shared" si="14"/>
        <v>115.06271818235609</v>
      </c>
      <c r="P53" s="115">
        <f t="shared" si="15"/>
        <v>97.19256206268571</v>
      </c>
      <c r="Q53" s="120"/>
      <c r="R53" s="119">
        <v>92.522999999999996</v>
      </c>
      <c r="S53" s="115">
        <v>102.01900000000001</v>
      </c>
      <c r="T53" s="119">
        <v>94.391000000000005</v>
      </c>
      <c r="U53" s="119">
        <v>71.971000000000004</v>
      </c>
      <c r="V53" s="119">
        <v>62.295000000000002</v>
      </c>
      <c r="W53" s="119">
        <v>63.167999999999999</v>
      </c>
      <c r="X53" s="119">
        <v>60.956000000000003</v>
      </c>
      <c r="Y53" s="119">
        <v>76.248000000000005</v>
      </c>
      <c r="Z53" s="115">
        <v>66.921000000000006</v>
      </c>
      <c r="AA53" s="119">
        <v>87.768000000000001</v>
      </c>
      <c r="AB53" s="119">
        <v>84.694999999999993</v>
      </c>
      <c r="AC53" s="119">
        <v>86.555000000000007</v>
      </c>
      <c r="AD53" s="115">
        <v>82.914000000000001</v>
      </c>
      <c r="AE53" s="115">
        <v>77.787000000000006</v>
      </c>
      <c r="AF53" s="119">
        <v>101.401</v>
      </c>
    </row>
    <row r="54" spans="1:32">
      <c r="A54" s="66">
        <v>1998</v>
      </c>
      <c r="B54" s="115">
        <f t="shared" si="1"/>
        <v>121.4357821025595</v>
      </c>
      <c r="C54" s="115">
        <f t="shared" si="2"/>
        <v>99.864808348813909</v>
      </c>
      <c r="D54" s="115">
        <f t="shared" si="3"/>
        <v>121.26966766921031</v>
      </c>
      <c r="E54" s="115">
        <f t="shared" si="4"/>
        <v>143.08099423494946</v>
      </c>
      <c r="F54" s="115">
        <f t="shared" si="5"/>
        <v>186.12656953494226</v>
      </c>
      <c r="G54" s="115">
        <f t="shared" si="6"/>
        <v>180.67170580036452</v>
      </c>
      <c r="H54" s="115">
        <f t="shared" si="7"/>
        <v>195.46802456192904</v>
      </c>
      <c r="I54" s="115">
        <f t="shared" si="8"/>
        <v>117.9842438252829</v>
      </c>
      <c r="J54" s="115">
        <f t="shared" si="9"/>
        <v>148.9852696961201</v>
      </c>
      <c r="K54" s="115">
        <f t="shared" si="10"/>
        <v>126.27235213204952</v>
      </c>
      <c r="L54" s="115">
        <f t="shared" si="11"/>
        <v>136.61474097903428</v>
      </c>
      <c r="M54" s="115">
        <f t="shared" si="12"/>
        <v>130.08344182743519</v>
      </c>
      <c r="N54" s="115">
        <f t="shared" si="13"/>
        <v>106.31725888324874</v>
      </c>
      <c r="O54" s="115">
        <f t="shared" si="14"/>
        <v>117.82586829181705</v>
      </c>
      <c r="P54" s="115">
        <f t="shared" si="15"/>
        <v>97.070832933959551</v>
      </c>
      <c r="Q54" s="120"/>
      <c r="R54" s="119">
        <v>95.031999999999996</v>
      </c>
      <c r="S54" s="115">
        <v>102.678</v>
      </c>
      <c r="T54" s="119">
        <v>97.575999999999993</v>
      </c>
      <c r="U54" s="119">
        <v>75.697000000000003</v>
      </c>
      <c r="V54" s="119">
        <v>66.557000000000002</v>
      </c>
      <c r="W54" s="119">
        <v>67.405000000000001</v>
      </c>
      <c r="X54" s="119">
        <v>65.257000000000005</v>
      </c>
      <c r="Y54" s="119">
        <v>77.576999999999998</v>
      </c>
      <c r="Z54" s="115">
        <v>69.08</v>
      </c>
      <c r="AA54" s="119">
        <v>89.046000000000006</v>
      </c>
      <c r="AB54" s="119">
        <v>86.207999999999998</v>
      </c>
      <c r="AC54" s="119">
        <v>87.926000000000002</v>
      </c>
      <c r="AD54" s="115">
        <v>83.778000000000006</v>
      </c>
      <c r="AE54" s="115">
        <v>79.655000000000001</v>
      </c>
      <c r="AF54" s="119">
        <v>101.274</v>
      </c>
    </row>
    <row r="55" spans="1:32">
      <c r="A55" s="66">
        <v>1999</v>
      </c>
      <c r="B55" s="115">
        <f t="shared" si="1"/>
        <v>123.96079583934983</v>
      </c>
      <c r="C55" s="115">
        <f t="shared" si="2"/>
        <v>99.760739955454852</v>
      </c>
      <c r="D55" s="115">
        <f t="shared" si="3"/>
        <v>123.66334418731823</v>
      </c>
      <c r="E55" s="115">
        <f t="shared" si="4"/>
        <v>150.23343729326149</v>
      </c>
      <c r="F55" s="115">
        <f t="shared" si="5"/>
        <v>196.75885790989679</v>
      </c>
      <c r="G55" s="115">
        <f t="shared" si="6"/>
        <v>195.43797576927201</v>
      </c>
      <c r="H55" s="115">
        <f t="shared" si="7"/>
        <v>199.01752283959863</v>
      </c>
      <c r="I55" s="115">
        <f t="shared" si="8"/>
        <v>121.48527801435701</v>
      </c>
      <c r="J55" s="115">
        <f t="shared" si="9"/>
        <v>158.04127935816422</v>
      </c>
      <c r="K55" s="115">
        <f t="shared" si="10"/>
        <v>130.08834498503947</v>
      </c>
      <c r="L55" s="115">
        <f t="shared" si="11"/>
        <v>132.47389189103529</v>
      </c>
      <c r="M55" s="115">
        <f t="shared" si="12"/>
        <v>130.96816191265239</v>
      </c>
      <c r="N55" s="115">
        <f t="shared" si="13"/>
        <v>111.2271573604061</v>
      </c>
      <c r="O55" s="115">
        <f t="shared" si="14"/>
        <v>121.19549139104195</v>
      </c>
      <c r="P55" s="115">
        <f t="shared" si="15"/>
        <v>99.329052046391254</v>
      </c>
      <c r="Q55" s="120"/>
      <c r="R55" s="119">
        <v>97.007999999999996</v>
      </c>
      <c r="S55" s="115">
        <v>102.571</v>
      </c>
      <c r="T55" s="119">
        <v>99.501999999999995</v>
      </c>
      <c r="U55" s="119">
        <v>79.480999999999995</v>
      </c>
      <c r="V55" s="119">
        <v>70.358999999999995</v>
      </c>
      <c r="W55" s="119">
        <v>72.914000000000001</v>
      </c>
      <c r="X55" s="119">
        <v>66.441999999999993</v>
      </c>
      <c r="Y55" s="119">
        <v>79.879000000000005</v>
      </c>
      <c r="Z55" s="115">
        <v>73.278999999999996</v>
      </c>
      <c r="AA55" s="119">
        <v>91.736999999999995</v>
      </c>
      <c r="AB55" s="119">
        <v>83.594999999999999</v>
      </c>
      <c r="AC55" s="119">
        <v>88.524000000000001</v>
      </c>
      <c r="AD55" s="115">
        <v>87.647000000000006</v>
      </c>
      <c r="AE55" s="115">
        <v>81.933000000000007</v>
      </c>
      <c r="AF55" s="119">
        <v>103.63</v>
      </c>
    </row>
    <row r="56" spans="1:32">
      <c r="A56" s="66">
        <v>2000</v>
      </c>
      <c r="B56" s="115">
        <f t="shared" si="1"/>
        <v>125.96956182833483</v>
      </c>
      <c r="C56" s="115">
        <f t="shared" si="2"/>
        <v>100.12935604034354</v>
      </c>
      <c r="D56" s="115">
        <f t="shared" si="3"/>
        <v>126.13159006736099</v>
      </c>
      <c r="E56" s="115">
        <f t="shared" si="4"/>
        <v>158.62772894811454</v>
      </c>
      <c r="F56" s="115">
        <f t="shared" si="5"/>
        <v>209.41860790290553</v>
      </c>
      <c r="G56" s="115">
        <f t="shared" si="6"/>
        <v>208.31189021121475</v>
      </c>
      <c r="H56" s="115">
        <f t="shared" si="7"/>
        <v>211.30447805900855</v>
      </c>
      <c r="I56" s="115">
        <f t="shared" si="8"/>
        <v>125.76347487528896</v>
      </c>
      <c r="J56" s="115">
        <f t="shared" si="9"/>
        <v>165.15625336985357</v>
      </c>
      <c r="K56" s="115">
        <f t="shared" si="10"/>
        <v>131.32205504899389</v>
      </c>
      <c r="L56" s="115">
        <f t="shared" si="11"/>
        <v>133.20919766096699</v>
      </c>
      <c r="M56" s="115">
        <f t="shared" si="12"/>
        <v>132.01710261569417</v>
      </c>
      <c r="N56" s="115">
        <f t="shared" si="13"/>
        <v>113.86040609137056</v>
      </c>
      <c r="O56" s="115">
        <f t="shared" si="14"/>
        <v>125.92598071120051</v>
      </c>
      <c r="P56" s="115">
        <f t="shared" si="15"/>
        <v>99.473785104955439</v>
      </c>
      <c r="Q56" s="120"/>
      <c r="R56" s="119">
        <v>98.58</v>
      </c>
      <c r="S56" s="115">
        <v>102.95</v>
      </c>
      <c r="T56" s="119">
        <v>101.488</v>
      </c>
      <c r="U56" s="119">
        <v>83.921999999999997</v>
      </c>
      <c r="V56" s="119">
        <v>74.885999999999996</v>
      </c>
      <c r="W56" s="119">
        <v>77.716999999999999</v>
      </c>
      <c r="X56" s="119">
        <v>70.543999999999997</v>
      </c>
      <c r="Y56" s="119">
        <v>82.691999999999993</v>
      </c>
      <c r="Z56" s="115">
        <v>76.578000000000003</v>
      </c>
      <c r="AA56" s="119">
        <v>92.606999999999999</v>
      </c>
      <c r="AB56" s="119">
        <v>84.058999999999997</v>
      </c>
      <c r="AC56" s="119">
        <v>89.233000000000004</v>
      </c>
      <c r="AD56" s="115">
        <v>89.721999999999994</v>
      </c>
      <c r="AE56" s="115">
        <v>85.131</v>
      </c>
      <c r="AF56" s="119">
        <v>103.78100000000001</v>
      </c>
    </row>
    <row r="57" spans="1:32">
      <c r="A57" s="66">
        <v>2001</v>
      </c>
      <c r="B57" s="115">
        <f t="shared" si="1"/>
        <v>128.10483407235137</v>
      </c>
      <c r="C57" s="115">
        <f t="shared" si="2"/>
        <v>99.474795024169154</v>
      </c>
      <c r="D57" s="115">
        <f t="shared" si="3"/>
        <v>127.4315826104248</v>
      </c>
      <c r="E57" s="115">
        <f t="shared" si="4"/>
        <v>165.80852471411021</v>
      </c>
      <c r="F57" s="115">
        <f t="shared" si="5"/>
        <v>222.89493554070305</v>
      </c>
      <c r="G57" s="115">
        <f t="shared" si="6"/>
        <v>225.87380722633216</v>
      </c>
      <c r="H57" s="115">
        <f t="shared" si="7"/>
        <v>217.78343567470421</v>
      </c>
      <c r="I57" s="115">
        <f t="shared" si="8"/>
        <v>130.1146733179219</v>
      </c>
      <c r="J57" s="115">
        <f t="shared" si="9"/>
        <v>177.25106217784204</v>
      </c>
      <c r="K57" s="115">
        <f t="shared" si="10"/>
        <v>136.22569803882641</v>
      </c>
      <c r="L57" s="115">
        <f t="shared" si="11"/>
        <v>131.34716257547186</v>
      </c>
      <c r="M57" s="115">
        <f t="shared" si="12"/>
        <v>134.42715114214698</v>
      </c>
      <c r="N57" s="115">
        <f t="shared" si="13"/>
        <v>118.23604060913706</v>
      </c>
      <c r="O57" s="115">
        <f t="shared" si="14"/>
        <v>129.43316963493282</v>
      </c>
      <c r="P57" s="115">
        <f t="shared" si="15"/>
        <v>101.33710342183456</v>
      </c>
      <c r="Q57" s="120"/>
      <c r="R57" s="119">
        <v>100.251</v>
      </c>
      <c r="S57" s="115">
        <v>102.277</v>
      </c>
      <c r="T57" s="119">
        <v>102.53400000000001</v>
      </c>
      <c r="U57" s="119">
        <v>87.721000000000004</v>
      </c>
      <c r="V57" s="119">
        <v>79.704999999999998</v>
      </c>
      <c r="W57" s="119">
        <v>84.269000000000005</v>
      </c>
      <c r="X57" s="119">
        <v>72.706999999999994</v>
      </c>
      <c r="Y57" s="119">
        <v>85.552999999999997</v>
      </c>
      <c r="Z57" s="115">
        <v>82.186000000000007</v>
      </c>
      <c r="AA57" s="119">
        <v>96.064999999999998</v>
      </c>
      <c r="AB57" s="119">
        <v>82.884</v>
      </c>
      <c r="AC57" s="119">
        <v>90.861999999999995</v>
      </c>
      <c r="AD57" s="115">
        <v>93.17</v>
      </c>
      <c r="AE57" s="115">
        <v>87.501999999999995</v>
      </c>
      <c r="AF57" s="119">
        <v>105.72499999999999</v>
      </c>
    </row>
    <row r="58" spans="1:32">
      <c r="A58" s="66">
        <v>2002</v>
      </c>
      <c r="B58" s="115">
        <f t="shared" si="1"/>
        <v>127.06467153098124</v>
      </c>
      <c r="C58" s="115">
        <f t="shared" si="2"/>
        <v>98.119960706886999</v>
      </c>
      <c r="D58" s="115">
        <f t="shared" si="3"/>
        <v>124.67500186423403</v>
      </c>
      <c r="E58" s="115">
        <f t="shared" si="4"/>
        <v>167.13732161421419</v>
      </c>
      <c r="F58" s="115">
        <f t="shared" si="5"/>
        <v>228.61936855057468</v>
      </c>
      <c r="G58" s="115">
        <f t="shared" si="6"/>
        <v>231.46510131875203</v>
      </c>
      <c r="H58" s="115">
        <f t="shared" si="7"/>
        <v>223.72921970945035</v>
      </c>
      <c r="I58" s="115">
        <f t="shared" si="8"/>
        <v>134.05827959605793</v>
      </c>
      <c r="J58" s="115">
        <f t="shared" si="9"/>
        <v>185.65574654387819</v>
      </c>
      <c r="K58" s="115">
        <f t="shared" si="10"/>
        <v>138.48749982274279</v>
      </c>
      <c r="L58" s="115">
        <f t="shared" si="11"/>
        <v>133.8620984739236</v>
      </c>
      <c r="M58" s="115">
        <f t="shared" si="12"/>
        <v>136.7824594626583</v>
      </c>
      <c r="N58" s="115">
        <f t="shared" si="13"/>
        <v>120.46065989847716</v>
      </c>
      <c r="O58" s="115">
        <f t="shared" si="14"/>
        <v>131.53807467013786</v>
      </c>
      <c r="P58" s="115">
        <f t="shared" si="15"/>
        <v>101.24700469663568</v>
      </c>
      <c r="Q58" s="120"/>
      <c r="R58" s="119">
        <v>99.436999999999998</v>
      </c>
      <c r="S58" s="115">
        <v>100.884</v>
      </c>
      <c r="T58" s="119">
        <v>100.316</v>
      </c>
      <c r="U58" s="119">
        <v>88.424000000000007</v>
      </c>
      <c r="V58" s="119">
        <v>81.751999999999995</v>
      </c>
      <c r="W58" s="119">
        <v>86.355000000000004</v>
      </c>
      <c r="X58" s="119">
        <v>74.691999999999993</v>
      </c>
      <c r="Y58" s="119">
        <v>88.146000000000001</v>
      </c>
      <c r="Z58" s="115">
        <v>86.082999999999998</v>
      </c>
      <c r="AA58" s="119">
        <v>97.66</v>
      </c>
      <c r="AB58" s="119">
        <v>84.471000000000004</v>
      </c>
      <c r="AC58" s="119">
        <v>92.453999999999994</v>
      </c>
      <c r="AD58" s="115">
        <v>94.923000000000002</v>
      </c>
      <c r="AE58" s="115">
        <v>88.924999999999997</v>
      </c>
      <c r="AF58" s="119">
        <v>105.631</v>
      </c>
    </row>
    <row r="59" spans="1:32">
      <c r="A59" s="66">
        <v>2003</v>
      </c>
      <c r="B59" s="115">
        <f t="shared" si="1"/>
        <v>124.26492198780939</v>
      </c>
      <c r="C59" s="115">
        <f t="shared" si="2"/>
        <v>97.919604734625594</v>
      </c>
      <c r="D59" s="115">
        <f t="shared" si="3"/>
        <v>121.67855633715294</v>
      </c>
      <c r="E59" s="115">
        <f t="shared" si="4"/>
        <v>170.403553539363</v>
      </c>
      <c r="F59" s="115">
        <f t="shared" si="5"/>
        <v>234.95064179647085</v>
      </c>
      <c r="G59" s="115">
        <f t="shared" si="6"/>
        <v>232.80261606089846</v>
      </c>
      <c r="H59" s="115">
        <f t="shared" si="7"/>
        <v>238.62213568968102</v>
      </c>
      <c r="I59" s="115">
        <f t="shared" si="8"/>
        <v>140.04288842924933</v>
      </c>
      <c r="J59" s="115">
        <f t="shared" si="9"/>
        <v>191.32572734919233</v>
      </c>
      <c r="K59" s="115">
        <f t="shared" si="10"/>
        <v>136.61849997872912</v>
      </c>
      <c r="L59" s="115">
        <f t="shared" si="11"/>
        <v>140.03613140421217</v>
      </c>
      <c r="M59" s="115">
        <f t="shared" si="12"/>
        <v>137.87726358148893</v>
      </c>
      <c r="N59" s="115">
        <f t="shared" si="13"/>
        <v>122.16624365482234</v>
      </c>
      <c r="O59" s="115">
        <f t="shared" si="14"/>
        <v>137.12945979527836</v>
      </c>
      <c r="P59" s="115">
        <f t="shared" si="15"/>
        <v>99.087510783092114</v>
      </c>
      <c r="Q59" s="120"/>
      <c r="R59" s="119">
        <v>97.245999999999995</v>
      </c>
      <c r="S59" s="115">
        <v>100.678</v>
      </c>
      <c r="T59" s="119">
        <v>97.905000000000001</v>
      </c>
      <c r="U59" s="119">
        <v>90.152000000000001</v>
      </c>
      <c r="V59" s="119">
        <v>84.016000000000005</v>
      </c>
      <c r="W59" s="119">
        <v>86.853999999999999</v>
      </c>
      <c r="X59" s="119">
        <v>79.664000000000001</v>
      </c>
      <c r="Y59" s="119">
        <v>92.081000000000003</v>
      </c>
      <c r="Z59" s="115">
        <v>88.712000000000003</v>
      </c>
      <c r="AA59" s="119">
        <v>96.341999999999999</v>
      </c>
      <c r="AB59" s="119">
        <v>88.367000000000004</v>
      </c>
      <c r="AC59" s="119">
        <v>93.194000000000003</v>
      </c>
      <c r="AD59" s="115">
        <v>96.266999999999996</v>
      </c>
      <c r="AE59" s="115">
        <v>92.704999999999998</v>
      </c>
      <c r="AF59" s="119">
        <v>103.378</v>
      </c>
    </row>
    <row r="60" spans="1:32">
      <c r="A60" s="66">
        <v>2004</v>
      </c>
      <c r="B60" s="115">
        <f t="shared" si="1"/>
        <v>123.97357424894896</v>
      </c>
      <c r="C60" s="115">
        <f t="shared" si="2"/>
        <v>97.48971473588999</v>
      </c>
      <c r="D60" s="115">
        <f t="shared" si="3"/>
        <v>120.86077900126769</v>
      </c>
      <c r="E60" s="115">
        <f t="shared" si="4"/>
        <v>175.76977601360932</v>
      </c>
      <c r="F60" s="115">
        <f t="shared" si="5"/>
        <v>245.63886014709578</v>
      </c>
      <c r="G60" s="115">
        <f t="shared" si="6"/>
        <v>242.21346628069048</v>
      </c>
      <c r="H60" s="115">
        <f t="shared" si="7"/>
        <v>251.50217163396738</v>
      </c>
      <c r="I60" s="115">
        <f t="shared" si="8"/>
        <v>145.4297968122643</v>
      </c>
      <c r="J60" s="115">
        <f t="shared" si="9"/>
        <v>200.40761748657454</v>
      </c>
      <c r="K60" s="115">
        <f t="shared" si="10"/>
        <v>137.8011599710716</v>
      </c>
      <c r="L60" s="115">
        <f t="shared" si="11"/>
        <v>143.08669952300207</v>
      </c>
      <c r="M60" s="115">
        <f t="shared" si="12"/>
        <v>139.74878683867914</v>
      </c>
      <c r="N60" s="115">
        <f t="shared" si="13"/>
        <v>125.17005076142131</v>
      </c>
      <c r="O60" s="115">
        <f t="shared" si="14"/>
        <v>141.78007218507781</v>
      </c>
      <c r="P60" s="115">
        <f t="shared" si="15"/>
        <v>98.606345250646982</v>
      </c>
      <c r="Q60" s="120"/>
      <c r="R60" s="119">
        <v>97.018000000000001</v>
      </c>
      <c r="S60" s="115">
        <v>100.236</v>
      </c>
      <c r="T60" s="119">
        <v>97.247</v>
      </c>
      <c r="U60" s="119">
        <v>92.991</v>
      </c>
      <c r="V60" s="119">
        <v>87.837999999999994</v>
      </c>
      <c r="W60" s="119">
        <v>90.364999999999995</v>
      </c>
      <c r="X60" s="119">
        <v>83.963999999999999</v>
      </c>
      <c r="Y60" s="119">
        <v>95.623000000000005</v>
      </c>
      <c r="Z60" s="115">
        <v>92.923000000000002</v>
      </c>
      <c r="AA60" s="119">
        <v>97.176000000000002</v>
      </c>
      <c r="AB60" s="119">
        <v>90.292000000000002</v>
      </c>
      <c r="AC60" s="119">
        <v>94.459000000000003</v>
      </c>
      <c r="AD60" s="115">
        <v>98.634</v>
      </c>
      <c r="AE60" s="115">
        <v>95.849000000000004</v>
      </c>
      <c r="AF60" s="119">
        <v>102.876</v>
      </c>
    </row>
    <row r="61" spans="1:32">
      <c r="A61" s="66">
        <v>2005</v>
      </c>
      <c r="B61" s="115">
        <f t="shared" si="1"/>
        <v>125.55042999348301</v>
      </c>
      <c r="C61" s="115">
        <f t="shared" si="2"/>
        <v>97.423577813007583</v>
      </c>
      <c r="D61" s="115">
        <f t="shared" si="3"/>
        <v>122.31488155899679</v>
      </c>
      <c r="E61" s="115">
        <f t="shared" si="4"/>
        <v>182.82581986579717</v>
      </c>
      <c r="F61" s="115">
        <f t="shared" si="5"/>
        <v>262.02913951732427</v>
      </c>
      <c r="G61" s="115">
        <f t="shared" si="6"/>
        <v>253.65605232121794</v>
      </c>
      <c r="H61" s="115">
        <f t="shared" si="7"/>
        <v>276.36663172083274</v>
      </c>
      <c r="I61" s="115">
        <f t="shared" si="8"/>
        <v>149.46921766638278</v>
      </c>
      <c r="J61" s="115">
        <f t="shared" si="9"/>
        <v>207.38024888390453</v>
      </c>
      <c r="K61" s="115">
        <f t="shared" si="10"/>
        <v>138.74133212325754</v>
      </c>
      <c r="L61" s="115">
        <f t="shared" si="11"/>
        <v>151.16555472798441</v>
      </c>
      <c r="M61" s="115">
        <f t="shared" si="12"/>
        <v>143.32021541010772</v>
      </c>
      <c r="N61" s="115">
        <f t="shared" si="13"/>
        <v>126.11675126903552</v>
      </c>
      <c r="O61" s="115">
        <f t="shared" si="14"/>
        <v>145.62008165197324</v>
      </c>
      <c r="P61" s="115">
        <f t="shared" si="15"/>
        <v>96.806287740822398</v>
      </c>
      <c r="Q61" s="120"/>
      <c r="R61" s="119">
        <v>98.251999999999995</v>
      </c>
      <c r="S61" s="115">
        <v>100.16800000000001</v>
      </c>
      <c r="T61" s="119">
        <v>98.417000000000002</v>
      </c>
      <c r="U61" s="119">
        <v>96.724000000000004</v>
      </c>
      <c r="V61" s="119">
        <v>93.698999999999998</v>
      </c>
      <c r="W61" s="119">
        <v>94.634</v>
      </c>
      <c r="X61" s="119">
        <v>92.265000000000001</v>
      </c>
      <c r="Y61" s="119">
        <v>98.278999999999996</v>
      </c>
      <c r="Z61" s="115">
        <v>96.156000000000006</v>
      </c>
      <c r="AA61" s="119">
        <v>97.838999999999999</v>
      </c>
      <c r="AB61" s="119">
        <v>95.39</v>
      </c>
      <c r="AC61" s="119">
        <v>96.873000000000005</v>
      </c>
      <c r="AD61" s="115">
        <v>99.38</v>
      </c>
      <c r="AE61" s="115">
        <v>98.444999999999993</v>
      </c>
      <c r="AF61" s="119">
        <v>100.998</v>
      </c>
    </row>
    <row r="62" spans="1:32">
      <c r="A62" s="66">
        <v>2006</v>
      </c>
      <c r="B62" s="115">
        <f t="shared" si="1"/>
        <v>127.7840959914129</v>
      </c>
      <c r="C62" s="115">
        <f t="shared" si="2"/>
        <v>97.260180709415764</v>
      </c>
      <c r="D62" s="115">
        <f t="shared" si="3"/>
        <v>124.2822698913773</v>
      </c>
      <c r="E62" s="115">
        <f t="shared" si="4"/>
        <v>189.01805122389189</v>
      </c>
      <c r="F62" s="115">
        <f t="shared" si="5"/>
        <v>279.64987835230295</v>
      </c>
      <c r="G62" s="115">
        <f t="shared" si="6"/>
        <v>268.03902648225579</v>
      </c>
      <c r="H62" s="115">
        <f t="shared" si="7"/>
        <v>299.53571963456642</v>
      </c>
      <c r="I62" s="115">
        <f t="shared" si="8"/>
        <v>152.08662854361845</v>
      </c>
      <c r="J62" s="115">
        <f t="shared" si="9"/>
        <v>215.67062781719758</v>
      </c>
      <c r="K62" s="115">
        <f t="shared" si="10"/>
        <v>141.8057544775167</v>
      </c>
      <c r="L62" s="115">
        <f t="shared" si="11"/>
        <v>158.4710711059696</v>
      </c>
      <c r="M62" s="115">
        <f t="shared" si="12"/>
        <v>147.94650254467984</v>
      </c>
      <c r="N62" s="115">
        <f t="shared" si="13"/>
        <v>126.90355329949239</v>
      </c>
      <c r="O62" s="115">
        <f t="shared" si="14"/>
        <v>147.92024140583396</v>
      </c>
      <c r="P62" s="115">
        <f t="shared" si="15"/>
        <v>95.849707658391651</v>
      </c>
      <c r="Q62" s="120"/>
      <c r="R62" s="121">
        <v>100</v>
      </c>
      <c r="S62" s="115">
        <v>100</v>
      </c>
      <c r="T62" s="119">
        <v>100</v>
      </c>
      <c r="U62" s="119">
        <v>100</v>
      </c>
      <c r="V62" s="121">
        <v>100</v>
      </c>
      <c r="W62" s="121">
        <v>100</v>
      </c>
      <c r="X62" s="121">
        <v>100</v>
      </c>
      <c r="Y62" s="119">
        <v>100</v>
      </c>
      <c r="Z62" s="115">
        <v>100</v>
      </c>
      <c r="AA62" s="121">
        <v>100</v>
      </c>
      <c r="AB62" s="121">
        <v>100</v>
      </c>
      <c r="AC62" s="121">
        <v>100</v>
      </c>
      <c r="AD62" s="115">
        <v>100</v>
      </c>
      <c r="AE62" s="115">
        <v>100</v>
      </c>
      <c r="AF62" s="119">
        <v>100</v>
      </c>
    </row>
    <row r="63" spans="1:32">
      <c r="A63" s="66">
        <v>2007</v>
      </c>
      <c r="B63" s="115">
        <f t="shared" si="1"/>
        <v>130.14299040341439</v>
      </c>
      <c r="C63" s="115">
        <f t="shared" si="2"/>
        <v>97.475125708783565</v>
      </c>
      <c r="D63" s="115">
        <f t="shared" si="3"/>
        <v>126.85615570082771</v>
      </c>
      <c r="E63" s="115">
        <f t="shared" si="4"/>
        <v>194.75663925904925</v>
      </c>
      <c r="F63" s="115">
        <f t="shared" si="5"/>
        <v>296.47361503397747</v>
      </c>
      <c r="G63" s="115">
        <f t="shared" si="6"/>
        <v>284.04631714377609</v>
      </c>
      <c r="H63" s="115">
        <f t="shared" si="7"/>
        <v>317.75947281713349</v>
      </c>
      <c r="I63" s="115">
        <f t="shared" si="8"/>
        <v>153.52384718335563</v>
      </c>
      <c r="J63" s="115">
        <f t="shared" si="9"/>
        <v>223.91355921237087</v>
      </c>
      <c r="K63" s="115">
        <f t="shared" si="10"/>
        <v>145.84580042258116</v>
      </c>
      <c r="L63" s="115">
        <f t="shared" si="11"/>
        <v>163.15864538928417</v>
      </c>
      <c r="M63" s="115">
        <f t="shared" si="12"/>
        <v>152.22511539827198</v>
      </c>
      <c r="N63" s="115">
        <f t="shared" si="13"/>
        <v>127.57106598984771</v>
      </c>
      <c r="O63" s="115">
        <f t="shared" si="14"/>
        <v>149.64794982545413</v>
      </c>
      <c r="P63" s="115">
        <f t="shared" si="15"/>
        <v>95.809450781175116</v>
      </c>
      <c r="Q63" s="120"/>
      <c r="R63" s="121">
        <v>101.846</v>
      </c>
      <c r="S63" s="115">
        <v>100.221</v>
      </c>
      <c r="T63" s="119">
        <v>102.071</v>
      </c>
      <c r="U63" s="119">
        <v>103.036</v>
      </c>
      <c r="V63" s="121">
        <v>106.01600000000001</v>
      </c>
      <c r="W63" s="121">
        <v>105.97199999999999</v>
      </c>
      <c r="X63" s="121">
        <v>106.084</v>
      </c>
      <c r="Y63" s="119">
        <v>100.94499999999999</v>
      </c>
      <c r="Z63" s="115">
        <v>103.822</v>
      </c>
      <c r="AA63" s="121">
        <v>102.849</v>
      </c>
      <c r="AB63" s="121">
        <v>102.958</v>
      </c>
      <c r="AC63" s="121">
        <v>102.892</v>
      </c>
      <c r="AD63" s="115">
        <v>100.526</v>
      </c>
      <c r="AE63" s="115">
        <v>101.16800000000001</v>
      </c>
      <c r="AF63" s="121">
        <v>99.957999999999998</v>
      </c>
    </row>
    <row r="64" spans="1:32">
      <c r="A64" s="66">
        <v>2008</v>
      </c>
      <c r="B64" s="115">
        <f t="shared" ref="B64:B67" si="16">R64/R$43*100</f>
        <v>131.10648248718962</v>
      </c>
      <c r="C64" s="115">
        <f t="shared" ref="C64:C67" si="17">S64/S$43*100</f>
        <v>97.27574233832928</v>
      </c>
      <c r="D64" s="115">
        <f t="shared" ref="D64:D67" si="18">T64/T$43*100</f>
        <v>127.53473689443464</v>
      </c>
      <c r="E64" s="115">
        <f t="shared" ref="E64:E67" si="19">U64/U$43*100</f>
        <v>198.63339948965125</v>
      </c>
      <c r="F64" s="115">
        <f t="shared" ref="F64:F67" si="20">V64/V$43*100</f>
        <v>310.22120305377666</v>
      </c>
      <c r="G64" s="115">
        <f t="shared" ref="G64:G67" si="21">W64/W$43*100</f>
        <v>297.19363139273077</v>
      </c>
      <c r="H64" s="115">
        <f t="shared" ref="H64:H67" si="22">X64/X$43*100</f>
        <v>332.52957915231389</v>
      </c>
      <c r="I64" s="115">
        <f t="shared" ref="I64:I67" si="23">Y64/Y$43*100</f>
        <v>155.74735369266335</v>
      </c>
      <c r="J64" s="115">
        <f t="shared" ref="J64:J67" si="24">Z64/Z$43*100</f>
        <v>233.03211335648197</v>
      </c>
      <c r="K64" s="115">
        <f t="shared" ref="K64:K67" si="25">AA64/AA$43*100</f>
        <v>149.61925154922787</v>
      </c>
      <c r="L64" s="115">
        <f t="shared" ref="L64:L67" si="26">AB64/AB$43*100</f>
        <v>167.41042422705738</v>
      </c>
      <c r="M64" s="115">
        <f t="shared" ref="M64:M67" si="27">AC64/AC$43*100</f>
        <v>156.17528701621492</v>
      </c>
      <c r="N64" s="115">
        <f t="shared" ref="N64:N67" si="28">AD64/AD$43*100</f>
        <v>129.10406091370558</v>
      </c>
      <c r="O64" s="115">
        <f t="shared" ref="O64:O67" si="29">AE64/AE$43*100</f>
        <v>151.50582805751139</v>
      </c>
      <c r="P64" s="115">
        <f t="shared" ref="P64:P67" si="30">AF64/AF$43*100</f>
        <v>95.802741301639031</v>
      </c>
      <c r="Q64" s="120"/>
      <c r="R64" s="121">
        <v>102.6</v>
      </c>
      <c r="S64" s="115">
        <v>100.01600000000001</v>
      </c>
      <c r="T64" s="119">
        <v>102.617</v>
      </c>
      <c r="U64" s="119">
        <v>105.087</v>
      </c>
      <c r="V64" s="121">
        <v>110.932</v>
      </c>
      <c r="W64" s="121">
        <v>110.877</v>
      </c>
      <c r="X64" s="121">
        <v>111.015</v>
      </c>
      <c r="Y64" s="119">
        <v>102.407</v>
      </c>
      <c r="Z64" s="115">
        <v>108.05</v>
      </c>
      <c r="AA64" s="121">
        <v>105.51</v>
      </c>
      <c r="AB64" s="121">
        <v>105.64100000000001</v>
      </c>
      <c r="AC64" s="121">
        <v>105.562</v>
      </c>
      <c r="AD64" s="115">
        <v>101.73399999999999</v>
      </c>
      <c r="AE64" s="115">
        <v>102.42400000000001</v>
      </c>
      <c r="AF64" s="121">
        <v>99.950999999999993</v>
      </c>
    </row>
    <row r="65" spans="1:32">
      <c r="A65" s="66">
        <v>2009</v>
      </c>
      <c r="B65" s="115">
        <f t="shared" si="16"/>
        <v>129.1948324111581</v>
      </c>
      <c r="C65" s="115">
        <f t="shared" si="17"/>
        <v>96.748592158884236</v>
      </c>
      <c r="D65" s="115">
        <f t="shared" si="18"/>
        <v>124.99440729785488</v>
      </c>
      <c r="E65" s="115">
        <f t="shared" si="19"/>
        <v>196.01360929968808</v>
      </c>
      <c r="F65" s="115">
        <f t="shared" si="20"/>
        <v>311.65301043094047</v>
      </c>
      <c r="G65" s="115">
        <f t="shared" si="21"/>
        <v>300.84700332368391</v>
      </c>
      <c r="H65" s="115">
        <f t="shared" si="22"/>
        <v>330.15725625280817</v>
      </c>
      <c r="I65" s="115">
        <f t="shared" si="23"/>
        <v>156.81804355761045</v>
      </c>
      <c r="J65" s="115">
        <f t="shared" si="24"/>
        <v>240.69057735027067</v>
      </c>
      <c r="K65" s="115">
        <f t="shared" si="25"/>
        <v>153.48345835874017</v>
      </c>
      <c r="L65" s="115">
        <f t="shared" si="26"/>
        <v>168.43731676782403</v>
      </c>
      <c r="M65" s="115">
        <f t="shared" si="27"/>
        <v>158.9936678896911</v>
      </c>
      <c r="N65" s="115">
        <f t="shared" si="28"/>
        <v>128.41243654822335</v>
      </c>
      <c r="O65" s="115">
        <f t="shared" si="29"/>
        <v>151.71883320513581</v>
      </c>
      <c r="P65" s="115">
        <f t="shared" si="30"/>
        <v>96.535033068149147</v>
      </c>
      <c r="Q65" s="120"/>
      <c r="R65" s="121">
        <v>101.104</v>
      </c>
      <c r="S65" s="115">
        <v>99.474000000000004</v>
      </c>
      <c r="T65" s="119">
        <v>100.57299999999999</v>
      </c>
      <c r="U65" s="119">
        <v>103.70099999999999</v>
      </c>
      <c r="V65" s="121">
        <v>111.444</v>
      </c>
      <c r="W65" s="121">
        <v>112.24</v>
      </c>
      <c r="X65" s="121">
        <v>110.223</v>
      </c>
      <c r="Y65" s="119">
        <v>103.111</v>
      </c>
      <c r="Z65" s="115">
        <v>111.601</v>
      </c>
      <c r="AA65" s="121">
        <v>108.235</v>
      </c>
      <c r="AB65" s="121">
        <v>106.289</v>
      </c>
      <c r="AC65" s="121">
        <v>107.467</v>
      </c>
      <c r="AD65" s="115">
        <v>101.18899999999999</v>
      </c>
      <c r="AE65" s="115">
        <v>102.568</v>
      </c>
      <c r="AF65" s="121">
        <v>100.715</v>
      </c>
    </row>
    <row r="66" spans="1:32">
      <c r="A66" s="66">
        <v>2010</v>
      </c>
      <c r="B66" s="115">
        <f t="shared" si="16"/>
        <v>121.82296791341346</v>
      </c>
      <c r="C66" s="115">
        <f t="shared" si="17"/>
        <v>95.269264810294032</v>
      </c>
      <c r="D66" s="115">
        <f t="shared" si="18"/>
        <v>116.05851209266484</v>
      </c>
      <c r="E66" s="115">
        <f t="shared" si="19"/>
        <v>187.54560060485775</v>
      </c>
      <c r="F66" s="115">
        <f t="shared" si="20"/>
        <v>299.49383372018235</v>
      </c>
      <c r="G66" s="115">
        <f t="shared" si="21"/>
        <v>283.12158250241237</v>
      </c>
      <c r="H66" s="115">
        <f t="shared" si="22"/>
        <v>327.53931406320203</v>
      </c>
      <c r="I66" s="115">
        <f t="shared" si="23"/>
        <v>161.59356369388004</v>
      </c>
      <c r="J66" s="115">
        <f t="shared" si="24"/>
        <v>243.94720383031037</v>
      </c>
      <c r="K66" s="115">
        <f t="shared" si="25"/>
        <v>150.96215204412994</v>
      </c>
      <c r="L66" s="115">
        <f t="shared" si="26"/>
        <v>174.64621333375592</v>
      </c>
      <c r="M66" s="115">
        <f t="shared" si="27"/>
        <v>159.68901645165107</v>
      </c>
      <c r="N66" s="115">
        <f t="shared" si="28"/>
        <v>130.64593908629442</v>
      </c>
      <c r="O66" s="115">
        <f t="shared" si="29"/>
        <v>153.95094964794981</v>
      </c>
      <c r="P66" s="115">
        <f t="shared" si="30"/>
        <v>94.535608166395107</v>
      </c>
      <c r="Q66" s="120"/>
      <c r="R66" s="121">
        <v>95.334999999999994</v>
      </c>
      <c r="S66" s="115">
        <v>97.953000000000003</v>
      </c>
      <c r="T66" s="119">
        <v>93.382999999999996</v>
      </c>
      <c r="U66" s="119">
        <v>99.221000000000004</v>
      </c>
      <c r="V66" s="121">
        <v>107.096</v>
      </c>
      <c r="W66" s="121">
        <v>105.627</v>
      </c>
      <c r="X66" s="121">
        <v>109.349</v>
      </c>
      <c r="Y66" s="119">
        <v>106.251</v>
      </c>
      <c r="Z66" s="115">
        <v>113.111</v>
      </c>
      <c r="AA66" s="121">
        <v>106.45699999999999</v>
      </c>
      <c r="AB66" s="121">
        <v>110.20699999999999</v>
      </c>
      <c r="AC66" s="121">
        <v>107.937</v>
      </c>
      <c r="AD66" s="115">
        <v>102.949</v>
      </c>
      <c r="AE66" s="115">
        <v>104.077</v>
      </c>
      <c r="AF66" s="121">
        <v>98.629000000000005</v>
      </c>
    </row>
    <row r="67" spans="1:32">
      <c r="A67" s="66">
        <v>2011</v>
      </c>
      <c r="B67" s="115">
        <f t="shared" si="16"/>
        <v>120.4032866069489</v>
      </c>
      <c r="C67" s="115">
        <f t="shared" si="17"/>
        <v>96.315784354727327</v>
      </c>
      <c r="D67" s="115">
        <f t="shared" si="18"/>
        <v>115.96654321294524</v>
      </c>
      <c r="E67" s="115">
        <f t="shared" si="19"/>
        <v>193.09706076930345</v>
      </c>
      <c r="F67" s="115">
        <f t="shared" si="20"/>
        <v>313.04287032635142</v>
      </c>
      <c r="G67" s="115">
        <f t="shared" si="21"/>
        <v>288.5413316178836</v>
      </c>
      <c r="H67" s="115">
        <f t="shared" si="22"/>
        <v>355.02471169686987</v>
      </c>
      <c r="I67" s="115">
        <f t="shared" si="23"/>
        <v>166.51052439469524</v>
      </c>
      <c r="J67" s="115">
        <f t="shared" si="24"/>
        <v>248.81488990014452</v>
      </c>
      <c r="K67" s="115">
        <f t="shared" si="25"/>
        <v>149.42781378068321</v>
      </c>
      <c r="L67" s="115">
        <f t="shared" si="26"/>
        <v>183.85972140785699</v>
      </c>
      <c r="M67" s="115">
        <f t="shared" si="27"/>
        <v>162.11533909338382</v>
      </c>
      <c r="N67" s="115">
        <f t="shared" si="28"/>
        <v>131.08883248730965</v>
      </c>
      <c r="O67" s="115">
        <f t="shared" si="29"/>
        <v>160.37512573220519</v>
      </c>
      <c r="P67" s="115">
        <f t="shared" si="30"/>
        <v>92.173871369692336</v>
      </c>
      <c r="Q67" s="120"/>
      <c r="R67" s="122">
        <v>94.224000000000004</v>
      </c>
      <c r="S67" s="115">
        <v>99.028999999999996</v>
      </c>
      <c r="T67" s="119">
        <v>93.308999999999997</v>
      </c>
      <c r="U67" s="119">
        <v>102.158</v>
      </c>
      <c r="V67" s="122">
        <v>111.941</v>
      </c>
      <c r="W67" s="122">
        <v>107.649</v>
      </c>
      <c r="X67" s="122">
        <v>118.52500000000001</v>
      </c>
      <c r="Y67" s="119">
        <v>109.48399999999999</v>
      </c>
      <c r="Z67" s="115">
        <v>115.36799999999999</v>
      </c>
      <c r="AA67" s="122">
        <v>105.375</v>
      </c>
      <c r="AB67" s="122">
        <v>116.021</v>
      </c>
      <c r="AC67" s="122">
        <v>109.577</v>
      </c>
      <c r="AD67" s="115">
        <v>103.298</v>
      </c>
      <c r="AE67" s="115">
        <v>108.42</v>
      </c>
      <c r="AF67" s="121">
        <v>96.165000000000006</v>
      </c>
    </row>
    <row r="68" spans="1:32">
      <c r="R68" s="109">
        <v>97.543000000000006</v>
      </c>
      <c r="S68" s="109">
        <v>99.724000000000004</v>
      </c>
      <c r="T68" s="109">
        <v>97.274000000000001</v>
      </c>
      <c r="U68" s="109">
        <v>107.529</v>
      </c>
      <c r="V68" s="109">
        <v>122.72799999999999</v>
      </c>
      <c r="W68" s="109">
        <v>116.709</v>
      </c>
      <c r="X68" s="109">
        <v>131.959</v>
      </c>
      <c r="Y68" s="109">
        <v>110.54300000000001</v>
      </c>
      <c r="Z68" s="109">
        <v>119.98</v>
      </c>
      <c r="AA68" s="109">
        <v>108.53700000000001</v>
      </c>
      <c r="AB68" s="109">
        <v>122.72</v>
      </c>
      <c r="AC68" s="109">
        <v>114.13500000000001</v>
      </c>
      <c r="AD68" s="109">
        <v>102.07</v>
      </c>
      <c r="AE68" s="109">
        <v>110.23699999999999</v>
      </c>
      <c r="AF68" s="109">
        <v>95.096000000000004</v>
      </c>
    </row>
    <row r="69" spans="1:32">
      <c r="A69" s="66" t="s">
        <v>23</v>
      </c>
      <c r="B69" s="66"/>
      <c r="R69" s="64"/>
    </row>
    <row r="70" spans="1:32">
      <c r="A70" s="64" t="s">
        <v>2145</v>
      </c>
      <c r="B70" s="65">
        <f>((B67/B43)^(1/24)-1)*100</f>
        <v>0.77665310797598863</v>
      </c>
      <c r="C70" s="65">
        <f t="shared" ref="C70:P70" si="31">((C67/C43)^(1/24)-1)*100</f>
        <v>-0.15628596470372846</v>
      </c>
      <c r="D70" s="65">
        <f t="shared" si="31"/>
        <v>0.61912345745507302</v>
      </c>
      <c r="E70" s="65">
        <f t="shared" si="31"/>
        <v>2.7796937512532871</v>
      </c>
      <c r="F70" s="65">
        <f t="shared" si="31"/>
        <v>4.869732216870859</v>
      </c>
      <c r="G70" s="65">
        <f t="shared" si="31"/>
        <v>4.5142081916250909</v>
      </c>
      <c r="H70" s="65">
        <f t="shared" si="31"/>
        <v>5.4210751179247119</v>
      </c>
      <c r="I70" s="65">
        <f t="shared" si="31"/>
        <v>2.1472636271269829</v>
      </c>
      <c r="J70" s="65">
        <f t="shared" si="31"/>
        <v>3.871128163785964</v>
      </c>
      <c r="K70" s="65">
        <f t="shared" si="31"/>
        <v>1.6875951773382969</v>
      </c>
      <c r="L70" s="65">
        <f t="shared" si="31"/>
        <v>2.5699809615406854</v>
      </c>
      <c r="M70" s="65">
        <f t="shared" si="31"/>
        <v>2.0334734360047513</v>
      </c>
      <c r="N70" s="65">
        <f t="shared" si="31"/>
        <v>1.1343227752660168</v>
      </c>
      <c r="O70" s="65">
        <f t="shared" si="31"/>
        <v>1.9876008084568575</v>
      </c>
      <c r="P70" s="65">
        <f t="shared" si="31"/>
        <v>-0.33898035312845964</v>
      </c>
      <c r="R70" s="65">
        <f t="shared" ref="R70:AF70" si="32">((R62/R43)^(1/19)-1)*100</f>
        <v>1.2987397485905161</v>
      </c>
      <c r="S70" s="65">
        <f t="shared" si="32"/>
        <v>-0.14610643946657564</v>
      </c>
      <c r="T70" s="65">
        <f t="shared" si="32"/>
        <v>1.1507026638923445</v>
      </c>
      <c r="U70" s="65">
        <f t="shared" si="32"/>
        <v>3.4076822958197139</v>
      </c>
      <c r="V70" s="65">
        <f t="shared" si="32"/>
        <v>5.5616168192662352</v>
      </c>
      <c r="W70" s="65">
        <f t="shared" si="32"/>
        <v>5.3262782622275351</v>
      </c>
      <c r="X70" s="65">
        <f t="shared" si="32"/>
        <v>5.943970015529243</v>
      </c>
      <c r="Y70" s="65">
        <f t="shared" si="32"/>
        <v>2.2312658966719523</v>
      </c>
      <c r="Z70" s="65">
        <f t="shared" si="32"/>
        <v>4.1281008404477681</v>
      </c>
      <c r="AA70" s="65">
        <f t="shared" si="32"/>
        <v>1.8553597663592658</v>
      </c>
      <c r="AB70" s="65">
        <f t="shared" si="32"/>
        <v>2.4527650482300434</v>
      </c>
      <c r="AC70" s="65">
        <f t="shared" si="32"/>
        <v>2.0828717902969807</v>
      </c>
      <c r="AD70" s="65">
        <f t="shared" si="32"/>
        <v>1.2618805681093415</v>
      </c>
      <c r="AE70" s="65">
        <f t="shared" si="32"/>
        <v>2.0819180181190111</v>
      </c>
      <c r="AF70" s="65">
        <f t="shared" si="32"/>
        <v>-0.22285009066991268</v>
      </c>
    </row>
    <row r="71" spans="1:32">
      <c r="A71" s="64" t="s">
        <v>873</v>
      </c>
      <c r="B71" s="65">
        <f>((B56/B43)^(1/13)-1)*100</f>
        <v>1.7917872899167131</v>
      </c>
      <c r="C71" s="65">
        <f t="shared" ref="C71:P71" si="33">((C56/C43)^(1/13)-1)*100</f>
        <v>9.9445288584298908E-3</v>
      </c>
      <c r="D71" s="65">
        <f t="shared" si="33"/>
        <v>1.8018528233655795</v>
      </c>
      <c r="E71" s="65">
        <f t="shared" si="33"/>
        <v>3.6128876356897877</v>
      </c>
      <c r="F71" s="65">
        <f t="shared" si="33"/>
        <v>5.8506385277994566</v>
      </c>
      <c r="G71" s="65">
        <f t="shared" si="33"/>
        <v>5.8075031798805687</v>
      </c>
      <c r="H71" s="65">
        <f t="shared" si="33"/>
        <v>5.9236596049053736</v>
      </c>
      <c r="I71" s="65">
        <f t="shared" si="33"/>
        <v>1.7789674555393598</v>
      </c>
      <c r="J71" s="65">
        <f t="shared" si="33"/>
        <v>3.9348408920172107</v>
      </c>
      <c r="K71" s="65">
        <f t="shared" si="33"/>
        <v>2.1181404328251441</v>
      </c>
      <c r="L71" s="65">
        <f t="shared" si="33"/>
        <v>2.2302810628368475</v>
      </c>
      <c r="M71" s="65">
        <f t="shared" si="33"/>
        <v>2.1596146131706684</v>
      </c>
      <c r="N71" s="65">
        <f t="shared" si="33"/>
        <v>1.0034861374900172</v>
      </c>
      <c r="O71" s="65">
        <f t="shared" si="33"/>
        <v>1.7890779001646262</v>
      </c>
      <c r="P71" s="65">
        <f t="shared" si="33"/>
        <v>-4.0576710184847542E-2</v>
      </c>
      <c r="R71" s="65">
        <f t="shared" ref="R71:AF71" si="34">((R56/R43)^(1/13)-1)*100</f>
        <v>1.7917872899167131</v>
      </c>
      <c r="S71" s="65">
        <f t="shared" si="34"/>
        <v>9.9445288584298908E-3</v>
      </c>
      <c r="T71" s="65">
        <f t="shared" si="34"/>
        <v>1.8018528233655795</v>
      </c>
      <c r="U71" s="65">
        <f t="shared" si="34"/>
        <v>3.6128876356897877</v>
      </c>
      <c r="V71" s="65">
        <f t="shared" si="34"/>
        <v>5.8506385277994566</v>
      </c>
      <c r="W71" s="65">
        <f t="shared" si="34"/>
        <v>5.8075031798805687</v>
      </c>
      <c r="X71" s="65">
        <f t="shared" si="34"/>
        <v>5.9236596049053736</v>
      </c>
      <c r="Y71" s="65">
        <f t="shared" si="34"/>
        <v>1.7789674555393598</v>
      </c>
      <c r="Z71" s="65">
        <f t="shared" si="34"/>
        <v>3.9348408920172107</v>
      </c>
      <c r="AA71" s="65">
        <f t="shared" si="34"/>
        <v>2.1181404328251441</v>
      </c>
      <c r="AB71" s="65">
        <f t="shared" si="34"/>
        <v>2.2302810628368475</v>
      </c>
      <c r="AC71" s="65">
        <f t="shared" si="34"/>
        <v>2.1596146131706684</v>
      </c>
      <c r="AD71" s="65">
        <f t="shared" si="34"/>
        <v>1.0034861374900172</v>
      </c>
      <c r="AE71" s="65">
        <f t="shared" si="34"/>
        <v>1.7890779001646262</v>
      </c>
      <c r="AF71" s="65">
        <f t="shared" si="34"/>
        <v>-4.0576710184847542E-2</v>
      </c>
    </row>
    <row r="72" spans="1:32">
      <c r="A72" s="64" t="s">
        <v>1782</v>
      </c>
      <c r="B72" s="65">
        <f>((B67/B56)^(1/11)-1)*100</f>
        <v>-0.41000694038196839</v>
      </c>
      <c r="C72" s="65">
        <f t="shared" ref="C72:P72" si="35">((C67/C56)^(1/11)-1)*100</f>
        <v>-0.35238400097702405</v>
      </c>
      <c r="D72" s="65">
        <f t="shared" si="35"/>
        <v>-0.76094457859253728</v>
      </c>
      <c r="E72" s="65">
        <f t="shared" si="35"/>
        <v>1.8036439403359639</v>
      </c>
      <c r="F72" s="65">
        <f t="shared" si="35"/>
        <v>3.7221919861047059</v>
      </c>
      <c r="G72" s="65">
        <f t="shared" si="35"/>
        <v>3.006134170542385</v>
      </c>
      <c r="H72" s="65">
        <f t="shared" si="35"/>
        <v>4.8301851769484871</v>
      </c>
      <c r="I72" s="65">
        <f t="shared" si="35"/>
        <v>2.5842413229858918</v>
      </c>
      <c r="J72" s="65">
        <f t="shared" si="35"/>
        <v>3.7958816548724572</v>
      </c>
      <c r="K72" s="65">
        <f t="shared" si="35"/>
        <v>1.1811086807896887</v>
      </c>
      <c r="L72" s="65">
        <f t="shared" si="35"/>
        <v>2.9729000642956693</v>
      </c>
      <c r="M72" s="65">
        <f t="shared" si="35"/>
        <v>1.8845982889622803</v>
      </c>
      <c r="N72" s="65">
        <f t="shared" si="35"/>
        <v>1.2891664149057069</v>
      </c>
      <c r="O72" s="65">
        <f t="shared" si="35"/>
        <v>2.2227180324118967</v>
      </c>
      <c r="P72" s="65">
        <f t="shared" si="35"/>
        <v>-0.69049093102520054</v>
      </c>
      <c r="R72" s="65">
        <f t="shared" ref="R72:AF72" si="36">((R62/R56)^(1/6)-1)*100</f>
        <v>0.23864738915264638</v>
      </c>
      <c r="S72" s="65">
        <f t="shared" si="36"/>
        <v>-0.48338205513075438</v>
      </c>
      <c r="T72" s="65">
        <f t="shared" si="36"/>
        <v>-0.24587022452594587</v>
      </c>
      <c r="U72" s="65">
        <f t="shared" si="36"/>
        <v>2.9644638617407404</v>
      </c>
      <c r="V72" s="65">
        <f t="shared" si="36"/>
        <v>4.9381075151279985</v>
      </c>
      <c r="W72" s="65">
        <f t="shared" si="36"/>
        <v>4.2911193411318216</v>
      </c>
      <c r="X72" s="65">
        <f t="shared" si="36"/>
        <v>5.9879892662852763</v>
      </c>
      <c r="Y72" s="65">
        <f t="shared" si="36"/>
        <v>3.2181531256650686</v>
      </c>
      <c r="Z72" s="65">
        <f t="shared" si="36"/>
        <v>4.5480644043126794</v>
      </c>
      <c r="AA72" s="65">
        <f t="shared" si="36"/>
        <v>1.2883191228881152</v>
      </c>
      <c r="AB72" s="65">
        <f t="shared" si="36"/>
        <v>2.9364761380690663</v>
      </c>
      <c r="AC72" s="65">
        <f t="shared" si="36"/>
        <v>1.9167933864504993</v>
      </c>
      <c r="AD72" s="65">
        <f t="shared" si="36"/>
        <v>1.8240051700691096</v>
      </c>
      <c r="AE72" s="65">
        <f t="shared" si="36"/>
        <v>2.7192983511714841</v>
      </c>
      <c r="AF72" s="65">
        <f t="shared" si="36"/>
        <v>-0.61663634067488093</v>
      </c>
    </row>
    <row r="74" spans="1:32">
      <c r="A74" s="64" t="s">
        <v>932</v>
      </c>
    </row>
  </sheetData>
  <pageMargins left="0.7" right="0.7" top="0.75" bottom="0.75" header="0.3" footer="0.3"/>
  <pageSetup scale="74" orientation="landscape" horizontalDpi="0" verticalDpi="0" r:id="rId1"/>
</worksheet>
</file>

<file path=xl/worksheets/sheet206.xml><?xml version="1.0" encoding="utf-8"?>
<worksheet xmlns="http://schemas.openxmlformats.org/spreadsheetml/2006/main" xmlns:r="http://schemas.openxmlformats.org/officeDocument/2006/relationships">
  <sheetPr codeName="Sheet200"/>
  <dimension ref="A1:U34"/>
  <sheetViews>
    <sheetView view="pageBreakPreview" zoomScale="60" zoomScaleNormal="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11" style="64" customWidth="1"/>
    <col min="2" max="2" width="11.42578125" style="64" customWidth="1"/>
    <col min="3" max="3" width="14.85546875" style="64" customWidth="1"/>
    <col min="4" max="6" width="13.7109375" style="64" customWidth="1"/>
    <col min="7" max="7" width="17.5703125" style="64" customWidth="1"/>
    <col min="8" max="8" width="13.7109375" style="64" customWidth="1"/>
    <col min="9" max="9" width="16.140625" style="64" customWidth="1"/>
    <col min="10" max="11" width="13.7109375" style="64" customWidth="1"/>
    <col min="12" max="13" width="15.28515625" style="64" customWidth="1"/>
    <col min="14" max="14" width="16.7109375" style="64" customWidth="1"/>
    <col min="15" max="17" width="15.28515625" style="64" customWidth="1"/>
    <col min="18" max="18" width="16.28515625" style="64" customWidth="1"/>
    <col min="19" max="20" width="15.28515625" style="64" customWidth="1"/>
    <col min="21" max="16384" width="9.140625" style="64"/>
  </cols>
  <sheetData>
    <row r="1" spans="1:21">
      <c r="A1" s="66" t="s">
        <v>2054</v>
      </c>
    </row>
    <row r="2" spans="1:21" s="117" customFormat="1" ht="90">
      <c r="B2" s="72" t="s">
        <v>875</v>
      </c>
      <c r="C2" s="72" t="s">
        <v>876</v>
      </c>
      <c r="D2" s="72" t="s">
        <v>877</v>
      </c>
      <c r="E2" s="72" t="s">
        <v>878</v>
      </c>
      <c r="F2" s="72" t="s">
        <v>879</v>
      </c>
      <c r="G2" s="72" t="s">
        <v>880</v>
      </c>
      <c r="H2" s="72" t="s">
        <v>881</v>
      </c>
      <c r="I2" s="72" t="s">
        <v>882</v>
      </c>
      <c r="J2" s="72" t="s">
        <v>883</v>
      </c>
      <c r="K2" s="72" t="s">
        <v>884</v>
      </c>
      <c r="L2" s="72" t="s">
        <v>885</v>
      </c>
      <c r="M2" s="72" t="s">
        <v>886</v>
      </c>
      <c r="N2" s="72" t="s">
        <v>887</v>
      </c>
      <c r="O2" s="72" t="s">
        <v>888</v>
      </c>
      <c r="P2" s="72" t="s">
        <v>889</v>
      </c>
      <c r="Q2" s="72" t="s">
        <v>888</v>
      </c>
      <c r="R2" s="72" t="s">
        <v>887</v>
      </c>
      <c r="S2" s="72" t="s">
        <v>884</v>
      </c>
      <c r="T2" s="72" t="s">
        <v>885</v>
      </c>
    </row>
    <row r="3" spans="1:21" s="117" customFormat="1">
      <c r="B3" s="97" t="s">
        <v>874</v>
      </c>
      <c r="C3" s="97"/>
      <c r="D3" s="97"/>
      <c r="E3" s="97"/>
      <c r="F3" s="97"/>
      <c r="G3" s="97"/>
      <c r="H3" s="97" t="s">
        <v>2051</v>
      </c>
      <c r="I3" s="97"/>
      <c r="J3" s="97"/>
      <c r="K3" s="97"/>
      <c r="L3" s="97"/>
      <c r="M3" s="97"/>
      <c r="N3" s="97"/>
      <c r="O3" s="97"/>
      <c r="P3" s="97"/>
      <c r="Q3" s="97" t="s">
        <v>899</v>
      </c>
      <c r="R3" s="97"/>
      <c r="S3" s="97"/>
      <c r="T3" s="97"/>
    </row>
    <row r="4" spans="1:21">
      <c r="A4" s="66">
        <v>1987</v>
      </c>
      <c r="B4" s="29">
        <v>49.627000000000002</v>
      </c>
      <c r="C4" s="29">
        <v>6.13</v>
      </c>
      <c r="D4" s="29">
        <v>13.147</v>
      </c>
      <c r="E4" s="29">
        <v>1.399</v>
      </c>
      <c r="F4" s="29">
        <v>25.530999999999999</v>
      </c>
      <c r="G4" s="29">
        <v>3.4209999999999998</v>
      </c>
      <c r="H4" s="31">
        <v>75.564999999999998</v>
      </c>
      <c r="I4" s="31">
        <v>41.271999999999998</v>
      </c>
      <c r="J4" s="31">
        <v>79.906999999999996</v>
      </c>
      <c r="K4" s="31">
        <v>87.241</v>
      </c>
      <c r="L4" s="31">
        <v>105.79</v>
      </c>
      <c r="M4" s="118">
        <v>78.667000000000002</v>
      </c>
      <c r="N4" s="118">
        <v>101.577</v>
      </c>
      <c r="O4" s="31">
        <v>91.593000000000004</v>
      </c>
      <c r="P4" s="31">
        <v>75.534000000000006</v>
      </c>
      <c r="Q4" s="31">
        <f t="shared" ref="Q4:Q6" si="0">O4/O$4*100</f>
        <v>100</v>
      </c>
      <c r="R4" s="31">
        <f>N4/N$4*100</f>
        <v>100</v>
      </c>
      <c r="S4" s="31">
        <f>K4/K$4*100</f>
        <v>100</v>
      </c>
      <c r="T4" s="31">
        <f>L4/L$4*100</f>
        <v>100</v>
      </c>
      <c r="U4" s="118"/>
    </row>
    <row r="5" spans="1:21">
      <c r="A5" s="66">
        <v>1988</v>
      </c>
      <c r="B5" s="29">
        <v>51.08</v>
      </c>
      <c r="C5" s="29">
        <v>5.18</v>
      </c>
      <c r="D5" s="29">
        <v>14.103</v>
      </c>
      <c r="E5" s="29">
        <v>1.47</v>
      </c>
      <c r="F5" s="29">
        <v>26.716000000000001</v>
      </c>
      <c r="G5" s="29">
        <v>3.6110000000000002</v>
      </c>
      <c r="H5" s="31">
        <v>72.87</v>
      </c>
      <c r="I5" s="31">
        <v>40.142000000000003</v>
      </c>
      <c r="J5" s="31">
        <v>79.927999999999997</v>
      </c>
      <c r="K5" s="31">
        <v>86.085999999999999</v>
      </c>
      <c r="L5" s="31">
        <v>107.79300000000001</v>
      </c>
      <c r="M5" s="118">
        <v>77.441999999999993</v>
      </c>
      <c r="N5" s="118">
        <v>103.21</v>
      </c>
      <c r="O5" s="31">
        <v>92.846999999999994</v>
      </c>
      <c r="P5" s="31">
        <v>74.150000000000006</v>
      </c>
      <c r="Q5" s="31">
        <f t="shared" si="0"/>
        <v>101.36910025875339</v>
      </c>
      <c r="R5" s="31">
        <f t="shared" ref="R5:R6" si="1">N5/N$4*100</f>
        <v>101.60764740049419</v>
      </c>
      <c r="S5" s="31">
        <f t="shared" ref="S5:S6" si="2">K5/K$4*100</f>
        <v>98.676081200353039</v>
      </c>
      <c r="T5" s="31">
        <f t="shared" ref="T5:T6" si="3">L5/L$4*100</f>
        <v>101.89337366480764</v>
      </c>
      <c r="U5" s="118"/>
    </row>
    <row r="6" spans="1:21">
      <c r="A6" s="66">
        <v>1989</v>
      </c>
      <c r="B6" s="29">
        <v>52.707000000000001</v>
      </c>
      <c r="C6" s="29">
        <v>5.7539999999999996</v>
      </c>
      <c r="D6" s="29">
        <v>14.292999999999999</v>
      </c>
      <c r="E6" s="29">
        <v>1.4750000000000001</v>
      </c>
      <c r="F6" s="29">
        <v>27.439</v>
      </c>
      <c r="G6" s="29">
        <v>3.7469999999999999</v>
      </c>
      <c r="H6" s="31">
        <v>69.085999999999999</v>
      </c>
      <c r="I6" s="31">
        <v>43.387999999999998</v>
      </c>
      <c r="J6" s="31">
        <v>78.646000000000001</v>
      </c>
      <c r="K6" s="31">
        <v>85.055000000000007</v>
      </c>
      <c r="L6" s="31">
        <v>106.34699999999999</v>
      </c>
      <c r="M6" s="118">
        <v>75.31</v>
      </c>
      <c r="N6" s="118">
        <v>104.43</v>
      </c>
      <c r="O6" s="31">
        <v>92.463999999999999</v>
      </c>
      <c r="P6" s="31">
        <v>73.951999999999998</v>
      </c>
      <c r="Q6" s="31">
        <f t="shared" si="0"/>
        <v>100.95094603299377</v>
      </c>
      <c r="R6" s="31">
        <f t="shared" si="1"/>
        <v>102.80870669541333</v>
      </c>
      <c r="S6" s="31">
        <f t="shared" si="2"/>
        <v>97.494297406036154</v>
      </c>
      <c r="T6" s="31">
        <f t="shared" si="3"/>
        <v>100.52651479345873</v>
      </c>
      <c r="U6" s="118"/>
    </row>
    <row r="7" spans="1:21">
      <c r="A7" s="66">
        <v>1990</v>
      </c>
      <c r="B7" s="29">
        <v>52.384</v>
      </c>
      <c r="C7" s="29">
        <v>5.0979999999999999</v>
      </c>
      <c r="D7" s="29">
        <v>13.749000000000001</v>
      </c>
      <c r="E7" s="29">
        <v>1.506</v>
      </c>
      <c r="F7" s="29">
        <v>28.206</v>
      </c>
      <c r="G7" s="29">
        <v>3.8250000000000002</v>
      </c>
      <c r="H7" s="31">
        <v>67.971000000000004</v>
      </c>
      <c r="I7" s="31">
        <v>43.162999999999997</v>
      </c>
      <c r="J7" s="31">
        <v>77.457999999999998</v>
      </c>
      <c r="K7" s="31">
        <v>85.084000000000003</v>
      </c>
      <c r="L7" s="31">
        <v>102.544</v>
      </c>
      <c r="M7" s="118">
        <v>73.924000000000007</v>
      </c>
      <c r="N7" s="118">
        <v>104.78</v>
      </c>
      <c r="O7" s="31">
        <v>91.037000000000006</v>
      </c>
      <c r="P7" s="31">
        <v>75.536000000000001</v>
      </c>
      <c r="Q7" s="31">
        <f t="shared" ref="Q7:Q27" si="4">O7/O$4*100</f>
        <v>99.392966711429921</v>
      </c>
      <c r="R7" s="31">
        <f t="shared" ref="R7:R27" si="5">N7/N$4*100</f>
        <v>103.15327288657865</v>
      </c>
      <c r="S7" s="31">
        <f t="shared" ref="S7:S27" si="6">K7/K$4*100</f>
        <v>97.527538657282705</v>
      </c>
      <c r="T7" s="31">
        <f t="shared" ref="T7:T27" si="7">L7/L$4*100</f>
        <v>96.931657056432556</v>
      </c>
      <c r="U7" s="118"/>
    </row>
    <row r="8" spans="1:21">
      <c r="A8" s="66">
        <v>1991</v>
      </c>
      <c r="B8" s="29">
        <v>49.767000000000003</v>
      </c>
      <c r="C8" s="29">
        <v>4.7750000000000004</v>
      </c>
      <c r="D8" s="29">
        <v>13.247999999999999</v>
      </c>
      <c r="E8" s="29">
        <v>1.4870000000000001</v>
      </c>
      <c r="F8" s="29">
        <v>26.581</v>
      </c>
      <c r="G8" s="29">
        <v>3.6760000000000002</v>
      </c>
      <c r="H8" s="31">
        <v>62.423000000000002</v>
      </c>
      <c r="I8" s="31">
        <v>41.463000000000001</v>
      </c>
      <c r="J8" s="31">
        <v>72.182000000000002</v>
      </c>
      <c r="K8" s="31">
        <v>84.486000000000004</v>
      </c>
      <c r="L8" s="31">
        <v>92.808000000000007</v>
      </c>
      <c r="M8" s="118">
        <v>68.539000000000001</v>
      </c>
      <c r="N8" s="118">
        <v>105.31399999999999</v>
      </c>
      <c r="O8" s="31">
        <v>85.436000000000007</v>
      </c>
      <c r="P8" s="31">
        <v>77.775000000000006</v>
      </c>
      <c r="Q8" s="31">
        <f t="shared" si="4"/>
        <v>93.27787057962945</v>
      </c>
      <c r="R8" s="31">
        <f t="shared" si="5"/>
        <v>103.67898244681375</v>
      </c>
      <c r="S8" s="31">
        <f t="shared" si="6"/>
        <v>96.842081131578055</v>
      </c>
      <c r="T8" s="31">
        <f t="shared" si="7"/>
        <v>87.728518763588241</v>
      </c>
      <c r="U8" s="118"/>
    </row>
    <row r="9" spans="1:21">
      <c r="A9" s="66">
        <v>1992</v>
      </c>
      <c r="B9" s="29">
        <v>57.118000000000002</v>
      </c>
      <c r="C9" s="29">
        <v>5.04</v>
      </c>
      <c r="D9" s="29">
        <v>14.148</v>
      </c>
      <c r="E9" s="29">
        <v>1.554</v>
      </c>
      <c r="F9" s="29">
        <v>31.731999999999999</v>
      </c>
      <c r="G9" s="29">
        <v>4.6440000000000001</v>
      </c>
      <c r="H9" s="31">
        <v>69.328999999999994</v>
      </c>
      <c r="I9" s="31">
        <v>47.887</v>
      </c>
      <c r="J9" s="31">
        <v>75.671000000000006</v>
      </c>
      <c r="K9" s="31">
        <v>83.673000000000002</v>
      </c>
      <c r="L9" s="31">
        <v>96.343000000000004</v>
      </c>
      <c r="M9" s="118">
        <v>73.881</v>
      </c>
      <c r="N9" s="118">
        <v>102.422</v>
      </c>
      <c r="O9" s="31">
        <v>90.436000000000007</v>
      </c>
      <c r="P9" s="31">
        <v>78.543000000000006</v>
      </c>
      <c r="Q9" s="31">
        <f t="shared" si="4"/>
        <v>98.736803030799308</v>
      </c>
      <c r="R9" s="31">
        <f t="shared" si="5"/>
        <v>100.83188123295628</v>
      </c>
      <c r="S9" s="31">
        <f t="shared" si="6"/>
        <v>95.910179846631749</v>
      </c>
      <c r="T9" s="31">
        <f t="shared" si="7"/>
        <v>91.070044427639658</v>
      </c>
      <c r="U9" s="118"/>
    </row>
    <row r="10" spans="1:21">
      <c r="A10" s="66">
        <v>1993</v>
      </c>
      <c r="B10" s="29">
        <v>66.817999999999998</v>
      </c>
      <c r="C10" s="29">
        <v>5.8470000000000004</v>
      </c>
      <c r="D10" s="29">
        <v>15.260999999999999</v>
      </c>
      <c r="E10" s="29">
        <v>1.712</v>
      </c>
      <c r="F10" s="29">
        <v>37.124000000000002</v>
      </c>
      <c r="G10" s="29">
        <v>6.875</v>
      </c>
      <c r="H10" s="31">
        <v>72.641999999999996</v>
      </c>
      <c r="I10" s="31">
        <v>68.712000000000003</v>
      </c>
      <c r="J10" s="31">
        <v>76.95</v>
      </c>
      <c r="K10" s="31">
        <v>83.477000000000004</v>
      </c>
      <c r="L10" s="31">
        <v>102.35899999999999</v>
      </c>
      <c r="M10" s="118">
        <v>79.721000000000004</v>
      </c>
      <c r="N10" s="118">
        <v>96.525000000000006</v>
      </c>
      <c r="O10" s="31">
        <v>92.180999999999997</v>
      </c>
      <c r="P10" s="31">
        <v>75.177000000000007</v>
      </c>
      <c r="Q10" s="31">
        <f t="shared" si="4"/>
        <v>100.64197045625755</v>
      </c>
      <c r="R10" s="31">
        <f t="shared" si="5"/>
        <v>95.026433149236539</v>
      </c>
      <c r="S10" s="31">
        <f t="shared" si="6"/>
        <v>95.685514838206814</v>
      </c>
      <c r="T10" s="31">
        <f t="shared" si="7"/>
        <v>96.756782304565633</v>
      </c>
      <c r="U10" s="118"/>
    </row>
    <row r="11" spans="1:21">
      <c r="A11" s="66">
        <v>1994</v>
      </c>
      <c r="B11" s="29">
        <v>73.850999999999999</v>
      </c>
      <c r="C11" s="29">
        <v>6.8040000000000003</v>
      </c>
      <c r="D11" s="29">
        <v>16.733000000000001</v>
      </c>
      <c r="E11" s="29">
        <v>1.7889999999999999</v>
      </c>
      <c r="F11" s="29">
        <v>41.003</v>
      </c>
      <c r="G11" s="29">
        <v>7.524</v>
      </c>
      <c r="H11" s="31">
        <v>78.679000000000002</v>
      </c>
      <c r="I11" s="31">
        <v>70.516000000000005</v>
      </c>
      <c r="J11" s="31">
        <v>81.796000000000006</v>
      </c>
      <c r="K11" s="31">
        <v>84.763000000000005</v>
      </c>
      <c r="L11" s="31">
        <v>109.663</v>
      </c>
      <c r="M11" s="118">
        <v>85.123000000000005</v>
      </c>
      <c r="N11" s="118">
        <v>96.091999999999999</v>
      </c>
      <c r="O11" s="31">
        <v>96.498999999999995</v>
      </c>
      <c r="P11" s="31">
        <v>74.587999999999994</v>
      </c>
      <c r="Q11" s="31">
        <f t="shared" si="4"/>
        <v>105.35630452108784</v>
      </c>
      <c r="R11" s="31">
        <f t="shared" si="5"/>
        <v>94.600155547023448</v>
      </c>
      <c r="S11" s="31">
        <f t="shared" si="6"/>
        <v>97.159592393484715</v>
      </c>
      <c r="T11" s="31">
        <f t="shared" si="7"/>
        <v>103.66102656205689</v>
      </c>
      <c r="U11" s="118"/>
    </row>
    <row r="12" spans="1:21">
      <c r="A12" s="66">
        <v>1995</v>
      </c>
      <c r="B12" s="29">
        <v>75.058000000000007</v>
      </c>
      <c r="C12" s="29">
        <v>7.3650000000000002</v>
      </c>
      <c r="D12" s="29">
        <v>17.12</v>
      </c>
      <c r="E12" s="29">
        <v>1.7749999999999999</v>
      </c>
      <c r="F12" s="29">
        <v>41.326000000000001</v>
      </c>
      <c r="G12" s="29">
        <v>7.4720000000000004</v>
      </c>
      <c r="H12" s="31">
        <v>79.620999999999995</v>
      </c>
      <c r="I12" s="31">
        <v>67.391999999999996</v>
      </c>
      <c r="J12" s="31">
        <v>83.831000000000003</v>
      </c>
      <c r="K12" s="31">
        <v>87.608999999999995</v>
      </c>
      <c r="L12" s="31">
        <v>108.726</v>
      </c>
      <c r="M12" s="118">
        <v>85.507000000000005</v>
      </c>
      <c r="N12" s="118">
        <v>98.04</v>
      </c>
      <c r="O12" s="31">
        <v>95.686999999999998</v>
      </c>
      <c r="P12" s="31">
        <v>77.102999999999994</v>
      </c>
      <c r="Q12" s="31">
        <f t="shared" si="4"/>
        <v>104.46977389101787</v>
      </c>
      <c r="R12" s="31">
        <f t="shared" si="5"/>
        <v>96.517912519566437</v>
      </c>
      <c r="S12" s="31">
        <f t="shared" si="6"/>
        <v>100.42182001581826</v>
      </c>
      <c r="T12" s="31">
        <f t="shared" si="7"/>
        <v>102.77530957557424</v>
      </c>
      <c r="U12" s="118"/>
    </row>
    <row r="13" spans="1:21">
      <c r="A13" s="66">
        <v>1996</v>
      </c>
      <c r="B13" s="29">
        <v>77.247</v>
      </c>
      <c r="C13" s="29">
        <v>6.2089999999999996</v>
      </c>
      <c r="D13" s="29">
        <v>17.998000000000001</v>
      </c>
      <c r="E13" s="29">
        <v>1.8959999999999999</v>
      </c>
      <c r="F13" s="29">
        <v>43.387</v>
      </c>
      <c r="G13" s="29">
        <v>7.7569999999999997</v>
      </c>
      <c r="H13" s="31">
        <v>85.018000000000001</v>
      </c>
      <c r="I13" s="31">
        <v>68.822999999999993</v>
      </c>
      <c r="J13" s="31">
        <v>86.768000000000001</v>
      </c>
      <c r="K13" s="31">
        <v>91.004999999999995</v>
      </c>
      <c r="L13" s="31">
        <v>113.276</v>
      </c>
      <c r="M13" s="118">
        <v>89.95</v>
      </c>
      <c r="N13" s="118">
        <v>96.462000000000003</v>
      </c>
      <c r="O13" s="31">
        <v>95.343999999999994</v>
      </c>
      <c r="P13" s="31">
        <v>76.599000000000004</v>
      </c>
      <c r="Q13" s="31">
        <f t="shared" si="4"/>
        <v>104.09529112486761</v>
      </c>
      <c r="R13" s="31">
        <f t="shared" si="5"/>
        <v>94.964411234826784</v>
      </c>
      <c r="S13" s="31">
        <f t="shared" si="6"/>
        <v>104.31448516179319</v>
      </c>
      <c r="T13" s="31">
        <f t="shared" si="7"/>
        <v>107.07628320257112</v>
      </c>
      <c r="U13" s="118"/>
    </row>
    <row r="14" spans="1:21">
      <c r="A14" s="66">
        <v>1997</v>
      </c>
      <c r="B14" s="29">
        <v>82.513000000000005</v>
      </c>
      <c r="C14" s="29">
        <v>6.6470000000000002</v>
      </c>
      <c r="D14" s="29">
        <v>19.41</v>
      </c>
      <c r="E14" s="29">
        <v>1.7490000000000001</v>
      </c>
      <c r="F14" s="29">
        <v>46.287999999999997</v>
      </c>
      <c r="G14" s="29">
        <v>8.4190000000000005</v>
      </c>
      <c r="H14" s="31">
        <v>88.052999999999997</v>
      </c>
      <c r="I14" s="31">
        <v>72.623999999999995</v>
      </c>
      <c r="J14" s="31">
        <v>89.37</v>
      </c>
      <c r="K14" s="31">
        <v>93.75</v>
      </c>
      <c r="L14" s="31">
        <v>113.795</v>
      </c>
      <c r="M14" s="118">
        <v>92.317999999999998</v>
      </c>
      <c r="N14" s="118">
        <v>96.807000000000002</v>
      </c>
      <c r="O14" s="31">
        <v>95.328000000000003</v>
      </c>
      <c r="P14" s="31">
        <v>78.537000000000006</v>
      </c>
      <c r="Q14" s="31">
        <f t="shared" si="4"/>
        <v>104.07782254102386</v>
      </c>
      <c r="R14" s="31">
        <f t="shared" si="5"/>
        <v>95.304055051832606</v>
      </c>
      <c r="S14" s="31">
        <f t="shared" si="6"/>
        <v>107.46094152978532</v>
      </c>
      <c r="T14" s="31">
        <f t="shared" si="7"/>
        <v>107.56687777672747</v>
      </c>
      <c r="U14" s="118"/>
    </row>
    <row r="15" spans="1:21">
      <c r="A15" s="66">
        <v>1998</v>
      </c>
      <c r="B15" s="29">
        <v>84.631</v>
      </c>
      <c r="C15" s="29">
        <v>6.03</v>
      </c>
      <c r="D15" s="29">
        <v>20.372</v>
      </c>
      <c r="E15" s="29">
        <v>1.647</v>
      </c>
      <c r="F15" s="29">
        <v>47.713999999999999</v>
      </c>
      <c r="G15" s="29">
        <v>8.8680000000000003</v>
      </c>
      <c r="H15" s="31">
        <v>95.364000000000004</v>
      </c>
      <c r="I15" s="31">
        <v>75.283000000000001</v>
      </c>
      <c r="J15" s="31">
        <v>93.006</v>
      </c>
      <c r="K15" s="31">
        <v>95.933999999999997</v>
      </c>
      <c r="L15" s="31">
        <v>118.027</v>
      </c>
      <c r="M15" s="118">
        <v>97.921999999999997</v>
      </c>
      <c r="N15" s="118">
        <v>94.98</v>
      </c>
      <c r="O15" s="31">
        <v>96.948999999999998</v>
      </c>
      <c r="P15" s="31">
        <v>78.801000000000002</v>
      </c>
      <c r="Q15" s="31">
        <f t="shared" si="4"/>
        <v>105.84760844169314</v>
      </c>
      <c r="R15" s="31">
        <f t="shared" si="5"/>
        <v>93.50541953394962</v>
      </c>
      <c r="S15" s="31">
        <f t="shared" si="6"/>
        <v>109.96435162366318</v>
      </c>
      <c r="T15" s="31">
        <f t="shared" si="7"/>
        <v>111.56725588429907</v>
      </c>
      <c r="U15" s="118"/>
    </row>
    <row r="16" spans="1:21">
      <c r="A16" s="66">
        <v>1999</v>
      </c>
      <c r="B16" s="29">
        <v>90.54</v>
      </c>
      <c r="C16" s="29">
        <v>7.3630000000000004</v>
      </c>
      <c r="D16" s="29">
        <v>21.690999999999999</v>
      </c>
      <c r="E16" s="29">
        <v>2.0760000000000001</v>
      </c>
      <c r="F16" s="29">
        <v>50.338999999999999</v>
      </c>
      <c r="G16" s="29">
        <v>9.07</v>
      </c>
      <c r="H16" s="31">
        <v>99.007000000000005</v>
      </c>
      <c r="I16" s="31">
        <v>74.918000000000006</v>
      </c>
      <c r="J16" s="31">
        <v>96.191999999999993</v>
      </c>
      <c r="K16" s="31">
        <v>98.225999999999999</v>
      </c>
      <c r="L16" s="31">
        <v>119.045</v>
      </c>
      <c r="M16" s="118">
        <v>100.83499999999999</v>
      </c>
      <c r="N16" s="118">
        <v>95.394999999999996</v>
      </c>
      <c r="O16" s="31">
        <v>97.929000000000002</v>
      </c>
      <c r="P16" s="31">
        <v>80.802999999999997</v>
      </c>
      <c r="Q16" s="31">
        <f t="shared" si="4"/>
        <v>106.91755920212242</v>
      </c>
      <c r="R16" s="31">
        <f t="shared" si="5"/>
        <v>93.913976589188493</v>
      </c>
      <c r="S16" s="31">
        <f t="shared" si="6"/>
        <v>112.59155672218337</v>
      </c>
      <c r="T16" s="31">
        <f t="shared" si="7"/>
        <v>112.52953965403157</v>
      </c>
      <c r="U16" s="118"/>
    </row>
    <row r="17" spans="1:21">
      <c r="A17" s="66">
        <v>2000</v>
      </c>
      <c r="B17" s="29">
        <v>86.787999999999997</v>
      </c>
      <c r="C17" s="29">
        <v>5.524</v>
      </c>
      <c r="D17" s="29">
        <v>21.725999999999999</v>
      </c>
      <c r="E17" s="29">
        <v>2.8959999999999999</v>
      </c>
      <c r="F17" s="29">
        <v>45.927</v>
      </c>
      <c r="G17" s="29">
        <v>10.715999999999999</v>
      </c>
      <c r="H17" s="31">
        <v>92.256</v>
      </c>
      <c r="I17" s="31">
        <v>85.977000000000004</v>
      </c>
      <c r="J17" s="31">
        <v>94.585999999999999</v>
      </c>
      <c r="K17" s="31">
        <v>100.896</v>
      </c>
      <c r="L17" s="31">
        <v>112.367</v>
      </c>
      <c r="M17" s="118">
        <v>98.013999999999996</v>
      </c>
      <c r="N17" s="118">
        <v>96.503</v>
      </c>
      <c r="O17" s="31">
        <v>93.745999999999995</v>
      </c>
      <c r="P17" s="31">
        <v>84.176000000000002</v>
      </c>
      <c r="Q17" s="31">
        <f t="shared" si="4"/>
        <v>102.35061631347374</v>
      </c>
      <c r="R17" s="31">
        <f t="shared" si="5"/>
        <v>95.004774702934725</v>
      </c>
      <c r="S17" s="31">
        <f t="shared" si="6"/>
        <v>115.65204433695166</v>
      </c>
      <c r="T17" s="31">
        <f t="shared" si="7"/>
        <v>106.21703374610077</v>
      </c>
      <c r="U17" s="118"/>
    </row>
    <row r="18" spans="1:21">
      <c r="A18" s="66">
        <v>2001</v>
      </c>
      <c r="B18" s="29">
        <v>80.200999999999993</v>
      </c>
      <c r="C18" s="29">
        <v>5.3949999999999996</v>
      </c>
      <c r="D18" s="29">
        <v>20.992000000000001</v>
      </c>
      <c r="E18" s="29">
        <v>3.0329999999999999</v>
      </c>
      <c r="F18" s="29">
        <v>40.799999999999997</v>
      </c>
      <c r="G18" s="29">
        <v>9.98</v>
      </c>
      <c r="H18" s="31">
        <v>84.819000000000003</v>
      </c>
      <c r="I18" s="31">
        <v>79.177999999999997</v>
      </c>
      <c r="J18" s="31">
        <v>88.676000000000002</v>
      </c>
      <c r="K18" s="31">
        <v>101.471</v>
      </c>
      <c r="L18" s="31">
        <v>103.988</v>
      </c>
      <c r="M18" s="118">
        <v>91.013999999999996</v>
      </c>
      <c r="N18" s="118">
        <v>97.432000000000002</v>
      </c>
      <c r="O18" s="31">
        <v>87.391000000000005</v>
      </c>
      <c r="P18" s="31">
        <v>85.275999999999996</v>
      </c>
      <c r="Q18" s="31">
        <f t="shared" si="4"/>
        <v>95.41231316803686</v>
      </c>
      <c r="R18" s="31">
        <f t="shared" si="5"/>
        <v>95.919351821770675</v>
      </c>
      <c r="S18" s="31">
        <f t="shared" si="6"/>
        <v>116.31113811166769</v>
      </c>
      <c r="T18" s="31">
        <f t="shared" si="7"/>
        <v>98.296625389923435</v>
      </c>
      <c r="U18" s="118"/>
    </row>
    <row r="19" spans="1:21">
      <c r="A19" s="66">
        <v>2002</v>
      </c>
      <c r="B19" s="29">
        <v>82.203999999999994</v>
      </c>
      <c r="C19" s="29">
        <v>5.234</v>
      </c>
      <c r="D19" s="29">
        <v>21.109000000000002</v>
      </c>
      <c r="E19" s="29">
        <v>2.202</v>
      </c>
      <c r="F19" s="29">
        <v>41.975999999999999</v>
      </c>
      <c r="G19" s="29">
        <v>11.682</v>
      </c>
      <c r="H19" s="31">
        <v>86.909000000000006</v>
      </c>
      <c r="I19" s="31">
        <v>90.674000000000007</v>
      </c>
      <c r="J19" s="31">
        <v>91.498999999999995</v>
      </c>
      <c r="K19" s="31">
        <v>100.91800000000001</v>
      </c>
      <c r="L19" s="31">
        <v>98.066999999999993</v>
      </c>
      <c r="M19" s="118">
        <v>91.561999999999998</v>
      </c>
      <c r="N19" s="118">
        <v>99.93</v>
      </c>
      <c r="O19" s="31">
        <v>90.665999999999997</v>
      </c>
      <c r="P19" s="31">
        <v>93.302000000000007</v>
      </c>
      <c r="Q19" s="31">
        <f t="shared" si="4"/>
        <v>98.987913923553108</v>
      </c>
      <c r="R19" s="31">
        <f t="shared" si="5"/>
        <v>98.378569951859191</v>
      </c>
      <c r="S19" s="31">
        <f t="shared" si="6"/>
        <v>115.67726183789733</v>
      </c>
      <c r="T19" s="31">
        <f t="shared" si="7"/>
        <v>92.699688061253411</v>
      </c>
      <c r="U19" s="118"/>
    </row>
    <row r="20" spans="1:21">
      <c r="A20" s="66">
        <v>2003</v>
      </c>
      <c r="B20" s="29">
        <v>84.676000000000002</v>
      </c>
      <c r="C20" s="29">
        <v>5.8280000000000003</v>
      </c>
      <c r="D20" s="29">
        <v>21.442</v>
      </c>
      <c r="E20" s="29">
        <v>2.403</v>
      </c>
      <c r="F20" s="29">
        <v>42.572000000000003</v>
      </c>
      <c r="G20" s="29">
        <v>12.43</v>
      </c>
      <c r="H20" s="31">
        <v>86.210999999999999</v>
      </c>
      <c r="I20" s="31">
        <v>94.156999999999996</v>
      </c>
      <c r="J20" s="31">
        <v>91.346999999999994</v>
      </c>
      <c r="K20" s="31">
        <v>99.453000000000003</v>
      </c>
      <c r="L20" s="31">
        <v>95.56</v>
      </c>
      <c r="M20" s="118">
        <v>90.912999999999997</v>
      </c>
      <c r="N20" s="118">
        <v>100.477</v>
      </c>
      <c r="O20" s="31">
        <v>91.849000000000004</v>
      </c>
      <c r="P20" s="31">
        <v>95.590999999999994</v>
      </c>
      <c r="Q20" s="31">
        <f t="shared" si="4"/>
        <v>100.2794973414999</v>
      </c>
      <c r="R20" s="31">
        <f t="shared" si="5"/>
        <v>98.917077684908989</v>
      </c>
      <c r="S20" s="31">
        <f t="shared" si="6"/>
        <v>113.9980055249252</v>
      </c>
      <c r="T20" s="31">
        <f t="shared" si="7"/>
        <v>90.329898856224588</v>
      </c>
      <c r="U20" s="118"/>
    </row>
    <row r="21" spans="1:21">
      <c r="A21" s="66">
        <v>2004</v>
      </c>
      <c r="B21" s="29">
        <v>96.480999999999995</v>
      </c>
      <c r="C21" s="29">
        <v>7.6159999999999997</v>
      </c>
      <c r="D21" s="29">
        <v>22.997</v>
      </c>
      <c r="E21" s="29">
        <v>2.4220000000000002</v>
      </c>
      <c r="F21" s="29">
        <v>50.406999999999996</v>
      </c>
      <c r="G21" s="29">
        <v>13.04</v>
      </c>
      <c r="H21" s="31">
        <v>92.528999999999996</v>
      </c>
      <c r="I21" s="31">
        <v>95.352000000000004</v>
      </c>
      <c r="J21" s="31">
        <v>93.721000000000004</v>
      </c>
      <c r="K21" s="31">
        <v>99.188999999999993</v>
      </c>
      <c r="L21" s="31">
        <v>98.647000000000006</v>
      </c>
      <c r="M21" s="118">
        <v>94.978999999999999</v>
      </c>
      <c r="N21" s="118">
        <v>98.676000000000002</v>
      </c>
      <c r="O21" s="31">
        <v>94.488</v>
      </c>
      <c r="P21" s="31">
        <v>95.007000000000005</v>
      </c>
      <c r="Q21" s="31">
        <f t="shared" si="4"/>
        <v>103.16072188922733</v>
      </c>
      <c r="R21" s="31">
        <f t="shared" si="5"/>
        <v>97.144038512655428</v>
      </c>
      <c r="S21" s="31">
        <f t="shared" si="6"/>
        <v>113.69539551357732</v>
      </c>
      <c r="T21" s="31">
        <f t="shared" si="7"/>
        <v>93.247944040079403</v>
      </c>
      <c r="U21" s="118"/>
    </row>
    <row r="22" spans="1:21">
      <c r="A22" s="66">
        <v>2005</v>
      </c>
      <c r="B22" s="29">
        <v>104.06100000000001</v>
      </c>
      <c r="C22" s="29">
        <v>7.3010000000000002</v>
      </c>
      <c r="D22" s="29">
        <v>24.64</v>
      </c>
      <c r="E22" s="29">
        <v>2.8410000000000002</v>
      </c>
      <c r="F22" s="29">
        <v>55.139000000000003</v>
      </c>
      <c r="G22" s="29">
        <v>14.138999999999999</v>
      </c>
      <c r="H22" s="31">
        <v>100</v>
      </c>
      <c r="I22" s="31">
        <v>100</v>
      </c>
      <c r="J22" s="31">
        <v>100</v>
      </c>
      <c r="K22" s="31">
        <v>100</v>
      </c>
      <c r="L22" s="31">
        <v>100</v>
      </c>
      <c r="M22" s="118">
        <v>100</v>
      </c>
      <c r="N22" s="118">
        <v>100</v>
      </c>
      <c r="O22" s="31">
        <v>100</v>
      </c>
      <c r="P22" s="31">
        <v>100</v>
      </c>
      <c r="Q22" s="31">
        <f t="shared" si="4"/>
        <v>109.17864902339699</v>
      </c>
      <c r="R22" s="31">
        <f t="shared" si="5"/>
        <v>98.447483190092242</v>
      </c>
      <c r="S22" s="31">
        <f t="shared" si="6"/>
        <v>114.62500429843767</v>
      </c>
      <c r="T22" s="31">
        <f t="shared" si="7"/>
        <v>94.526892901030337</v>
      </c>
      <c r="U22" s="118"/>
    </row>
    <row r="23" spans="1:21">
      <c r="A23" s="66">
        <v>2006</v>
      </c>
      <c r="B23" s="29">
        <v>104.038</v>
      </c>
      <c r="C23" s="29">
        <v>4.524</v>
      </c>
      <c r="D23" s="29">
        <v>24.567</v>
      </c>
      <c r="E23" s="29">
        <v>2.9910000000000001</v>
      </c>
      <c r="F23" s="29">
        <v>55.554000000000002</v>
      </c>
      <c r="G23" s="29">
        <v>16.402000000000001</v>
      </c>
      <c r="H23" s="31">
        <v>100.33199999999999</v>
      </c>
      <c r="I23" s="31">
        <v>111.834</v>
      </c>
      <c r="J23" s="31">
        <v>100.86199999999999</v>
      </c>
      <c r="K23" s="31">
        <v>101.904</v>
      </c>
      <c r="L23" s="31">
        <v>98.147999999999996</v>
      </c>
      <c r="M23" s="118">
        <v>101.441</v>
      </c>
      <c r="N23" s="118">
        <v>99.429000000000002</v>
      </c>
      <c r="O23" s="31">
        <v>98.977000000000004</v>
      </c>
      <c r="P23" s="31">
        <v>102.765</v>
      </c>
      <c r="Q23" s="31">
        <f t="shared" si="4"/>
        <v>108.06175144388763</v>
      </c>
      <c r="R23" s="31">
        <f t="shared" si="5"/>
        <v>97.885348061076826</v>
      </c>
      <c r="S23" s="31">
        <f t="shared" si="6"/>
        <v>116.80746438027991</v>
      </c>
      <c r="T23" s="31">
        <f t="shared" si="7"/>
        <v>92.776254844503242</v>
      </c>
      <c r="U23" s="118"/>
    </row>
    <row r="24" spans="1:21">
      <c r="A24" s="66">
        <v>2007</v>
      </c>
      <c r="B24" s="29">
        <v>94.453000000000003</v>
      </c>
      <c r="C24" s="29">
        <v>3.456</v>
      </c>
      <c r="D24" s="29">
        <v>23.824999999999999</v>
      </c>
      <c r="E24" s="29">
        <v>3.044</v>
      </c>
      <c r="F24" s="29">
        <v>48.85</v>
      </c>
      <c r="G24" s="29">
        <v>15.279</v>
      </c>
      <c r="H24" s="31">
        <v>86.866</v>
      </c>
      <c r="I24" s="31">
        <v>100.913</v>
      </c>
      <c r="J24" s="31">
        <v>93.947999999999993</v>
      </c>
      <c r="K24" s="31">
        <v>103.366</v>
      </c>
      <c r="L24" s="31">
        <v>91.543999999999997</v>
      </c>
      <c r="M24" s="118">
        <v>90.956999999999994</v>
      </c>
      <c r="N24" s="118">
        <v>103.288</v>
      </c>
      <c r="O24" s="31">
        <v>90.888999999999996</v>
      </c>
      <c r="P24" s="31">
        <v>102.627</v>
      </c>
      <c r="Q24" s="31">
        <f t="shared" si="4"/>
        <v>99.231382310875276</v>
      </c>
      <c r="R24" s="31">
        <f t="shared" si="5"/>
        <v>101.68443643738247</v>
      </c>
      <c r="S24" s="31">
        <f t="shared" si="6"/>
        <v>118.48328194312307</v>
      </c>
      <c r="T24" s="31">
        <f t="shared" si="7"/>
        <v>86.533698837319207</v>
      </c>
      <c r="U24" s="118"/>
    </row>
    <row r="25" spans="1:21">
      <c r="A25" s="66">
        <v>2008</v>
      </c>
      <c r="B25" s="29">
        <v>81.004000000000005</v>
      </c>
      <c r="C25" s="29">
        <v>2.2229999999999999</v>
      </c>
      <c r="D25" s="29">
        <v>21.44</v>
      </c>
      <c r="E25" s="29">
        <v>3.1320000000000001</v>
      </c>
      <c r="F25" s="29">
        <v>41.613999999999997</v>
      </c>
      <c r="G25" s="29">
        <v>12.595000000000001</v>
      </c>
      <c r="H25" s="31">
        <v>73.120999999999995</v>
      </c>
      <c r="I25" s="31">
        <v>81.542000000000002</v>
      </c>
      <c r="J25" s="31">
        <v>80.643000000000001</v>
      </c>
      <c r="K25" s="31">
        <v>102.339</v>
      </c>
      <c r="L25" s="31">
        <v>80.162999999999997</v>
      </c>
      <c r="M25" s="118">
        <v>77.483999999999995</v>
      </c>
      <c r="N25" s="118">
        <v>104.07599999999999</v>
      </c>
      <c r="O25" s="31">
        <v>78.8</v>
      </c>
      <c r="P25" s="31">
        <v>100.599</v>
      </c>
      <c r="Q25" s="31">
        <f t="shared" si="4"/>
        <v>86.032775430436814</v>
      </c>
      <c r="R25" s="31">
        <f t="shared" si="5"/>
        <v>102.4602026049204</v>
      </c>
      <c r="S25" s="31">
        <f t="shared" si="6"/>
        <v>117.30608314897812</v>
      </c>
      <c r="T25" s="31">
        <f t="shared" si="7"/>
        <v>75.775593156252953</v>
      </c>
      <c r="U25" s="118"/>
    </row>
    <row r="26" spans="1:21">
      <c r="A26" s="66">
        <v>2009</v>
      </c>
      <c r="B26" s="29">
        <v>58.631</v>
      </c>
      <c r="C26" s="29">
        <v>2.0699999999999998</v>
      </c>
      <c r="D26" s="29">
        <v>17.266999999999999</v>
      </c>
      <c r="E26" s="29">
        <v>1.968</v>
      </c>
      <c r="F26" s="29">
        <v>26.338000000000001</v>
      </c>
      <c r="G26" s="29">
        <v>10.986000000000001</v>
      </c>
      <c r="H26" s="31">
        <v>49.878999999999998</v>
      </c>
      <c r="I26" s="31">
        <v>72.524000000000001</v>
      </c>
      <c r="J26" s="31">
        <v>60.988999999999997</v>
      </c>
      <c r="K26" s="31">
        <v>100.13800000000001</v>
      </c>
      <c r="L26" s="31">
        <v>62.058999999999997</v>
      </c>
      <c r="M26" s="118">
        <v>58.182000000000002</v>
      </c>
      <c r="N26" s="118">
        <v>104.824</v>
      </c>
      <c r="O26" s="31">
        <v>60.905000000000001</v>
      </c>
      <c r="P26" s="31">
        <v>98.275000000000006</v>
      </c>
      <c r="Q26" s="31">
        <f t="shared" si="4"/>
        <v>66.495256187699937</v>
      </c>
      <c r="R26" s="31">
        <f t="shared" si="5"/>
        <v>103.19658977918229</v>
      </c>
      <c r="S26" s="31">
        <f t="shared" si="6"/>
        <v>114.78318680436952</v>
      </c>
      <c r="T26" s="31">
        <f t="shared" si="7"/>
        <v>58.662444465450413</v>
      </c>
      <c r="U26" s="118"/>
    </row>
    <row r="27" spans="1:21">
      <c r="A27" s="66">
        <v>2010</v>
      </c>
      <c r="B27" s="29">
        <v>64.834999999999994</v>
      </c>
      <c r="C27" s="29">
        <v>4.0810000000000004</v>
      </c>
      <c r="D27" s="29">
        <v>18.917000000000002</v>
      </c>
      <c r="E27" s="29">
        <v>2.073</v>
      </c>
      <c r="F27" s="29">
        <v>29.712</v>
      </c>
      <c r="G27" s="29">
        <v>10.052</v>
      </c>
      <c r="H27" s="31">
        <v>50.265999999999998</v>
      </c>
      <c r="I27" s="31">
        <v>62.396000000000001</v>
      </c>
      <c r="J27" s="31">
        <v>64.808999999999997</v>
      </c>
      <c r="K27" s="31">
        <v>95.010999999999996</v>
      </c>
      <c r="L27" s="31">
        <v>61.040999999999997</v>
      </c>
      <c r="M27" s="118">
        <v>56.375999999999998</v>
      </c>
      <c r="N27" s="118">
        <v>114.95699999999999</v>
      </c>
      <c r="O27" s="31">
        <v>68.212000000000003</v>
      </c>
      <c r="P27" s="31">
        <v>106.173</v>
      </c>
      <c r="Q27" s="31">
        <f t="shared" si="4"/>
        <v>74.47294007183956</v>
      </c>
      <c r="R27" s="31">
        <f t="shared" si="5"/>
        <v>113.17227325083434</v>
      </c>
      <c r="S27" s="31">
        <f t="shared" si="6"/>
        <v>108.9063628339886</v>
      </c>
      <c r="T27" s="31">
        <f t="shared" si="7"/>
        <v>57.700160695717926</v>
      </c>
      <c r="U27" s="118"/>
    </row>
    <row r="28" spans="1:21">
      <c r="A28" s="66"/>
      <c r="B28" s="29"/>
      <c r="C28" s="29"/>
      <c r="D28" s="29"/>
      <c r="E28" s="29"/>
      <c r="F28" s="29"/>
      <c r="G28" s="29"/>
      <c r="H28" s="31"/>
      <c r="I28" s="31"/>
      <c r="J28" s="31"/>
      <c r="K28" s="31"/>
      <c r="L28" s="31"/>
      <c r="M28" s="31"/>
      <c r="N28" s="31"/>
      <c r="O28" s="31"/>
      <c r="P28" s="31"/>
      <c r="Q28" s="31"/>
      <c r="R28" s="31"/>
      <c r="S28" s="31"/>
      <c r="T28" s="31"/>
    </row>
    <row r="29" spans="1:21">
      <c r="A29" s="66" t="s">
        <v>23</v>
      </c>
    </row>
    <row r="30" spans="1:21">
      <c r="A30" s="64" t="s">
        <v>2149</v>
      </c>
      <c r="B30" s="65">
        <f>((B27/B4)^(1/23)-1)*100</f>
        <v>1.168999755872524</v>
      </c>
      <c r="C30" s="65">
        <f t="shared" ref="C30:T30" si="8">((C27/C4)^(1/23)-1)*100</f>
        <v>-1.7533711262109897</v>
      </c>
      <c r="D30" s="65">
        <f t="shared" si="8"/>
        <v>1.5946125262021438</v>
      </c>
      <c r="E30" s="65">
        <f t="shared" si="8"/>
        <v>1.7244350124186125</v>
      </c>
      <c r="F30" s="65">
        <f t="shared" si="8"/>
        <v>0.66155959101663608</v>
      </c>
      <c r="G30" s="65">
        <f t="shared" si="8"/>
        <v>4.797795751167766</v>
      </c>
      <c r="H30" s="65">
        <f t="shared" si="8"/>
        <v>-1.7568379548310031</v>
      </c>
      <c r="I30" s="65">
        <f t="shared" si="8"/>
        <v>1.8132735929425658</v>
      </c>
      <c r="J30" s="65">
        <f t="shared" si="8"/>
        <v>-0.90638462999506064</v>
      </c>
      <c r="K30" s="65">
        <f t="shared" si="8"/>
        <v>0.37163786937979282</v>
      </c>
      <c r="L30" s="65">
        <f t="shared" si="8"/>
        <v>-2.3625581209046786</v>
      </c>
      <c r="M30" s="65">
        <f t="shared" si="8"/>
        <v>-1.4381677737629217</v>
      </c>
      <c r="N30" s="65">
        <f t="shared" si="8"/>
        <v>0.53945425058903318</v>
      </c>
      <c r="O30" s="65">
        <f t="shared" si="8"/>
        <v>-1.2732780249991915</v>
      </c>
      <c r="P30" s="65">
        <f t="shared" si="8"/>
        <v>1.4913899252745111</v>
      </c>
      <c r="Q30" s="65">
        <f t="shared" si="8"/>
        <v>-1.2732780249991915</v>
      </c>
      <c r="R30" s="65">
        <f t="shared" si="8"/>
        <v>0.53945425058903318</v>
      </c>
      <c r="S30" s="65">
        <f t="shared" si="8"/>
        <v>0.37163786937979282</v>
      </c>
      <c r="T30" s="65">
        <f t="shared" si="8"/>
        <v>-2.3625581209046786</v>
      </c>
    </row>
    <row r="31" spans="1:21">
      <c r="A31" s="64" t="s">
        <v>873</v>
      </c>
      <c r="B31" s="65">
        <f>((B17/B4)^(1/13)-1)*100</f>
        <v>4.393254049073092</v>
      </c>
      <c r="C31" s="65">
        <f t="shared" ref="C31:T31" si="9">((C17/C4)^(1/13)-1)*100</f>
        <v>-0.79751449253918638</v>
      </c>
      <c r="D31" s="65">
        <f t="shared" si="9"/>
        <v>3.939592216983101</v>
      </c>
      <c r="E31" s="65">
        <f t="shared" si="9"/>
        <v>5.756292829930687</v>
      </c>
      <c r="F31" s="65">
        <f t="shared" si="9"/>
        <v>4.6201658141441282</v>
      </c>
      <c r="G31" s="65">
        <f t="shared" si="9"/>
        <v>9.1803763435638341</v>
      </c>
      <c r="H31" s="65">
        <f t="shared" si="9"/>
        <v>1.5470299554025901</v>
      </c>
      <c r="I31" s="65">
        <f t="shared" si="9"/>
        <v>5.8077414251542558</v>
      </c>
      <c r="J31" s="65">
        <f t="shared" si="9"/>
        <v>1.3057281833134704</v>
      </c>
      <c r="K31" s="65">
        <f t="shared" si="9"/>
        <v>1.1248632276413373</v>
      </c>
      <c r="L31" s="65">
        <f t="shared" si="9"/>
        <v>0.46503412037799396</v>
      </c>
      <c r="M31" s="65">
        <f t="shared" si="9"/>
        <v>1.7058209278241421</v>
      </c>
      <c r="N31" s="65">
        <f t="shared" si="9"/>
        <v>-0.39340133851472059</v>
      </c>
      <c r="O31" s="65">
        <f t="shared" si="9"/>
        <v>0.17888402020160843</v>
      </c>
      <c r="P31" s="65">
        <f t="shared" si="9"/>
        <v>0.8367657769210668</v>
      </c>
      <c r="Q31" s="65">
        <f t="shared" si="9"/>
        <v>0.17888402020160843</v>
      </c>
      <c r="R31" s="65">
        <f t="shared" si="9"/>
        <v>-0.39340133851472059</v>
      </c>
      <c r="S31" s="65">
        <f t="shared" si="9"/>
        <v>1.1248632276413373</v>
      </c>
      <c r="T31" s="65">
        <f t="shared" si="9"/>
        <v>0.46503412037799396</v>
      </c>
    </row>
    <row r="32" spans="1:21">
      <c r="A32" s="64" t="s">
        <v>2116</v>
      </c>
      <c r="B32" s="65">
        <f>((B27/B17)^(1/10)-1)*100</f>
        <v>-2.8741162483926108</v>
      </c>
      <c r="C32" s="65">
        <f t="shared" ref="C32:T32" si="10">((C27/C17)^(1/10)-1)*100</f>
        <v>-2.9822289837972971</v>
      </c>
      <c r="D32" s="65">
        <f t="shared" si="10"/>
        <v>-1.3749471676335889</v>
      </c>
      <c r="E32" s="65">
        <f t="shared" si="10"/>
        <v>-3.2880646053915386</v>
      </c>
      <c r="F32" s="65">
        <f t="shared" si="10"/>
        <v>-4.2615524552702784</v>
      </c>
      <c r="G32" s="65">
        <f t="shared" si="10"/>
        <v>-0.63762182940352297</v>
      </c>
      <c r="H32" s="65">
        <f t="shared" si="10"/>
        <v>-5.8916908221364084</v>
      </c>
      <c r="I32" s="65">
        <f t="shared" si="10"/>
        <v>-3.1549458726227053</v>
      </c>
      <c r="J32" s="65">
        <f t="shared" si="10"/>
        <v>-3.710075526001777</v>
      </c>
      <c r="K32" s="65">
        <f t="shared" si="10"/>
        <v>-0.59917384078136404</v>
      </c>
      <c r="L32" s="65">
        <f t="shared" si="10"/>
        <v>-5.9197884338498596</v>
      </c>
      <c r="M32" s="65">
        <f t="shared" si="10"/>
        <v>-5.3805074621129716</v>
      </c>
      <c r="N32" s="65">
        <f t="shared" si="10"/>
        <v>1.7652398938148295</v>
      </c>
      <c r="O32" s="65">
        <f t="shared" si="10"/>
        <v>-3.1296645320700089</v>
      </c>
      <c r="P32" s="65">
        <f t="shared" si="10"/>
        <v>2.3487588399382364</v>
      </c>
      <c r="Q32" s="65">
        <f t="shared" si="10"/>
        <v>-3.1296645320700089</v>
      </c>
      <c r="R32" s="65">
        <f t="shared" si="10"/>
        <v>1.7652398938148295</v>
      </c>
      <c r="S32" s="65">
        <f t="shared" si="10"/>
        <v>-0.59917384078136404</v>
      </c>
      <c r="T32" s="65">
        <f t="shared" si="10"/>
        <v>-5.9197884338498596</v>
      </c>
    </row>
    <row r="34" spans="1:1">
      <c r="A34" s="64" t="s">
        <v>890</v>
      </c>
    </row>
  </sheetData>
  <mergeCells count="3">
    <mergeCell ref="B3:G3"/>
    <mergeCell ref="H3:P3"/>
    <mergeCell ref="Q3:T3"/>
  </mergeCells>
  <pageMargins left="0.7" right="0.7" top="0.75" bottom="0.75" header="0.3" footer="0.3"/>
  <pageSetup scale="41" orientation="landscape" horizontalDpi="0" verticalDpi="0" r:id="rId1"/>
</worksheet>
</file>

<file path=xl/worksheets/sheet207.xml><?xml version="1.0" encoding="utf-8"?>
<worksheet xmlns="http://schemas.openxmlformats.org/spreadsheetml/2006/main" xmlns:r="http://schemas.openxmlformats.org/officeDocument/2006/relationships">
  <sheetPr codeName="Sheet201"/>
  <dimension ref="A1:U34"/>
  <sheetViews>
    <sheetView view="pageBreakPreview" zoomScale="60" zoomScaleNormal="5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9.140625" style="64"/>
    <col min="2" max="2" width="15.85546875" style="64" customWidth="1"/>
    <col min="3" max="6" width="13.7109375" style="64" customWidth="1"/>
    <col min="7" max="7" width="16.140625" style="64" customWidth="1"/>
    <col min="8" max="9" width="13.7109375" style="64" customWidth="1"/>
    <col min="10" max="10" width="15.85546875" style="64" customWidth="1"/>
    <col min="11" max="12" width="13.7109375" style="64" customWidth="1"/>
    <col min="13" max="14" width="15.42578125" style="64" customWidth="1"/>
    <col min="15" max="20" width="13.7109375" style="64" customWidth="1"/>
    <col min="21" max="21" width="17.28515625" style="64" customWidth="1"/>
    <col min="22" max="22" width="14.7109375" style="64" customWidth="1"/>
    <col min="23" max="16384" width="9.140625" style="64"/>
  </cols>
  <sheetData>
    <row r="1" spans="1:21">
      <c r="A1" s="66" t="s">
        <v>2053</v>
      </c>
    </row>
    <row r="2" spans="1:21" ht="105">
      <c r="A2" s="117"/>
      <c r="B2" s="72" t="s">
        <v>875</v>
      </c>
      <c r="C2" s="72" t="s">
        <v>876</v>
      </c>
      <c r="D2" s="72" t="s">
        <v>877</v>
      </c>
      <c r="E2" s="72" t="s">
        <v>878</v>
      </c>
      <c r="F2" s="72" t="s">
        <v>879</v>
      </c>
      <c r="G2" s="72" t="s">
        <v>880</v>
      </c>
      <c r="H2" s="72" t="s">
        <v>124</v>
      </c>
      <c r="I2" s="72" t="s">
        <v>881</v>
      </c>
      <c r="J2" s="72" t="s">
        <v>882</v>
      </c>
      <c r="K2" s="72" t="s">
        <v>883</v>
      </c>
      <c r="L2" s="72" t="s">
        <v>884</v>
      </c>
      <c r="M2" s="72" t="s">
        <v>885</v>
      </c>
      <c r="N2" s="72" t="s">
        <v>886</v>
      </c>
      <c r="O2" s="72" t="s">
        <v>887</v>
      </c>
      <c r="P2" s="72" t="s">
        <v>888</v>
      </c>
      <c r="Q2" s="72" t="s">
        <v>889</v>
      </c>
      <c r="R2" s="72" t="s">
        <v>888</v>
      </c>
      <c r="S2" s="72" t="s">
        <v>887</v>
      </c>
      <c r="T2" s="72" t="s">
        <v>884</v>
      </c>
      <c r="U2" s="72" t="s">
        <v>885</v>
      </c>
    </row>
    <row r="3" spans="1:21">
      <c r="A3" s="117"/>
      <c r="B3" s="97" t="s">
        <v>1051</v>
      </c>
      <c r="C3" s="97"/>
      <c r="D3" s="97"/>
      <c r="E3" s="97"/>
      <c r="F3" s="97"/>
      <c r="G3" s="97"/>
      <c r="H3" s="97" t="s">
        <v>2052</v>
      </c>
      <c r="I3" s="97"/>
      <c r="J3" s="97"/>
      <c r="K3" s="97"/>
      <c r="L3" s="97"/>
      <c r="M3" s="97"/>
      <c r="N3" s="97"/>
      <c r="O3" s="97"/>
      <c r="P3" s="97"/>
      <c r="Q3" s="97"/>
      <c r="R3" s="97" t="s">
        <v>1052</v>
      </c>
      <c r="S3" s="97"/>
      <c r="T3" s="97"/>
      <c r="U3" s="97"/>
    </row>
    <row r="4" spans="1:21">
      <c r="A4" s="66">
        <v>1987</v>
      </c>
      <c r="B4" s="29">
        <v>95.844999999999999</v>
      </c>
      <c r="C4" s="29">
        <v>14.846</v>
      </c>
      <c r="D4" s="29">
        <v>23.736000000000001</v>
      </c>
      <c r="E4" s="29">
        <v>4.3179999999999996</v>
      </c>
      <c r="F4" s="29">
        <v>44.542999999999999</v>
      </c>
      <c r="G4" s="29">
        <v>8.4019999999999992</v>
      </c>
      <c r="H4" s="29">
        <v>68.287000000000006</v>
      </c>
      <c r="I4" s="31">
        <v>91.9</v>
      </c>
      <c r="J4" s="31">
        <v>77.334000000000003</v>
      </c>
      <c r="K4" s="31">
        <v>91.629000000000005</v>
      </c>
      <c r="L4" s="31">
        <v>87.165999999999997</v>
      </c>
      <c r="M4" s="31">
        <v>134.256</v>
      </c>
      <c r="N4" s="31">
        <v>96.268000000000001</v>
      </c>
      <c r="O4" s="31">
        <v>95.180999999999997</v>
      </c>
      <c r="P4" s="31">
        <v>105.12</v>
      </c>
      <c r="Q4" s="31">
        <v>68.248999999999995</v>
      </c>
      <c r="R4" s="31">
        <f t="shared" ref="R4:R23" si="0">P4/P$4*100</f>
        <v>100</v>
      </c>
      <c r="S4" s="31">
        <f>O4/O$4*100</f>
        <v>100</v>
      </c>
      <c r="T4" s="31">
        <f>L4/L$4*100</f>
        <v>100</v>
      </c>
      <c r="U4" s="31">
        <f>M4/M$4*100</f>
        <v>100</v>
      </c>
    </row>
    <row r="5" spans="1:21">
      <c r="A5" s="66">
        <v>1988</v>
      </c>
      <c r="B5" s="29">
        <v>108.184</v>
      </c>
      <c r="C5" s="29">
        <v>19.443999999999999</v>
      </c>
      <c r="D5" s="29">
        <v>25.234000000000002</v>
      </c>
      <c r="E5" s="29">
        <v>4.2050000000000001</v>
      </c>
      <c r="F5" s="29">
        <v>49.408999999999999</v>
      </c>
      <c r="G5" s="29">
        <v>9.8930000000000007</v>
      </c>
      <c r="H5" s="29">
        <v>69.599999999999994</v>
      </c>
      <c r="I5" s="31">
        <v>92.126999999999995</v>
      </c>
      <c r="J5" s="31">
        <v>88.795000000000002</v>
      </c>
      <c r="K5" s="31">
        <v>95.352999999999994</v>
      </c>
      <c r="L5" s="31">
        <v>88.908000000000001</v>
      </c>
      <c r="M5" s="31">
        <v>136.61199999999999</v>
      </c>
      <c r="N5" s="31">
        <v>98.39</v>
      </c>
      <c r="O5" s="31">
        <v>96.912999999999997</v>
      </c>
      <c r="P5" s="31">
        <v>107.248</v>
      </c>
      <c r="Q5" s="31">
        <v>69.798000000000002</v>
      </c>
      <c r="R5" s="31">
        <f t="shared" si="0"/>
        <v>102.02435312024353</v>
      </c>
      <c r="S5" s="31">
        <f t="shared" ref="S5:S23" si="1">O5/O$4*100</f>
        <v>101.81969090469735</v>
      </c>
      <c r="T5" s="31">
        <f t="shared" ref="T5:U23" si="2">L5/L$4*100</f>
        <v>101.9984856480738</v>
      </c>
      <c r="U5" s="31">
        <f t="shared" si="2"/>
        <v>101.7548563937552</v>
      </c>
    </row>
    <row r="6" spans="1:21">
      <c r="A6" s="66">
        <v>1989</v>
      </c>
      <c r="B6" s="29">
        <v>115.273</v>
      </c>
      <c r="C6" s="29">
        <v>20.616</v>
      </c>
      <c r="D6" s="29">
        <v>26.149000000000001</v>
      </c>
      <c r="E6" s="29">
        <v>4.4279999999999999</v>
      </c>
      <c r="F6" s="29">
        <v>52.918999999999997</v>
      </c>
      <c r="G6" s="29">
        <v>11.161</v>
      </c>
      <c r="H6" s="29">
        <v>71.221000000000004</v>
      </c>
      <c r="I6" s="31">
        <v>93.567999999999998</v>
      </c>
      <c r="J6" s="31">
        <v>99.123000000000005</v>
      </c>
      <c r="K6" s="31">
        <v>96.156999999999996</v>
      </c>
      <c r="L6" s="31">
        <v>92.275999999999996</v>
      </c>
      <c r="M6" s="31">
        <v>138.75700000000001</v>
      </c>
      <c r="N6" s="31">
        <v>101.245</v>
      </c>
      <c r="O6" s="31">
        <v>94.974000000000004</v>
      </c>
      <c r="P6" s="31">
        <v>104.206</v>
      </c>
      <c r="Q6" s="31">
        <v>69.299000000000007</v>
      </c>
      <c r="R6" s="31">
        <f t="shared" si="0"/>
        <v>99.130517503805166</v>
      </c>
      <c r="S6" s="31">
        <f t="shared" si="1"/>
        <v>99.782519620512502</v>
      </c>
      <c r="T6" s="31">
        <f t="shared" si="2"/>
        <v>105.86237753252415</v>
      </c>
      <c r="U6" s="31">
        <f t="shared" si="2"/>
        <v>103.35255035156716</v>
      </c>
    </row>
    <row r="7" spans="1:21">
      <c r="A7" s="66">
        <v>1990</v>
      </c>
      <c r="B7" s="29">
        <v>115.71599999999999</v>
      </c>
      <c r="C7" s="29">
        <v>19.353000000000002</v>
      </c>
      <c r="D7" s="29">
        <v>26.68</v>
      </c>
      <c r="E7" s="29">
        <v>4.6859999999999999</v>
      </c>
      <c r="F7" s="29">
        <v>53.41</v>
      </c>
      <c r="G7" s="29">
        <v>11.587</v>
      </c>
      <c r="H7" s="29">
        <v>75.625</v>
      </c>
      <c r="I7" s="31">
        <v>93.138000000000005</v>
      </c>
      <c r="J7" s="31">
        <v>99.424999999999997</v>
      </c>
      <c r="K7" s="31">
        <v>96.364999999999995</v>
      </c>
      <c r="L7" s="31">
        <v>96.444000000000003</v>
      </c>
      <c r="M7" s="31">
        <v>138.14699999999999</v>
      </c>
      <c r="N7" s="31">
        <v>101.97499999999999</v>
      </c>
      <c r="O7" s="31">
        <v>94.498000000000005</v>
      </c>
      <c r="P7" s="31">
        <v>99.918000000000006</v>
      </c>
      <c r="Q7" s="31">
        <v>69.754999999999995</v>
      </c>
      <c r="R7" s="31">
        <f t="shared" si="0"/>
        <v>95.051369863013704</v>
      </c>
      <c r="S7" s="31">
        <f t="shared" si="1"/>
        <v>99.282419810676501</v>
      </c>
      <c r="T7" s="31">
        <f t="shared" si="2"/>
        <v>110.64405846316225</v>
      </c>
      <c r="U7" s="31">
        <f t="shared" si="2"/>
        <v>102.89819449410082</v>
      </c>
    </row>
    <row r="8" spans="1:21">
      <c r="A8" s="66">
        <v>1991</v>
      </c>
      <c r="B8" s="29">
        <v>114.447</v>
      </c>
      <c r="C8" s="29">
        <v>18.004999999999999</v>
      </c>
      <c r="D8" s="29">
        <v>27.379000000000001</v>
      </c>
      <c r="E8" s="29">
        <v>4.5869999999999997</v>
      </c>
      <c r="F8" s="29">
        <v>52.613999999999997</v>
      </c>
      <c r="G8" s="29">
        <v>11.863</v>
      </c>
      <c r="H8" s="29">
        <v>76.176000000000002</v>
      </c>
      <c r="I8" s="31">
        <v>92.924999999999997</v>
      </c>
      <c r="J8" s="31">
        <v>100.05800000000001</v>
      </c>
      <c r="K8" s="31">
        <v>96.555000000000007</v>
      </c>
      <c r="L8" s="31">
        <v>100.13500000000001</v>
      </c>
      <c r="M8" s="31">
        <v>135.38499999999999</v>
      </c>
      <c r="N8" s="31">
        <v>102.101</v>
      </c>
      <c r="O8" s="31">
        <v>94.567999999999998</v>
      </c>
      <c r="P8" s="31">
        <v>96.424999999999997</v>
      </c>
      <c r="Q8" s="31">
        <v>71.319000000000003</v>
      </c>
      <c r="R8" s="31">
        <f t="shared" si="0"/>
        <v>91.728500761035008</v>
      </c>
      <c r="S8" s="31">
        <f t="shared" si="1"/>
        <v>99.355963900358262</v>
      </c>
      <c r="T8" s="31">
        <f t="shared" si="2"/>
        <v>114.87850767501091</v>
      </c>
      <c r="U8" s="31">
        <f t="shared" si="2"/>
        <v>100.8409307591467</v>
      </c>
    </row>
    <row r="9" spans="1:21">
      <c r="A9" s="66">
        <v>1992</v>
      </c>
      <c r="B9" s="29">
        <v>117.129</v>
      </c>
      <c r="C9" s="29">
        <v>17.219000000000001</v>
      </c>
      <c r="D9" s="29">
        <v>28.446999999999999</v>
      </c>
      <c r="E9" s="29">
        <v>4.726</v>
      </c>
      <c r="F9" s="29">
        <v>54.08</v>
      </c>
      <c r="G9" s="29">
        <v>12.657</v>
      </c>
      <c r="H9" s="29">
        <v>77.295000000000002</v>
      </c>
      <c r="I9" s="31">
        <v>95.744</v>
      </c>
      <c r="J9" s="31">
        <v>104.61199999999999</v>
      </c>
      <c r="K9" s="31">
        <v>99.046999999999997</v>
      </c>
      <c r="L9" s="31">
        <v>102.78100000000001</v>
      </c>
      <c r="M9" s="31">
        <v>137.05000000000001</v>
      </c>
      <c r="N9" s="31">
        <v>104.789</v>
      </c>
      <c r="O9" s="31">
        <v>94.521000000000001</v>
      </c>
      <c r="P9" s="31">
        <v>96.367000000000004</v>
      </c>
      <c r="Q9" s="31">
        <v>72.271000000000001</v>
      </c>
      <c r="R9" s="31">
        <f t="shared" si="0"/>
        <v>91.67332572298325</v>
      </c>
      <c r="S9" s="31">
        <f t="shared" si="1"/>
        <v>99.306584297286221</v>
      </c>
      <c r="T9" s="31">
        <f t="shared" si="2"/>
        <v>117.91409494527684</v>
      </c>
      <c r="U9" s="31">
        <f t="shared" si="2"/>
        <v>102.0810987963294</v>
      </c>
    </row>
    <row r="10" spans="1:21">
      <c r="A10" s="66">
        <v>1993</v>
      </c>
      <c r="B10" s="29">
        <v>118.389</v>
      </c>
      <c r="C10" s="29">
        <v>17.803000000000001</v>
      </c>
      <c r="D10" s="29">
        <v>28.981000000000002</v>
      </c>
      <c r="E10" s="29">
        <v>4.8630000000000004</v>
      </c>
      <c r="F10" s="29">
        <v>54.311999999999998</v>
      </c>
      <c r="G10" s="29">
        <v>12.429</v>
      </c>
      <c r="H10" s="29">
        <v>78.930000000000007</v>
      </c>
      <c r="I10" s="31">
        <v>94.43</v>
      </c>
      <c r="J10" s="31">
        <v>99.116</v>
      </c>
      <c r="K10" s="31">
        <v>101.387</v>
      </c>
      <c r="L10" s="31">
        <v>104.31100000000001</v>
      </c>
      <c r="M10" s="31">
        <v>137.566</v>
      </c>
      <c r="N10" s="31">
        <v>103.93899999999999</v>
      </c>
      <c r="O10" s="31">
        <v>97.545000000000002</v>
      </c>
      <c r="P10" s="31">
        <v>97.197000000000003</v>
      </c>
      <c r="Q10" s="31">
        <v>73.700999999999993</v>
      </c>
      <c r="R10" s="31">
        <f t="shared" si="0"/>
        <v>92.462899543378995</v>
      </c>
      <c r="S10" s="31">
        <f t="shared" si="1"/>
        <v>102.48368897153843</v>
      </c>
      <c r="T10" s="31">
        <f t="shared" si="2"/>
        <v>119.66936649611088</v>
      </c>
      <c r="U10" s="31">
        <f t="shared" si="2"/>
        <v>102.46543916100583</v>
      </c>
    </row>
    <row r="11" spans="1:21">
      <c r="A11" s="66">
        <v>1994</v>
      </c>
      <c r="B11" s="29">
        <v>127.66500000000001</v>
      </c>
      <c r="C11" s="29">
        <v>20.111000000000001</v>
      </c>
      <c r="D11" s="29">
        <v>29.882999999999999</v>
      </c>
      <c r="E11" s="29">
        <v>4.8869999999999996</v>
      </c>
      <c r="F11" s="29">
        <v>59.347999999999999</v>
      </c>
      <c r="G11" s="29">
        <v>13.435</v>
      </c>
      <c r="H11" s="29">
        <v>80.741</v>
      </c>
      <c r="I11" s="31">
        <v>99.688000000000002</v>
      </c>
      <c r="J11" s="31">
        <v>103.06699999999999</v>
      </c>
      <c r="K11" s="31">
        <v>105.413</v>
      </c>
      <c r="L11" s="31">
        <v>105.60299999999999</v>
      </c>
      <c r="M11" s="31">
        <v>138.29300000000001</v>
      </c>
      <c r="N11" s="31">
        <v>107.447</v>
      </c>
      <c r="O11" s="31">
        <v>98.106999999999999</v>
      </c>
      <c r="P11" s="31">
        <v>99.82</v>
      </c>
      <c r="Q11" s="31">
        <v>76.224000000000004</v>
      </c>
      <c r="R11" s="31">
        <f t="shared" si="0"/>
        <v>94.958143074581429</v>
      </c>
      <c r="S11" s="31">
        <f t="shared" si="1"/>
        <v>103.07414294869774</v>
      </c>
      <c r="T11" s="31">
        <f t="shared" si="2"/>
        <v>121.15159580570405</v>
      </c>
      <c r="U11" s="31">
        <f t="shared" si="2"/>
        <v>103.00694196162556</v>
      </c>
    </row>
    <row r="12" spans="1:21">
      <c r="A12" s="66">
        <v>1995</v>
      </c>
      <c r="B12" s="29">
        <v>155.69</v>
      </c>
      <c r="C12" s="29">
        <v>29.201000000000001</v>
      </c>
      <c r="D12" s="29">
        <v>31.602</v>
      </c>
      <c r="E12" s="29">
        <v>4.976</v>
      </c>
      <c r="F12" s="29">
        <v>73.043999999999997</v>
      </c>
      <c r="G12" s="29">
        <v>16.867000000000001</v>
      </c>
      <c r="H12" s="29">
        <v>83.912999999999997</v>
      </c>
      <c r="I12" s="31">
        <v>107.169</v>
      </c>
      <c r="J12" s="31">
        <v>124.657</v>
      </c>
      <c r="K12" s="31">
        <v>106.488</v>
      </c>
      <c r="L12" s="31">
        <v>106.57899999999999</v>
      </c>
      <c r="M12" s="31">
        <v>137.13</v>
      </c>
      <c r="N12" s="31">
        <v>113.544</v>
      </c>
      <c r="O12" s="31">
        <v>93.784999999999997</v>
      </c>
      <c r="P12" s="31">
        <v>99.915000000000006</v>
      </c>
      <c r="Q12" s="31">
        <v>77.655000000000001</v>
      </c>
      <c r="R12" s="31">
        <f t="shared" si="0"/>
        <v>95.048515981735164</v>
      </c>
      <c r="S12" s="31">
        <f t="shared" si="1"/>
        <v>98.533320725775098</v>
      </c>
      <c r="T12" s="31">
        <f t="shared" si="2"/>
        <v>122.27129844205309</v>
      </c>
      <c r="U12" s="31">
        <f t="shared" si="2"/>
        <v>102.14068644976761</v>
      </c>
    </row>
    <row r="13" spans="1:21">
      <c r="A13" s="66">
        <v>1996</v>
      </c>
      <c r="B13" s="29">
        <v>143.02000000000001</v>
      </c>
      <c r="C13" s="29">
        <v>24.7</v>
      </c>
      <c r="D13" s="29">
        <v>30.658999999999999</v>
      </c>
      <c r="E13" s="29">
        <v>5.15</v>
      </c>
      <c r="F13" s="29">
        <v>67.197000000000003</v>
      </c>
      <c r="G13" s="29">
        <v>15.314</v>
      </c>
      <c r="H13" s="29">
        <v>79.831000000000003</v>
      </c>
      <c r="I13" s="31">
        <v>104.60599999999999</v>
      </c>
      <c r="J13" s="31">
        <v>109.29300000000001</v>
      </c>
      <c r="K13" s="31">
        <v>104.249</v>
      </c>
      <c r="L13" s="31">
        <v>108.667</v>
      </c>
      <c r="M13" s="31">
        <v>135.447</v>
      </c>
      <c r="N13" s="31">
        <v>110.596</v>
      </c>
      <c r="O13" s="31">
        <v>94.260999999999996</v>
      </c>
      <c r="P13" s="31">
        <v>95.935000000000002</v>
      </c>
      <c r="Q13" s="31">
        <v>76.966999999999999</v>
      </c>
      <c r="R13" s="31">
        <f t="shared" si="0"/>
        <v>91.262366818873659</v>
      </c>
      <c r="S13" s="31">
        <f t="shared" si="1"/>
        <v>99.0334205356111</v>
      </c>
      <c r="T13" s="31">
        <f t="shared" si="2"/>
        <v>124.66672785260309</v>
      </c>
      <c r="U13" s="31">
        <f t="shared" si="2"/>
        <v>100.88711119056131</v>
      </c>
    </row>
    <row r="14" spans="1:21">
      <c r="A14" s="66">
        <v>1997</v>
      </c>
      <c r="B14" s="29">
        <v>142.226</v>
      </c>
      <c r="C14" s="29">
        <v>21.718</v>
      </c>
      <c r="D14" s="29">
        <v>31.425000000000001</v>
      </c>
      <c r="E14" s="29">
        <v>5.48</v>
      </c>
      <c r="F14" s="29">
        <v>67.992000000000004</v>
      </c>
      <c r="G14" s="29">
        <v>15.612</v>
      </c>
      <c r="H14" s="29">
        <v>78.885000000000005</v>
      </c>
      <c r="I14" s="31">
        <v>107.67700000000001</v>
      </c>
      <c r="J14" s="31">
        <v>105.991</v>
      </c>
      <c r="K14" s="31">
        <v>107.93300000000001</v>
      </c>
      <c r="L14" s="31">
        <v>109.934</v>
      </c>
      <c r="M14" s="31">
        <v>136.458</v>
      </c>
      <c r="N14" s="31">
        <v>112.09399999999999</v>
      </c>
      <c r="O14" s="31">
        <v>96.287999999999997</v>
      </c>
      <c r="P14" s="31">
        <v>98.18</v>
      </c>
      <c r="Q14" s="31">
        <v>79.096000000000004</v>
      </c>
      <c r="R14" s="31">
        <f t="shared" si="0"/>
        <v>93.398021308980219</v>
      </c>
      <c r="S14" s="31">
        <f t="shared" si="1"/>
        <v>101.16304724682448</v>
      </c>
      <c r="T14" s="31">
        <f t="shared" si="2"/>
        <v>126.12027625450291</v>
      </c>
      <c r="U14" s="31">
        <f t="shared" si="2"/>
        <v>101.64015016088666</v>
      </c>
    </row>
    <row r="15" spans="1:21">
      <c r="A15" s="66">
        <v>1998</v>
      </c>
      <c r="B15" s="29">
        <v>146.989</v>
      </c>
      <c r="C15" s="29">
        <v>23.3</v>
      </c>
      <c r="D15" s="29">
        <v>31.416</v>
      </c>
      <c r="E15" s="29">
        <v>5.6790000000000003</v>
      </c>
      <c r="F15" s="29">
        <v>69.626000000000005</v>
      </c>
      <c r="G15" s="29">
        <v>16.966999999999999</v>
      </c>
      <c r="H15" s="29">
        <v>85.569000000000003</v>
      </c>
      <c r="I15" s="31">
        <v>112.229</v>
      </c>
      <c r="J15" s="31">
        <v>111.86799999999999</v>
      </c>
      <c r="K15" s="31">
        <v>109.152</v>
      </c>
      <c r="L15" s="31">
        <v>111.431</v>
      </c>
      <c r="M15" s="31">
        <v>133.291</v>
      </c>
      <c r="N15" s="31">
        <v>115.03700000000001</v>
      </c>
      <c r="O15" s="31">
        <v>94.885000000000005</v>
      </c>
      <c r="P15" s="31">
        <v>97.954999999999998</v>
      </c>
      <c r="Q15" s="31">
        <v>81.89</v>
      </c>
      <c r="R15" s="31">
        <f t="shared" si="0"/>
        <v>93.183980213089797</v>
      </c>
      <c r="S15" s="31">
        <f t="shared" si="1"/>
        <v>99.689013563631406</v>
      </c>
      <c r="T15" s="31">
        <f t="shared" si="2"/>
        <v>127.83768900718171</v>
      </c>
      <c r="U15" s="31">
        <f t="shared" si="2"/>
        <v>99.281223930401623</v>
      </c>
    </row>
    <row r="16" spans="1:21">
      <c r="A16" s="66">
        <v>1999</v>
      </c>
      <c r="B16" s="29">
        <v>148.595</v>
      </c>
      <c r="C16" s="29">
        <v>25.943000000000001</v>
      </c>
      <c r="D16" s="29">
        <v>32.655999999999999</v>
      </c>
      <c r="E16" s="29">
        <v>6.2619999999999996</v>
      </c>
      <c r="F16" s="29">
        <v>67.34</v>
      </c>
      <c r="G16" s="29">
        <v>16.393999999999998</v>
      </c>
      <c r="H16" s="29">
        <v>95.058000000000007</v>
      </c>
      <c r="I16" s="31">
        <v>110.279</v>
      </c>
      <c r="J16" s="31">
        <v>105.846</v>
      </c>
      <c r="K16" s="31">
        <v>110.11499999999999</v>
      </c>
      <c r="L16" s="31">
        <v>111.648</v>
      </c>
      <c r="M16" s="31">
        <v>134.28200000000001</v>
      </c>
      <c r="N16" s="31">
        <v>114.098</v>
      </c>
      <c r="O16" s="31">
        <v>96.509</v>
      </c>
      <c r="P16" s="31">
        <v>98.626999999999995</v>
      </c>
      <c r="Q16" s="31">
        <v>82.003</v>
      </c>
      <c r="R16" s="31">
        <f t="shared" si="0"/>
        <v>93.823249619482482</v>
      </c>
      <c r="S16" s="31">
        <f t="shared" si="1"/>
        <v>101.39523644424833</v>
      </c>
      <c r="T16" s="31">
        <f t="shared" si="2"/>
        <v>128.0866392859601</v>
      </c>
      <c r="U16" s="31">
        <f t="shared" si="2"/>
        <v>100.01936598736742</v>
      </c>
    </row>
    <row r="17" spans="1:21">
      <c r="A17" s="66">
        <v>2000</v>
      </c>
      <c r="B17" s="29">
        <v>156.87899999999999</v>
      </c>
      <c r="C17" s="29">
        <v>28.263000000000002</v>
      </c>
      <c r="D17" s="29">
        <v>32.976999999999997</v>
      </c>
      <c r="E17" s="29">
        <v>8.4049999999999994</v>
      </c>
      <c r="F17" s="29">
        <v>70.024000000000001</v>
      </c>
      <c r="G17" s="29">
        <v>17.21</v>
      </c>
      <c r="H17" s="29">
        <v>111.61199999999999</v>
      </c>
      <c r="I17" s="31">
        <v>107.786</v>
      </c>
      <c r="J17" s="31">
        <v>106.57</v>
      </c>
      <c r="K17" s="31">
        <v>108.233</v>
      </c>
      <c r="L17" s="31">
        <v>111.05500000000001</v>
      </c>
      <c r="M17" s="31">
        <v>126.917</v>
      </c>
      <c r="N17" s="31">
        <v>112.408</v>
      </c>
      <c r="O17" s="31">
        <v>96.284999999999997</v>
      </c>
      <c r="P17" s="31">
        <v>97.459000000000003</v>
      </c>
      <c r="Q17" s="31">
        <v>85.278000000000006</v>
      </c>
      <c r="R17" s="31">
        <f t="shared" si="0"/>
        <v>92.712138508371396</v>
      </c>
      <c r="S17" s="31">
        <f t="shared" si="1"/>
        <v>101.15989535726668</v>
      </c>
      <c r="T17" s="31">
        <f t="shared" si="2"/>
        <v>127.40632815547347</v>
      </c>
      <c r="U17" s="31">
        <f t="shared" si="2"/>
        <v>94.53357764271243</v>
      </c>
    </row>
    <row r="18" spans="1:21">
      <c r="A18" s="66">
        <v>2001</v>
      </c>
      <c r="B18" s="29">
        <v>147.922</v>
      </c>
      <c r="C18" s="29">
        <v>20.341000000000001</v>
      </c>
      <c r="D18" s="29">
        <v>32.582000000000001</v>
      </c>
      <c r="E18" s="29">
        <v>10.455</v>
      </c>
      <c r="F18" s="29">
        <v>66.426000000000002</v>
      </c>
      <c r="G18" s="29">
        <v>18.117999999999999</v>
      </c>
      <c r="H18" s="29">
        <v>125.98399999999999</v>
      </c>
      <c r="I18" s="31">
        <v>105.694</v>
      </c>
      <c r="J18" s="31">
        <v>111.164</v>
      </c>
      <c r="K18" s="31">
        <v>102.004</v>
      </c>
      <c r="L18" s="31">
        <v>109.423</v>
      </c>
      <c r="M18" s="31">
        <v>118.905</v>
      </c>
      <c r="N18" s="31">
        <v>110.985</v>
      </c>
      <c r="O18" s="31">
        <v>91.908000000000001</v>
      </c>
      <c r="P18" s="31">
        <v>93.22</v>
      </c>
      <c r="Q18" s="31">
        <v>85.786000000000001</v>
      </c>
      <c r="R18" s="31">
        <f t="shared" si="0"/>
        <v>88.679604261796044</v>
      </c>
      <c r="S18" s="31">
        <f t="shared" si="1"/>
        <v>96.561288492451226</v>
      </c>
      <c r="T18" s="31">
        <f t="shared" si="2"/>
        <v>125.53403850125049</v>
      </c>
      <c r="U18" s="31">
        <f t="shared" si="2"/>
        <v>88.565874150875928</v>
      </c>
    </row>
    <row r="19" spans="1:21">
      <c r="A19" s="66">
        <v>2002</v>
      </c>
      <c r="B19" s="29">
        <v>146.066</v>
      </c>
      <c r="C19" s="29">
        <v>20.446999999999999</v>
      </c>
      <c r="D19" s="29">
        <v>32.470999999999997</v>
      </c>
      <c r="E19" s="29">
        <v>8.6</v>
      </c>
      <c r="F19" s="29">
        <v>66.408000000000001</v>
      </c>
      <c r="G19" s="29">
        <v>18.140999999999998</v>
      </c>
      <c r="H19" s="29">
        <v>112.467</v>
      </c>
      <c r="I19" s="31">
        <v>108.48099999999999</v>
      </c>
      <c r="J19" s="31">
        <v>109.45699999999999</v>
      </c>
      <c r="K19" s="31">
        <v>102.699</v>
      </c>
      <c r="L19" s="31">
        <v>108.036</v>
      </c>
      <c r="M19" s="31">
        <v>110.70399999999999</v>
      </c>
      <c r="N19" s="31">
        <v>109.324</v>
      </c>
      <c r="O19" s="31">
        <v>93.94</v>
      </c>
      <c r="P19" s="31">
        <v>95.06</v>
      </c>
      <c r="Q19" s="31">
        <v>92.769000000000005</v>
      </c>
      <c r="R19" s="31">
        <f t="shared" si="0"/>
        <v>90.429984779299843</v>
      </c>
      <c r="S19" s="31">
        <f t="shared" si="1"/>
        <v>98.696168352927586</v>
      </c>
      <c r="T19" s="31">
        <f t="shared" si="2"/>
        <v>123.94282174242251</v>
      </c>
      <c r="U19" s="31">
        <f t="shared" si="2"/>
        <v>82.457394827791674</v>
      </c>
    </row>
    <row r="20" spans="1:21">
      <c r="A20" s="66">
        <v>2003</v>
      </c>
      <c r="B20" s="29">
        <v>143.048</v>
      </c>
      <c r="C20" s="29">
        <v>17.068000000000001</v>
      </c>
      <c r="D20" s="29">
        <v>32.332999999999998</v>
      </c>
      <c r="E20" s="29">
        <v>9.843</v>
      </c>
      <c r="F20" s="29">
        <v>65.325000000000003</v>
      </c>
      <c r="G20" s="29">
        <v>18.478999999999999</v>
      </c>
      <c r="H20" s="29">
        <v>109.81100000000001</v>
      </c>
      <c r="I20" s="31">
        <v>104.49</v>
      </c>
      <c r="J20" s="31">
        <v>108.524</v>
      </c>
      <c r="K20" s="31">
        <v>100.029</v>
      </c>
      <c r="L20" s="31">
        <v>105.70099999999999</v>
      </c>
      <c r="M20" s="31">
        <v>103.634</v>
      </c>
      <c r="N20" s="31">
        <v>105.32</v>
      </c>
      <c r="O20" s="31">
        <v>94.977000000000004</v>
      </c>
      <c r="P20" s="31">
        <v>94.635000000000005</v>
      </c>
      <c r="Q20" s="31">
        <v>96.522000000000006</v>
      </c>
      <c r="R20" s="31">
        <f t="shared" si="0"/>
        <v>90.025684931506859</v>
      </c>
      <c r="S20" s="31">
        <f t="shared" si="1"/>
        <v>99.785671510070301</v>
      </c>
      <c r="T20" s="31">
        <f t="shared" si="2"/>
        <v>121.26402496386206</v>
      </c>
      <c r="U20" s="31">
        <f t="shared" si="2"/>
        <v>77.191335955190084</v>
      </c>
    </row>
    <row r="21" spans="1:21">
      <c r="A21" s="66">
        <v>2004</v>
      </c>
      <c r="B21" s="29">
        <v>146.53</v>
      </c>
      <c r="C21" s="29">
        <v>22.321000000000002</v>
      </c>
      <c r="D21" s="29">
        <v>31.218</v>
      </c>
      <c r="E21" s="29">
        <v>9.4120000000000008</v>
      </c>
      <c r="F21" s="29">
        <v>66.647000000000006</v>
      </c>
      <c r="G21" s="29">
        <v>16.931999999999999</v>
      </c>
      <c r="H21" s="29">
        <v>96.591999999999999</v>
      </c>
      <c r="I21" s="31">
        <v>100.81699999999999</v>
      </c>
      <c r="J21" s="31">
        <v>96.522999999999996</v>
      </c>
      <c r="K21" s="31">
        <v>100.386</v>
      </c>
      <c r="L21" s="31">
        <v>102.664</v>
      </c>
      <c r="M21" s="31">
        <v>101.559</v>
      </c>
      <c r="N21" s="31">
        <v>100.426</v>
      </c>
      <c r="O21" s="31">
        <v>99.960999999999999</v>
      </c>
      <c r="P21" s="31">
        <v>97.781000000000006</v>
      </c>
      <c r="Q21" s="31">
        <v>98.844999999999999</v>
      </c>
      <c r="R21" s="31">
        <f t="shared" si="0"/>
        <v>93.018455098934552</v>
      </c>
      <c r="S21" s="31">
        <f t="shared" si="1"/>
        <v>105.02201069541191</v>
      </c>
      <c r="T21" s="31">
        <f t="shared" si="2"/>
        <v>117.77986829727188</v>
      </c>
      <c r="U21" s="31">
        <f t="shared" si="2"/>
        <v>75.645781194136575</v>
      </c>
    </row>
    <row r="22" spans="1:21">
      <c r="A22" s="66">
        <v>2005</v>
      </c>
      <c r="B22" s="29">
        <v>151.971</v>
      </c>
      <c r="C22" s="29">
        <v>21.629000000000001</v>
      </c>
      <c r="D22" s="29">
        <v>31.155999999999999</v>
      </c>
      <c r="E22" s="29">
        <v>11.377000000000001</v>
      </c>
      <c r="F22" s="29">
        <v>69.629000000000005</v>
      </c>
      <c r="G22" s="29">
        <v>18.18</v>
      </c>
      <c r="H22" s="29">
        <v>100</v>
      </c>
      <c r="I22" s="31">
        <v>100</v>
      </c>
      <c r="J22" s="31">
        <v>100</v>
      </c>
      <c r="K22" s="31">
        <v>100</v>
      </c>
      <c r="L22" s="31">
        <v>100</v>
      </c>
      <c r="M22" s="31">
        <v>100</v>
      </c>
      <c r="N22" s="31">
        <v>100</v>
      </c>
      <c r="O22" s="31">
        <v>100</v>
      </c>
      <c r="P22" s="31">
        <v>100</v>
      </c>
      <c r="Q22" s="31">
        <v>100</v>
      </c>
      <c r="R22" s="31">
        <f t="shared" si="0"/>
        <v>95.129375951293753</v>
      </c>
      <c r="S22" s="31">
        <f t="shared" si="1"/>
        <v>105.06298525966318</v>
      </c>
      <c r="T22" s="31">
        <f t="shared" si="2"/>
        <v>114.72363077346672</v>
      </c>
      <c r="U22" s="31">
        <f t="shared" si="2"/>
        <v>74.484566797759499</v>
      </c>
    </row>
    <row r="23" spans="1:21">
      <c r="A23" s="66">
        <v>2006</v>
      </c>
      <c r="B23" s="29">
        <v>158.48099999999999</v>
      </c>
      <c r="C23" s="29">
        <v>26.286000000000001</v>
      </c>
      <c r="D23" s="29">
        <v>31.831</v>
      </c>
      <c r="E23" s="29">
        <v>11.372</v>
      </c>
      <c r="F23" s="29">
        <v>71.256</v>
      </c>
      <c r="G23" s="29">
        <v>17.736000000000001</v>
      </c>
      <c r="H23" s="29">
        <v>94.158000000000001</v>
      </c>
      <c r="I23" s="31">
        <v>98.057000000000002</v>
      </c>
      <c r="J23" s="31">
        <v>93.813000000000002</v>
      </c>
      <c r="K23" s="31">
        <v>99.116</v>
      </c>
      <c r="L23" s="31">
        <v>98.171999999999997</v>
      </c>
      <c r="M23" s="31">
        <v>97.995999999999995</v>
      </c>
      <c r="N23" s="31">
        <v>97.272000000000006</v>
      </c>
      <c r="O23" s="31">
        <v>101.896</v>
      </c>
      <c r="P23" s="31">
        <v>100.961</v>
      </c>
      <c r="Q23" s="31">
        <v>101.143</v>
      </c>
      <c r="R23" s="31">
        <f t="shared" si="0"/>
        <v>96.043569254185684</v>
      </c>
      <c r="S23" s="31">
        <f t="shared" si="1"/>
        <v>107.05497946018639</v>
      </c>
      <c r="T23" s="31">
        <f t="shared" si="2"/>
        <v>112.62648280292775</v>
      </c>
      <c r="U23" s="31">
        <f t="shared" si="2"/>
        <v>72.991896079132403</v>
      </c>
    </row>
    <row r="24" spans="1:21">
      <c r="A24" s="66">
        <v>2007</v>
      </c>
      <c r="B24" s="29">
        <v>165.363</v>
      </c>
      <c r="C24" s="29">
        <v>26.212</v>
      </c>
      <c r="D24" s="29">
        <v>31.317</v>
      </c>
      <c r="E24" s="29">
        <v>12.234</v>
      </c>
      <c r="F24" s="29">
        <v>76.832999999999998</v>
      </c>
      <c r="G24" s="29">
        <v>18.768000000000001</v>
      </c>
      <c r="H24" s="29">
        <v>98.807000000000002</v>
      </c>
      <c r="I24" s="31">
        <v>102.646</v>
      </c>
      <c r="J24" s="31">
        <v>94.727999999999994</v>
      </c>
      <c r="K24" s="31">
        <v>100.514</v>
      </c>
      <c r="L24" s="31">
        <v>96.754000000000005</v>
      </c>
      <c r="M24" s="31">
        <v>96.012</v>
      </c>
      <c r="N24" s="31">
        <v>99.153000000000006</v>
      </c>
      <c r="O24" s="31">
        <v>101.372</v>
      </c>
      <c r="P24" s="31">
        <v>103.886</v>
      </c>
      <c r="Q24" s="31">
        <v>104.68899999999999</v>
      </c>
      <c r="R24" s="31">
        <f t="shared" ref="R24:R27" si="3">P24/P$4*100</f>
        <v>98.826103500761036</v>
      </c>
      <c r="S24" s="31">
        <f t="shared" ref="S24:S27" si="4">O24/O$4*100</f>
        <v>106.50444941742575</v>
      </c>
      <c r="T24" s="31">
        <f t="shared" ref="T24:T27" si="5">L24/L$4*100</f>
        <v>110.99970171855999</v>
      </c>
      <c r="U24" s="31">
        <f t="shared" ref="U24:U27" si="6">M24/M$4*100</f>
        <v>71.514122273864857</v>
      </c>
    </row>
    <row r="25" spans="1:21">
      <c r="A25" s="66">
        <v>2008</v>
      </c>
      <c r="B25" s="29">
        <v>167.524</v>
      </c>
      <c r="C25" s="29">
        <v>19.817</v>
      </c>
      <c r="D25" s="29">
        <v>30.533999999999999</v>
      </c>
      <c r="E25" s="29">
        <v>14.297000000000001</v>
      </c>
      <c r="F25" s="29">
        <v>82.238</v>
      </c>
      <c r="G25" s="29">
        <v>20.638000000000002</v>
      </c>
      <c r="H25" s="29">
        <v>100.935</v>
      </c>
      <c r="I25" s="31">
        <v>102.215</v>
      </c>
      <c r="J25" s="31">
        <v>101.387</v>
      </c>
      <c r="K25" s="31">
        <v>96.194000000000003</v>
      </c>
      <c r="L25" s="31">
        <v>95.037000000000006</v>
      </c>
      <c r="M25" s="31">
        <v>93.78</v>
      </c>
      <c r="N25" s="31">
        <v>99.241</v>
      </c>
      <c r="O25" s="31">
        <v>96.93</v>
      </c>
      <c r="P25" s="31">
        <v>101.218</v>
      </c>
      <c r="Q25" s="31">
        <v>102.575</v>
      </c>
      <c r="R25" s="31">
        <f t="shared" si="3"/>
        <v>96.288051750380518</v>
      </c>
      <c r="S25" s="31">
        <f t="shared" si="4"/>
        <v>101.83755161219152</v>
      </c>
      <c r="T25" s="31">
        <f t="shared" si="5"/>
        <v>109.02989697817958</v>
      </c>
      <c r="U25" s="31">
        <f t="shared" si="6"/>
        <v>69.851626742938862</v>
      </c>
    </row>
    <row r="26" spans="1:21">
      <c r="A26" s="66">
        <v>2009</v>
      </c>
      <c r="B26" s="29">
        <v>150.41</v>
      </c>
      <c r="C26" s="29">
        <v>28.463000000000001</v>
      </c>
      <c r="D26" s="29">
        <v>29.298999999999999</v>
      </c>
      <c r="E26" s="29">
        <v>9.7040000000000006</v>
      </c>
      <c r="F26" s="29">
        <v>66.275000000000006</v>
      </c>
      <c r="G26" s="29">
        <v>16.667999999999999</v>
      </c>
      <c r="H26" s="29">
        <v>82.236000000000004</v>
      </c>
      <c r="I26" s="31">
        <v>85.853999999999999</v>
      </c>
      <c r="J26" s="31">
        <v>83.176000000000002</v>
      </c>
      <c r="K26" s="31">
        <v>85.787999999999997</v>
      </c>
      <c r="L26" s="31">
        <v>92.34</v>
      </c>
      <c r="M26" s="31">
        <v>84.027000000000001</v>
      </c>
      <c r="N26" s="31">
        <v>85.853999999999999</v>
      </c>
      <c r="O26" s="31">
        <v>99.921999999999997</v>
      </c>
      <c r="P26" s="31">
        <v>92.905000000000001</v>
      </c>
      <c r="Q26" s="31">
        <v>102.095</v>
      </c>
      <c r="R26" s="31">
        <f t="shared" si="3"/>
        <v>88.379946727549466</v>
      </c>
      <c r="S26" s="31">
        <f t="shared" si="4"/>
        <v>104.98103613116064</v>
      </c>
      <c r="T26" s="31">
        <f t="shared" si="5"/>
        <v>105.93580065621917</v>
      </c>
      <c r="U26" s="31">
        <f t="shared" si="6"/>
        <v>62.587146943153385</v>
      </c>
    </row>
    <row r="27" spans="1:21">
      <c r="A27" s="66">
        <v>2010</v>
      </c>
      <c r="B27" s="29">
        <v>159.30000000000001</v>
      </c>
      <c r="C27" s="29">
        <v>24.518999999999998</v>
      </c>
      <c r="D27" s="29">
        <v>30.138999999999999</v>
      </c>
      <c r="E27" s="29">
        <v>10.666</v>
      </c>
      <c r="F27" s="29">
        <v>75.007000000000005</v>
      </c>
      <c r="G27" s="29">
        <v>18.969000000000001</v>
      </c>
      <c r="H27" s="29">
        <v>84.533000000000001</v>
      </c>
      <c r="I27" s="31">
        <v>93.384</v>
      </c>
      <c r="J27" s="31">
        <v>92.132000000000005</v>
      </c>
      <c r="K27" s="31">
        <v>87.924999999999997</v>
      </c>
      <c r="L27" s="31">
        <v>89.108999999999995</v>
      </c>
      <c r="M27" s="31">
        <v>84.284000000000006</v>
      </c>
      <c r="N27" s="31">
        <v>89.927999999999997</v>
      </c>
      <c r="O27" s="31">
        <v>97.772999999999996</v>
      </c>
      <c r="P27" s="31">
        <v>98.671999999999997</v>
      </c>
      <c r="Q27" s="31">
        <v>104.321</v>
      </c>
      <c r="R27" s="31">
        <f t="shared" si="3"/>
        <v>93.866057838660581</v>
      </c>
      <c r="S27" s="31">
        <f t="shared" si="4"/>
        <v>102.72323257793047</v>
      </c>
      <c r="T27" s="31">
        <f t="shared" si="5"/>
        <v>102.22908014592846</v>
      </c>
      <c r="U27" s="31">
        <f t="shared" si="6"/>
        <v>62.778572279823628</v>
      </c>
    </row>
    <row r="29" spans="1:21">
      <c r="A29" s="66" t="s">
        <v>23</v>
      </c>
    </row>
    <row r="30" spans="1:21">
      <c r="A30" s="64" t="s">
        <v>2149</v>
      </c>
      <c r="B30" s="65">
        <f>((B27/B4)^(1/23)-1)*100</f>
        <v>2.2335208870172707</v>
      </c>
      <c r="C30" s="65">
        <f t="shared" ref="C30:U30" si="7">((C27/C4)^(1/23)-1)*100</f>
        <v>2.2053480772204592</v>
      </c>
      <c r="D30" s="65">
        <f t="shared" si="7"/>
        <v>1.0437886928498674</v>
      </c>
      <c r="E30" s="65">
        <f t="shared" si="7"/>
        <v>4.0099138318927086</v>
      </c>
      <c r="F30" s="65">
        <f t="shared" si="7"/>
        <v>2.291630545429113</v>
      </c>
      <c r="G30" s="65">
        <f t="shared" si="7"/>
        <v>3.6040178964424463</v>
      </c>
      <c r="H30" s="65">
        <f t="shared" si="7"/>
        <v>0.93224282080350829</v>
      </c>
      <c r="I30" s="65">
        <f t="shared" si="7"/>
        <v>6.9672064013803769E-2</v>
      </c>
      <c r="J30" s="65">
        <f t="shared" si="7"/>
        <v>0.76415981471895655</v>
      </c>
      <c r="K30" s="65">
        <f t="shared" si="7"/>
        <v>-0.17924627946134253</v>
      </c>
      <c r="L30" s="65">
        <f t="shared" si="7"/>
        <v>9.5898095684621154E-2</v>
      </c>
      <c r="M30" s="65">
        <f t="shared" si="7"/>
        <v>-2.0038096042421683</v>
      </c>
      <c r="N30" s="65">
        <f t="shared" si="7"/>
        <v>-0.29576444181834693</v>
      </c>
      <c r="O30" s="65">
        <f t="shared" si="7"/>
        <v>0.11688618593104216</v>
      </c>
      <c r="P30" s="65">
        <f t="shared" si="7"/>
        <v>-0.27484481028349217</v>
      </c>
      <c r="Q30" s="65">
        <f>((Q27/Q4)^(1/23)-1)*100</f>
        <v>1.8619476983243066</v>
      </c>
      <c r="R30" s="65">
        <f t="shared" si="7"/>
        <v>-0.27484481028349217</v>
      </c>
      <c r="S30" s="65">
        <f t="shared" si="7"/>
        <v>0.11688618593104216</v>
      </c>
      <c r="T30" s="65">
        <f t="shared" si="7"/>
        <v>9.5898095684621154E-2</v>
      </c>
      <c r="U30" s="65">
        <f t="shared" si="7"/>
        <v>-2.0038096042421683</v>
      </c>
    </row>
    <row r="31" spans="1:21">
      <c r="A31" s="64" t="s">
        <v>873</v>
      </c>
      <c r="B31" s="65">
        <f>((B17/B4)^(1/13)-1)*100</f>
        <v>3.863076080863781</v>
      </c>
      <c r="C31" s="65">
        <f t="shared" ref="C31:U31" si="8">((C17/C4)^(1/13)-1)*100</f>
        <v>5.077170437868439</v>
      </c>
      <c r="D31" s="65">
        <f t="shared" si="8"/>
        <v>2.5616249765835875</v>
      </c>
      <c r="E31" s="65">
        <f t="shared" si="8"/>
        <v>5.256855312007902</v>
      </c>
      <c r="F31" s="65">
        <f t="shared" si="8"/>
        <v>3.5411253614222815</v>
      </c>
      <c r="G31" s="65">
        <f t="shared" si="8"/>
        <v>5.6704865662209558</v>
      </c>
      <c r="H31" s="65">
        <f t="shared" si="8"/>
        <v>3.8516250494872395</v>
      </c>
      <c r="I31" s="65">
        <f t="shared" si="8"/>
        <v>1.2340659881566074</v>
      </c>
      <c r="J31" s="65">
        <f t="shared" si="8"/>
        <v>2.4973537909281474</v>
      </c>
      <c r="K31" s="65">
        <f t="shared" si="8"/>
        <v>1.2893061422739827</v>
      </c>
      <c r="L31" s="65">
        <f t="shared" si="8"/>
        <v>1.8806284750917834</v>
      </c>
      <c r="M31" s="65">
        <f t="shared" si="8"/>
        <v>-0.43149020695619766</v>
      </c>
      <c r="N31" s="65">
        <f t="shared" si="8"/>
        <v>1.1994373247792289</v>
      </c>
      <c r="O31" s="65">
        <f t="shared" si="8"/>
        <v>8.8748599709242981E-2</v>
      </c>
      <c r="P31" s="65">
        <f t="shared" si="8"/>
        <v>-0.58039208733350334</v>
      </c>
      <c r="Q31" s="65">
        <f t="shared" si="8"/>
        <v>1.7282546522489284</v>
      </c>
      <c r="R31" s="65">
        <f t="shared" si="8"/>
        <v>-0.58039208733350334</v>
      </c>
      <c r="S31" s="65">
        <f t="shared" si="8"/>
        <v>8.8748599709242981E-2</v>
      </c>
      <c r="T31" s="65">
        <f t="shared" si="8"/>
        <v>1.8806284750917834</v>
      </c>
      <c r="U31" s="65">
        <f t="shared" si="8"/>
        <v>-0.43149020695619766</v>
      </c>
    </row>
    <row r="32" spans="1:21">
      <c r="A32" s="64" t="s">
        <v>2116</v>
      </c>
      <c r="B32" s="65">
        <f>((B27/B17)^(1/10)-1)*100</f>
        <v>0.15326141892206824</v>
      </c>
      <c r="C32" s="65">
        <f t="shared" ref="C32:U32" si="9">((C27/C17)^(1/10)-1)*100</f>
        <v>-1.411002729351496</v>
      </c>
      <c r="D32" s="65">
        <f t="shared" si="9"/>
        <v>-0.89586633490246204</v>
      </c>
      <c r="E32" s="65">
        <f t="shared" si="9"/>
        <v>2.4109479556425617</v>
      </c>
      <c r="F32" s="65">
        <f t="shared" si="9"/>
        <v>0.68980227211874467</v>
      </c>
      <c r="G32" s="65">
        <f t="shared" si="9"/>
        <v>0.97790512189672718</v>
      </c>
      <c r="H32" s="65">
        <f t="shared" si="9"/>
        <v>-2.7406105015771787</v>
      </c>
      <c r="I32" s="65">
        <f t="shared" si="9"/>
        <v>-1.4240407947035516</v>
      </c>
      <c r="J32" s="65">
        <f t="shared" si="9"/>
        <v>-1.4452516579022689</v>
      </c>
      <c r="K32" s="65">
        <f t="shared" si="9"/>
        <v>-2.0565792405252581</v>
      </c>
      <c r="L32" s="65">
        <f t="shared" si="9"/>
        <v>-2.1775928730000338</v>
      </c>
      <c r="M32" s="65">
        <f t="shared" si="9"/>
        <v>-4.0107642186355985</v>
      </c>
      <c r="N32" s="65">
        <f t="shared" si="9"/>
        <v>-2.2065491500949608</v>
      </c>
      <c r="O32" s="65">
        <f t="shared" si="9"/>
        <v>0.15347687412681221</v>
      </c>
      <c r="P32" s="65">
        <f t="shared" si="9"/>
        <v>0.12377094815563261</v>
      </c>
      <c r="Q32" s="65">
        <f t="shared" si="9"/>
        <v>2.0360113668252744</v>
      </c>
      <c r="R32" s="65">
        <f t="shared" si="9"/>
        <v>0.12377094815563261</v>
      </c>
      <c r="S32" s="65">
        <f t="shared" si="9"/>
        <v>0.15347687412681221</v>
      </c>
      <c r="T32" s="65">
        <f t="shared" si="9"/>
        <v>-2.1775928730000338</v>
      </c>
      <c r="U32" s="65">
        <f t="shared" si="9"/>
        <v>-4.0107642186355985</v>
      </c>
    </row>
    <row r="34" spans="1:1">
      <c r="A34" s="64" t="s">
        <v>890</v>
      </c>
    </row>
  </sheetData>
  <mergeCells count="3">
    <mergeCell ref="B3:G3"/>
    <mergeCell ref="R3:U3"/>
    <mergeCell ref="H3:Q3"/>
  </mergeCells>
  <pageMargins left="0.7" right="0.7" top="0.75" bottom="0.75" header="0.3" footer="0.3"/>
  <pageSetup scale="41" orientation="landscape" horizontalDpi="0" verticalDpi="0" r:id="rId1"/>
</worksheet>
</file>

<file path=xl/worksheets/sheet208.xml><?xml version="1.0" encoding="utf-8"?>
<worksheet xmlns="http://schemas.openxmlformats.org/spreadsheetml/2006/main" xmlns:r="http://schemas.openxmlformats.org/officeDocument/2006/relationships">
  <sheetPr codeName="Sheet202"/>
  <dimension ref="A1:AA42"/>
  <sheetViews>
    <sheetView view="pageBreakPreview" zoomScale="85" zoomScaleNormal="100" zoomScaleSheetLayoutView="85" workbookViewId="0">
      <pane xSplit="1" ySplit="3" topLeftCell="B4" activePane="bottomRight" state="frozen"/>
      <selection activeCell="D124" sqref="D124"/>
      <selection pane="topRight" activeCell="D124" sqref="D124"/>
      <selection pane="bottomLeft" activeCell="D124" sqref="D124"/>
      <selection pane="bottomRight" activeCell="AC38" sqref="AC38"/>
    </sheetView>
  </sheetViews>
  <sheetFormatPr defaultRowHeight="15" outlineLevelCol="1"/>
  <cols>
    <col min="1" max="1" width="10.7109375" style="109" customWidth="1"/>
    <col min="2" max="2" width="11.42578125" style="109" customWidth="1"/>
    <col min="3" max="3" width="7.28515625" style="109" customWidth="1"/>
    <col min="4" max="4" width="9.140625" style="109"/>
    <col min="5" max="5" width="8" style="109" customWidth="1"/>
    <col min="6" max="8" width="9.140625" style="109"/>
    <col min="9" max="9" width="11.140625" style="109" customWidth="1"/>
    <col min="10" max="10" width="12" style="109" customWidth="1"/>
    <col min="11" max="11" width="8" style="109" customWidth="1"/>
    <col min="12" max="12" width="12.7109375" style="109" customWidth="1"/>
    <col min="13" max="14" width="9.140625" style="109"/>
    <col min="15" max="26" width="9.140625" style="109" hidden="1" customWidth="1" outlineLevel="1"/>
    <col min="27" max="27" width="9.140625" style="109" collapsed="1"/>
    <col min="28" max="16384" width="9.140625" style="109"/>
  </cols>
  <sheetData>
    <row r="1" spans="1:26">
      <c r="A1" s="108" t="s">
        <v>2055</v>
      </c>
      <c r="B1" s="108"/>
      <c r="C1" s="108"/>
      <c r="D1" s="108"/>
      <c r="E1" s="108"/>
      <c r="F1" s="108"/>
      <c r="G1" s="108"/>
      <c r="H1" s="108"/>
      <c r="I1" s="108"/>
      <c r="J1" s="108"/>
      <c r="K1" s="108"/>
      <c r="L1" s="108"/>
      <c r="M1" s="108"/>
    </row>
    <row r="2" spans="1:26" ht="105">
      <c r="B2" s="72" t="s">
        <v>925</v>
      </c>
      <c r="C2" s="72" t="s">
        <v>926</v>
      </c>
      <c r="D2" s="72" t="s">
        <v>927</v>
      </c>
      <c r="E2" s="72" t="s">
        <v>917</v>
      </c>
      <c r="F2" s="72" t="s">
        <v>918</v>
      </c>
      <c r="G2" s="72" t="s">
        <v>919</v>
      </c>
      <c r="H2" s="72" t="s">
        <v>928</v>
      </c>
      <c r="I2" s="72" t="s">
        <v>929</v>
      </c>
      <c r="J2" s="72" t="s">
        <v>930</v>
      </c>
      <c r="K2" s="72" t="s">
        <v>923</v>
      </c>
      <c r="L2" s="72" t="s">
        <v>931</v>
      </c>
      <c r="M2" s="72" t="s">
        <v>924</v>
      </c>
      <c r="O2" s="110" t="s">
        <v>925</v>
      </c>
      <c r="P2" s="110" t="s">
        <v>926</v>
      </c>
      <c r="Q2" s="110" t="s">
        <v>927</v>
      </c>
      <c r="R2" s="110" t="s">
        <v>917</v>
      </c>
      <c r="S2" s="110" t="s">
        <v>918</v>
      </c>
      <c r="T2" s="110" t="s">
        <v>919</v>
      </c>
      <c r="U2" s="110" t="s">
        <v>928</v>
      </c>
      <c r="V2" s="110" t="s">
        <v>929</v>
      </c>
      <c r="W2" s="110" t="s">
        <v>930</v>
      </c>
      <c r="X2" s="110" t="s">
        <v>923</v>
      </c>
      <c r="Y2" s="110" t="s">
        <v>931</v>
      </c>
      <c r="Z2" s="110" t="s">
        <v>924</v>
      </c>
    </row>
    <row r="3" spans="1:26">
      <c r="B3" s="111" t="s">
        <v>933</v>
      </c>
      <c r="C3" s="111"/>
      <c r="D3" s="111"/>
      <c r="E3" s="111"/>
      <c r="F3" s="111"/>
      <c r="G3" s="111"/>
      <c r="H3" s="111"/>
      <c r="I3" s="111"/>
      <c r="J3" s="111"/>
      <c r="K3" s="112" t="s">
        <v>874</v>
      </c>
      <c r="L3" s="112"/>
      <c r="M3" s="112"/>
      <c r="O3" s="113" t="s">
        <v>916</v>
      </c>
      <c r="P3" s="113"/>
      <c r="Q3" s="113"/>
      <c r="R3" s="113"/>
      <c r="S3" s="113"/>
      <c r="T3" s="113"/>
      <c r="U3" s="113"/>
      <c r="V3" s="113"/>
      <c r="W3" s="113"/>
      <c r="X3" s="114" t="s">
        <v>874</v>
      </c>
      <c r="Y3" s="114"/>
      <c r="Z3" s="114"/>
    </row>
    <row r="4" spans="1:26">
      <c r="A4" s="66">
        <v>1987</v>
      </c>
      <c r="B4" s="115">
        <f>O4/O$4*100</f>
        <v>100</v>
      </c>
      <c r="C4" s="115">
        <f t="shared" ref="C4:M19" si="0">P4/P$4*100</f>
        <v>100</v>
      </c>
      <c r="D4" s="115">
        <f t="shared" si="0"/>
        <v>100</v>
      </c>
      <c r="E4" s="115">
        <f t="shared" si="0"/>
        <v>100</v>
      </c>
      <c r="F4" s="115">
        <f t="shared" si="0"/>
        <v>100</v>
      </c>
      <c r="G4" s="115">
        <f t="shared" si="0"/>
        <v>100</v>
      </c>
      <c r="H4" s="115">
        <f t="shared" si="0"/>
        <v>100</v>
      </c>
      <c r="I4" s="115">
        <f t="shared" si="0"/>
        <v>100</v>
      </c>
      <c r="J4" s="115">
        <f t="shared" si="0"/>
        <v>100</v>
      </c>
      <c r="K4" s="115">
        <f t="shared" si="0"/>
        <v>100</v>
      </c>
      <c r="L4" s="115">
        <f t="shared" si="0"/>
        <v>100</v>
      </c>
      <c r="M4" s="115">
        <f t="shared" si="0"/>
        <v>100</v>
      </c>
      <c r="O4" s="115">
        <v>54.194000000000003</v>
      </c>
      <c r="P4" s="115">
        <v>76.350999999999999</v>
      </c>
      <c r="Q4" s="115">
        <v>49.726999999999997</v>
      </c>
      <c r="R4" s="115">
        <v>65.427999999999997</v>
      </c>
      <c r="S4" s="115">
        <v>108.983</v>
      </c>
      <c r="T4" s="115">
        <v>60.034999999999997</v>
      </c>
      <c r="U4" s="115">
        <v>66.631</v>
      </c>
      <c r="V4" s="115">
        <v>81.334000000000003</v>
      </c>
      <c r="W4" s="115">
        <v>92.179000000000002</v>
      </c>
      <c r="X4" s="116">
        <v>3595.0880000000002</v>
      </c>
      <c r="Y4" s="116">
        <v>2257.7910000000002</v>
      </c>
      <c r="Z4" s="116">
        <v>1116.8789999999999</v>
      </c>
    </row>
    <row r="5" spans="1:26">
      <c r="A5" s="66">
        <v>1988</v>
      </c>
      <c r="B5" s="115">
        <f t="shared" ref="B5:B20" si="1">O5/O$4*100</f>
        <v>104.31966638373251</v>
      </c>
      <c r="C5" s="115">
        <f t="shared" si="0"/>
        <v>103.36734292936569</v>
      </c>
      <c r="D5" s="115">
        <f t="shared" si="0"/>
        <v>103.77058740724354</v>
      </c>
      <c r="E5" s="115">
        <f t="shared" si="0"/>
        <v>101.52839762792689</v>
      </c>
      <c r="F5" s="115">
        <f t="shared" si="0"/>
        <v>100.52760522283293</v>
      </c>
      <c r="G5" s="115">
        <f t="shared" si="0"/>
        <v>100.99608561672359</v>
      </c>
      <c r="H5" s="115">
        <f t="shared" si="0"/>
        <v>103.49837162882143</v>
      </c>
      <c r="I5" s="115">
        <f t="shared" si="0"/>
        <v>100.79302628666977</v>
      </c>
      <c r="J5" s="115">
        <f t="shared" si="0"/>
        <v>100.60100456720077</v>
      </c>
      <c r="K5" s="115">
        <f t="shared" si="0"/>
        <v>107.52451678512458</v>
      </c>
      <c r="L5" s="115">
        <f t="shared" si="0"/>
        <v>109.20860256773102</v>
      </c>
      <c r="M5" s="115">
        <f t="shared" si="0"/>
        <v>103.77337204835978</v>
      </c>
      <c r="O5" s="115">
        <v>56.534999999999997</v>
      </c>
      <c r="P5" s="115">
        <v>78.921999999999997</v>
      </c>
      <c r="Q5" s="115">
        <v>51.601999999999997</v>
      </c>
      <c r="R5" s="115">
        <v>66.427999999999997</v>
      </c>
      <c r="S5" s="115">
        <v>109.55800000000001</v>
      </c>
      <c r="T5" s="115">
        <v>60.633000000000003</v>
      </c>
      <c r="U5" s="115">
        <v>68.962000000000003</v>
      </c>
      <c r="V5" s="115">
        <v>81.978999999999999</v>
      </c>
      <c r="W5" s="115">
        <v>92.733000000000004</v>
      </c>
      <c r="X5" s="116">
        <v>3865.6010000000001</v>
      </c>
      <c r="Y5" s="116">
        <v>2465.7020000000002</v>
      </c>
      <c r="Z5" s="116">
        <v>1159.0229999999999</v>
      </c>
    </row>
    <row r="6" spans="1:26">
      <c r="A6" s="66">
        <v>1989</v>
      </c>
      <c r="B6" s="115">
        <f t="shared" si="1"/>
        <v>108.1983245377717</v>
      </c>
      <c r="C6" s="115">
        <f t="shared" si="0"/>
        <v>106.69932286414061</v>
      </c>
      <c r="D6" s="115">
        <f t="shared" si="0"/>
        <v>107.76640456894646</v>
      </c>
      <c r="E6" s="115">
        <f t="shared" si="0"/>
        <v>102.58452038882436</v>
      </c>
      <c r="F6" s="115">
        <f t="shared" si="0"/>
        <v>100.40097996935302</v>
      </c>
      <c r="G6" s="115">
        <f t="shared" si="0"/>
        <v>102.17539768468393</v>
      </c>
      <c r="H6" s="115">
        <f t="shared" si="0"/>
        <v>107.04476895138899</v>
      </c>
      <c r="I6" s="115">
        <f t="shared" si="0"/>
        <v>101.07826985024712</v>
      </c>
      <c r="J6" s="115">
        <f t="shared" si="0"/>
        <v>101.16186984020221</v>
      </c>
      <c r="K6" s="115">
        <f t="shared" si="0"/>
        <v>115.58924287806028</v>
      </c>
      <c r="L6" s="115">
        <f t="shared" si="0"/>
        <v>115.7069454170027</v>
      </c>
      <c r="M6" s="115">
        <f t="shared" si="0"/>
        <v>115.44580925955275</v>
      </c>
      <c r="O6" s="115">
        <v>58.637</v>
      </c>
      <c r="P6" s="115">
        <v>81.465999999999994</v>
      </c>
      <c r="Q6" s="115">
        <v>53.588999999999999</v>
      </c>
      <c r="R6" s="115">
        <v>67.119</v>
      </c>
      <c r="S6" s="115">
        <v>109.42</v>
      </c>
      <c r="T6" s="115">
        <v>61.341000000000001</v>
      </c>
      <c r="U6" s="115">
        <v>71.325000000000003</v>
      </c>
      <c r="V6" s="115">
        <v>82.210999999999999</v>
      </c>
      <c r="W6" s="115">
        <v>93.25</v>
      </c>
      <c r="X6" s="116">
        <v>4155.5349999999999</v>
      </c>
      <c r="Y6" s="116">
        <v>2612.4209999999998</v>
      </c>
      <c r="Z6" s="116">
        <v>1289.3900000000001</v>
      </c>
    </row>
    <row r="7" spans="1:26">
      <c r="A7" s="66">
        <v>1990</v>
      </c>
      <c r="B7" s="115">
        <f t="shared" si="1"/>
        <v>109.86271542975237</v>
      </c>
      <c r="C7" s="115">
        <f t="shared" si="0"/>
        <v>106.57882673442391</v>
      </c>
      <c r="D7" s="115">
        <f t="shared" si="0"/>
        <v>110.97391759004162</v>
      </c>
      <c r="E7" s="115">
        <f t="shared" si="0"/>
        <v>104.82973650424894</v>
      </c>
      <c r="F7" s="115">
        <f t="shared" si="0"/>
        <v>98.99892643806831</v>
      </c>
      <c r="G7" s="115">
        <f t="shared" si="0"/>
        <v>105.88989755975682</v>
      </c>
      <c r="H7" s="115">
        <f t="shared" si="0"/>
        <v>108.00078041752339</v>
      </c>
      <c r="I7" s="115">
        <f t="shared" si="0"/>
        <v>101.72375636265276</v>
      </c>
      <c r="J7" s="115">
        <f t="shared" si="0"/>
        <v>101.69561396847438</v>
      </c>
      <c r="K7" s="115">
        <f t="shared" si="0"/>
        <v>121.56314393416794</v>
      </c>
      <c r="L7" s="115">
        <f t="shared" si="0"/>
        <v>122.16188300865755</v>
      </c>
      <c r="M7" s="115">
        <f t="shared" si="0"/>
        <v>120.22869084296511</v>
      </c>
      <c r="O7" s="115">
        <v>59.539000000000001</v>
      </c>
      <c r="P7" s="115">
        <v>81.373999999999995</v>
      </c>
      <c r="Q7" s="115">
        <v>55.183999999999997</v>
      </c>
      <c r="R7" s="115">
        <v>68.587999999999994</v>
      </c>
      <c r="S7" s="115">
        <v>107.892</v>
      </c>
      <c r="T7" s="115">
        <v>63.570999999999998</v>
      </c>
      <c r="U7" s="115">
        <v>71.962000000000003</v>
      </c>
      <c r="V7" s="115">
        <v>82.736000000000004</v>
      </c>
      <c r="W7" s="115">
        <v>93.742000000000004</v>
      </c>
      <c r="X7" s="116">
        <v>4370.3019999999997</v>
      </c>
      <c r="Y7" s="116">
        <v>2758.16</v>
      </c>
      <c r="Z7" s="116">
        <v>1342.809</v>
      </c>
    </row>
    <row r="8" spans="1:26">
      <c r="A8" s="66">
        <v>1991</v>
      </c>
      <c r="B8" s="115">
        <f t="shared" si="1"/>
        <v>108.96040152046351</v>
      </c>
      <c r="C8" s="115">
        <f t="shared" si="0"/>
        <v>105.49698104805438</v>
      </c>
      <c r="D8" s="115">
        <f t="shared" si="0"/>
        <v>113.93609105717215</v>
      </c>
      <c r="E8" s="115">
        <f t="shared" si="0"/>
        <v>106.54307024515499</v>
      </c>
      <c r="F8" s="115">
        <f t="shared" si="0"/>
        <v>95.632346329244015</v>
      </c>
      <c r="G8" s="115">
        <f t="shared" si="0"/>
        <v>111.40834513200633</v>
      </c>
      <c r="H8" s="115">
        <f t="shared" si="0"/>
        <v>108.17787516321231</v>
      </c>
      <c r="I8" s="115">
        <f t="shared" si="0"/>
        <v>100.72417439201318</v>
      </c>
      <c r="J8" s="115">
        <f t="shared" si="0"/>
        <v>103.15581640069864</v>
      </c>
      <c r="K8" s="115">
        <f t="shared" si="0"/>
        <v>124.26115855856656</v>
      </c>
      <c r="L8" s="115">
        <f t="shared" si="0"/>
        <v>124.97051321402202</v>
      </c>
      <c r="M8" s="115">
        <f t="shared" si="0"/>
        <v>118.88181262249537</v>
      </c>
      <c r="O8" s="115">
        <v>59.05</v>
      </c>
      <c r="P8" s="115">
        <v>80.548000000000002</v>
      </c>
      <c r="Q8" s="115">
        <v>56.656999999999996</v>
      </c>
      <c r="R8" s="115">
        <v>69.709000000000003</v>
      </c>
      <c r="S8" s="115">
        <v>104.223</v>
      </c>
      <c r="T8" s="115">
        <v>66.884</v>
      </c>
      <c r="U8" s="115">
        <v>72.08</v>
      </c>
      <c r="V8" s="115">
        <v>81.923000000000002</v>
      </c>
      <c r="W8" s="115">
        <v>95.087999999999994</v>
      </c>
      <c r="X8" s="116">
        <v>4467.2979999999998</v>
      </c>
      <c r="Y8" s="116">
        <v>2821.5729999999999</v>
      </c>
      <c r="Z8" s="116">
        <v>1327.7660000000001</v>
      </c>
    </row>
    <row r="9" spans="1:26">
      <c r="A9" s="66">
        <v>1992</v>
      </c>
      <c r="B9" s="115">
        <f t="shared" si="1"/>
        <v>113.30405579953499</v>
      </c>
      <c r="C9" s="115">
        <f t="shared" si="0"/>
        <v>106.58013647496432</v>
      </c>
      <c r="D9" s="115">
        <f t="shared" si="0"/>
        <v>116.34725601785752</v>
      </c>
      <c r="E9" s="115">
        <f t="shared" si="0"/>
        <v>111.00140612581771</v>
      </c>
      <c r="F9" s="115">
        <f t="shared" si="0"/>
        <v>97.384913243349871</v>
      </c>
      <c r="G9" s="115">
        <f t="shared" si="0"/>
        <v>113.98184392437744</v>
      </c>
      <c r="H9" s="115">
        <f t="shared" si="0"/>
        <v>109.66367006348395</v>
      </c>
      <c r="I9" s="115">
        <f t="shared" si="0"/>
        <v>103.32087441906212</v>
      </c>
      <c r="J9" s="115">
        <f t="shared" si="0"/>
        <v>104.4131526703479</v>
      </c>
      <c r="K9" s="115">
        <f t="shared" si="0"/>
        <v>131.59127120115002</v>
      </c>
      <c r="L9" s="115">
        <f t="shared" si="0"/>
        <v>132.32562269935525</v>
      </c>
      <c r="M9" s="115">
        <f t="shared" si="0"/>
        <v>125.15742528957927</v>
      </c>
      <c r="O9" s="115">
        <v>61.404000000000003</v>
      </c>
      <c r="P9" s="115">
        <v>81.375</v>
      </c>
      <c r="Q9" s="115">
        <v>57.856000000000002</v>
      </c>
      <c r="R9" s="115">
        <v>72.626000000000005</v>
      </c>
      <c r="S9" s="115">
        <v>106.133</v>
      </c>
      <c r="T9" s="115">
        <v>68.429000000000002</v>
      </c>
      <c r="U9" s="115">
        <v>73.069999999999993</v>
      </c>
      <c r="V9" s="115">
        <v>84.034999999999997</v>
      </c>
      <c r="W9" s="115">
        <v>96.247</v>
      </c>
      <c r="X9" s="116">
        <v>4730.8220000000001</v>
      </c>
      <c r="Y9" s="116">
        <v>2987.636</v>
      </c>
      <c r="Z9" s="116">
        <v>1397.857</v>
      </c>
    </row>
    <row r="10" spans="1:26">
      <c r="A10" s="66">
        <v>1993</v>
      </c>
      <c r="B10" s="115">
        <f t="shared" si="1"/>
        <v>117.07569103590802</v>
      </c>
      <c r="C10" s="115">
        <f t="shared" si="0"/>
        <v>109.90687744757763</v>
      </c>
      <c r="D10" s="115">
        <f t="shared" si="0"/>
        <v>119.96701992881131</v>
      </c>
      <c r="E10" s="115">
        <f t="shared" si="0"/>
        <v>111.6677874915938</v>
      </c>
      <c r="F10" s="115">
        <f t="shared" si="0"/>
        <v>97.588614738078419</v>
      </c>
      <c r="G10" s="115">
        <f t="shared" si="0"/>
        <v>114.42658449237946</v>
      </c>
      <c r="H10" s="115">
        <f t="shared" si="0"/>
        <v>113.08249913703831</v>
      </c>
      <c r="I10" s="115">
        <f t="shared" si="0"/>
        <v>103.53111859738856</v>
      </c>
      <c r="J10" s="115">
        <f t="shared" si="0"/>
        <v>104.82973345338959</v>
      </c>
      <c r="K10" s="115">
        <f t="shared" si="0"/>
        <v>138.62942993328676</v>
      </c>
      <c r="L10" s="115">
        <f t="shared" si="0"/>
        <v>139.18861400368766</v>
      </c>
      <c r="M10" s="115">
        <f t="shared" si="0"/>
        <v>133.54830738155167</v>
      </c>
      <c r="O10" s="115">
        <v>63.448</v>
      </c>
      <c r="P10" s="115">
        <v>83.915000000000006</v>
      </c>
      <c r="Q10" s="115">
        <v>59.655999999999999</v>
      </c>
      <c r="R10" s="115">
        <v>73.061999999999998</v>
      </c>
      <c r="S10" s="115">
        <v>106.355</v>
      </c>
      <c r="T10" s="115">
        <v>68.695999999999998</v>
      </c>
      <c r="U10" s="115">
        <v>75.347999999999999</v>
      </c>
      <c r="V10" s="115">
        <v>84.206000000000003</v>
      </c>
      <c r="W10" s="115">
        <v>96.631</v>
      </c>
      <c r="X10" s="116">
        <v>4983.8500000000004</v>
      </c>
      <c r="Y10" s="116">
        <v>3142.5880000000002</v>
      </c>
      <c r="Z10" s="116">
        <v>1491.5730000000001</v>
      </c>
    </row>
    <row r="11" spans="1:26">
      <c r="A11" s="66">
        <v>1994</v>
      </c>
      <c r="B11" s="115">
        <f t="shared" si="1"/>
        <v>122.87153559434623</v>
      </c>
      <c r="C11" s="115">
        <f t="shared" si="0"/>
        <v>114.85507720920485</v>
      </c>
      <c r="D11" s="115">
        <f t="shared" si="0"/>
        <v>124.19007782492409</v>
      </c>
      <c r="E11" s="115">
        <f t="shared" si="0"/>
        <v>112.72238185486336</v>
      </c>
      <c r="F11" s="115">
        <f t="shared" si="0"/>
        <v>98.939284108530671</v>
      </c>
      <c r="G11" s="115">
        <f t="shared" si="0"/>
        <v>113.93187307404015</v>
      </c>
      <c r="H11" s="115">
        <f t="shared" si="0"/>
        <v>117.81152916810494</v>
      </c>
      <c r="I11" s="115">
        <f t="shared" si="0"/>
        <v>104.29586642732436</v>
      </c>
      <c r="J11" s="115">
        <f t="shared" si="0"/>
        <v>105.36673211902929</v>
      </c>
      <c r="K11" s="115">
        <f t="shared" si="0"/>
        <v>147.97607179573907</v>
      </c>
      <c r="L11" s="115">
        <f t="shared" si="0"/>
        <v>147.3623997969697</v>
      </c>
      <c r="M11" s="115">
        <f t="shared" si="0"/>
        <v>144.28348997518981</v>
      </c>
      <c r="O11" s="115">
        <v>66.588999999999999</v>
      </c>
      <c r="P11" s="115">
        <v>87.692999999999998</v>
      </c>
      <c r="Q11" s="115">
        <v>61.756</v>
      </c>
      <c r="R11" s="115">
        <v>73.751999999999995</v>
      </c>
      <c r="S11" s="115">
        <v>107.827</v>
      </c>
      <c r="T11" s="115">
        <v>68.399000000000001</v>
      </c>
      <c r="U11" s="115">
        <v>78.498999999999995</v>
      </c>
      <c r="V11" s="115">
        <v>84.828000000000003</v>
      </c>
      <c r="W11" s="115">
        <v>97.126000000000005</v>
      </c>
      <c r="X11" s="116">
        <v>5319.87</v>
      </c>
      <c r="Y11" s="116">
        <v>3327.1350000000002</v>
      </c>
      <c r="Z11" s="116">
        <v>1611.472</v>
      </c>
    </row>
    <row r="12" spans="1:26">
      <c r="A12" s="66">
        <v>1995</v>
      </c>
      <c r="B12" s="115">
        <f t="shared" si="1"/>
        <v>126.41989888179504</v>
      </c>
      <c r="C12" s="115">
        <f t="shared" si="0"/>
        <v>117.9080824088748</v>
      </c>
      <c r="D12" s="115">
        <f t="shared" si="0"/>
        <v>129.49102097452086</v>
      </c>
      <c r="E12" s="115">
        <f t="shared" si="0"/>
        <v>112.83395488170203</v>
      </c>
      <c r="F12" s="115">
        <f t="shared" si="0"/>
        <v>97.628988007303889</v>
      </c>
      <c r="G12" s="115">
        <f t="shared" si="0"/>
        <v>115.5742483551262</v>
      </c>
      <c r="H12" s="115">
        <f t="shared" si="0"/>
        <v>121.56053488616409</v>
      </c>
      <c r="I12" s="115">
        <f t="shared" si="0"/>
        <v>103.99832788255834</v>
      </c>
      <c r="J12" s="115">
        <f t="shared" si="0"/>
        <v>105.23546577853958</v>
      </c>
      <c r="K12" s="115">
        <f t="shared" si="0"/>
        <v>154.87643139750682</v>
      </c>
      <c r="L12" s="115">
        <f t="shared" si="0"/>
        <v>154.36570524021045</v>
      </c>
      <c r="M12" s="115">
        <f t="shared" si="0"/>
        <v>151.55562957133228</v>
      </c>
      <c r="O12" s="115">
        <v>68.512</v>
      </c>
      <c r="P12" s="115">
        <v>90.024000000000001</v>
      </c>
      <c r="Q12" s="115">
        <v>64.391999999999996</v>
      </c>
      <c r="R12" s="115">
        <v>73.825000000000003</v>
      </c>
      <c r="S12" s="115">
        <v>106.399</v>
      </c>
      <c r="T12" s="115">
        <v>69.385000000000005</v>
      </c>
      <c r="U12" s="115">
        <v>80.997</v>
      </c>
      <c r="V12" s="115">
        <v>84.585999999999999</v>
      </c>
      <c r="W12" s="115">
        <v>97.004999999999995</v>
      </c>
      <c r="X12" s="116">
        <v>5567.9440000000004</v>
      </c>
      <c r="Y12" s="116">
        <v>3485.2550000000001</v>
      </c>
      <c r="Z12" s="116">
        <v>1692.693</v>
      </c>
    </row>
    <row r="13" spans="1:26">
      <c r="A13" s="66">
        <v>1996</v>
      </c>
      <c r="B13" s="115">
        <f t="shared" si="1"/>
        <v>132.22127910838839</v>
      </c>
      <c r="C13" s="115">
        <f t="shared" si="0"/>
        <v>120.24858875456772</v>
      </c>
      <c r="D13" s="115">
        <f t="shared" si="0"/>
        <v>135.38922516942506</v>
      </c>
      <c r="E13" s="115">
        <f t="shared" si="0"/>
        <v>116.12765176988447</v>
      </c>
      <c r="F13" s="115">
        <f t="shared" si="0"/>
        <v>97.660185533523574</v>
      </c>
      <c r="G13" s="115">
        <f t="shared" si="0"/>
        <v>118.91063546264679</v>
      </c>
      <c r="H13" s="115">
        <f t="shared" si="0"/>
        <v>124.99437198901411</v>
      </c>
      <c r="I13" s="115">
        <f t="shared" si="0"/>
        <v>105.78355915115449</v>
      </c>
      <c r="J13" s="115">
        <f t="shared" si="0"/>
        <v>105.60973757580359</v>
      </c>
      <c r="K13" s="115">
        <f t="shared" si="0"/>
        <v>164.54540194843631</v>
      </c>
      <c r="L13" s="115">
        <f t="shared" si="0"/>
        <v>162.96335666144472</v>
      </c>
      <c r="M13" s="115">
        <f t="shared" si="0"/>
        <v>163.78175254436692</v>
      </c>
      <c r="O13" s="115">
        <v>71.656000000000006</v>
      </c>
      <c r="P13" s="115">
        <v>91.811000000000007</v>
      </c>
      <c r="Q13" s="115">
        <v>67.325000000000003</v>
      </c>
      <c r="R13" s="115">
        <v>75.98</v>
      </c>
      <c r="S13" s="115">
        <v>106.43300000000001</v>
      </c>
      <c r="T13" s="115">
        <v>71.388000000000005</v>
      </c>
      <c r="U13" s="115">
        <v>83.284999999999997</v>
      </c>
      <c r="V13" s="115">
        <v>86.037999999999997</v>
      </c>
      <c r="W13" s="115">
        <v>97.35</v>
      </c>
      <c r="X13" s="116">
        <v>5915.5519999999997</v>
      </c>
      <c r="Y13" s="116">
        <v>3679.3719999999998</v>
      </c>
      <c r="Z13" s="116">
        <v>1829.2439999999999</v>
      </c>
    </row>
    <row r="14" spans="1:26">
      <c r="A14" s="66">
        <v>1997</v>
      </c>
      <c r="B14" s="115">
        <f t="shared" si="1"/>
        <v>139.10580507067203</v>
      </c>
      <c r="C14" s="115">
        <f t="shared" si="0"/>
        <v>124.95841573784232</v>
      </c>
      <c r="D14" s="115">
        <f t="shared" si="0"/>
        <v>142.54429183341043</v>
      </c>
      <c r="E14" s="115">
        <f t="shared" si="0"/>
        <v>118.16653420553891</v>
      </c>
      <c r="F14" s="115">
        <f t="shared" si="0"/>
        <v>97.588614738078419</v>
      </c>
      <c r="G14" s="115">
        <f t="shared" si="0"/>
        <v>121.08603314733072</v>
      </c>
      <c r="H14" s="115">
        <f t="shared" si="0"/>
        <v>130.45279224385044</v>
      </c>
      <c r="I14" s="115">
        <f t="shared" si="0"/>
        <v>106.63437184941107</v>
      </c>
      <c r="J14" s="115">
        <f t="shared" si="0"/>
        <v>106.14673624144328</v>
      </c>
      <c r="K14" s="115">
        <f t="shared" si="0"/>
        <v>175.84481937577047</v>
      </c>
      <c r="L14" s="115">
        <f t="shared" si="0"/>
        <v>174.46526272803814</v>
      </c>
      <c r="M14" s="115">
        <f t="shared" si="0"/>
        <v>173.30552369594201</v>
      </c>
      <c r="O14" s="115">
        <v>75.387</v>
      </c>
      <c r="P14" s="115">
        <v>95.406999999999996</v>
      </c>
      <c r="Q14" s="115">
        <v>70.882999999999996</v>
      </c>
      <c r="R14" s="115">
        <v>77.313999999999993</v>
      </c>
      <c r="S14" s="115">
        <v>106.355</v>
      </c>
      <c r="T14" s="115">
        <v>72.694000000000003</v>
      </c>
      <c r="U14" s="115">
        <v>86.921999999999997</v>
      </c>
      <c r="V14" s="115">
        <v>86.73</v>
      </c>
      <c r="W14" s="115">
        <v>97.844999999999999</v>
      </c>
      <c r="X14" s="116">
        <v>6321.7759999999998</v>
      </c>
      <c r="Y14" s="116">
        <v>3939.0610000000001</v>
      </c>
      <c r="Z14" s="116">
        <v>1935.6130000000001</v>
      </c>
    </row>
    <row r="15" spans="1:26">
      <c r="A15" s="66">
        <v>1998</v>
      </c>
      <c r="B15" s="115">
        <f t="shared" si="1"/>
        <v>146.09550872790345</v>
      </c>
      <c r="C15" s="115">
        <f t="shared" si="0"/>
        <v>127.78876504564445</v>
      </c>
      <c r="D15" s="115">
        <f t="shared" si="0"/>
        <v>151.4086914553462</v>
      </c>
      <c r="E15" s="115">
        <f t="shared" si="0"/>
        <v>121.67879195451488</v>
      </c>
      <c r="F15" s="115">
        <f t="shared" si="0"/>
        <v>96.491195874585941</v>
      </c>
      <c r="G15" s="115">
        <f t="shared" si="0"/>
        <v>126.10310652119598</v>
      </c>
      <c r="H15" s="115">
        <f t="shared" si="0"/>
        <v>135.04825081418559</v>
      </c>
      <c r="I15" s="115">
        <f t="shared" si="0"/>
        <v>108.18230998106573</v>
      </c>
      <c r="J15" s="115">
        <f t="shared" si="0"/>
        <v>106.42988099241693</v>
      </c>
      <c r="K15" s="115">
        <f t="shared" si="0"/>
        <v>185.92905097177038</v>
      </c>
      <c r="L15" s="115">
        <f t="shared" si="0"/>
        <v>188.5860560166995</v>
      </c>
      <c r="M15" s="115">
        <f t="shared" si="0"/>
        <v>175.06023481505159</v>
      </c>
      <c r="O15" s="115">
        <v>79.174999999999997</v>
      </c>
      <c r="P15" s="115">
        <v>97.567999999999998</v>
      </c>
      <c r="Q15" s="115">
        <v>75.290999999999997</v>
      </c>
      <c r="R15" s="115">
        <v>79.611999999999995</v>
      </c>
      <c r="S15" s="115">
        <v>105.15900000000001</v>
      </c>
      <c r="T15" s="115">
        <v>75.706000000000003</v>
      </c>
      <c r="U15" s="115">
        <v>89.983999999999995</v>
      </c>
      <c r="V15" s="115">
        <v>87.989000000000004</v>
      </c>
      <c r="W15" s="115">
        <v>98.105999999999995</v>
      </c>
      <c r="X15" s="116">
        <v>6684.3130000000001</v>
      </c>
      <c r="Y15" s="116">
        <v>4257.8789999999999</v>
      </c>
      <c r="Z15" s="116">
        <v>1955.211</v>
      </c>
    </row>
    <row r="16" spans="1:26">
      <c r="A16" s="66">
        <v>1999</v>
      </c>
      <c r="B16" s="115">
        <f t="shared" si="1"/>
        <v>154.31413071557739</v>
      </c>
      <c r="C16" s="115">
        <f t="shared" si="0"/>
        <v>130.83522154261243</v>
      </c>
      <c r="D16" s="115">
        <f t="shared" si="0"/>
        <v>161.47766806764938</v>
      </c>
      <c r="E16" s="115">
        <f t="shared" si="0"/>
        <v>125.9537201198264</v>
      </c>
      <c r="F16" s="115">
        <f t="shared" si="0"/>
        <v>95.564445831001166</v>
      </c>
      <c r="G16" s="115">
        <f t="shared" si="0"/>
        <v>131.80144915465979</v>
      </c>
      <c r="H16" s="115">
        <f t="shared" si="0"/>
        <v>140.05643019015173</v>
      </c>
      <c r="I16" s="115">
        <f t="shared" si="0"/>
        <v>110.18024442422603</v>
      </c>
      <c r="J16" s="115">
        <f t="shared" si="0"/>
        <v>106.78896494863255</v>
      </c>
      <c r="K16" s="115">
        <f t="shared" si="0"/>
        <v>197.95473713021767</v>
      </c>
      <c r="L16" s="115">
        <f t="shared" si="0"/>
        <v>201.14009666970944</v>
      </c>
      <c r="M16" s="115">
        <f t="shared" si="0"/>
        <v>187.27713566106985</v>
      </c>
      <c r="O16" s="115">
        <v>83.629000000000005</v>
      </c>
      <c r="P16" s="115">
        <v>99.894000000000005</v>
      </c>
      <c r="Q16" s="115">
        <v>80.298000000000002</v>
      </c>
      <c r="R16" s="115">
        <v>82.409000000000006</v>
      </c>
      <c r="S16" s="115">
        <v>104.149</v>
      </c>
      <c r="T16" s="115">
        <v>79.126999999999995</v>
      </c>
      <c r="U16" s="115">
        <v>93.320999999999998</v>
      </c>
      <c r="V16" s="115">
        <v>89.614000000000004</v>
      </c>
      <c r="W16" s="115">
        <v>98.436999999999998</v>
      </c>
      <c r="X16" s="116">
        <v>7116.6469999999999</v>
      </c>
      <c r="Y16" s="116">
        <v>4541.3230000000003</v>
      </c>
      <c r="Z16" s="116">
        <v>2091.6590000000001</v>
      </c>
    </row>
    <row r="17" spans="1:26">
      <c r="A17" s="66">
        <v>2000</v>
      </c>
      <c r="B17" s="115">
        <f t="shared" si="1"/>
        <v>161.34627449533156</v>
      </c>
      <c r="C17" s="115">
        <f t="shared" si="0"/>
        <v>132.42917578027794</v>
      </c>
      <c r="D17" s="115">
        <f t="shared" si="0"/>
        <v>171.70350111609386</v>
      </c>
      <c r="E17" s="115">
        <f t="shared" si="0"/>
        <v>130.38607324081431</v>
      </c>
      <c r="F17" s="115">
        <f t="shared" si="0"/>
        <v>93.967866547993722</v>
      </c>
      <c r="G17" s="115">
        <f t="shared" si="0"/>
        <v>138.75572582660115</v>
      </c>
      <c r="H17" s="115">
        <f t="shared" si="0"/>
        <v>143.94200897480152</v>
      </c>
      <c r="I17" s="115">
        <f t="shared" si="0"/>
        <v>112.09088450094671</v>
      </c>
      <c r="J17" s="115">
        <f t="shared" si="0"/>
        <v>107.01569771856931</v>
      </c>
      <c r="K17" s="115">
        <f t="shared" si="0"/>
        <v>210.81308719007711</v>
      </c>
      <c r="L17" s="115">
        <f t="shared" si="0"/>
        <v>217.12492431761839</v>
      </c>
      <c r="M17" s="115">
        <f t="shared" si="0"/>
        <v>191.55020373737889</v>
      </c>
      <c r="O17" s="115">
        <v>87.44</v>
      </c>
      <c r="P17" s="115">
        <v>101.111</v>
      </c>
      <c r="Q17" s="115">
        <v>85.382999999999996</v>
      </c>
      <c r="R17" s="115">
        <v>85.308999999999997</v>
      </c>
      <c r="S17" s="115">
        <v>102.40900000000001</v>
      </c>
      <c r="T17" s="115">
        <v>83.302000000000007</v>
      </c>
      <c r="U17" s="115">
        <v>95.91</v>
      </c>
      <c r="V17" s="115">
        <v>91.168000000000006</v>
      </c>
      <c r="W17" s="115">
        <v>98.646000000000001</v>
      </c>
      <c r="X17" s="116">
        <v>7578.9160000000002</v>
      </c>
      <c r="Y17" s="116">
        <v>4902.2269999999999</v>
      </c>
      <c r="Z17" s="116">
        <v>2139.384</v>
      </c>
    </row>
    <row r="18" spans="1:26">
      <c r="A18" s="66">
        <v>2001</v>
      </c>
      <c r="B18" s="115">
        <f t="shared" si="1"/>
        <v>162.85935712440491</v>
      </c>
      <c r="C18" s="115">
        <f t="shared" si="0"/>
        <v>130.10045709944859</v>
      </c>
      <c r="D18" s="115">
        <f t="shared" si="0"/>
        <v>179.61469624147847</v>
      </c>
      <c r="E18" s="115">
        <f t="shared" si="0"/>
        <v>134.56012716268268</v>
      </c>
      <c r="F18" s="115">
        <f t="shared" si="0"/>
        <v>90.671022086013409</v>
      </c>
      <c r="G18" s="115">
        <f t="shared" si="0"/>
        <v>148.40509702673441</v>
      </c>
      <c r="H18" s="115">
        <f t="shared" si="0"/>
        <v>144.14311656736353</v>
      </c>
      <c r="I18" s="115">
        <f t="shared" si="0"/>
        <v>112.98472963336366</v>
      </c>
      <c r="J18" s="115">
        <f t="shared" si="0"/>
        <v>107.49194502001541</v>
      </c>
      <c r="K18" s="115">
        <f t="shared" si="0"/>
        <v>216.3471102793589</v>
      </c>
      <c r="L18" s="115">
        <f t="shared" si="0"/>
        <v>222.43192571854524</v>
      </c>
      <c r="M18" s="115">
        <f t="shared" si="0"/>
        <v>197.98402512716243</v>
      </c>
      <c r="O18" s="115">
        <v>88.26</v>
      </c>
      <c r="P18" s="115">
        <v>99.332999999999998</v>
      </c>
      <c r="Q18" s="115">
        <v>89.316999999999993</v>
      </c>
      <c r="R18" s="115">
        <v>88.04</v>
      </c>
      <c r="S18" s="115">
        <v>98.816000000000003</v>
      </c>
      <c r="T18" s="115">
        <v>89.094999999999999</v>
      </c>
      <c r="U18" s="115">
        <v>96.043999999999997</v>
      </c>
      <c r="V18" s="115">
        <v>91.894999999999996</v>
      </c>
      <c r="W18" s="115">
        <v>99.084999999999994</v>
      </c>
      <c r="X18" s="116">
        <v>7777.8689999999997</v>
      </c>
      <c r="Y18" s="116">
        <v>5022.0479999999998</v>
      </c>
      <c r="Z18" s="116">
        <v>2211.2420000000002</v>
      </c>
    </row>
    <row r="19" spans="1:26">
      <c r="A19" s="66">
        <v>2002</v>
      </c>
      <c r="B19" s="115">
        <f t="shared" si="1"/>
        <v>166.06266376351624</v>
      </c>
      <c r="C19" s="115">
        <f t="shared" si="0"/>
        <v>127.56479941323624</v>
      </c>
      <c r="D19" s="115">
        <f t="shared" si="0"/>
        <v>185.28163774207172</v>
      </c>
      <c r="E19" s="115">
        <f t="shared" si="0"/>
        <v>140.73943877239103</v>
      </c>
      <c r="F19" s="115">
        <f t="shared" si="0"/>
        <v>89.626822531954517</v>
      </c>
      <c r="G19" s="115">
        <f t="shared" si="0"/>
        <v>157.02673440493047</v>
      </c>
      <c r="H19" s="115">
        <f t="shared" si="0"/>
        <v>143.56230583362097</v>
      </c>
      <c r="I19" s="115">
        <f t="shared" si="0"/>
        <v>115.6736420193277</v>
      </c>
      <c r="J19" s="115">
        <f t="shared" si="0"/>
        <v>108.1103071198429</v>
      </c>
      <c r="K19" s="115">
        <f t="shared" si="0"/>
        <v>222.28387733485243</v>
      </c>
      <c r="L19" s="115">
        <f t="shared" si="0"/>
        <v>225.94057643067936</v>
      </c>
      <c r="M19" s="115">
        <f t="shared" si="0"/>
        <v>206.02258615302108</v>
      </c>
      <c r="O19" s="115">
        <v>89.995999999999995</v>
      </c>
      <c r="P19" s="115">
        <v>97.397000000000006</v>
      </c>
      <c r="Q19" s="115">
        <v>92.135000000000005</v>
      </c>
      <c r="R19" s="115">
        <v>92.082999999999998</v>
      </c>
      <c r="S19" s="115">
        <v>97.677999999999997</v>
      </c>
      <c r="T19" s="115">
        <v>94.271000000000001</v>
      </c>
      <c r="U19" s="115">
        <v>95.656999999999996</v>
      </c>
      <c r="V19" s="115">
        <v>94.081999999999994</v>
      </c>
      <c r="W19" s="115">
        <v>99.655000000000001</v>
      </c>
      <c r="X19" s="116">
        <v>7991.3010000000004</v>
      </c>
      <c r="Y19" s="116">
        <v>5101.2659999999996</v>
      </c>
      <c r="Z19" s="116">
        <v>2301.0230000000001</v>
      </c>
    </row>
    <row r="20" spans="1:26">
      <c r="A20" s="66">
        <v>2003</v>
      </c>
      <c r="B20" s="115">
        <f t="shared" si="1"/>
        <v>171.41380964682435</v>
      </c>
      <c r="C20" s="115">
        <f t="shared" ref="C20:J20" si="2">P20/P$4*100</f>
        <v>127.0068499430263</v>
      </c>
      <c r="D20" s="115">
        <f t="shared" si="2"/>
        <v>190.06978100428341</v>
      </c>
      <c r="E20" s="115">
        <f t="shared" si="2"/>
        <v>146.28140857125391</v>
      </c>
      <c r="F20" s="115">
        <f t="shared" si="2"/>
        <v>90.184707706706547</v>
      </c>
      <c r="G20" s="115">
        <f t="shared" si="2"/>
        <v>162.20204880486384</v>
      </c>
      <c r="H20" s="115">
        <f t="shared" si="2"/>
        <v>144.2886944515316</v>
      </c>
      <c r="I20" s="115">
        <f t="shared" si="2"/>
        <v>118.80025573560873</v>
      </c>
      <c r="J20" s="115">
        <f t="shared" si="2"/>
        <v>108.38477310450318</v>
      </c>
      <c r="K20" s="115">
        <f t="shared" ref="K20:M20" si="3">X20/X$4*100</f>
        <v>232.53049716724595</v>
      </c>
      <c r="L20" s="115">
        <f t="shared" si="3"/>
        <v>233.88453581398809</v>
      </c>
      <c r="M20" s="115">
        <f t="shared" si="3"/>
        <v>222.33160440835582</v>
      </c>
      <c r="O20" s="115">
        <v>92.896000000000001</v>
      </c>
      <c r="P20" s="115">
        <v>96.971000000000004</v>
      </c>
      <c r="Q20" s="115">
        <v>94.516000000000005</v>
      </c>
      <c r="R20" s="115">
        <v>95.709000000000003</v>
      </c>
      <c r="S20" s="115">
        <v>98.286000000000001</v>
      </c>
      <c r="T20" s="115">
        <v>97.378</v>
      </c>
      <c r="U20" s="115">
        <v>96.141000000000005</v>
      </c>
      <c r="V20" s="115">
        <v>96.625</v>
      </c>
      <c r="W20" s="115">
        <v>99.908000000000001</v>
      </c>
      <c r="X20" s="116">
        <v>8359.6759999999995</v>
      </c>
      <c r="Y20" s="116">
        <v>5280.6239999999998</v>
      </c>
      <c r="Z20" s="116">
        <v>2483.1750000000002</v>
      </c>
    </row>
    <row r="21" spans="1:26">
      <c r="A21" s="66">
        <v>2004</v>
      </c>
      <c r="B21" s="115">
        <f t="shared" ref="B21:B28" si="4">O21/O$4*100</f>
        <v>178.36660884968816</v>
      </c>
      <c r="C21" s="115">
        <f t="shared" ref="C21:C28" si="5">P21/P$4*100</f>
        <v>128.43577687260154</v>
      </c>
      <c r="D21" s="115">
        <f t="shared" ref="D21:D28" si="6">Q21/Q$4*100</f>
        <v>194.95244032416997</v>
      </c>
      <c r="E21" s="115">
        <f t="shared" ref="E21:E28" si="7">R21/R$4*100</f>
        <v>150.31943510423673</v>
      </c>
      <c r="F21" s="115">
        <f t="shared" ref="F21:F28" si="8">S21/S$4*100</f>
        <v>91.492251085031612</v>
      </c>
      <c r="G21" s="115">
        <f t="shared" ref="G21:G28" si="9">T21/T$4*100</f>
        <v>164.29749312900807</v>
      </c>
      <c r="H21" s="115">
        <f t="shared" ref="H21:H28" si="10">U21/U$4*100</f>
        <v>146.593927751347</v>
      </c>
      <c r="I21" s="115">
        <f t="shared" ref="I21:I28" si="11">V21/V$4*100</f>
        <v>121.6748223375218</v>
      </c>
      <c r="J21" s="115">
        <f t="shared" ref="J21:J28" si="12">W21/W$4*100</f>
        <v>108.23831892296509</v>
      </c>
      <c r="K21" s="115">
        <f t="shared" ref="K21:K28" si="13">X21/X$4*100</f>
        <v>248.16585852696792</v>
      </c>
      <c r="L21" s="115">
        <f t="shared" ref="L21:L28" si="14">Y21/Y$4*100</f>
        <v>245.10603505816081</v>
      </c>
      <c r="M21" s="115">
        <f t="shared" ref="M21:M28" si="15">Z21/Z$4*100</f>
        <v>252.01969058420835</v>
      </c>
      <c r="O21" s="115">
        <v>96.664000000000001</v>
      </c>
      <c r="P21" s="115">
        <v>98.061999999999998</v>
      </c>
      <c r="Q21" s="115">
        <v>96.944000000000003</v>
      </c>
      <c r="R21" s="115">
        <v>98.350999999999999</v>
      </c>
      <c r="S21" s="115">
        <v>99.710999999999999</v>
      </c>
      <c r="T21" s="115">
        <v>98.635999999999996</v>
      </c>
      <c r="U21" s="115">
        <v>97.677000000000007</v>
      </c>
      <c r="V21" s="115">
        <v>98.962999999999994</v>
      </c>
      <c r="W21" s="115">
        <v>99.772999999999996</v>
      </c>
      <c r="X21" s="116">
        <v>8921.7810000000009</v>
      </c>
      <c r="Y21" s="116">
        <v>5533.982</v>
      </c>
      <c r="Z21" s="116">
        <v>2814.7550000000001</v>
      </c>
    </row>
    <row r="22" spans="1:26">
      <c r="A22" s="66">
        <v>2005</v>
      </c>
      <c r="B22" s="115">
        <f t="shared" si="4"/>
        <v>184.52227183821086</v>
      </c>
      <c r="C22" s="115">
        <f t="shared" si="5"/>
        <v>130.9740540398947</v>
      </c>
      <c r="D22" s="115">
        <f t="shared" si="6"/>
        <v>201.09799505298932</v>
      </c>
      <c r="E22" s="115">
        <f t="shared" si="7"/>
        <v>152.83976279268816</v>
      </c>
      <c r="F22" s="115">
        <f t="shared" si="8"/>
        <v>91.757430057898944</v>
      </c>
      <c r="G22" s="115">
        <f t="shared" si="9"/>
        <v>166.56950112434416</v>
      </c>
      <c r="H22" s="115">
        <f t="shared" si="10"/>
        <v>150.08029295673185</v>
      </c>
      <c r="I22" s="115">
        <f t="shared" si="11"/>
        <v>122.94981188678781</v>
      </c>
      <c r="J22" s="115">
        <f t="shared" si="12"/>
        <v>108.48457891710692</v>
      </c>
      <c r="K22" s="115">
        <f t="shared" si="13"/>
        <v>265.10160530145572</v>
      </c>
      <c r="L22" s="115">
        <f t="shared" si="14"/>
        <v>257.53141012609223</v>
      </c>
      <c r="M22" s="115">
        <f t="shared" si="15"/>
        <v>280.38319280781542</v>
      </c>
      <c r="O22" s="115">
        <v>100</v>
      </c>
      <c r="P22" s="115">
        <v>100</v>
      </c>
      <c r="Q22" s="115">
        <v>100</v>
      </c>
      <c r="R22" s="115">
        <v>100</v>
      </c>
      <c r="S22" s="115">
        <v>100</v>
      </c>
      <c r="T22" s="115">
        <v>100</v>
      </c>
      <c r="U22" s="115">
        <v>100</v>
      </c>
      <c r="V22" s="115">
        <v>100</v>
      </c>
      <c r="W22" s="115">
        <v>100</v>
      </c>
      <c r="X22" s="116">
        <v>9530.6360000000004</v>
      </c>
      <c r="Y22" s="116">
        <v>5814.5209999999997</v>
      </c>
      <c r="Z22" s="116">
        <v>3131.5410000000002</v>
      </c>
    </row>
    <row r="23" spans="1:26">
      <c r="A23" s="66">
        <v>2006</v>
      </c>
      <c r="B23" s="115">
        <f t="shared" si="4"/>
        <v>190.2443074879138</v>
      </c>
      <c r="C23" s="115">
        <f t="shared" si="5"/>
        <v>134.10171445036738</v>
      </c>
      <c r="D23" s="115">
        <f t="shared" si="6"/>
        <v>207.44665875681218</v>
      </c>
      <c r="E23" s="115">
        <f t="shared" si="7"/>
        <v>154.29479733447454</v>
      </c>
      <c r="F23" s="115">
        <f t="shared" si="8"/>
        <v>91.706963471367089</v>
      </c>
      <c r="G23" s="115">
        <f t="shared" si="9"/>
        <v>168.2468560006663</v>
      </c>
      <c r="H23" s="115">
        <f t="shared" si="10"/>
        <v>154.06642553766267</v>
      </c>
      <c r="I23" s="115">
        <f t="shared" si="11"/>
        <v>123.48218457225761</v>
      </c>
      <c r="J23" s="115">
        <f t="shared" si="12"/>
        <v>108.76012974755638</v>
      </c>
      <c r="K23" s="115">
        <f t="shared" si="13"/>
        <v>281.12112971921687</v>
      </c>
      <c r="L23" s="115">
        <f t="shared" si="14"/>
        <v>273.14809032368362</v>
      </c>
      <c r="M23" s="115">
        <f t="shared" si="15"/>
        <v>297.09297067990354</v>
      </c>
      <c r="O23" s="115">
        <v>103.101</v>
      </c>
      <c r="P23" s="115">
        <v>102.38800000000001</v>
      </c>
      <c r="Q23" s="115">
        <v>103.157</v>
      </c>
      <c r="R23" s="115">
        <v>100.952</v>
      </c>
      <c r="S23" s="115">
        <v>99.944999999999993</v>
      </c>
      <c r="T23" s="115">
        <v>101.00700000000001</v>
      </c>
      <c r="U23" s="115">
        <v>102.65600000000001</v>
      </c>
      <c r="V23" s="115">
        <v>100.43300000000001</v>
      </c>
      <c r="W23" s="115">
        <v>100.254</v>
      </c>
      <c r="X23" s="116">
        <v>10106.552</v>
      </c>
      <c r="Y23" s="116">
        <v>6167.1130000000003</v>
      </c>
      <c r="Z23" s="116">
        <v>3318.1689999999999</v>
      </c>
    </row>
    <row r="24" spans="1:26">
      <c r="A24" s="66">
        <v>2007</v>
      </c>
      <c r="B24" s="115">
        <f t="shared" si="4"/>
        <v>194.1949293279699</v>
      </c>
      <c r="C24" s="115">
        <f t="shared" si="5"/>
        <v>135.65375699074013</v>
      </c>
      <c r="D24" s="115">
        <f t="shared" si="6"/>
        <v>213.30263237275523</v>
      </c>
      <c r="E24" s="115">
        <f t="shared" si="7"/>
        <v>156.75093232255304</v>
      </c>
      <c r="F24" s="115">
        <f t="shared" si="8"/>
        <v>91.041722103447313</v>
      </c>
      <c r="G24" s="115">
        <f t="shared" si="9"/>
        <v>172.17623053218955</v>
      </c>
      <c r="H24" s="115">
        <f t="shared" si="10"/>
        <v>156.74385796401074</v>
      </c>
      <c r="I24" s="115">
        <f t="shared" si="11"/>
        <v>123.89283694395947</v>
      </c>
      <c r="J24" s="115">
        <f t="shared" si="12"/>
        <v>109.49674003840354</v>
      </c>
      <c r="K24" s="115">
        <f t="shared" si="13"/>
        <v>294.37276639681693</v>
      </c>
      <c r="L24" s="115">
        <f t="shared" si="14"/>
        <v>287.20404147239486</v>
      </c>
      <c r="M24" s="115">
        <f t="shared" si="15"/>
        <v>313.56521162990799</v>
      </c>
      <c r="O24" s="115">
        <v>105.242</v>
      </c>
      <c r="P24" s="115">
        <v>103.57299999999999</v>
      </c>
      <c r="Q24" s="115">
        <v>106.069</v>
      </c>
      <c r="R24" s="115">
        <v>102.559</v>
      </c>
      <c r="S24" s="115">
        <v>99.22</v>
      </c>
      <c r="T24" s="115">
        <v>103.366</v>
      </c>
      <c r="U24" s="115">
        <v>104.44</v>
      </c>
      <c r="V24" s="115">
        <v>100.767</v>
      </c>
      <c r="W24" s="115">
        <v>100.93300000000001</v>
      </c>
      <c r="X24" s="116">
        <v>10582.96</v>
      </c>
      <c r="Y24" s="116">
        <v>6484.4669999999996</v>
      </c>
      <c r="Z24" s="116">
        <v>3502.1439999999998</v>
      </c>
    </row>
    <row r="25" spans="1:26">
      <c r="A25" s="66">
        <v>2008</v>
      </c>
      <c r="B25" s="115">
        <f t="shared" si="4"/>
        <v>191.62084363582684</v>
      </c>
      <c r="C25" s="115">
        <f t="shared" si="5"/>
        <v>133.73105787743449</v>
      </c>
      <c r="D25" s="115">
        <f t="shared" si="6"/>
        <v>218.51509240452876</v>
      </c>
      <c r="E25" s="115">
        <f t="shared" si="7"/>
        <v>157.9033441340099</v>
      </c>
      <c r="F25" s="115">
        <f t="shared" si="8"/>
        <v>87.691658332033441</v>
      </c>
      <c r="G25" s="115">
        <f t="shared" si="9"/>
        <v>180.06496210543852</v>
      </c>
      <c r="H25" s="115">
        <f t="shared" si="10"/>
        <v>156.60428329156099</v>
      </c>
      <c r="I25" s="115">
        <f t="shared" si="11"/>
        <v>122.36088228785009</v>
      </c>
      <c r="J25" s="115">
        <f t="shared" si="12"/>
        <v>110.19863526399722</v>
      </c>
      <c r="K25" s="115">
        <f t="shared" si="13"/>
        <v>295.72169026182394</v>
      </c>
      <c r="L25" s="115">
        <f t="shared" si="14"/>
        <v>291.19289606522483</v>
      </c>
      <c r="M25" s="115">
        <f t="shared" si="15"/>
        <v>311.12913753414654</v>
      </c>
      <c r="O25" s="115">
        <v>103.84699999999999</v>
      </c>
      <c r="P25" s="115">
        <v>102.105</v>
      </c>
      <c r="Q25" s="115">
        <v>108.661</v>
      </c>
      <c r="R25" s="115">
        <v>103.313</v>
      </c>
      <c r="S25" s="115">
        <v>95.569000000000003</v>
      </c>
      <c r="T25" s="115">
        <v>108.102</v>
      </c>
      <c r="U25" s="115">
        <v>104.34699999999999</v>
      </c>
      <c r="V25" s="115">
        <v>99.521000000000001</v>
      </c>
      <c r="W25" s="115">
        <v>101.58</v>
      </c>
      <c r="X25" s="116">
        <v>10631.455</v>
      </c>
      <c r="Y25" s="116">
        <v>6574.527</v>
      </c>
      <c r="Z25" s="116">
        <v>3474.9360000000001</v>
      </c>
    </row>
    <row r="26" spans="1:26">
      <c r="A26" s="66">
        <v>2009</v>
      </c>
      <c r="B26" s="115">
        <f t="shared" si="4"/>
        <v>183.53323246115804</v>
      </c>
      <c r="C26" s="115">
        <f t="shared" si="5"/>
        <v>125.04223913242787</v>
      </c>
      <c r="D26" s="115">
        <f t="shared" si="6"/>
        <v>219.91875640999859</v>
      </c>
      <c r="E26" s="115">
        <f t="shared" si="7"/>
        <v>162.99749342789022</v>
      </c>
      <c r="F26" s="115">
        <f t="shared" si="8"/>
        <v>83.455217786260235</v>
      </c>
      <c r="G26" s="115">
        <f t="shared" si="9"/>
        <v>195.31106854334973</v>
      </c>
      <c r="H26" s="115">
        <f t="shared" si="10"/>
        <v>150.21836682625204</v>
      </c>
      <c r="I26" s="115">
        <f t="shared" si="11"/>
        <v>122.17768706813878</v>
      </c>
      <c r="J26" s="115">
        <f t="shared" si="12"/>
        <v>111.05023920849651</v>
      </c>
      <c r="K26" s="115">
        <f t="shared" si="13"/>
        <v>284.0494864103465</v>
      </c>
      <c r="L26" s="115">
        <f t="shared" si="14"/>
        <v>275.03542179059093</v>
      </c>
      <c r="M26" s="115">
        <f t="shared" si="15"/>
        <v>297.76860340287539</v>
      </c>
      <c r="O26" s="115">
        <v>99.463999999999999</v>
      </c>
      <c r="P26" s="115">
        <v>95.471000000000004</v>
      </c>
      <c r="Q26" s="115">
        <v>109.35899999999999</v>
      </c>
      <c r="R26" s="115">
        <v>106.646</v>
      </c>
      <c r="S26" s="115">
        <v>90.951999999999998</v>
      </c>
      <c r="T26" s="115">
        <v>117.255</v>
      </c>
      <c r="U26" s="115">
        <v>100.092</v>
      </c>
      <c r="V26" s="115">
        <v>99.372</v>
      </c>
      <c r="W26" s="115">
        <v>102.36499999999999</v>
      </c>
      <c r="X26" s="116">
        <v>10211.829</v>
      </c>
      <c r="Y26" s="116">
        <v>6209.7250000000004</v>
      </c>
      <c r="Z26" s="116">
        <v>3325.7150000000001</v>
      </c>
    </row>
    <row r="27" spans="1:26">
      <c r="A27" s="66">
        <v>2010</v>
      </c>
      <c r="B27" s="115">
        <f t="shared" si="4"/>
        <v>189.04306749824704</v>
      </c>
      <c r="C27" s="115">
        <f t="shared" si="5"/>
        <v>125.88571204044479</v>
      </c>
      <c r="D27" s="115">
        <f t="shared" si="6"/>
        <v>220.550204114465</v>
      </c>
      <c r="E27" s="115">
        <f t="shared" si="7"/>
        <v>167.92963257321026</v>
      </c>
      <c r="F27" s="115">
        <f t="shared" si="8"/>
        <v>85.715203288586295</v>
      </c>
      <c r="G27" s="115">
        <f t="shared" si="9"/>
        <v>195.91571583243109</v>
      </c>
      <c r="H27" s="115">
        <f t="shared" si="10"/>
        <v>151.02429799942968</v>
      </c>
      <c r="I27" s="115">
        <f t="shared" si="11"/>
        <v>125.17520348193867</v>
      </c>
      <c r="J27" s="115">
        <f t="shared" si="12"/>
        <v>111.82373425617548</v>
      </c>
      <c r="K27" s="115">
        <f t="shared" si="13"/>
        <v>297.10151740374641</v>
      </c>
      <c r="L27" s="115">
        <f t="shared" si="14"/>
        <v>281.61105257306809</v>
      </c>
      <c r="M27" s="115">
        <f t="shared" si="15"/>
        <v>324.99411305969591</v>
      </c>
      <c r="O27" s="115">
        <v>102.45</v>
      </c>
      <c r="P27" s="115">
        <v>96.114999999999995</v>
      </c>
      <c r="Q27" s="115">
        <v>109.673</v>
      </c>
      <c r="R27" s="115">
        <v>109.873</v>
      </c>
      <c r="S27" s="115">
        <v>93.415000000000006</v>
      </c>
      <c r="T27" s="115">
        <v>117.61799999999999</v>
      </c>
      <c r="U27" s="115">
        <v>100.629</v>
      </c>
      <c r="V27" s="115">
        <v>101.81</v>
      </c>
      <c r="W27" s="115">
        <v>103.078</v>
      </c>
      <c r="X27" s="116">
        <v>10681.061</v>
      </c>
      <c r="Y27" s="116">
        <v>6358.1890000000003</v>
      </c>
      <c r="Z27" s="116">
        <v>3629.7910000000002</v>
      </c>
    </row>
    <row r="28" spans="1:26">
      <c r="A28" s="66">
        <v>2011</v>
      </c>
      <c r="B28" s="115">
        <f t="shared" si="4"/>
        <v>193.67457652138611</v>
      </c>
      <c r="C28" s="115">
        <f t="shared" si="5"/>
        <v>128.58377755366661</v>
      </c>
      <c r="D28" s="115">
        <f t="shared" si="6"/>
        <v>222.73815030064151</v>
      </c>
      <c r="E28" s="115">
        <f t="shared" si="7"/>
        <v>168.64492266308002</v>
      </c>
      <c r="F28" s="115">
        <f t="shared" si="8"/>
        <v>86.952093445766778</v>
      </c>
      <c r="G28" s="115">
        <f t="shared" si="9"/>
        <v>193.95186141417506</v>
      </c>
      <c r="H28" s="115">
        <f t="shared" si="10"/>
        <v>153.62368867344028</v>
      </c>
      <c r="I28" s="115">
        <f t="shared" si="11"/>
        <v>126.07150761059336</v>
      </c>
      <c r="J28" s="115">
        <f t="shared" si="12"/>
        <v>111.9647642087677</v>
      </c>
      <c r="K28" s="115">
        <f t="shared" si="13"/>
        <v>311.25110150293955</v>
      </c>
      <c r="L28" s="115">
        <f t="shared" si="14"/>
        <v>294.75062129311345</v>
      </c>
      <c r="M28" s="115">
        <f t="shared" si="15"/>
        <v>345.68552188733071</v>
      </c>
      <c r="O28" s="109">
        <v>104.96</v>
      </c>
      <c r="P28" s="109">
        <v>98.174999999999997</v>
      </c>
      <c r="Q28" s="109">
        <v>110.761</v>
      </c>
      <c r="R28" s="109">
        <v>110.34099999999999</v>
      </c>
      <c r="S28" s="109">
        <v>94.763000000000005</v>
      </c>
      <c r="T28" s="109">
        <v>116.43899999999999</v>
      </c>
      <c r="U28" s="109">
        <v>102.361</v>
      </c>
      <c r="V28" s="109">
        <v>102.539</v>
      </c>
      <c r="W28" s="109">
        <v>103.208</v>
      </c>
      <c r="X28" s="109">
        <v>11189.751</v>
      </c>
      <c r="Y28" s="109">
        <v>6654.8530000000001</v>
      </c>
      <c r="Z28" s="109">
        <v>3860.8890000000001</v>
      </c>
    </row>
    <row r="29" spans="1:26">
      <c r="A29" s="66"/>
      <c r="B29" s="66"/>
      <c r="C29" s="66"/>
      <c r="D29" s="115"/>
      <c r="E29" s="115"/>
      <c r="F29" s="115"/>
      <c r="G29" s="115"/>
      <c r="H29" s="115"/>
      <c r="I29" s="115"/>
      <c r="J29" s="115"/>
      <c r="K29" s="115"/>
      <c r="L29" s="115"/>
      <c r="M29" s="115"/>
    </row>
    <row r="30" spans="1:26">
      <c r="A30" s="66" t="s">
        <v>23</v>
      </c>
      <c r="B30" s="64"/>
      <c r="O30" s="64"/>
    </row>
    <row r="31" spans="1:26">
      <c r="A31" s="64" t="s">
        <v>2145</v>
      </c>
      <c r="B31" s="65">
        <f>((B28/B4)^(1/24)-1)*100</f>
        <v>2.7924835182194796</v>
      </c>
      <c r="C31" s="65">
        <f>((C28/C4)^(1/24)-1)*100</f>
        <v>1.0530495776778448</v>
      </c>
      <c r="D31" s="65">
        <f t="shared" ref="D31:M31" si="16">((D28/D4)^(1/24)-1)*100</f>
        <v>3.393072671493913</v>
      </c>
      <c r="E31" s="65">
        <f t="shared" si="16"/>
        <v>2.2014881558811261</v>
      </c>
      <c r="F31" s="65">
        <f t="shared" si="16"/>
        <v>-0.58086006763117259</v>
      </c>
      <c r="G31" s="65">
        <f t="shared" si="16"/>
        <v>2.798611337517376</v>
      </c>
      <c r="H31" s="65">
        <f t="shared" si="16"/>
        <v>1.804996003776016</v>
      </c>
      <c r="I31" s="65">
        <f t="shared" si="16"/>
        <v>0.97000383697820602</v>
      </c>
      <c r="J31" s="65">
        <f t="shared" si="16"/>
        <v>0.47200223158319066</v>
      </c>
      <c r="K31" s="65">
        <f t="shared" si="16"/>
        <v>4.8446531712823315</v>
      </c>
      <c r="L31" s="65">
        <f t="shared" si="16"/>
        <v>4.606967837968523</v>
      </c>
      <c r="M31" s="65">
        <f t="shared" si="16"/>
        <v>5.3040439655401617</v>
      </c>
      <c r="O31" s="65">
        <f>((O23/O4)^(1/19)-1)*100</f>
        <v>3.4428825757028658</v>
      </c>
      <c r="P31" s="65">
        <f t="shared" ref="P31:Z31" si="17">((P23/P4)^(1/19)-1)*100</f>
        <v>1.5563468079871523</v>
      </c>
      <c r="Q31" s="65">
        <f t="shared" si="17"/>
        <v>3.9152499433708909</v>
      </c>
      <c r="R31" s="65">
        <f t="shared" si="17"/>
        <v>2.3088552695171405</v>
      </c>
      <c r="S31" s="65">
        <f t="shared" si="17"/>
        <v>-0.45460496122279315</v>
      </c>
      <c r="T31" s="65">
        <f t="shared" si="17"/>
        <v>2.7760553789937914</v>
      </c>
      <c r="U31" s="65">
        <f t="shared" si="17"/>
        <v>2.3008798142974296</v>
      </c>
      <c r="V31" s="65">
        <f t="shared" si="17"/>
        <v>1.1163254798571609</v>
      </c>
      <c r="W31" s="65">
        <f t="shared" si="17"/>
        <v>0.4429498552214195</v>
      </c>
      <c r="X31" s="65">
        <f t="shared" si="17"/>
        <v>5.590773945877503</v>
      </c>
      <c r="Y31" s="65">
        <f t="shared" si="17"/>
        <v>5.4309997314232916</v>
      </c>
      <c r="Z31" s="65">
        <f t="shared" si="17"/>
        <v>5.898320498712728</v>
      </c>
    </row>
    <row r="32" spans="1:26">
      <c r="A32" s="64" t="s">
        <v>873</v>
      </c>
      <c r="B32" s="65">
        <f>((B17/B4)^(1/13)-1)*100</f>
        <v>3.7484117757298874</v>
      </c>
      <c r="C32" s="65">
        <f t="shared" ref="C32:M32" si="18">((C17/C4)^(1/13)-1)*100</f>
        <v>2.1841083570413033</v>
      </c>
      <c r="D32" s="65">
        <f t="shared" si="18"/>
        <v>4.2461284002560218</v>
      </c>
      <c r="E32" s="65">
        <f t="shared" si="18"/>
        <v>2.0619681446437443</v>
      </c>
      <c r="F32" s="65">
        <f t="shared" si="18"/>
        <v>-0.47745123283854385</v>
      </c>
      <c r="G32" s="65">
        <f t="shared" si="18"/>
        <v>2.5515852152574237</v>
      </c>
      <c r="H32" s="65">
        <f t="shared" si="18"/>
        <v>2.841469544251618</v>
      </c>
      <c r="I32" s="65">
        <f t="shared" si="18"/>
        <v>0.88186436740274043</v>
      </c>
      <c r="J32" s="65">
        <f t="shared" si="18"/>
        <v>0.52294217398340948</v>
      </c>
      <c r="K32" s="65">
        <f t="shared" si="18"/>
        <v>5.9046910351922</v>
      </c>
      <c r="L32" s="65">
        <f t="shared" si="18"/>
        <v>6.1452940821583812</v>
      </c>
      <c r="M32" s="65">
        <f t="shared" si="18"/>
        <v>5.1269458721988626</v>
      </c>
      <c r="O32" s="65">
        <f>((O17/O4)^(1/13)-1)*100</f>
        <v>3.7484117757298874</v>
      </c>
      <c r="P32" s="65">
        <f t="shared" ref="P32:Z32" si="19">((P17/P4)^(1/13)-1)*100</f>
        <v>2.1841083570413033</v>
      </c>
      <c r="Q32" s="65">
        <f t="shared" si="19"/>
        <v>4.2461284002560218</v>
      </c>
      <c r="R32" s="65">
        <f t="shared" si="19"/>
        <v>2.0619681446437443</v>
      </c>
      <c r="S32" s="65">
        <f t="shared" si="19"/>
        <v>-0.47745123283854385</v>
      </c>
      <c r="T32" s="65">
        <f t="shared" si="19"/>
        <v>2.5515852152574237</v>
      </c>
      <c r="U32" s="65">
        <f t="shared" si="19"/>
        <v>2.841469544251618</v>
      </c>
      <c r="V32" s="65">
        <f t="shared" si="19"/>
        <v>0.88186436740274043</v>
      </c>
      <c r="W32" s="65">
        <f t="shared" si="19"/>
        <v>0.52294217398340948</v>
      </c>
      <c r="X32" s="65">
        <f t="shared" si="19"/>
        <v>5.9046910351922</v>
      </c>
      <c r="Y32" s="65">
        <f t="shared" si="19"/>
        <v>6.1452940821583812</v>
      </c>
      <c r="Z32" s="65">
        <f t="shared" si="19"/>
        <v>5.1269458721988626</v>
      </c>
    </row>
    <row r="33" spans="1:26">
      <c r="A33" s="64" t="s">
        <v>1782</v>
      </c>
      <c r="B33" s="65">
        <f>((B28/B17)^(1/11)-1)*100</f>
        <v>1.6740993249707126</v>
      </c>
      <c r="C33" s="65">
        <f t="shared" ref="C33:M33" si="20">((C28/C17)^(1/11)-1)*100</f>
        <v>-0.26752626178996319</v>
      </c>
      <c r="D33" s="65">
        <f t="shared" si="20"/>
        <v>2.3939112559797859</v>
      </c>
      <c r="E33" s="65">
        <f t="shared" si="20"/>
        <v>2.3666213564606409</v>
      </c>
      <c r="F33" s="65">
        <f t="shared" si="20"/>
        <v>-0.70293199092205105</v>
      </c>
      <c r="G33" s="65">
        <f t="shared" si="20"/>
        <v>3.0913185662311715</v>
      </c>
      <c r="H33" s="65">
        <f t="shared" si="20"/>
        <v>0.59353199825591396</v>
      </c>
      <c r="I33" s="65">
        <f t="shared" si="20"/>
        <v>1.0742679511088538</v>
      </c>
      <c r="J33" s="65">
        <f t="shared" si="20"/>
        <v>0.41183376103539615</v>
      </c>
      <c r="K33" s="65">
        <f t="shared" si="20"/>
        <v>3.6055522266981166</v>
      </c>
      <c r="L33" s="65">
        <f t="shared" si="20"/>
        <v>2.8176638089469463</v>
      </c>
      <c r="M33" s="65">
        <f t="shared" si="20"/>
        <v>5.5137263901498867</v>
      </c>
      <c r="O33" s="65">
        <f>((O23/O17)^(1/6)-1)*100</f>
        <v>2.7839857653032984</v>
      </c>
      <c r="P33" s="65">
        <f t="shared" ref="P33:Z33" si="21">((P23/P17)^(1/6)-1)*100</f>
        <v>0.20939550959251374</v>
      </c>
      <c r="Q33" s="65">
        <f t="shared" si="21"/>
        <v>3.2019449848325721</v>
      </c>
      <c r="R33" s="65">
        <f t="shared" si="21"/>
        <v>2.8458280907342814</v>
      </c>
      <c r="S33" s="65">
        <f t="shared" si="21"/>
        <v>-0.40508671268958407</v>
      </c>
      <c r="T33" s="65">
        <f t="shared" si="21"/>
        <v>3.2640943763372343</v>
      </c>
      <c r="U33" s="65">
        <f t="shared" si="21"/>
        <v>1.1393305073623905</v>
      </c>
      <c r="V33" s="65">
        <f t="shared" si="21"/>
        <v>1.6261956068084338</v>
      </c>
      <c r="W33" s="65">
        <f t="shared" si="21"/>
        <v>0.26985146843454544</v>
      </c>
      <c r="X33" s="65">
        <f t="shared" si="21"/>
        <v>4.9138086929475966</v>
      </c>
      <c r="Y33" s="65">
        <f t="shared" si="21"/>
        <v>3.8998087342942744</v>
      </c>
      <c r="Z33" s="65">
        <f t="shared" si="21"/>
        <v>7.5891045668178281</v>
      </c>
    </row>
    <row r="35" spans="1:26">
      <c r="A35" s="64" t="s">
        <v>932</v>
      </c>
    </row>
    <row r="37" spans="1:26">
      <c r="A37" s="109" t="s">
        <v>773</v>
      </c>
    </row>
    <row r="38" spans="1:26">
      <c r="A38" s="109" t="s">
        <v>914</v>
      </c>
    </row>
    <row r="39" spans="1:26">
      <c r="A39" s="109" t="s">
        <v>915</v>
      </c>
    </row>
    <row r="40" spans="1:26">
      <c r="A40" s="109" t="s">
        <v>920</v>
      </c>
    </row>
    <row r="41" spans="1:26">
      <c r="A41" s="109" t="s">
        <v>921</v>
      </c>
    </row>
    <row r="42" spans="1:26">
      <c r="A42" s="109" t="s">
        <v>922</v>
      </c>
    </row>
  </sheetData>
  <mergeCells count="5">
    <mergeCell ref="K3:M3"/>
    <mergeCell ref="B3:J3"/>
    <mergeCell ref="O3:W3"/>
    <mergeCell ref="X3:Z3"/>
    <mergeCell ref="A1:M1"/>
  </mergeCells>
  <pageMargins left="0.7" right="0.7" top="0.75" bottom="0.75" header="0.3" footer="0.3"/>
  <pageSetup scale="70" orientation="portrait" horizontalDpi="0" verticalDpi="0" r:id="rId1"/>
</worksheet>
</file>

<file path=xl/worksheets/sheet21.xml><?xml version="1.0" encoding="utf-8"?>
<worksheet xmlns="http://schemas.openxmlformats.org/spreadsheetml/2006/main" xmlns:r="http://schemas.openxmlformats.org/officeDocument/2006/relationships">
  <sheetPr codeName="Sheet21"/>
  <dimension ref="A1:Q39"/>
  <sheetViews>
    <sheetView view="pageBreakPreview" zoomScale="85" zoomScaleNormal="85" zoomScaleSheetLayoutView="85"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3.5703125" style="64" customWidth="1"/>
    <col min="2" max="17" width="11.85546875" style="64" customWidth="1"/>
    <col min="18" max="16384" width="9.140625" style="64"/>
  </cols>
  <sheetData>
    <row r="1" spans="1:17">
      <c r="A1" s="66" t="s">
        <v>1957</v>
      </c>
    </row>
    <row r="2" spans="1:17">
      <c r="A2" s="66"/>
      <c r="B2" s="111" t="s">
        <v>1409</v>
      </c>
      <c r="C2" s="111"/>
      <c r="D2" s="111"/>
      <c r="E2" s="111"/>
      <c r="F2" s="111" t="s">
        <v>1411</v>
      </c>
      <c r="G2" s="111"/>
      <c r="H2" s="111"/>
      <c r="I2" s="111"/>
      <c r="J2" s="111" t="s">
        <v>1413</v>
      </c>
      <c r="K2" s="111"/>
      <c r="L2" s="111"/>
      <c r="M2" s="111"/>
      <c r="N2" s="111" t="s">
        <v>1451</v>
      </c>
      <c r="O2" s="111"/>
      <c r="P2" s="111"/>
      <c r="Q2" s="111"/>
    </row>
    <row r="3" spans="1:17">
      <c r="A3" s="66"/>
      <c r="B3" s="266" t="s">
        <v>2079</v>
      </c>
      <c r="C3" s="267"/>
      <c r="D3" s="267"/>
      <c r="E3" s="268"/>
      <c r="F3" s="266" t="s">
        <v>2080</v>
      </c>
      <c r="G3" s="267"/>
      <c r="H3" s="267"/>
      <c r="I3" s="268"/>
      <c r="J3" s="266" t="s">
        <v>2081</v>
      </c>
      <c r="K3" s="267"/>
      <c r="L3" s="267"/>
      <c r="M3" s="268"/>
      <c r="N3" s="266" t="s">
        <v>2126</v>
      </c>
      <c r="O3" s="267"/>
      <c r="P3" s="267"/>
      <c r="Q3" s="268"/>
    </row>
    <row r="4" spans="1:17" ht="60">
      <c r="B4" s="72" t="s">
        <v>1410</v>
      </c>
      <c r="C4" s="72" t="s">
        <v>750</v>
      </c>
      <c r="D4" s="72" t="s">
        <v>1382</v>
      </c>
      <c r="E4" s="72" t="s">
        <v>1383</v>
      </c>
      <c r="F4" s="72" t="s">
        <v>1410</v>
      </c>
      <c r="G4" s="72" t="s">
        <v>750</v>
      </c>
      <c r="H4" s="72" t="s">
        <v>1382</v>
      </c>
      <c r="I4" s="72" t="s">
        <v>1383</v>
      </c>
      <c r="J4" s="72" t="s">
        <v>1410</v>
      </c>
      <c r="K4" s="72" t="s">
        <v>750</v>
      </c>
      <c r="L4" s="72" t="s">
        <v>1382</v>
      </c>
      <c r="M4" s="72" t="s">
        <v>1383</v>
      </c>
      <c r="N4" s="72" t="s">
        <v>1410</v>
      </c>
      <c r="O4" s="72" t="s">
        <v>750</v>
      </c>
      <c r="P4" s="72" t="s">
        <v>1382</v>
      </c>
      <c r="Q4" s="72" t="s">
        <v>1383</v>
      </c>
    </row>
    <row r="5" spans="1:17" hidden="1" outlineLevel="1">
      <c r="B5" s="64" t="s">
        <v>1397</v>
      </c>
      <c r="C5" s="64" t="s">
        <v>1398</v>
      </c>
      <c r="D5" s="64" t="s">
        <v>1408</v>
      </c>
      <c r="E5" s="64" t="s">
        <v>1399</v>
      </c>
      <c r="F5" s="64" t="s">
        <v>1400</v>
      </c>
      <c r="G5" s="64" t="s">
        <v>1401</v>
      </c>
      <c r="H5" s="64" t="s">
        <v>1402</v>
      </c>
      <c r="I5" s="64" t="s">
        <v>1403</v>
      </c>
      <c r="J5" s="64" t="s">
        <v>1404</v>
      </c>
      <c r="K5" s="64" t="s">
        <v>1405</v>
      </c>
      <c r="L5" s="64" t="s">
        <v>1406</v>
      </c>
      <c r="M5" s="64" t="s">
        <v>1407</v>
      </c>
    </row>
    <row r="6" spans="1:17" collapsed="1">
      <c r="A6" s="66">
        <v>1991</v>
      </c>
      <c r="B6" s="56">
        <v>79300</v>
      </c>
      <c r="C6" s="56">
        <v>52344</v>
      </c>
      <c r="D6" s="56">
        <v>49550</v>
      </c>
      <c r="E6" s="56">
        <v>26956</v>
      </c>
      <c r="F6" s="56">
        <v>20818</v>
      </c>
      <c r="G6" s="56">
        <v>14226</v>
      </c>
      <c r="H6" s="56">
        <v>12348</v>
      </c>
      <c r="I6" s="56">
        <v>6593</v>
      </c>
      <c r="J6" s="56">
        <v>37292</v>
      </c>
      <c r="K6" s="56">
        <v>26781</v>
      </c>
      <c r="L6" s="56">
        <v>26235</v>
      </c>
      <c r="M6" s="56">
        <v>10510</v>
      </c>
      <c r="N6" s="56">
        <f>B6-F6-J6</f>
        <v>21190</v>
      </c>
      <c r="O6" s="56">
        <f>C6-G6-K6</f>
        <v>11337</v>
      </c>
      <c r="P6" s="56">
        <f>D6-H6-L6</f>
        <v>10967</v>
      </c>
      <c r="Q6" s="56">
        <f>E6-I6-M6</f>
        <v>9853</v>
      </c>
    </row>
    <row r="7" spans="1:17">
      <c r="A7" s="66">
        <v>1992</v>
      </c>
      <c r="B7" s="56">
        <v>77145</v>
      </c>
      <c r="C7" s="56">
        <v>49980</v>
      </c>
      <c r="D7" s="56">
        <v>46769</v>
      </c>
      <c r="E7" s="56">
        <v>27165</v>
      </c>
      <c r="F7" s="56">
        <v>20923</v>
      </c>
      <c r="G7" s="56">
        <v>14057</v>
      </c>
      <c r="H7" s="56">
        <v>11919</v>
      </c>
      <c r="I7" s="56">
        <v>6865</v>
      </c>
      <c r="J7" s="56">
        <v>39033</v>
      </c>
      <c r="K7" s="56">
        <v>26080</v>
      </c>
      <c r="L7" s="56">
        <v>25394</v>
      </c>
      <c r="M7" s="56">
        <v>12953</v>
      </c>
      <c r="N7" s="56">
        <f t="shared" ref="N7:N22" si="0">B7-F7-J7</f>
        <v>17189</v>
      </c>
      <c r="O7" s="56">
        <f t="shared" ref="O7:O22" si="1">C7-G7-K7</f>
        <v>9843</v>
      </c>
      <c r="P7" s="56">
        <f t="shared" ref="P7:P22" si="2">D7-H7-L7</f>
        <v>9456</v>
      </c>
      <c r="Q7" s="56">
        <f t="shared" ref="Q7:Q22" si="3">E7-I7-M7</f>
        <v>7347</v>
      </c>
    </row>
    <row r="8" spans="1:17">
      <c r="A8" s="66">
        <v>1993</v>
      </c>
      <c r="B8" s="56">
        <v>81248</v>
      </c>
      <c r="C8" s="56">
        <v>52811</v>
      </c>
      <c r="D8" s="56">
        <v>49612</v>
      </c>
      <c r="E8" s="56">
        <v>28437</v>
      </c>
      <c r="F8" s="56">
        <v>21755</v>
      </c>
      <c r="G8" s="56">
        <v>14449</v>
      </c>
      <c r="H8" s="56">
        <v>12302</v>
      </c>
      <c r="I8" s="56">
        <v>7306</v>
      </c>
      <c r="J8" s="56">
        <v>38029</v>
      </c>
      <c r="K8" s="56">
        <v>27673</v>
      </c>
      <c r="L8" s="56">
        <v>27081</v>
      </c>
      <c r="M8" s="56">
        <v>10356</v>
      </c>
      <c r="N8" s="56">
        <f t="shared" si="0"/>
        <v>21464</v>
      </c>
      <c r="O8" s="56">
        <f t="shared" si="1"/>
        <v>10689</v>
      </c>
      <c r="P8" s="56">
        <f t="shared" si="2"/>
        <v>10229</v>
      </c>
      <c r="Q8" s="56">
        <f t="shared" si="3"/>
        <v>10775</v>
      </c>
    </row>
    <row r="9" spans="1:17">
      <c r="A9" s="66">
        <v>1994</v>
      </c>
      <c r="B9" s="56">
        <v>84592</v>
      </c>
      <c r="C9" s="56">
        <v>53626</v>
      </c>
      <c r="D9" s="56">
        <v>50909</v>
      </c>
      <c r="E9" s="56">
        <v>30966</v>
      </c>
      <c r="F9" s="56">
        <v>18536</v>
      </c>
      <c r="G9" s="56">
        <v>12119</v>
      </c>
      <c r="H9" s="56">
        <v>10449</v>
      </c>
      <c r="I9" s="56">
        <v>6417</v>
      </c>
      <c r="J9" s="56">
        <v>39374</v>
      </c>
      <c r="K9" s="56">
        <v>28169</v>
      </c>
      <c r="L9" s="56">
        <v>27643</v>
      </c>
      <c r="M9" s="56">
        <v>11206</v>
      </c>
      <c r="N9" s="56">
        <f t="shared" si="0"/>
        <v>26682</v>
      </c>
      <c r="O9" s="56">
        <f t="shared" si="1"/>
        <v>13338</v>
      </c>
      <c r="P9" s="56">
        <f t="shared" si="2"/>
        <v>12817</v>
      </c>
      <c r="Q9" s="56">
        <f t="shared" si="3"/>
        <v>13343</v>
      </c>
    </row>
    <row r="10" spans="1:17">
      <c r="A10" s="66">
        <v>1995</v>
      </c>
      <c r="B10" s="56">
        <v>88972</v>
      </c>
      <c r="C10" s="56">
        <v>56257</v>
      </c>
      <c r="D10" s="56">
        <v>53553</v>
      </c>
      <c r="E10" s="56">
        <v>32715</v>
      </c>
      <c r="F10" s="56">
        <v>18049</v>
      </c>
      <c r="G10" s="56">
        <v>11994</v>
      </c>
      <c r="H10" s="56">
        <v>10396</v>
      </c>
      <c r="I10" s="56">
        <v>6055</v>
      </c>
      <c r="J10" s="56">
        <v>42725</v>
      </c>
      <c r="K10" s="56">
        <v>30519</v>
      </c>
      <c r="L10" s="56">
        <v>29898</v>
      </c>
      <c r="M10" s="56">
        <v>12206</v>
      </c>
      <c r="N10" s="56">
        <f t="shared" si="0"/>
        <v>28198</v>
      </c>
      <c r="O10" s="56">
        <f t="shared" si="1"/>
        <v>13744</v>
      </c>
      <c r="P10" s="56">
        <f t="shared" si="2"/>
        <v>13259</v>
      </c>
      <c r="Q10" s="56">
        <f t="shared" si="3"/>
        <v>14454</v>
      </c>
    </row>
    <row r="11" spans="1:17">
      <c r="A11" s="66">
        <v>1996</v>
      </c>
      <c r="B11" s="56">
        <v>83598</v>
      </c>
      <c r="C11" s="56">
        <v>54429</v>
      </c>
      <c r="D11" s="56">
        <v>51877</v>
      </c>
      <c r="E11" s="56">
        <v>29169</v>
      </c>
      <c r="F11" s="56">
        <v>18253</v>
      </c>
      <c r="G11" s="56">
        <v>12445</v>
      </c>
      <c r="H11" s="56">
        <v>10942</v>
      </c>
      <c r="I11" s="56">
        <v>5807</v>
      </c>
      <c r="J11" s="56">
        <v>42037</v>
      </c>
      <c r="K11" s="56">
        <v>28271</v>
      </c>
      <c r="L11" s="56">
        <v>27682</v>
      </c>
      <c r="M11" s="56">
        <v>13766</v>
      </c>
      <c r="N11" s="56">
        <f t="shared" si="0"/>
        <v>23308</v>
      </c>
      <c r="O11" s="56">
        <f t="shared" si="1"/>
        <v>13713</v>
      </c>
      <c r="P11" s="56">
        <f t="shared" si="2"/>
        <v>13253</v>
      </c>
      <c r="Q11" s="56">
        <f t="shared" si="3"/>
        <v>9596</v>
      </c>
    </row>
    <row r="12" spans="1:17">
      <c r="A12" s="66">
        <v>1997</v>
      </c>
      <c r="B12" s="56">
        <v>86509</v>
      </c>
      <c r="C12" s="56">
        <v>56319</v>
      </c>
      <c r="D12" s="56">
        <v>53907</v>
      </c>
      <c r="E12" s="56">
        <v>30190</v>
      </c>
      <c r="F12" s="56">
        <v>18017</v>
      </c>
      <c r="G12" s="56">
        <v>12152</v>
      </c>
      <c r="H12" s="56">
        <v>10851</v>
      </c>
      <c r="I12" s="56">
        <v>5865</v>
      </c>
      <c r="J12" s="56">
        <v>44789</v>
      </c>
      <c r="K12" s="56">
        <v>30012</v>
      </c>
      <c r="L12" s="56">
        <v>29368</v>
      </c>
      <c r="M12" s="56">
        <v>14778</v>
      </c>
      <c r="N12" s="56">
        <f t="shared" si="0"/>
        <v>23703</v>
      </c>
      <c r="O12" s="56">
        <f t="shared" si="1"/>
        <v>14155</v>
      </c>
      <c r="P12" s="56">
        <f t="shared" si="2"/>
        <v>13688</v>
      </c>
      <c r="Q12" s="56">
        <f t="shared" si="3"/>
        <v>9547</v>
      </c>
    </row>
    <row r="13" spans="1:17">
      <c r="A13" s="66">
        <v>1998</v>
      </c>
      <c r="B13" s="56">
        <v>78295</v>
      </c>
      <c r="C13" s="56">
        <v>51595</v>
      </c>
      <c r="D13" s="56">
        <v>49075</v>
      </c>
      <c r="E13" s="56">
        <v>26700</v>
      </c>
      <c r="F13" s="56">
        <v>16866</v>
      </c>
      <c r="G13" s="56">
        <v>10711</v>
      </c>
      <c r="H13" s="56">
        <v>9690</v>
      </c>
      <c r="I13" s="56">
        <v>6155</v>
      </c>
      <c r="J13" s="56">
        <v>41045</v>
      </c>
      <c r="K13" s="56">
        <v>27621</v>
      </c>
      <c r="L13" s="56">
        <v>26643</v>
      </c>
      <c r="M13" s="56">
        <v>13424</v>
      </c>
      <c r="N13" s="56">
        <f t="shared" si="0"/>
        <v>20384</v>
      </c>
      <c r="O13" s="56">
        <f t="shared" si="1"/>
        <v>13263</v>
      </c>
      <c r="P13" s="56">
        <f t="shared" si="2"/>
        <v>12742</v>
      </c>
      <c r="Q13" s="56">
        <f t="shared" si="3"/>
        <v>7121</v>
      </c>
    </row>
    <row r="14" spans="1:17">
      <c r="A14" s="66">
        <v>1999</v>
      </c>
      <c r="B14" s="56">
        <v>77910</v>
      </c>
      <c r="C14" s="56">
        <v>48687</v>
      </c>
      <c r="D14" s="56">
        <v>45945</v>
      </c>
      <c r="E14" s="56">
        <v>29223</v>
      </c>
      <c r="F14" s="56">
        <v>14633</v>
      </c>
      <c r="G14" s="56">
        <v>8562</v>
      </c>
      <c r="H14" s="56">
        <v>7606</v>
      </c>
      <c r="I14" s="56">
        <v>6072</v>
      </c>
      <c r="J14" s="56">
        <v>39512</v>
      </c>
      <c r="K14" s="56">
        <v>25530</v>
      </c>
      <c r="L14" s="56">
        <v>24519</v>
      </c>
      <c r="M14" s="56">
        <v>13982</v>
      </c>
      <c r="N14" s="56">
        <f t="shared" si="0"/>
        <v>23765</v>
      </c>
      <c r="O14" s="56">
        <f t="shared" si="1"/>
        <v>14595</v>
      </c>
      <c r="P14" s="56">
        <f t="shared" si="2"/>
        <v>13820</v>
      </c>
      <c r="Q14" s="56">
        <f t="shared" si="3"/>
        <v>9169</v>
      </c>
    </row>
    <row r="15" spans="1:17">
      <c r="A15" s="66">
        <v>2000</v>
      </c>
      <c r="B15" s="56">
        <v>78328</v>
      </c>
      <c r="C15" s="56">
        <v>50332</v>
      </c>
      <c r="D15" s="56">
        <v>47820</v>
      </c>
      <c r="E15" s="56">
        <v>27996</v>
      </c>
      <c r="F15" s="56">
        <v>16992</v>
      </c>
      <c r="G15" s="56">
        <v>10055</v>
      </c>
      <c r="H15" s="56">
        <v>8949</v>
      </c>
      <c r="I15" s="56">
        <v>6938</v>
      </c>
      <c r="J15" s="56">
        <v>40548</v>
      </c>
      <c r="K15" s="56">
        <v>26594</v>
      </c>
      <c r="L15" s="56">
        <v>25693</v>
      </c>
      <c r="M15" s="56">
        <v>13955</v>
      </c>
      <c r="N15" s="56">
        <f t="shared" si="0"/>
        <v>20788</v>
      </c>
      <c r="O15" s="56">
        <f t="shared" si="1"/>
        <v>13683</v>
      </c>
      <c r="P15" s="56">
        <f t="shared" si="2"/>
        <v>13178</v>
      </c>
      <c r="Q15" s="56">
        <f t="shared" si="3"/>
        <v>7103</v>
      </c>
    </row>
    <row r="16" spans="1:17">
      <c r="A16" s="66">
        <v>2001</v>
      </c>
      <c r="B16" s="56">
        <v>68149</v>
      </c>
      <c r="C16" s="56">
        <v>48766</v>
      </c>
      <c r="D16" s="56">
        <v>46756</v>
      </c>
      <c r="E16" s="56">
        <v>19383</v>
      </c>
      <c r="F16" s="56">
        <v>21225</v>
      </c>
      <c r="G16" s="56">
        <v>10026</v>
      </c>
      <c r="H16" s="56">
        <v>9542</v>
      </c>
      <c r="I16" s="56">
        <v>11200</v>
      </c>
      <c r="J16" s="56">
        <v>34545</v>
      </c>
      <c r="K16" s="56">
        <v>28369</v>
      </c>
      <c r="L16" s="56">
        <v>27138</v>
      </c>
      <c r="M16" s="56">
        <v>6176</v>
      </c>
      <c r="N16" s="56">
        <f t="shared" si="0"/>
        <v>12379</v>
      </c>
      <c r="O16" s="56">
        <f t="shared" si="1"/>
        <v>10371</v>
      </c>
      <c r="P16" s="56">
        <f t="shared" si="2"/>
        <v>10076</v>
      </c>
      <c r="Q16" s="56">
        <f t="shared" si="3"/>
        <v>2007</v>
      </c>
    </row>
    <row r="17" spans="1:17">
      <c r="A17" s="66">
        <v>2002</v>
      </c>
      <c r="B17" s="56">
        <v>67119</v>
      </c>
      <c r="C17" s="56">
        <v>47322</v>
      </c>
      <c r="D17" s="56">
        <v>45579</v>
      </c>
      <c r="E17" s="56">
        <v>19796</v>
      </c>
      <c r="F17" s="56">
        <v>20714</v>
      </c>
      <c r="G17" s="56">
        <v>8847</v>
      </c>
      <c r="H17" s="56">
        <v>8465</v>
      </c>
      <c r="I17" s="56">
        <v>11868</v>
      </c>
      <c r="J17" s="56">
        <v>35773</v>
      </c>
      <c r="K17" s="56">
        <v>29428</v>
      </c>
      <c r="L17" s="56">
        <v>28307</v>
      </c>
      <c r="M17" s="56">
        <v>6345</v>
      </c>
      <c r="N17" s="56">
        <f t="shared" si="0"/>
        <v>10632</v>
      </c>
      <c r="O17" s="56">
        <f t="shared" si="1"/>
        <v>9047</v>
      </c>
      <c r="P17" s="56">
        <f t="shared" si="2"/>
        <v>8807</v>
      </c>
      <c r="Q17" s="56">
        <f t="shared" si="3"/>
        <v>1583</v>
      </c>
    </row>
    <row r="18" spans="1:17">
      <c r="A18" s="66">
        <v>2003</v>
      </c>
      <c r="B18" s="56">
        <v>62977</v>
      </c>
      <c r="C18" s="56">
        <v>47986</v>
      </c>
      <c r="D18" s="56">
        <v>44831</v>
      </c>
      <c r="E18" s="56">
        <v>14991</v>
      </c>
      <c r="F18" s="56">
        <v>15240</v>
      </c>
      <c r="G18" s="56">
        <v>8659</v>
      </c>
      <c r="H18" s="56">
        <v>8054</v>
      </c>
      <c r="I18" s="56">
        <v>6581</v>
      </c>
      <c r="J18" s="56">
        <v>32755</v>
      </c>
      <c r="K18" s="56">
        <v>26624</v>
      </c>
      <c r="L18" s="56">
        <v>24605</v>
      </c>
      <c r="M18" s="56">
        <v>6131</v>
      </c>
      <c r="N18" s="56">
        <f t="shared" si="0"/>
        <v>14982</v>
      </c>
      <c r="O18" s="56">
        <f t="shared" si="1"/>
        <v>12703</v>
      </c>
      <c r="P18" s="56">
        <f t="shared" si="2"/>
        <v>12172</v>
      </c>
      <c r="Q18" s="56">
        <f t="shared" si="3"/>
        <v>2279</v>
      </c>
    </row>
    <row r="19" spans="1:17">
      <c r="A19" s="66">
        <v>2004</v>
      </c>
      <c r="B19" s="56">
        <v>61497</v>
      </c>
      <c r="C19" s="56">
        <v>47994</v>
      </c>
      <c r="D19" s="56">
        <v>44607</v>
      </c>
      <c r="E19" s="56">
        <v>13503</v>
      </c>
      <c r="F19" s="56">
        <v>13635</v>
      </c>
      <c r="G19" s="56">
        <v>8550</v>
      </c>
      <c r="H19" s="56">
        <v>7912</v>
      </c>
      <c r="I19" s="56">
        <v>5086</v>
      </c>
      <c r="J19" s="56">
        <v>33325</v>
      </c>
      <c r="K19" s="56">
        <v>27069</v>
      </c>
      <c r="L19" s="56">
        <v>24828</v>
      </c>
      <c r="M19" s="56">
        <v>6256</v>
      </c>
      <c r="N19" s="56">
        <f t="shared" si="0"/>
        <v>14537</v>
      </c>
      <c r="O19" s="56">
        <f t="shared" si="1"/>
        <v>12375</v>
      </c>
      <c r="P19" s="56">
        <f t="shared" si="2"/>
        <v>11867</v>
      </c>
      <c r="Q19" s="56">
        <f t="shared" si="3"/>
        <v>2161</v>
      </c>
    </row>
    <row r="20" spans="1:17">
      <c r="A20" s="66">
        <v>2005</v>
      </c>
      <c r="B20" s="56">
        <v>59143</v>
      </c>
      <c r="C20" s="56">
        <v>45727</v>
      </c>
      <c r="D20" s="56">
        <v>42284</v>
      </c>
      <c r="E20" s="56">
        <v>13416</v>
      </c>
      <c r="F20" s="56">
        <v>11437</v>
      </c>
      <c r="G20" s="56">
        <v>6920</v>
      </c>
      <c r="H20" s="56">
        <v>6384</v>
      </c>
      <c r="I20" s="56">
        <v>4517</v>
      </c>
      <c r="J20" s="56">
        <v>34775</v>
      </c>
      <c r="K20" s="56">
        <v>27849</v>
      </c>
      <c r="L20" s="56">
        <v>25399</v>
      </c>
      <c r="M20" s="56">
        <v>6926</v>
      </c>
      <c r="N20" s="56">
        <f t="shared" si="0"/>
        <v>12931</v>
      </c>
      <c r="O20" s="56">
        <f t="shared" si="1"/>
        <v>10958</v>
      </c>
      <c r="P20" s="56">
        <f t="shared" si="2"/>
        <v>10501</v>
      </c>
      <c r="Q20" s="56">
        <f t="shared" si="3"/>
        <v>1973</v>
      </c>
    </row>
    <row r="21" spans="1:17">
      <c r="A21" s="66">
        <v>2006</v>
      </c>
      <c r="B21" s="56">
        <v>56061</v>
      </c>
      <c r="C21" s="56">
        <v>42290</v>
      </c>
      <c r="D21" s="56">
        <v>38474</v>
      </c>
      <c r="E21" s="56">
        <v>13771</v>
      </c>
      <c r="F21" s="56">
        <v>12646</v>
      </c>
      <c r="G21" s="56">
        <v>8038</v>
      </c>
      <c r="H21" s="56">
        <v>7422</v>
      </c>
      <c r="I21" s="56">
        <v>4607</v>
      </c>
      <c r="J21" s="56">
        <v>31895</v>
      </c>
      <c r="K21" s="56">
        <v>24800</v>
      </c>
      <c r="L21" s="56">
        <v>22128</v>
      </c>
      <c r="M21" s="56">
        <v>7094</v>
      </c>
      <c r="N21" s="56">
        <f t="shared" si="0"/>
        <v>11520</v>
      </c>
      <c r="O21" s="56">
        <f t="shared" si="1"/>
        <v>9452</v>
      </c>
      <c r="P21" s="56">
        <f t="shared" si="2"/>
        <v>8924</v>
      </c>
      <c r="Q21" s="56">
        <f t="shared" si="3"/>
        <v>2070</v>
      </c>
    </row>
    <row r="22" spans="1:17">
      <c r="A22" s="66">
        <v>2007</v>
      </c>
      <c r="B22" s="56">
        <v>52462</v>
      </c>
      <c r="C22" s="56">
        <v>39441</v>
      </c>
      <c r="D22" s="56">
        <v>35952</v>
      </c>
      <c r="E22" s="56">
        <v>13021</v>
      </c>
      <c r="F22" s="56">
        <v>10809</v>
      </c>
      <c r="G22" s="56">
        <v>7326</v>
      </c>
      <c r="H22" s="56">
        <v>6866</v>
      </c>
      <c r="I22" s="56">
        <v>3483</v>
      </c>
      <c r="J22" s="56">
        <v>31730</v>
      </c>
      <c r="K22" s="56">
        <v>24383</v>
      </c>
      <c r="L22" s="56">
        <v>21834</v>
      </c>
      <c r="M22" s="56">
        <v>7347</v>
      </c>
      <c r="N22" s="56">
        <f t="shared" si="0"/>
        <v>9923</v>
      </c>
      <c r="O22" s="56">
        <f t="shared" si="1"/>
        <v>7732</v>
      </c>
      <c r="P22" s="56">
        <f t="shared" si="2"/>
        <v>7252</v>
      </c>
      <c r="Q22" s="56">
        <f t="shared" si="3"/>
        <v>2191</v>
      </c>
    </row>
    <row r="23" spans="1:17">
      <c r="A23" s="66">
        <v>2008</v>
      </c>
      <c r="B23" s="56">
        <v>45592</v>
      </c>
      <c r="C23" s="56">
        <v>34031</v>
      </c>
      <c r="D23" s="56">
        <v>31452</v>
      </c>
      <c r="E23" s="56">
        <v>11562</v>
      </c>
      <c r="F23" s="56">
        <v>8862</v>
      </c>
      <c r="G23" s="56">
        <v>5895</v>
      </c>
      <c r="H23" s="56">
        <v>5555</v>
      </c>
      <c r="I23" s="56">
        <v>2967</v>
      </c>
      <c r="J23" s="56">
        <v>28842</v>
      </c>
      <c r="K23" s="56">
        <v>22080</v>
      </c>
      <c r="L23" s="56">
        <v>20163</v>
      </c>
      <c r="M23" s="56">
        <v>6762</v>
      </c>
      <c r="N23" s="56">
        <f t="shared" ref="N23:N27" si="4">B23-F23-J23</f>
        <v>7888</v>
      </c>
      <c r="O23" s="56">
        <f t="shared" ref="O23:O26" si="5">C23-G23-K23</f>
        <v>6056</v>
      </c>
      <c r="P23" s="56">
        <f t="shared" ref="P23:P26" si="6">D23-H23-L23</f>
        <v>5734</v>
      </c>
      <c r="Q23" s="56">
        <f t="shared" ref="Q23:Q27" si="7">E23-I23-M23</f>
        <v>1833</v>
      </c>
    </row>
    <row r="24" spans="1:17">
      <c r="A24" s="66">
        <v>2009</v>
      </c>
      <c r="B24" s="56">
        <v>39374</v>
      </c>
      <c r="C24" s="56">
        <v>28325</v>
      </c>
      <c r="D24" s="56">
        <v>25955</v>
      </c>
      <c r="E24" s="56">
        <v>11049</v>
      </c>
      <c r="F24" s="56" t="s">
        <v>1811</v>
      </c>
      <c r="G24" s="56" t="s">
        <v>1811</v>
      </c>
      <c r="H24" s="56" t="s">
        <v>1811</v>
      </c>
      <c r="I24" s="56">
        <v>2956</v>
      </c>
      <c r="J24" s="56" t="s">
        <v>1811</v>
      </c>
      <c r="K24" s="56" t="s">
        <v>1811</v>
      </c>
      <c r="L24" s="56" t="s">
        <v>1811</v>
      </c>
      <c r="M24" s="56">
        <v>5545</v>
      </c>
      <c r="N24" s="56" t="s">
        <v>22</v>
      </c>
      <c r="O24" s="56" t="s">
        <v>22</v>
      </c>
      <c r="P24" s="56" t="s">
        <v>22</v>
      </c>
      <c r="Q24" s="56" t="s">
        <v>22</v>
      </c>
    </row>
    <row r="25" spans="1:17">
      <c r="A25" s="66">
        <v>2010</v>
      </c>
      <c r="B25" s="56">
        <v>39561</v>
      </c>
      <c r="C25" s="56">
        <v>28485</v>
      </c>
      <c r="D25" s="56">
        <v>26924</v>
      </c>
      <c r="E25" s="56">
        <v>11076</v>
      </c>
      <c r="F25" s="56">
        <v>7345</v>
      </c>
      <c r="G25" s="56">
        <v>4337</v>
      </c>
      <c r="H25" s="56">
        <v>4215</v>
      </c>
      <c r="I25" s="56">
        <v>3008</v>
      </c>
      <c r="J25" s="56">
        <v>23934</v>
      </c>
      <c r="K25" s="56">
        <v>17720</v>
      </c>
      <c r="L25" s="56">
        <v>16568</v>
      </c>
      <c r="M25" s="56">
        <v>6214</v>
      </c>
      <c r="N25" s="56">
        <f t="shared" si="4"/>
        <v>8282</v>
      </c>
      <c r="O25" s="56">
        <f t="shared" si="5"/>
        <v>6428</v>
      </c>
      <c r="P25" s="56">
        <f t="shared" si="6"/>
        <v>6141</v>
      </c>
      <c r="Q25" s="56">
        <f t="shared" si="7"/>
        <v>1854</v>
      </c>
    </row>
    <row r="26" spans="1:17">
      <c r="A26" s="66">
        <v>2011</v>
      </c>
      <c r="B26" s="56">
        <v>39691</v>
      </c>
      <c r="C26" s="56">
        <v>28776</v>
      </c>
      <c r="D26" s="56">
        <v>27165</v>
      </c>
      <c r="E26" s="56">
        <v>10915</v>
      </c>
      <c r="F26" s="56">
        <v>6208</v>
      </c>
      <c r="G26" s="56">
        <v>4263</v>
      </c>
      <c r="H26" s="56">
        <v>4047</v>
      </c>
      <c r="I26" s="56">
        <v>1944</v>
      </c>
      <c r="J26" s="56">
        <v>25212</v>
      </c>
      <c r="K26" s="56">
        <v>19147</v>
      </c>
      <c r="L26" s="56">
        <v>17989</v>
      </c>
      <c r="M26" s="56">
        <v>6065</v>
      </c>
      <c r="N26" s="56">
        <f t="shared" si="4"/>
        <v>8271</v>
      </c>
      <c r="O26" s="56">
        <f t="shared" si="5"/>
        <v>5366</v>
      </c>
      <c r="P26" s="56">
        <f t="shared" si="6"/>
        <v>5129</v>
      </c>
      <c r="Q26" s="56">
        <f t="shared" si="7"/>
        <v>2906</v>
      </c>
    </row>
    <row r="27" spans="1:17">
      <c r="A27" s="66">
        <v>2012</v>
      </c>
      <c r="B27" s="56">
        <v>38723</v>
      </c>
      <c r="C27" s="56">
        <v>28049</v>
      </c>
      <c r="D27" s="56">
        <v>26753</v>
      </c>
      <c r="E27" s="56">
        <v>10674</v>
      </c>
      <c r="F27" s="56">
        <v>5799</v>
      </c>
      <c r="G27" s="56" t="s">
        <v>1811</v>
      </c>
      <c r="H27" s="56" t="s">
        <v>1811</v>
      </c>
      <c r="I27" s="56">
        <v>1916</v>
      </c>
      <c r="J27" s="56">
        <v>24738</v>
      </c>
      <c r="K27" s="56" t="s">
        <v>1811</v>
      </c>
      <c r="L27" s="56" t="s">
        <v>1811</v>
      </c>
      <c r="M27" s="56">
        <v>5812</v>
      </c>
      <c r="N27" s="56">
        <f t="shared" si="4"/>
        <v>8186</v>
      </c>
      <c r="O27" s="56" t="s">
        <v>22</v>
      </c>
      <c r="P27" s="56" t="s">
        <v>22</v>
      </c>
      <c r="Q27" s="56">
        <f t="shared" si="7"/>
        <v>2946</v>
      </c>
    </row>
    <row r="29" spans="1:17">
      <c r="A29" s="66" t="s">
        <v>793</v>
      </c>
    </row>
    <row r="30" spans="1:17">
      <c r="A30" s="64" t="s">
        <v>2123</v>
      </c>
      <c r="B30" s="67">
        <f>IFERROR(((B27/B6)^(1/21)-1)*100,"n.a.")</f>
        <v>-3.3557564999423528</v>
      </c>
      <c r="C30" s="67">
        <f t="shared" ref="C30:Q30" si="8">IFERROR(((C27/C6)^(1/21)-1)*100,"n.a.")</f>
        <v>-2.9271810153676192</v>
      </c>
      <c r="D30" s="67">
        <f t="shared" si="8"/>
        <v>-2.8922807965768293</v>
      </c>
      <c r="E30" s="67">
        <f t="shared" si="8"/>
        <v>-4.3155175953299203</v>
      </c>
      <c r="F30" s="67">
        <f t="shared" si="8"/>
        <v>-5.9048284646684879</v>
      </c>
      <c r="G30" s="67" t="str">
        <f t="shared" si="8"/>
        <v>n.a.</v>
      </c>
      <c r="H30" s="67" t="str">
        <f t="shared" si="8"/>
        <v>n.a.</v>
      </c>
      <c r="I30" s="67">
        <f t="shared" si="8"/>
        <v>-5.714816856099791</v>
      </c>
      <c r="J30" s="67">
        <f t="shared" si="8"/>
        <v>-1.9354922108840267</v>
      </c>
      <c r="K30" s="67" t="str">
        <f t="shared" si="8"/>
        <v>n.a.</v>
      </c>
      <c r="L30" s="67" t="str">
        <f t="shared" si="8"/>
        <v>n.a.</v>
      </c>
      <c r="M30" s="67">
        <f t="shared" si="8"/>
        <v>-2.7815463291825049</v>
      </c>
      <c r="N30" s="67">
        <f t="shared" si="8"/>
        <v>-4.4280354123960368</v>
      </c>
      <c r="O30" s="67" t="str">
        <f t="shared" si="8"/>
        <v>n.a.</v>
      </c>
      <c r="P30" s="67" t="str">
        <f t="shared" si="8"/>
        <v>n.a.</v>
      </c>
      <c r="Q30" s="67">
        <f t="shared" si="8"/>
        <v>-5.5870361456662128</v>
      </c>
    </row>
    <row r="31" spans="1:17">
      <c r="A31" s="64" t="s">
        <v>2125</v>
      </c>
      <c r="B31" s="67">
        <f>IFERROR(((B26/B6)^(1/20)-1)*100,"n.a.")</f>
        <v>-3.4013754365893267</v>
      </c>
      <c r="C31" s="67">
        <f t="shared" ref="C31:Q31" si="9">IFERROR(((C26/C6)^(1/20)-1)*100,"n.a.")</f>
        <v>-2.9471762101357157</v>
      </c>
      <c r="D31" s="67">
        <f t="shared" si="9"/>
        <v>-2.9605553278923669</v>
      </c>
      <c r="E31" s="67">
        <f t="shared" si="9"/>
        <v>-4.4196944317831166</v>
      </c>
      <c r="F31" s="67">
        <f t="shared" si="9"/>
        <v>-5.8705252704466471</v>
      </c>
      <c r="G31" s="67">
        <f t="shared" si="9"/>
        <v>-5.8475498124239351</v>
      </c>
      <c r="H31" s="67">
        <f t="shared" si="9"/>
        <v>-5.4248956428904149</v>
      </c>
      <c r="I31" s="67">
        <f t="shared" si="9"/>
        <v>-5.9236066633007178</v>
      </c>
      <c r="J31" s="67">
        <f t="shared" si="9"/>
        <v>-1.9382631433660258</v>
      </c>
      <c r="K31" s="67">
        <f t="shared" si="9"/>
        <v>-1.6637376130146819</v>
      </c>
      <c r="L31" s="67">
        <f t="shared" si="9"/>
        <v>-1.8689834747217082</v>
      </c>
      <c r="M31" s="67">
        <f t="shared" si="9"/>
        <v>-2.7115230750809904</v>
      </c>
      <c r="N31" s="67">
        <f t="shared" si="9"/>
        <v>-4.594952256724893</v>
      </c>
      <c r="O31" s="67">
        <f t="shared" si="9"/>
        <v>-3.670872633434441</v>
      </c>
      <c r="P31" s="67">
        <f t="shared" si="9"/>
        <v>-3.7286099060696909</v>
      </c>
      <c r="Q31" s="67">
        <f t="shared" si="9"/>
        <v>-5.9223725521379444</v>
      </c>
    </row>
    <row r="32" spans="1:17">
      <c r="A32" s="64" t="s">
        <v>1395</v>
      </c>
      <c r="B32" s="67">
        <f>((B15/B6)^(1/9)-1)*100</f>
        <v>-0.1369393811104791</v>
      </c>
      <c r="C32" s="67">
        <f t="shared" ref="C32:M32" si="10">((C15/C6)^(1/9)-1)*100</f>
        <v>-0.43456701123609776</v>
      </c>
      <c r="D32" s="67">
        <f t="shared" si="10"/>
        <v>-0.39409139967363505</v>
      </c>
      <c r="E32" s="67">
        <f t="shared" si="10"/>
        <v>0.42150513053131888</v>
      </c>
      <c r="F32" s="67">
        <f t="shared" si="10"/>
        <v>-2.23112664935321</v>
      </c>
      <c r="G32" s="67">
        <f t="shared" si="10"/>
        <v>-3.7821885058069049</v>
      </c>
      <c r="H32" s="67">
        <f t="shared" si="10"/>
        <v>-3.514020577736976</v>
      </c>
      <c r="I32" s="67">
        <f t="shared" si="10"/>
        <v>0.56833189502156767</v>
      </c>
      <c r="J32" s="67">
        <f t="shared" si="10"/>
        <v>0.93442351927801592</v>
      </c>
      <c r="K32" s="67">
        <f t="shared" si="10"/>
        <v>-7.7825860297930927E-2</v>
      </c>
      <c r="L32" s="67">
        <f t="shared" si="10"/>
        <v>-0.2316847054844362</v>
      </c>
      <c r="M32" s="67">
        <f t="shared" si="10"/>
        <v>3.2002600478739707</v>
      </c>
      <c r="N32" s="67">
        <f>((N15/N6)^(1/9)-1)*100</f>
        <v>-0.21259009685621333</v>
      </c>
      <c r="O32" s="67">
        <f>((O15/O6)^(1/9)-1)*100</f>
        <v>2.1117946006993238</v>
      </c>
      <c r="P32" s="67">
        <f>((P15/P6)^(1/9)-1)*100</f>
        <v>2.0616080460319486</v>
      </c>
      <c r="Q32" s="67">
        <f>((Q15/Q6)^(1/9)-1)*100</f>
        <v>-3.570892317653096</v>
      </c>
    </row>
    <row r="33" spans="1:17">
      <c r="A33" s="64" t="s">
        <v>2028</v>
      </c>
      <c r="B33" s="67">
        <f>IFERROR(((B27/B15)^(1/12)-1)*100,"n.a.")</f>
        <v>-5.7015987103132275</v>
      </c>
      <c r="C33" s="67">
        <f t="shared" ref="C33:Q33" si="11">IFERROR(((C27/C15)^(1/12)-1)*100,"n.a.")</f>
        <v>-4.7556038152821394</v>
      </c>
      <c r="D33" s="67">
        <f t="shared" si="11"/>
        <v>-4.7247179435482174</v>
      </c>
      <c r="E33" s="67">
        <f t="shared" si="11"/>
        <v>-7.7210591585774813</v>
      </c>
      <c r="F33" s="67">
        <f t="shared" si="11"/>
        <v>-8.5692285593521831</v>
      </c>
      <c r="G33" s="67" t="str">
        <f t="shared" si="11"/>
        <v>n.a.</v>
      </c>
      <c r="H33" s="67" t="str">
        <f t="shared" si="11"/>
        <v>n.a.</v>
      </c>
      <c r="I33" s="67">
        <f t="shared" si="11"/>
        <v>-10.168200238184266</v>
      </c>
      <c r="J33" s="67">
        <f t="shared" si="11"/>
        <v>-4.0342498914788365</v>
      </c>
      <c r="K33" s="67" t="str">
        <f t="shared" si="11"/>
        <v>n.a.</v>
      </c>
      <c r="L33" s="67" t="str">
        <f t="shared" si="11"/>
        <v>n.a.</v>
      </c>
      <c r="M33" s="67">
        <f t="shared" si="11"/>
        <v>-7.0392439739011543</v>
      </c>
      <c r="N33" s="67">
        <f t="shared" si="11"/>
        <v>-7.4723385301034062</v>
      </c>
      <c r="O33" s="67" t="str">
        <f t="shared" si="11"/>
        <v>n.a.</v>
      </c>
      <c r="P33" s="67" t="str">
        <f t="shared" si="11"/>
        <v>n.a.</v>
      </c>
      <c r="Q33" s="67">
        <f t="shared" si="11"/>
        <v>-7.0714321870089307</v>
      </c>
    </row>
    <row r="34" spans="1:17">
      <c r="A34" s="64" t="s">
        <v>27</v>
      </c>
      <c r="B34" s="67">
        <f>((B21/B15)^(1/6)-1)*100</f>
        <v>-5.4218894027827425</v>
      </c>
      <c r="C34" s="67">
        <f t="shared" ref="C34:Q34" si="12">((C21/C15)^(1/6)-1)*100</f>
        <v>-2.8598172442322323</v>
      </c>
      <c r="D34" s="67">
        <f t="shared" si="12"/>
        <v>-3.5594611801051834</v>
      </c>
      <c r="E34" s="67">
        <f t="shared" si="12"/>
        <v>-11.152560660937317</v>
      </c>
      <c r="F34" s="67">
        <f t="shared" si="12"/>
        <v>-4.8041287388860487</v>
      </c>
      <c r="G34" s="67">
        <f t="shared" si="12"/>
        <v>-3.6627331026491516</v>
      </c>
      <c r="H34" s="67">
        <f t="shared" si="12"/>
        <v>-3.0701054381489512</v>
      </c>
      <c r="I34" s="67">
        <f t="shared" si="12"/>
        <v>-6.5963202488670269</v>
      </c>
      <c r="J34" s="67">
        <f t="shared" si="12"/>
        <v>-3.921651769590806</v>
      </c>
      <c r="K34" s="67">
        <f t="shared" si="12"/>
        <v>-1.1572842357979951</v>
      </c>
      <c r="L34" s="67">
        <f t="shared" si="12"/>
        <v>-2.458845641414753</v>
      </c>
      <c r="M34" s="67">
        <f t="shared" si="12"/>
        <v>-10.663920305838914</v>
      </c>
      <c r="N34" s="67">
        <f t="shared" si="12"/>
        <v>-9.3697255470218561</v>
      </c>
      <c r="O34" s="67">
        <f t="shared" si="12"/>
        <v>-5.9792457171425673</v>
      </c>
      <c r="P34" s="67">
        <f t="shared" si="12"/>
        <v>-6.2902002706629156</v>
      </c>
      <c r="Q34" s="67">
        <f t="shared" si="12"/>
        <v>-18.575564731763627</v>
      </c>
    </row>
    <row r="35" spans="1:17">
      <c r="A35" s="64" t="s">
        <v>2124</v>
      </c>
      <c r="B35" s="67">
        <f>IFERROR(((B27/B21)^(1/6)-1)*100,"n.a.")</f>
        <v>-5.9804807936982289</v>
      </c>
      <c r="C35" s="67">
        <f t="shared" ref="C35:Q35" si="13">IFERROR(((C27/C21)^(1/6)-1)*100,"n.a.")</f>
        <v>-6.6143922397256087</v>
      </c>
      <c r="D35" s="67">
        <f t="shared" si="13"/>
        <v>-5.8758953235559686</v>
      </c>
      <c r="E35" s="67">
        <f t="shared" si="13"/>
        <v>-4.1570248263657739</v>
      </c>
      <c r="F35" s="67">
        <f t="shared" si="13"/>
        <v>-12.185414603724066</v>
      </c>
      <c r="G35" s="67" t="str">
        <f t="shared" si="13"/>
        <v>n.a.</v>
      </c>
      <c r="H35" s="67" t="str">
        <f t="shared" si="13"/>
        <v>n.a.</v>
      </c>
      <c r="I35" s="67">
        <f t="shared" si="13"/>
        <v>-13.603486822487076</v>
      </c>
      <c r="J35" s="67">
        <f t="shared" si="13"/>
        <v>-4.1467160550507032</v>
      </c>
      <c r="K35" s="67" t="str">
        <f t="shared" si="13"/>
        <v>n.a.</v>
      </c>
      <c r="L35" s="67" t="str">
        <f t="shared" si="13"/>
        <v>n.a.</v>
      </c>
      <c r="M35" s="67">
        <f t="shared" si="13"/>
        <v>-3.2675018813402623</v>
      </c>
      <c r="N35" s="67">
        <f t="shared" si="13"/>
        <v>-5.5352288320643206</v>
      </c>
      <c r="O35" s="67" t="str">
        <f t="shared" si="13"/>
        <v>n.a.</v>
      </c>
      <c r="P35" s="67" t="str">
        <f t="shared" si="13"/>
        <v>n.a.</v>
      </c>
      <c r="Q35" s="67">
        <f t="shared" si="13"/>
        <v>6.0580731978680191</v>
      </c>
    </row>
    <row r="37" spans="1:17">
      <c r="A37" s="256" t="s">
        <v>1414</v>
      </c>
      <c r="B37" s="256"/>
      <c r="C37" s="256"/>
      <c r="D37" s="256"/>
      <c r="E37" s="256"/>
      <c r="F37" s="256"/>
      <c r="G37" s="256"/>
      <c r="H37" s="256"/>
      <c r="I37" s="256"/>
      <c r="J37" s="256"/>
      <c r="K37" s="256"/>
    </row>
    <row r="38" spans="1:17" ht="30" customHeight="1">
      <c r="A38" s="131" t="s">
        <v>1958</v>
      </c>
      <c r="B38" s="131"/>
      <c r="C38" s="131"/>
      <c r="D38" s="131"/>
      <c r="E38" s="131"/>
      <c r="F38" s="131"/>
      <c r="G38" s="131"/>
      <c r="H38" s="131"/>
      <c r="I38" s="131"/>
      <c r="J38" s="131"/>
      <c r="K38" s="131"/>
      <c r="L38" s="131"/>
      <c r="M38" s="131"/>
      <c r="N38" s="131"/>
      <c r="O38" s="131"/>
      <c r="P38" s="131"/>
      <c r="Q38" s="131"/>
    </row>
    <row r="39" spans="1:17" ht="30" customHeight="1">
      <c r="A39" s="131" t="s">
        <v>1959</v>
      </c>
      <c r="B39" s="131"/>
      <c r="C39" s="131"/>
      <c r="D39" s="131"/>
      <c r="E39" s="131"/>
      <c r="F39" s="131"/>
      <c r="G39" s="131"/>
      <c r="H39" s="131"/>
      <c r="I39" s="131"/>
      <c r="J39" s="131"/>
      <c r="K39" s="131"/>
      <c r="L39" s="131"/>
      <c r="M39" s="131"/>
      <c r="N39" s="131"/>
      <c r="O39" s="131"/>
      <c r="P39" s="131"/>
      <c r="Q39" s="131"/>
    </row>
  </sheetData>
  <mergeCells count="11">
    <mergeCell ref="A39:Q39"/>
    <mergeCell ref="A38:Q38"/>
    <mergeCell ref="F2:I2"/>
    <mergeCell ref="B2:E2"/>
    <mergeCell ref="J2:M2"/>
    <mergeCell ref="A37:K37"/>
    <mergeCell ref="N2:Q2"/>
    <mergeCell ref="B3:E3"/>
    <mergeCell ref="F3:I3"/>
    <mergeCell ref="J3:M3"/>
    <mergeCell ref="N3:Q3"/>
  </mergeCells>
  <pageMargins left="0.7" right="0.7" top="0.75" bottom="0.75" header="0.3" footer="0.3"/>
  <pageSetup scale="61" orientation="landscape" horizontalDpi="0" verticalDpi="0" r:id="rId1"/>
  <ignoredErrors>
    <ignoredError sqref="B3:M3" numberStoredAsText="1"/>
  </ignoredErrors>
</worksheet>
</file>

<file path=xl/worksheets/sheet22.xml><?xml version="1.0" encoding="utf-8"?>
<worksheet xmlns="http://schemas.openxmlformats.org/spreadsheetml/2006/main" xmlns:r="http://schemas.openxmlformats.org/officeDocument/2006/relationships">
  <sheetPr codeName="Sheet22"/>
  <dimension ref="A1:Q38"/>
  <sheetViews>
    <sheetView view="pageBreakPreview" zoomScale="70" zoomScaleNormal="85" zoomScaleSheetLayoutView="70"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3.140625" style="64" customWidth="1"/>
    <col min="2" max="5" width="19.85546875" style="64" customWidth="1"/>
    <col min="6" max="6" width="19.28515625" style="64" customWidth="1"/>
    <col min="7" max="7" width="17.7109375" style="64" customWidth="1"/>
    <col min="8" max="17" width="18.5703125" style="64" customWidth="1"/>
    <col min="18" max="16384" width="9.140625" style="64"/>
  </cols>
  <sheetData>
    <row r="1" spans="1:17">
      <c r="A1" s="66" t="s">
        <v>1964</v>
      </c>
    </row>
    <row r="2" spans="1:17">
      <c r="A2" s="66"/>
      <c r="B2" s="111" t="s">
        <v>1427</v>
      </c>
      <c r="C2" s="111"/>
      <c r="D2" s="111"/>
      <c r="E2" s="111"/>
      <c r="F2" s="111" t="s">
        <v>1411</v>
      </c>
      <c r="G2" s="111"/>
      <c r="H2" s="111"/>
      <c r="I2" s="111"/>
      <c r="J2" s="111" t="s">
        <v>1412</v>
      </c>
      <c r="K2" s="111"/>
      <c r="L2" s="111"/>
      <c r="M2" s="111"/>
      <c r="N2" s="111" t="s">
        <v>1451</v>
      </c>
      <c r="O2" s="111"/>
      <c r="P2" s="111"/>
      <c r="Q2" s="111"/>
    </row>
    <row r="3" spans="1:17">
      <c r="A3" s="66"/>
      <c r="B3" s="266" t="s">
        <v>2079</v>
      </c>
      <c r="C3" s="267"/>
      <c r="D3" s="267"/>
      <c r="E3" s="268"/>
      <c r="F3" s="266" t="s">
        <v>2080</v>
      </c>
      <c r="G3" s="267"/>
      <c r="H3" s="267"/>
      <c r="I3" s="268"/>
      <c r="J3" s="266" t="s">
        <v>2081</v>
      </c>
      <c r="K3" s="267"/>
      <c r="L3" s="267"/>
      <c r="M3" s="268"/>
      <c r="N3" s="266" t="s">
        <v>2126</v>
      </c>
      <c r="O3" s="267"/>
      <c r="P3" s="267"/>
      <c r="Q3" s="268"/>
    </row>
    <row r="4" spans="1:17" ht="75">
      <c r="B4" s="72" t="s">
        <v>745</v>
      </c>
      <c r="C4" s="72" t="s">
        <v>1172</v>
      </c>
      <c r="D4" s="72" t="s">
        <v>1173</v>
      </c>
      <c r="E4" s="72" t="s">
        <v>1174</v>
      </c>
      <c r="F4" s="72" t="s">
        <v>745</v>
      </c>
      <c r="G4" s="72" t="s">
        <v>1172</v>
      </c>
      <c r="H4" s="72" t="s">
        <v>1173</v>
      </c>
      <c r="I4" s="72" t="s">
        <v>1174</v>
      </c>
      <c r="J4" s="72" t="s">
        <v>745</v>
      </c>
      <c r="K4" s="72" t="s">
        <v>1172</v>
      </c>
      <c r="L4" s="72" t="s">
        <v>1173</v>
      </c>
      <c r="M4" s="72" t="s">
        <v>1174</v>
      </c>
      <c r="N4" s="72" t="s">
        <v>745</v>
      </c>
      <c r="O4" s="72" t="s">
        <v>1172</v>
      </c>
      <c r="P4" s="72" t="s">
        <v>1173</v>
      </c>
      <c r="Q4" s="72" t="s">
        <v>1174</v>
      </c>
    </row>
    <row r="5" spans="1:17" s="135" customFormat="1" hidden="1" outlineLevel="1">
      <c r="B5" s="135" t="s">
        <v>1415</v>
      </c>
      <c r="C5" s="135" t="s">
        <v>1416</v>
      </c>
      <c r="D5" s="135" t="s">
        <v>1417</v>
      </c>
      <c r="E5" s="135" t="s">
        <v>1418</v>
      </c>
      <c r="F5" s="135" t="s">
        <v>1419</v>
      </c>
      <c r="G5" s="135" t="s">
        <v>1420</v>
      </c>
      <c r="H5" s="135" t="s">
        <v>1421</v>
      </c>
      <c r="I5" s="135" t="s">
        <v>1422</v>
      </c>
      <c r="J5" s="135" t="s">
        <v>1423</v>
      </c>
      <c r="K5" s="135" t="s">
        <v>1424</v>
      </c>
      <c r="L5" s="135" t="s">
        <v>1425</v>
      </c>
      <c r="M5" s="135" t="s">
        <v>1426</v>
      </c>
    </row>
    <row r="6" spans="1:17" collapsed="1">
      <c r="A6" s="66">
        <v>1991</v>
      </c>
      <c r="B6" s="56">
        <v>99572</v>
      </c>
      <c r="C6" s="56">
        <v>57494</v>
      </c>
      <c r="D6" s="56">
        <v>17162</v>
      </c>
      <c r="E6" s="56">
        <v>24915</v>
      </c>
      <c r="F6" s="56">
        <v>19343</v>
      </c>
      <c r="G6" s="56">
        <v>9962</v>
      </c>
      <c r="H6" s="56">
        <v>3249</v>
      </c>
      <c r="I6" s="56">
        <v>6132</v>
      </c>
      <c r="J6" s="56">
        <v>74143</v>
      </c>
      <c r="K6" s="56">
        <v>42723</v>
      </c>
      <c r="L6" s="56">
        <v>13630</v>
      </c>
      <c r="M6" s="56">
        <v>17790</v>
      </c>
      <c r="N6" s="56">
        <f>B6-F6-J6</f>
        <v>6086</v>
      </c>
      <c r="O6" s="56">
        <f>C6-G6-K6</f>
        <v>4809</v>
      </c>
      <c r="P6" s="56">
        <f>D6-H6-L6</f>
        <v>283</v>
      </c>
      <c r="Q6" s="56">
        <f>E6-I6-M6</f>
        <v>993</v>
      </c>
    </row>
    <row r="7" spans="1:17">
      <c r="A7" s="66">
        <v>1992</v>
      </c>
      <c r="B7" s="56">
        <v>93450</v>
      </c>
      <c r="C7" s="56">
        <v>51304</v>
      </c>
      <c r="D7" s="56">
        <v>16722</v>
      </c>
      <c r="E7" s="56">
        <v>25423</v>
      </c>
      <c r="F7" s="56">
        <v>16931</v>
      </c>
      <c r="G7" s="56">
        <v>8267</v>
      </c>
      <c r="H7" s="56">
        <v>2973</v>
      </c>
      <c r="I7" s="56">
        <v>5691</v>
      </c>
      <c r="J7" s="56">
        <v>73097</v>
      </c>
      <c r="K7" s="56">
        <v>41090</v>
      </c>
      <c r="L7" s="56">
        <v>13450</v>
      </c>
      <c r="M7" s="56">
        <v>18557</v>
      </c>
      <c r="N7" s="56">
        <f t="shared" ref="N7:N27" si="0">B7-F7-J7</f>
        <v>3422</v>
      </c>
      <c r="O7" s="56">
        <f t="shared" ref="O7:O27" si="1">C7-G7-K7</f>
        <v>1947</v>
      </c>
      <c r="P7" s="56">
        <f t="shared" ref="P7:P27" si="2">D7-H7-L7</f>
        <v>299</v>
      </c>
      <c r="Q7" s="56">
        <f t="shared" ref="Q7:Q27" si="3">E7-I7-M7</f>
        <v>1175</v>
      </c>
    </row>
    <row r="8" spans="1:17">
      <c r="A8" s="66">
        <v>1993</v>
      </c>
      <c r="B8" s="56">
        <v>96475</v>
      </c>
      <c r="C8" s="56">
        <v>50731</v>
      </c>
      <c r="D8" s="56">
        <v>17759</v>
      </c>
      <c r="E8" s="56">
        <v>27985</v>
      </c>
      <c r="F8" s="56">
        <v>16492</v>
      </c>
      <c r="G8" s="56">
        <v>7609</v>
      </c>
      <c r="H8" s="56">
        <v>3066</v>
      </c>
      <c r="I8" s="56">
        <v>5816</v>
      </c>
      <c r="J8" s="56">
        <v>76944</v>
      </c>
      <c r="K8" s="56">
        <v>41774</v>
      </c>
      <c r="L8" s="56">
        <v>14308</v>
      </c>
      <c r="M8" s="56">
        <v>20862</v>
      </c>
      <c r="N8" s="56">
        <f t="shared" si="0"/>
        <v>3039</v>
      </c>
      <c r="O8" s="56">
        <f t="shared" si="1"/>
        <v>1348</v>
      </c>
      <c r="P8" s="56">
        <f t="shared" si="2"/>
        <v>385</v>
      </c>
      <c r="Q8" s="56">
        <f t="shared" si="3"/>
        <v>1307</v>
      </c>
    </row>
    <row r="9" spans="1:17">
      <c r="A9" s="66">
        <v>1994</v>
      </c>
      <c r="B9" s="56">
        <v>109790</v>
      </c>
      <c r="C9" s="56">
        <v>57633</v>
      </c>
      <c r="D9" s="56">
        <v>20008</v>
      </c>
      <c r="E9" s="56">
        <v>32149</v>
      </c>
      <c r="F9" s="56">
        <v>19634</v>
      </c>
      <c r="G9" s="56">
        <v>9032</v>
      </c>
      <c r="H9" s="56">
        <v>3837</v>
      </c>
      <c r="I9" s="56">
        <v>6765</v>
      </c>
      <c r="J9" s="56">
        <v>85161</v>
      </c>
      <c r="K9" s="56">
        <v>46385</v>
      </c>
      <c r="L9" s="56">
        <v>15500</v>
      </c>
      <c r="M9" s="56">
        <v>23277</v>
      </c>
      <c r="N9" s="56">
        <f t="shared" si="0"/>
        <v>4995</v>
      </c>
      <c r="O9" s="56">
        <f t="shared" si="1"/>
        <v>2216</v>
      </c>
      <c r="P9" s="56">
        <f t="shared" si="2"/>
        <v>671</v>
      </c>
      <c r="Q9" s="56">
        <f t="shared" si="3"/>
        <v>2107</v>
      </c>
    </row>
    <row r="10" spans="1:17">
      <c r="A10" s="66">
        <v>1995</v>
      </c>
      <c r="B10" s="56">
        <v>108431</v>
      </c>
      <c r="C10" s="56">
        <v>56525</v>
      </c>
      <c r="D10" s="56">
        <v>20272</v>
      </c>
      <c r="E10" s="56">
        <v>31634</v>
      </c>
      <c r="F10" s="56">
        <v>19263</v>
      </c>
      <c r="G10" s="56">
        <v>9033</v>
      </c>
      <c r="H10" s="56">
        <v>3717</v>
      </c>
      <c r="I10" s="56">
        <v>6512</v>
      </c>
      <c r="J10" s="56">
        <v>83788</v>
      </c>
      <c r="K10" s="56">
        <v>45089</v>
      </c>
      <c r="L10" s="56">
        <v>15733</v>
      </c>
      <c r="M10" s="56">
        <v>22966</v>
      </c>
      <c r="N10" s="56">
        <f t="shared" si="0"/>
        <v>5380</v>
      </c>
      <c r="O10" s="56">
        <f t="shared" si="1"/>
        <v>2403</v>
      </c>
      <c r="P10" s="56">
        <f t="shared" si="2"/>
        <v>822</v>
      </c>
      <c r="Q10" s="56">
        <f t="shared" si="3"/>
        <v>2156</v>
      </c>
    </row>
    <row r="11" spans="1:17">
      <c r="A11" s="66">
        <v>1996</v>
      </c>
      <c r="B11" s="56">
        <v>116544</v>
      </c>
      <c r="C11" s="56">
        <v>63510</v>
      </c>
      <c r="D11" s="56">
        <v>20252</v>
      </c>
      <c r="E11" s="56">
        <v>32782</v>
      </c>
      <c r="F11" s="56">
        <v>22586</v>
      </c>
      <c r="G11" s="56">
        <v>12227</v>
      </c>
      <c r="H11" s="56">
        <v>3704</v>
      </c>
      <c r="I11" s="56">
        <v>6655</v>
      </c>
      <c r="J11" s="56">
        <v>88656</v>
      </c>
      <c r="K11" s="56">
        <v>48914</v>
      </c>
      <c r="L11" s="56">
        <v>15720</v>
      </c>
      <c r="M11" s="56">
        <v>24022</v>
      </c>
      <c r="N11" s="56">
        <f t="shared" si="0"/>
        <v>5302</v>
      </c>
      <c r="O11" s="56">
        <f t="shared" si="1"/>
        <v>2369</v>
      </c>
      <c r="P11" s="56">
        <f t="shared" si="2"/>
        <v>828</v>
      </c>
      <c r="Q11" s="56">
        <f t="shared" si="3"/>
        <v>2105</v>
      </c>
    </row>
    <row r="12" spans="1:17">
      <c r="A12" s="66">
        <v>1997</v>
      </c>
      <c r="B12" s="56">
        <v>124299</v>
      </c>
      <c r="C12" s="56">
        <v>66148</v>
      </c>
      <c r="D12" s="56">
        <v>22227</v>
      </c>
      <c r="E12" s="56">
        <v>35923</v>
      </c>
      <c r="F12" s="56">
        <v>24336</v>
      </c>
      <c r="G12" s="56">
        <v>13109</v>
      </c>
      <c r="H12" s="56">
        <v>4047</v>
      </c>
      <c r="I12" s="56">
        <v>7181</v>
      </c>
      <c r="J12" s="56">
        <v>95481</v>
      </c>
      <c r="K12" s="56">
        <v>50876</v>
      </c>
      <c r="L12" s="56">
        <v>17453</v>
      </c>
      <c r="M12" s="56">
        <v>27152</v>
      </c>
      <c r="N12" s="56">
        <f t="shared" si="0"/>
        <v>4482</v>
      </c>
      <c r="O12" s="56">
        <f t="shared" si="1"/>
        <v>2163</v>
      </c>
      <c r="P12" s="56">
        <f t="shared" si="2"/>
        <v>727</v>
      </c>
      <c r="Q12" s="56">
        <f t="shared" si="3"/>
        <v>1590</v>
      </c>
    </row>
    <row r="13" spans="1:17">
      <c r="A13" s="66">
        <v>1998</v>
      </c>
      <c r="B13" s="56">
        <v>127559</v>
      </c>
      <c r="C13" s="56">
        <v>66821</v>
      </c>
      <c r="D13" s="56">
        <v>22458</v>
      </c>
      <c r="E13" s="56">
        <v>38279</v>
      </c>
      <c r="F13" s="56">
        <v>19033</v>
      </c>
      <c r="G13" s="56">
        <v>9891</v>
      </c>
      <c r="H13" s="56">
        <v>3403</v>
      </c>
      <c r="I13" s="56">
        <v>5740</v>
      </c>
      <c r="J13" s="56">
        <v>101624</v>
      </c>
      <c r="K13" s="56">
        <v>53743</v>
      </c>
      <c r="L13" s="56">
        <v>17848</v>
      </c>
      <c r="M13" s="56">
        <v>30034</v>
      </c>
      <c r="N13" s="56">
        <f t="shared" si="0"/>
        <v>6902</v>
      </c>
      <c r="O13" s="56">
        <f t="shared" si="1"/>
        <v>3187</v>
      </c>
      <c r="P13" s="56">
        <f t="shared" si="2"/>
        <v>1207</v>
      </c>
      <c r="Q13" s="56">
        <f t="shared" si="3"/>
        <v>2505</v>
      </c>
    </row>
    <row r="14" spans="1:17">
      <c r="A14" s="66">
        <v>1999</v>
      </c>
      <c r="B14" s="56">
        <v>134177</v>
      </c>
      <c r="C14" s="56">
        <v>71052</v>
      </c>
      <c r="D14" s="56">
        <v>22781</v>
      </c>
      <c r="E14" s="56">
        <v>40344</v>
      </c>
      <c r="F14" s="56">
        <v>20012</v>
      </c>
      <c r="G14" s="56">
        <v>10471</v>
      </c>
      <c r="H14" s="56">
        <v>3513</v>
      </c>
      <c r="I14" s="56">
        <v>6028</v>
      </c>
      <c r="J14" s="56">
        <v>108213</v>
      </c>
      <c r="K14" s="56">
        <v>57447</v>
      </c>
      <c r="L14" s="56">
        <v>18304</v>
      </c>
      <c r="M14" s="56">
        <v>32461</v>
      </c>
      <c r="N14" s="56">
        <f t="shared" si="0"/>
        <v>5952</v>
      </c>
      <c r="O14" s="56">
        <f t="shared" si="1"/>
        <v>3134</v>
      </c>
      <c r="P14" s="56">
        <f t="shared" si="2"/>
        <v>964</v>
      </c>
      <c r="Q14" s="56">
        <f t="shared" si="3"/>
        <v>1855</v>
      </c>
    </row>
    <row r="15" spans="1:17">
      <c r="A15" s="66">
        <v>2000</v>
      </c>
      <c r="B15" s="56">
        <v>141872</v>
      </c>
      <c r="C15" s="56">
        <v>74145</v>
      </c>
      <c r="D15" s="56">
        <v>24700</v>
      </c>
      <c r="E15" s="56">
        <v>43026</v>
      </c>
      <c r="F15" s="56">
        <v>18792</v>
      </c>
      <c r="G15" s="56">
        <v>9712</v>
      </c>
      <c r="H15" s="56">
        <v>3377</v>
      </c>
      <c r="I15" s="56">
        <v>5703</v>
      </c>
      <c r="J15" s="56">
        <v>109356</v>
      </c>
      <c r="K15" s="56">
        <v>57640</v>
      </c>
      <c r="L15" s="56">
        <v>18272</v>
      </c>
      <c r="M15" s="56">
        <v>33444</v>
      </c>
      <c r="N15" s="56">
        <f t="shared" si="0"/>
        <v>13724</v>
      </c>
      <c r="O15" s="56">
        <f t="shared" si="1"/>
        <v>6793</v>
      </c>
      <c r="P15" s="56">
        <f t="shared" si="2"/>
        <v>3051</v>
      </c>
      <c r="Q15" s="56">
        <f t="shared" si="3"/>
        <v>3879</v>
      </c>
    </row>
    <row r="16" spans="1:17">
      <c r="A16" s="66">
        <v>2001</v>
      </c>
      <c r="B16" s="56">
        <v>135758</v>
      </c>
      <c r="C16" s="56">
        <v>66695</v>
      </c>
      <c r="D16" s="56">
        <v>24547</v>
      </c>
      <c r="E16" s="56">
        <v>44516</v>
      </c>
      <c r="F16" s="56">
        <v>19868</v>
      </c>
      <c r="G16" s="56">
        <v>9942</v>
      </c>
      <c r="H16" s="56">
        <v>3480</v>
      </c>
      <c r="I16" s="56">
        <v>6445</v>
      </c>
      <c r="J16" s="56">
        <v>103386</v>
      </c>
      <c r="K16" s="56">
        <v>50898</v>
      </c>
      <c r="L16" s="56">
        <v>18205</v>
      </c>
      <c r="M16" s="56">
        <v>34283</v>
      </c>
      <c r="N16" s="56">
        <f t="shared" si="0"/>
        <v>12504</v>
      </c>
      <c r="O16" s="56">
        <f t="shared" si="1"/>
        <v>5855</v>
      </c>
      <c r="P16" s="56">
        <f t="shared" si="2"/>
        <v>2862</v>
      </c>
      <c r="Q16" s="56">
        <f t="shared" si="3"/>
        <v>3788</v>
      </c>
    </row>
    <row r="17" spans="1:17">
      <c r="A17" s="66">
        <v>2002</v>
      </c>
      <c r="B17" s="56">
        <v>134227</v>
      </c>
      <c r="C17" s="56">
        <v>62512</v>
      </c>
      <c r="D17" s="56">
        <v>25219</v>
      </c>
      <c r="E17" s="56">
        <v>46497</v>
      </c>
      <c r="F17" s="56">
        <v>18467</v>
      </c>
      <c r="G17" s="56">
        <v>8350</v>
      </c>
      <c r="H17" s="56">
        <v>3358</v>
      </c>
      <c r="I17" s="56">
        <v>6759</v>
      </c>
      <c r="J17" s="56">
        <v>110205</v>
      </c>
      <c r="K17" s="56">
        <v>51583</v>
      </c>
      <c r="L17" s="56">
        <v>20771</v>
      </c>
      <c r="M17" s="56">
        <v>37851</v>
      </c>
      <c r="N17" s="56">
        <f t="shared" si="0"/>
        <v>5555</v>
      </c>
      <c r="O17" s="56">
        <f t="shared" si="1"/>
        <v>2579</v>
      </c>
      <c r="P17" s="56">
        <f t="shared" si="2"/>
        <v>1090</v>
      </c>
      <c r="Q17" s="56">
        <f t="shared" si="3"/>
        <v>1887</v>
      </c>
    </row>
    <row r="18" spans="1:17">
      <c r="A18" s="66">
        <v>2003</v>
      </c>
      <c r="B18" s="56">
        <v>133829</v>
      </c>
      <c r="C18" s="56">
        <v>58657</v>
      </c>
      <c r="D18" s="56">
        <v>25846</v>
      </c>
      <c r="E18" s="56">
        <v>49326</v>
      </c>
      <c r="F18" s="56">
        <v>19679</v>
      </c>
      <c r="G18" s="56">
        <v>8299</v>
      </c>
      <c r="H18" s="56">
        <v>3581</v>
      </c>
      <c r="I18" s="56">
        <v>7800</v>
      </c>
      <c r="J18" s="56">
        <v>106441</v>
      </c>
      <c r="K18" s="56">
        <v>46791</v>
      </c>
      <c r="L18" s="56">
        <v>20714</v>
      </c>
      <c r="M18" s="56">
        <v>38935</v>
      </c>
      <c r="N18" s="56">
        <f t="shared" si="0"/>
        <v>7709</v>
      </c>
      <c r="O18" s="56">
        <f t="shared" si="1"/>
        <v>3567</v>
      </c>
      <c r="P18" s="56">
        <f t="shared" si="2"/>
        <v>1551</v>
      </c>
      <c r="Q18" s="56">
        <f t="shared" si="3"/>
        <v>2591</v>
      </c>
    </row>
    <row r="19" spans="1:17">
      <c r="A19" s="66">
        <v>2004</v>
      </c>
      <c r="B19" s="56">
        <v>137153</v>
      </c>
      <c r="C19" s="56">
        <v>59723</v>
      </c>
      <c r="D19" s="56">
        <v>27606</v>
      </c>
      <c r="E19" s="56">
        <v>49824</v>
      </c>
      <c r="F19" s="56">
        <v>24715</v>
      </c>
      <c r="G19" s="56">
        <v>10068</v>
      </c>
      <c r="H19" s="56">
        <v>4455</v>
      </c>
      <c r="I19" s="56">
        <v>10192</v>
      </c>
      <c r="J19" s="56">
        <v>108773</v>
      </c>
      <c r="K19" s="56">
        <v>47911</v>
      </c>
      <c r="L19" s="56">
        <v>22342</v>
      </c>
      <c r="M19" s="56">
        <v>38520</v>
      </c>
      <c r="N19" s="56">
        <f t="shared" si="0"/>
        <v>3665</v>
      </c>
      <c r="O19" s="56">
        <f t="shared" si="1"/>
        <v>1744</v>
      </c>
      <c r="P19" s="56">
        <f t="shared" si="2"/>
        <v>809</v>
      </c>
      <c r="Q19" s="56">
        <f t="shared" si="3"/>
        <v>1112</v>
      </c>
    </row>
    <row r="20" spans="1:17">
      <c r="A20" s="66">
        <v>2005</v>
      </c>
      <c r="B20" s="56">
        <v>135306</v>
      </c>
      <c r="C20" s="56">
        <v>57868</v>
      </c>
      <c r="D20" s="56">
        <v>27188</v>
      </c>
      <c r="E20" s="56">
        <v>50250</v>
      </c>
      <c r="F20" s="56">
        <v>26824</v>
      </c>
      <c r="G20" s="56">
        <v>10617</v>
      </c>
      <c r="H20" s="56">
        <v>5012</v>
      </c>
      <c r="I20" s="56">
        <v>11195</v>
      </c>
      <c r="J20" s="56">
        <v>106623</v>
      </c>
      <c r="K20" s="56">
        <v>46345</v>
      </c>
      <c r="L20" s="56">
        <v>21753</v>
      </c>
      <c r="M20" s="56">
        <v>38525</v>
      </c>
      <c r="N20" s="56">
        <f t="shared" si="0"/>
        <v>1859</v>
      </c>
      <c r="O20" s="56">
        <f t="shared" si="1"/>
        <v>906</v>
      </c>
      <c r="P20" s="56">
        <f t="shared" si="2"/>
        <v>423</v>
      </c>
      <c r="Q20" s="56">
        <f t="shared" si="3"/>
        <v>530</v>
      </c>
    </row>
    <row r="21" spans="1:17">
      <c r="A21" s="66">
        <v>2006</v>
      </c>
      <c r="B21" s="56">
        <v>130222</v>
      </c>
      <c r="C21" s="56">
        <v>54454</v>
      </c>
      <c r="D21" s="56">
        <v>26250</v>
      </c>
      <c r="E21" s="56">
        <v>49519</v>
      </c>
      <c r="F21" s="56">
        <v>26846</v>
      </c>
      <c r="G21" s="56">
        <v>10539</v>
      </c>
      <c r="H21" s="56">
        <v>4920</v>
      </c>
      <c r="I21" s="56">
        <v>11386</v>
      </c>
      <c r="J21" s="56">
        <v>100417</v>
      </c>
      <c r="K21" s="56">
        <v>42545</v>
      </c>
      <c r="L21" s="56">
        <v>20563</v>
      </c>
      <c r="M21" s="56">
        <v>37309</v>
      </c>
      <c r="N21" s="56">
        <f t="shared" si="0"/>
        <v>2959</v>
      </c>
      <c r="O21" s="56">
        <f t="shared" si="1"/>
        <v>1370</v>
      </c>
      <c r="P21" s="56">
        <f t="shared" si="2"/>
        <v>767</v>
      </c>
      <c r="Q21" s="56">
        <f t="shared" si="3"/>
        <v>824</v>
      </c>
    </row>
    <row r="22" spans="1:17">
      <c r="A22" s="66">
        <v>2007</v>
      </c>
      <c r="B22" s="56">
        <v>122940</v>
      </c>
      <c r="C22" s="56">
        <v>49577</v>
      </c>
      <c r="D22" s="56">
        <v>24147</v>
      </c>
      <c r="E22" s="56">
        <v>49216</v>
      </c>
      <c r="F22" s="56">
        <v>16590</v>
      </c>
      <c r="G22" s="56">
        <v>6274</v>
      </c>
      <c r="H22" s="56">
        <v>2874</v>
      </c>
      <c r="I22" s="56">
        <v>7442</v>
      </c>
      <c r="J22" s="56">
        <v>104540</v>
      </c>
      <c r="K22" s="56">
        <v>42513</v>
      </c>
      <c r="L22" s="56">
        <v>20673</v>
      </c>
      <c r="M22" s="56">
        <v>41354</v>
      </c>
      <c r="N22" s="56">
        <f t="shared" si="0"/>
        <v>1810</v>
      </c>
      <c r="O22" s="56">
        <f t="shared" si="1"/>
        <v>790</v>
      </c>
      <c r="P22" s="56">
        <f t="shared" si="2"/>
        <v>600</v>
      </c>
      <c r="Q22" s="56">
        <f t="shared" si="3"/>
        <v>420</v>
      </c>
    </row>
    <row r="23" spans="1:17">
      <c r="A23" s="66">
        <v>2008</v>
      </c>
      <c r="B23" s="56">
        <v>110322</v>
      </c>
      <c r="C23" s="56">
        <v>42441</v>
      </c>
      <c r="D23" s="56">
        <v>21854</v>
      </c>
      <c r="E23" s="56">
        <v>46026</v>
      </c>
      <c r="F23" s="56">
        <v>22150</v>
      </c>
      <c r="G23" s="56">
        <v>8155</v>
      </c>
      <c r="H23" s="56">
        <v>4020</v>
      </c>
      <c r="I23" s="56">
        <v>9975</v>
      </c>
      <c r="J23" s="56">
        <v>85380</v>
      </c>
      <c r="K23" s="56">
        <v>33195</v>
      </c>
      <c r="L23" s="56">
        <v>17070</v>
      </c>
      <c r="M23" s="56">
        <v>35115</v>
      </c>
      <c r="N23" s="56">
        <f t="shared" si="0"/>
        <v>2792</v>
      </c>
      <c r="O23" s="56">
        <f t="shared" si="1"/>
        <v>1091</v>
      </c>
      <c r="P23" s="56">
        <f t="shared" si="2"/>
        <v>764</v>
      </c>
      <c r="Q23" s="56">
        <f t="shared" si="3"/>
        <v>936</v>
      </c>
    </row>
    <row r="24" spans="1:17">
      <c r="A24" s="66">
        <v>2009</v>
      </c>
      <c r="B24" s="56">
        <v>89372</v>
      </c>
      <c r="C24" s="56">
        <v>34364</v>
      </c>
      <c r="D24" s="56">
        <v>17207</v>
      </c>
      <c r="E24" s="56">
        <v>37801</v>
      </c>
      <c r="F24" s="56">
        <v>17113</v>
      </c>
      <c r="G24" s="56">
        <v>7556</v>
      </c>
      <c r="H24" s="56">
        <v>4405</v>
      </c>
      <c r="I24" s="56">
        <v>5152</v>
      </c>
      <c r="J24" s="56">
        <v>66415</v>
      </c>
      <c r="K24" s="56">
        <v>25269</v>
      </c>
      <c r="L24" s="56">
        <v>12173</v>
      </c>
      <c r="M24" s="56">
        <v>28972</v>
      </c>
      <c r="N24" s="56">
        <f t="shared" si="0"/>
        <v>5844</v>
      </c>
      <c r="O24" s="56">
        <f t="shared" si="1"/>
        <v>1539</v>
      </c>
      <c r="P24" s="56">
        <f t="shared" si="2"/>
        <v>629</v>
      </c>
      <c r="Q24" s="56">
        <f t="shared" si="3"/>
        <v>3677</v>
      </c>
    </row>
    <row r="25" spans="1:17">
      <c r="A25" s="66">
        <v>2010</v>
      </c>
      <c r="B25" s="56">
        <v>88276</v>
      </c>
      <c r="C25" s="56">
        <v>34532</v>
      </c>
      <c r="D25" s="56">
        <v>16586</v>
      </c>
      <c r="E25" s="56">
        <v>37159</v>
      </c>
      <c r="F25" s="56">
        <v>14329</v>
      </c>
      <c r="G25" s="56">
        <v>6070</v>
      </c>
      <c r="H25" s="56">
        <v>3441</v>
      </c>
      <c r="I25" s="56">
        <v>4818</v>
      </c>
      <c r="J25" s="56">
        <v>68758</v>
      </c>
      <c r="K25" s="56">
        <v>27157</v>
      </c>
      <c r="L25" s="56">
        <v>12660</v>
      </c>
      <c r="M25" s="56">
        <v>28941</v>
      </c>
      <c r="N25" s="56">
        <f t="shared" si="0"/>
        <v>5189</v>
      </c>
      <c r="O25" s="56">
        <f t="shared" si="1"/>
        <v>1305</v>
      </c>
      <c r="P25" s="56">
        <f t="shared" si="2"/>
        <v>485</v>
      </c>
      <c r="Q25" s="56">
        <f t="shared" si="3"/>
        <v>3400</v>
      </c>
    </row>
    <row r="26" spans="1:17">
      <c r="A26" s="66">
        <v>2011</v>
      </c>
      <c r="B26" s="56">
        <v>87395</v>
      </c>
      <c r="C26" s="56">
        <v>33790</v>
      </c>
      <c r="D26" s="56">
        <v>16223</v>
      </c>
      <c r="E26" s="56">
        <v>37382</v>
      </c>
      <c r="F26" s="56">
        <v>12479</v>
      </c>
      <c r="G26" s="56" t="s">
        <v>1811</v>
      </c>
      <c r="H26" s="56">
        <v>2354</v>
      </c>
      <c r="I26" s="56">
        <v>6476</v>
      </c>
      <c r="J26" s="56">
        <v>70528</v>
      </c>
      <c r="K26" s="56" t="s">
        <v>1811</v>
      </c>
      <c r="L26" s="56">
        <v>13427</v>
      </c>
      <c r="M26" s="56">
        <v>28104</v>
      </c>
      <c r="N26" s="56">
        <f t="shared" si="0"/>
        <v>4388</v>
      </c>
      <c r="O26" s="56" t="s">
        <v>22</v>
      </c>
      <c r="P26" s="56">
        <f t="shared" si="2"/>
        <v>442</v>
      </c>
      <c r="Q26" s="56">
        <f t="shared" si="3"/>
        <v>2802</v>
      </c>
    </row>
    <row r="27" spans="1:17">
      <c r="A27" s="66">
        <v>2012</v>
      </c>
      <c r="B27" s="56">
        <v>88496</v>
      </c>
      <c r="C27" s="56">
        <v>32948</v>
      </c>
      <c r="D27" s="56">
        <v>16753</v>
      </c>
      <c r="E27" s="56">
        <v>38795</v>
      </c>
      <c r="F27" s="56">
        <v>14645</v>
      </c>
      <c r="G27" s="56">
        <v>5177</v>
      </c>
      <c r="H27" s="56">
        <v>2784</v>
      </c>
      <c r="I27" s="56">
        <v>6684</v>
      </c>
      <c r="J27" s="56">
        <v>69620</v>
      </c>
      <c r="K27" s="56">
        <v>26635</v>
      </c>
      <c r="L27" s="56">
        <v>13460</v>
      </c>
      <c r="M27" s="56">
        <v>29526</v>
      </c>
      <c r="N27" s="56">
        <f t="shared" si="0"/>
        <v>4231</v>
      </c>
      <c r="O27" s="56">
        <f t="shared" si="1"/>
        <v>1136</v>
      </c>
      <c r="P27" s="56">
        <f t="shared" si="2"/>
        <v>509</v>
      </c>
      <c r="Q27" s="56">
        <f t="shared" si="3"/>
        <v>2585</v>
      </c>
    </row>
    <row r="29" spans="1:17">
      <c r="A29" s="66" t="s">
        <v>793</v>
      </c>
    </row>
    <row r="30" spans="1:17">
      <c r="A30" s="64" t="s">
        <v>2123</v>
      </c>
      <c r="B30" s="67">
        <f>IFERROR(((B27/B6)^(1/21)-1)*100,"n.a.")</f>
        <v>-0.55996748225756177</v>
      </c>
      <c r="C30" s="67">
        <f t="shared" ref="C30:Q30" si="4">IFERROR(((C27/C6)^(1/21)-1)*100,"n.a.")</f>
        <v>-2.6163551075899405</v>
      </c>
      <c r="D30" s="67">
        <f t="shared" si="4"/>
        <v>-0.11479258985791496</v>
      </c>
      <c r="E30" s="67">
        <f t="shared" si="4"/>
        <v>2.1310626583170622</v>
      </c>
      <c r="F30" s="67">
        <f t="shared" si="4"/>
        <v>-1.3161741293717166</v>
      </c>
      <c r="G30" s="67">
        <f t="shared" si="4"/>
        <v>-3.0688398313153509</v>
      </c>
      <c r="H30" s="67">
        <f t="shared" si="4"/>
        <v>-0.732818429570814</v>
      </c>
      <c r="I30" s="67">
        <f t="shared" si="4"/>
        <v>0.41129899705791839</v>
      </c>
      <c r="J30" s="67">
        <f t="shared" si="4"/>
        <v>-0.2992835298741281</v>
      </c>
      <c r="K30" s="67">
        <f t="shared" si="4"/>
        <v>-2.2249287837353804</v>
      </c>
      <c r="L30" s="67">
        <f t="shared" si="4"/>
        <v>-5.9748436327156096E-2</v>
      </c>
      <c r="M30" s="67">
        <f t="shared" si="4"/>
        <v>2.4418836802640786</v>
      </c>
      <c r="N30" s="67">
        <f t="shared" si="4"/>
        <v>-1.7163040160984577</v>
      </c>
      <c r="O30" s="67">
        <f t="shared" si="4"/>
        <v>-6.6405543068651092</v>
      </c>
      <c r="P30" s="67">
        <f t="shared" si="4"/>
        <v>2.8346769155970897</v>
      </c>
      <c r="Q30" s="67">
        <f t="shared" si="4"/>
        <v>4.6613307295698236</v>
      </c>
    </row>
    <row r="31" spans="1:17">
      <c r="A31" s="64" t="s">
        <v>1395</v>
      </c>
      <c r="B31" s="67">
        <f>((B15/B6)^(1/9)-1)*100</f>
        <v>4.0122244587926792</v>
      </c>
      <c r="C31" s="67">
        <f t="shared" ref="C31:Q31" si="5">((C15/C6)^(1/9)-1)*100</f>
        <v>2.8663335328053874</v>
      </c>
      <c r="D31" s="67">
        <f t="shared" si="5"/>
        <v>4.1285677973321278</v>
      </c>
      <c r="E31" s="67">
        <f t="shared" si="5"/>
        <v>6.2584171756127516</v>
      </c>
      <c r="F31" s="67">
        <f t="shared" si="5"/>
        <v>-0.32058889687754943</v>
      </c>
      <c r="G31" s="67">
        <f t="shared" si="5"/>
        <v>-0.28199741967519509</v>
      </c>
      <c r="H31" s="67">
        <f t="shared" si="5"/>
        <v>0.43026169817983462</v>
      </c>
      <c r="I31" s="67">
        <f t="shared" si="5"/>
        <v>-0.80263497668512374</v>
      </c>
      <c r="J31" s="67">
        <f t="shared" si="5"/>
        <v>4.4125003197992285</v>
      </c>
      <c r="K31" s="67">
        <f t="shared" si="5"/>
        <v>3.3835304896686402</v>
      </c>
      <c r="L31" s="67">
        <f t="shared" si="5"/>
        <v>3.310237267824423</v>
      </c>
      <c r="M31" s="67">
        <f t="shared" si="5"/>
        <v>7.2655470169809222</v>
      </c>
      <c r="N31" s="67">
        <f t="shared" si="5"/>
        <v>9.455792875956103</v>
      </c>
      <c r="O31" s="67">
        <f t="shared" si="5"/>
        <v>3.9124121603947515</v>
      </c>
      <c r="P31" s="67">
        <f t="shared" si="5"/>
        <v>30.238543355915446</v>
      </c>
      <c r="Q31" s="67">
        <f t="shared" si="5"/>
        <v>16.346220878317808</v>
      </c>
    </row>
    <row r="32" spans="1:17">
      <c r="A32" s="64" t="s">
        <v>2028</v>
      </c>
      <c r="B32" s="67">
        <f>IFERROR(((B27/B15)^(1/12)-1)*100,"n.a.")</f>
        <v>-3.8567248319080316</v>
      </c>
      <c r="C32" s="67">
        <f t="shared" ref="C32:Q32" si="6">IFERROR(((C27/C15)^(1/12)-1)*100,"n.a.")</f>
        <v>-6.5357341527162554</v>
      </c>
      <c r="D32" s="67">
        <f t="shared" si="6"/>
        <v>-3.1834425288417512</v>
      </c>
      <c r="E32" s="67">
        <f t="shared" si="6"/>
        <v>-0.85890029199846563</v>
      </c>
      <c r="F32" s="67">
        <f t="shared" si="6"/>
        <v>-2.0563320008604502</v>
      </c>
      <c r="G32" s="67">
        <f t="shared" si="6"/>
        <v>-5.1077398227151738</v>
      </c>
      <c r="H32" s="67">
        <f t="shared" si="6"/>
        <v>-1.5962805390408397</v>
      </c>
      <c r="I32" s="67">
        <f t="shared" si="6"/>
        <v>1.3314885561751977</v>
      </c>
      <c r="J32" s="67">
        <f t="shared" si="6"/>
        <v>-3.6930527212688524</v>
      </c>
      <c r="K32" s="67">
        <f t="shared" si="6"/>
        <v>-6.2306884574664601</v>
      </c>
      <c r="L32" s="67">
        <f t="shared" si="6"/>
        <v>-2.5148985958307946</v>
      </c>
      <c r="M32" s="67">
        <f t="shared" si="6"/>
        <v>-1.0329708881850252</v>
      </c>
      <c r="N32" s="67">
        <f t="shared" si="6"/>
        <v>-9.3404568312165814</v>
      </c>
      <c r="O32" s="67">
        <f t="shared" si="6"/>
        <v>-13.845812101773959</v>
      </c>
      <c r="P32" s="67">
        <f t="shared" si="6"/>
        <v>-13.863021966609445</v>
      </c>
      <c r="Q32" s="67">
        <f t="shared" si="6"/>
        <v>-3.3255453949909697</v>
      </c>
    </row>
    <row r="33" spans="1:17">
      <c r="A33" s="64" t="s">
        <v>27</v>
      </c>
      <c r="B33" s="67">
        <f>((B21/B15)^(1/6)-1)*100</f>
        <v>-1.4179273018010141</v>
      </c>
      <c r="C33" s="67">
        <f t="shared" ref="C33:Q33" si="7">((C21/C15)^(1/6)-1)*100</f>
        <v>-5.01435279071395</v>
      </c>
      <c r="D33" s="67">
        <f t="shared" si="7"/>
        <v>1.0195413549671128</v>
      </c>
      <c r="E33" s="67">
        <f t="shared" si="7"/>
        <v>2.3701835925931336</v>
      </c>
      <c r="F33" s="67">
        <f t="shared" si="7"/>
        <v>6.1250147663805654</v>
      </c>
      <c r="G33" s="67">
        <f t="shared" si="7"/>
        <v>1.3713246982548055</v>
      </c>
      <c r="H33" s="67">
        <f t="shared" si="7"/>
        <v>6.4728813491191195</v>
      </c>
      <c r="I33" s="67">
        <f t="shared" si="7"/>
        <v>12.213377575991347</v>
      </c>
      <c r="J33" s="67">
        <f t="shared" si="7"/>
        <v>-1.4112324208941818</v>
      </c>
      <c r="K33" s="67">
        <f t="shared" si="7"/>
        <v>-4.9349766278002472</v>
      </c>
      <c r="L33" s="67">
        <f t="shared" si="7"/>
        <v>1.9882323793684709</v>
      </c>
      <c r="M33" s="67">
        <f t="shared" si="7"/>
        <v>1.8394157210505524</v>
      </c>
      <c r="N33" s="67">
        <f t="shared" si="7"/>
        <v>-22.56379825443322</v>
      </c>
      <c r="O33" s="67">
        <f t="shared" si="7"/>
        <v>-23.42097627053078</v>
      </c>
      <c r="P33" s="67">
        <f t="shared" si="7"/>
        <v>-20.556410367453548</v>
      </c>
      <c r="Q33" s="67">
        <f t="shared" si="7"/>
        <v>-22.755439705431769</v>
      </c>
    </row>
    <row r="34" spans="1:17">
      <c r="A34" s="64" t="s">
        <v>2124</v>
      </c>
      <c r="B34" s="67">
        <f>IFERROR(((B27/B21)^(1/6)-1)*100,"n.a.")</f>
        <v>-6.2351895527114287</v>
      </c>
      <c r="C34" s="67">
        <f t="shared" ref="C34:Q34" si="8">IFERROR(((C27/C21)^(1/6)-1)*100,"n.a.")</f>
        <v>-8.0327476094965267</v>
      </c>
      <c r="D34" s="67">
        <f t="shared" si="8"/>
        <v>-7.2115585277778838</v>
      </c>
      <c r="E34" s="67">
        <f t="shared" si="8"/>
        <v>-3.9861285154219273</v>
      </c>
      <c r="F34" s="67">
        <f t="shared" si="8"/>
        <v>-9.606965688125058</v>
      </c>
      <c r="G34" s="67">
        <f t="shared" si="8"/>
        <v>-11.172700284259596</v>
      </c>
      <c r="H34" s="67">
        <f t="shared" si="8"/>
        <v>-9.0539123103080659</v>
      </c>
      <c r="I34" s="67">
        <f t="shared" si="8"/>
        <v>-8.4951295931121393</v>
      </c>
      <c r="J34" s="67">
        <f t="shared" si="8"/>
        <v>-5.9220606778942697</v>
      </c>
      <c r="K34" s="67">
        <f t="shared" si="8"/>
        <v>-7.508740067990205</v>
      </c>
      <c r="L34" s="67">
        <f t="shared" si="8"/>
        <v>-6.8192008620044042</v>
      </c>
      <c r="M34" s="67">
        <f t="shared" si="8"/>
        <v>-3.8243416670125097</v>
      </c>
      <c r="N34" s="67">
        <f t="shared" si="8"/>
        <v>6.1409596841835112</v>
      </c>
      <c r="O34" s="67">
        <f t="shared" si="8"/>
        <v>-3.0734040352294545</v>
      </c>
      <c r="P34" s="67">
        <f t="shared" si="8"/>
        <v>-6.6056931837687909</v>
      </c>
      <c r="Q34" s="67">
        <f t="shared" si="8"/>
        <v>20.991693622640149</v>
      </c>
    </row>
    <row r="36" spans="1:17">
      <c r="A36" s="256" t="s">
        <v>1414</v>
      </c>
      <c r="B36" s="256"/>
      <c r="C36" s="256"/>
      <c r="D36" s="256"/>
      <c r="E36" s="256"/>
      <c r="F36" s="256"/>
      <c r="G36" s="256"/>
      <c r="H36" s="256"/>
      <c r="I36" s="256"/>
      <c r="J36" s="256"/>
      <c r="K36" s="256"/>
    </row>
    <row r="37" spans="1:17" ht="30" customHeight="1">
      <c r="A37" s="131" t="s">
        <v>1961</v>
      </c>
      <c r="B37" s="131"/>
      <c r="C37" s="131"/>
      <c r="D37" s="131"/>
      <c r="E37" s="131"/>
      <c r="F37" s="131"/>
      <c r="G37" s="131"/>
      <c r="H37" s="131"/>
      <c r="I37" s="131"/>
      <c r="J37" s="131"/>
      <c r="K37" s="131"/>
      <c r="L37" s="131"/>
      <c r="M37" s="131"/>
      <c r="N37" s="131"/>
      <c r="O37" s="131"/>
      <c r="P37" s="131"/>
      <c r="Q37" s="131"/>
    </row>
    <row r="38" spans="1:17">
      <c r="A38" s="131" t="s">
        <v>1960</v>
      </c>
      <c r="B38" s="131"/>
      <c r="C38" s="131"/>
      <c r="D38" s="131"/>
      <c r="E38" s="131"/>
      <c r="F38" s="131"/>
      <c r="G38" s="131"/>
      <c r="H38" s="131"/>
      <c r="I38" s="131"/>
      <c r="J38" s="131"/>
      <c r="K38" s="131"/>
      <c r="L38" s="131"/>
      <c r="M38" s="131"/>
      <c r="N38" s="131"/>
      <c r="O38" s="131"/>
      <c r="P38" s="131"/>
      <c r="Q38" s="131"/>
    </row>
  </sheetData>
  <mergeCells count="11">
    <mergeCell ref="A38:Q38"/>
    <mergeCell ref="N2:Q2"/>
    <mergeCell ref="A37:Q37"/>
    <mergeCell ref="B2:E2"/>
    <mergeCell ref="J2:M2"/>
    <mergeCell ref="F2:I2"/>
    <mergeCell ref="A36:K36"/>
    <mergeCell ref="B3:E3"/>
    <mergeCell ref="F3:I3"/>
    <mergeCell ref="J3:M3"/>
    <mergeCell ref="N3:Q3"/>
  </mergeCells>
  <pageMargins left="0.7" right="0.7" top="0.75" bottom="0.75" header="0.3" footer="0.3"/>
  <pageSetup scale="38" orientation="landscape" horizontalDpi="0" verticalDpi="0" r:id="rId1"/>
  <ignoredErrors>
    <ignoredError sqref="B3:M3" numberStoredAsText="1"/>
  </ignoredErrors>
</worksheet>
</file>

<file path=xl/worksheets/sheet23.xml><?xml version="1.0" encoding="utf-8"?>
<worksheet xmlns="http://schemas.openxmlformats.org/spreadsheetml/2006/main" xmlns:r="http://schemas.openxmlformats.org/officeDocument/2006/relationships">
  <sheetPr codeName="Sheet23"/>
  <dimension ref="A1:Q38"/>
  <sheetViews>
    <sheetView view="pageBreakPreview" zoomScale="85" zoomScaleNormal="100" zoomScaleSheetLayoutView="85"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4.7109375" style="64" customWidth="1"/>
    <col min="2" max="10" width="21.42578125" style="64" customWidth="1"/>
    <col min="11" max="16384" width="9.140625" style="64"/>
  </cols>
  <sheetData>
    <row r="1" spans="1:10">
      <c r="A1" s="66" t="s">
        <v>1963</v>
      </c>
    </row>
    <row r="2" spans="1:10" ht="15" customHeight="1">
      <c r="B2" s="94" t="s">
        <v>1409</v>
      </c>
      <c r="C2" s="94"/>
      <c r="D2" s="94"/>
      <c r="E2" s="94" t="s">
        <v>1411</v>
      </c>
      <c r="F2" s="94"/>
      <c r="G2" s="94" t="s">
        <v>1413</v>
      </c>
      <c r="H2" s="94"/>
      <c r="I2" s="111" t="s">
        <v>1451</v>
      </c>
      <c r="J2" s="111"/>
    </row>
    <row r="3" spans="1:10" ht="15" customHeight="1">
      <c r="B3" s="272" t="s">
        <v>2079</v>
      </c>
      <c r="C3" s="273"/>
      <c r="D3" s="274"/>
      <c r="E3" s="272" t="s">
        <v>2080</v>
      </c>
      <c r="F3" s="274"/>
      <c r="G3" s="272" t="s">
        <v>2081</v>
      </c>
      <c r="H3" s="274"/>
      <c r="I3" s="272" t="s">
        <v>2126</v>
      </c>
      <c r="J3" s="274"/>
    </row>
    <row r="4" spans="1:10" ht="45">
      <c r="B4" s="72" t="s">
        <v>678</v>
      </c>
      <c r="C4" s="72" t="s">
        <v>1054</v>
      </c>
      <c r="D4" s="72" t="s">
        <v>1055</v>
      </c>
      <c r="E4" s="72" t="s">
        <v>678</v>
      </c>
      <c r="F4" s="72" t="s">
        <v>1054</v>
      </c>
      <c r="G4" s="72" t="s">
        <v>678</v>
      </c>
      <c r="H4" s="72" t="s">
        <v>1054</v>
      </c>
      <c r="I4" s="72" t="s">
        <v>678</v>
      </c>
      <c r="J4" s="72" t="s">
        <v>1054</v>
      </c>
    </row>
    <row r="5" spans="1:10" hidden="1" outlineLevel="1">
      <c r="B5" s="117" t="s">
        <v>1428</v>
      </c>
      <c r="C5" s="117" t="s">
        <v>1429</v>
      </c>
      <c r="D5" s="117" t="s">
        <v>1430</v>
      </c>
      <c r="E5" s="117" t="s">
        <v>1431</v>
      </c>
      <c r="F5" s="117" t="s">
        <v>1432</v>
      </c>
      <c r="G5" s="117" t="s">
        <v>1433</v>
      </c>
      <c r="H5" s="117" t="s">
        <v>1434</v>
      </c>
    </row>
    <row r="6" spans="1:10" collapsed="1">
      <c r="A6" s="66">
        <v>1991</v>
      </c>
      <c r="B6" s="56">
        <v>121628</v>
      </c>
      <c r="C6" s="56">
        <v>83727</v>
      </c>
      <c r="D6" s="56">
        <v>37901</v>
      </c>
      <c r="E6" s="56">
        <v>30617</v>
      </c>
      <c r="F6" s="56">
        <v>19837</v>
      </c>
      <c r="G6" s="56">
        <v>89832</v>
      </c>
      <c r="H6" s="56">
        <v>63571</v>
      </c>
      <c r="I6" s="30">
        <f>B6-E6-G6</f>
        <v>1179</v>
      </c>
      <c r="J6" s="30">
        <f>C6-F6-H6</f>
        <v>319</v>
      </c>
    </row>
    <row r="7" spans="1:10">
      <c r="A7" s="66">
        <v>1992</v>
      </c>
      <c r="B7" s="56">
        <v>111954</v>
      </c>
      <c r="C7" s="56">
        <v>75508</v>
      </c>
      <c r="D7" s="56">
        <v>36447</v>
      </c>
      <c r="E7" s="56">
        <v>28491</v>
      </c>
      <c r="F7" s="56">
        <v>18471</v>
      </c>
      <c r="G7" s="56">
        <v>81888</v>
      </c>
      <c r="H7" s="56">
        <v>56706</v>
      </c>
      <c r="I7" s="30">
        <f t="shared" ref="I7:I27" si="0">B7-E7-G7</f>
        <v>1575</v>
      </c>
      <c r="J7" s="30">
        <f t="shared" ref="J7:J27" si="1">C7-F7-H7</f>
        <v>331</v>
      </c>
    </row>
    <row r="8" spans="1:10">
      <c r="A8" s="66">
        <v>1993</v>
      </c>
      <c r="B8" s="56">
        <v>107415</v>
      </c>
      <c r="C8" s="56">
        <v>72526</v>
      </c>
      <c r="D8" s="56">
        <v>34889</v>
      </c>
      <c r="E8" s="56">
        <v>27762</v>
      </c>
      <c r="F8" s="56">
        <v>17869</v>
      </c>
      <c r="G8" s="56">
        <v>78467</v>
      </c>
      <c r="H8" s="56">
        <v>54400</v>
      </c>
      <c r="I8" s="30">
        <f t="shared" si="0"/>
        <v>1186</v>
      </c>
      <c r="J8" s="30">
        <f t="shared" si="1"/>
        <v>257</v>
      </c>
    </row>
    <row r="9" spans="1:10">
      <c r="A9" s="66">
        <v>1994</v>
      </c>
      <c r="B9" s="56">
        <v>104779</v>
      </c>
      <c r="C9" s="56">
        <v>70411</v>
      </c>
      <c r="D9" s="56">
        <v>34369</v>
      </c>
      <c r="E9" s="56">
        <v>27138</v>
      </c>
      <c r="F9" s="56">
        <v>17838</v>
      </c>
      <c r="G9" s="56">
        <v>76211</v>
      </c>
      <c r="H9" s="56">
        <v>52309</v>
      </c>
      <c r="I9" s="30">
        <f t="shared" si="0"/>
        <v>1430</v>
      </c>
      <c r="J9" s="30">
        <f t="shared" si="1"/>
        <v>264</v>
      </c>
    </row>
    <row r="10" spans="1:10">
      <c r="A10" s="66">
        <v>1995</v>
      </c>
      <c r="B10" s="56">
        <v>104450</v>
      </c>
      <c r="C10" s="56">
        <v>70272</v>
      </c>
      <c r="D10" s="56">
        <v>34178</v>
      </c>
      <c r="E10" s="56">
        <v>26866</v>
      </c>
      <c r="F10" s="56">
        <v>17331</v>
      </c>
      <c r="G10" s="56">
        <v>76619</v>
      </c>
      <c r="H10" s="56">
        <v>52710</v>
      </c>
      <c r="I10" s="30">
        <f t="shared" si="0"/>
        <v>965</v>
      </c>
      <c r="J10" s="30">
        <f t="shared" si="1"/>
        <v>231</v>
      </c>
    </row>
    <row r="11" spans="1:10">
      <c r="A11" s="66">
        <v>1996</v>
      </c>
      <c r="B11" s="56">
        <v>103394</v>
      </c>
      <c r="C11" s="56">
        <v>67637</v>
      </c>
      <c r="D11" s="56">
        <v>35758</v>
      </c>
      <c r="E11" s="56">
        <v>26183</v>
      </c>
      <c r="F11" s="56">
        <v>16043</v>
      </c>
      <c r="G11" s="56">
        <v>75398</v>
      </c>
      <c r="H11" s="56">
        <v>50985</v>
      </c>
      <c r="I11" s="30">
        <f t="shared" si="0"/>
        <v>1813</v>
      </c>
      <c r="J11" s="30">
        <f t="shared" si="1"/>
        <v>609</v>
      </c>
    </row>
    <row r="12" spans="1:10">
      <c r="A12" s="66">
        <v>1997</v>
      </c>
      <c r="B12" s="56">
        <v>104098</v>
      </c>
      <c r="C12" s="56">
        <v>66966</v>
      </c>
      <c r="D12" s="56">
        <v>37131</v>
      </c>
      <c r="E12" s="56">
        <v>25743</v>
      </c>
      <c r="F12" s="56">
        <v>15905</v>
      </c>
      <c r="G12" s="56">
        <v>75727</v>
      </c>
      <c r="H12" s="56">
        <v>50093</v>
      </c>
      <c r="I12" s="30">
        <f t="shared" si="0"/>
        <v>2628</v>
      </c>
      <c r="J12" s="30">
        <f t="shared" si="1"/>
        <v>968</v>
      </c>
    </row>
    <row r="13" spans="1:10">
      <c r="A13" s="66">
        <v>1998</v>
      </c>
      <c r="B13" s="56">
        <v>100821</v>
      </c>
      <c r="C13" s="56">
        <v>64816</v>
      </c>
      <c r="D13" s="56">
        <v>36006</v>
      </c>
      <c r="E13" s="56">
        <v>26184</v>
      </c>
      <c r="F13" s="56">
        <v>16591</v>
      </c>
      <c r="G13" s="56">
        <v>73191</v>
      </c>
      <c r="H13" s="56">
        <v>47521</v>
      </c>
      <c r="I13" s="30">
        <f t="shared" si="0"/>
        <v>1446</v>
      </c>
      <c r="J13" s="30">
        <f t="shared" si="1"/>
        <v>704</v>
      </c>
    </row>
    <row r="14" spans="1:10">
      <c r="A14" s="66">
        <v>1999</v>
      </c>
      <c r="B14" s="56">
        <v>103110</v>
      </c>
      <c r="C14" s="56">
        <v>68165</v>
      </c>
      <c r="D14" s="56">
        <v>34944</v>
      </c>
      <c r="E14" s="56">
        <v>23999</v>
      </c>
      <c r="F14" s="56">
        <v>15700</v>
      </c>
      <c r="G14" s="56">
        <v>76169</v>
      </c>
      <c r="H14" s="56">
        <v>50745</v>
      </c>
      <c r="I14" s="30">
        <f t="shared" si="0"/>
        <v>2942</v>
      </c>
      <c r="J14" s="30">
        <f t="shared" si="1"/>
        <v>1720</v>
      </c>
    </row>
    <row r="15" spans="1:10">
      <c r="A15" s="66">
        <v>2000</v>
      </c>
      <c r="B15" s="56">
        <v>110144</v>
      </c>
      <c r="C15" s="56">
        <v>71204</v>
      </c>
      <c r="D15" s="56">
        <v>38940</v>
      </c>
      <c r="E15" s="56">
        <v>26124</v>
      </c>
      <c r="F15" s="56">
        <v>16820</v>
      </c>
      <c r="G15" s="56">
        <v>81189</v>
      </c>
      <c r="H15" s="56">
        <v>52656</v>
      </c>
      <c r="I15" s="30">
        <f t="shared" si="0"/>
        <v>2831</v>
      </c>
      <c r="J15" s="30">
        <f t="shared" si="1"/>
        <v>1728</v>
      </c>
    </row>
    <row r="16" spans="1:10">
      <c r="A16" s="66">
        <v>2001</v>
      </c>
      <c r="B16" s="56">
        <v>103703</v>
      </c>
      <c r="C16" s="56">
        <v>62940</v>
      </c>
      <c r="D16" s="56">
        <v>40763</v>
      </c>
      <c r="E16" s="56">
        <v>28699</v>
      </c>
      <c r="F16" s="56">
        <v>18111</v>
      </c>
      <c r="G16" s="56">
        <v>72214</v>
      </c>
      <c r="H16" s="56">
        <v>42888</v>
      </c>
      <c r="I16" s="30">
        <f t="shared" si="0"/>
        <v>2790</v>
      </c>
      <c r="J16" s="30">
        <f t="shared" si="1"/>
        <v>1941</v>
      </c>
    </row>
    <row r="17" spans="1:10">
      <c r="A17" s="66">
        <v>2002</v>
      </c>
      <c r="B17" s="56">
        <v>95981</v>
      </c>
      <c r="C17" s="56">
        <v>55308</v>
      </c>
      <c r="D17" s="56">
        <v>40673</v>
      </c>
      <c r="E17" s="56">
        <v>23747</v>
      </c>
      <c r="F17" s="56">
        <v>14086</v>
      </c>
      <c r="G17" s="56">
        <v>68912</v>
      </c>
      <c r="H17" s="56">
        <v>38633</v>
      </c>
      <c r="I17" s="30">
        <f t="shared" si="0"/>
        <v>3322</v>
      </c>
      <c r="J17" s="30">
        <f t="shared" si="1"/>
        <v>2589</v>
      </c>
    </row>
    <row r="18" spans="1:10">
      <c r="A18" s="66">
        <v>2003</v>
      </c>
      <c r="B18" s="56">
        <v>96994</v>
      </c>
      <c r="C18" s="56">
        <v>55848</v>
      </c>
      <c r="D18" s="56">
        <v>41146</v>
      </c>
      <c r="E18" s="56">
        <v>20695</v>
      </c>
      <c r="F18" s="56">
        <v>12192</v>
      </c>
      <c r="G18" s="56">
        <v>74362</v>
      </c>
      <c r="H18" s="56">
        <v>42398</v>
      </c>
      <c r="I18" s="30">
        <f t="shared" si="0"/>
        <v>1937</v>
      </c>
      <c r="J18" s="30">
        <f t="shared" si="1"/>
        <v>1258</v>
      </c>
    </row>
    <row r="19" spans="1:10">
      <c r="A19" s="66">
        <v>2004</v>
      </c>
      <c r="B19" s="56">
        <v>93718</v>
      </c>
      <c r="C19" s="56">
        <v>54597</v>
      </c>
      <c r="D19" s="56">
        <v>39121</v>
      </c>
      <c r="E19" s="56">
        <v>20032</v>
      </c>
      <c r="F19" s="56">
        <v>11919</v>
      </c>
      <c r="G19" s="56">
        <v>71181</v>
      </c>
      <c r="H19" s="56">
        <v>41023</v>
      </c>
      <c r="I19" s="30">
        <f t="shared" si="0"/>
        <v>2505</v>
      </c>
      <c r="J19" s="30">
        <f t="shared" si="1"/>
        <v>1655</v>
      </c>
    </row>
    <row r="20" spans="1:10">
      <c r="A20" s="66">
        <v>2005</v>
      </c>
      <c r="B20" s="56">
        <v>87689</v>
      </c>
      <c r="C20" s="56">
        <v>49503</v>
      </c>
      <c r="D20" s="56">
        <v>38186</v>
      </c>
      <c r="E20" s="56">
        <v>24395</v>
      </c>
      <c r="F20" s="56">
        <v>14067</v>
      </c>
      <c r="G20" s="56">
        <v>62344</v>
      </c>
      <c r="H20" s="56">
        <v>34821</v>
      </c>
      <c r="I20" s="30">
        <f t="shared" si="0"/>
        <v>950</v>
      </c>
      <c r="J20" s="30">
        <f t="shared" si="1"/>
        <v>615</v>
      </c>
    </row>
    <row r="21" spans="1:10">
      <c r="A21" s="66">
        <v>2006</v>
      </c>
      <c r="B21" s="56">
        <v>83810</v>
      </c>
      <c r="C21" s="56">
        <v>47231</v>
      </c>
      <c r="D21" s="56">
        <v>36579</v>
      </c>
      <c r="E21" s="56">
        <v>25147</v>
      </c>
      <c r="F21" s="56">
        <v>14367</v>
      </c>
      <c r="G21" s="56">
        <v>56996</v>
      </c>
      <c r="H21" s="56">
        <v>31798</v>
      </c>
      <c r="I21" s="30">
        <f t="shared" si="0"/>
        <v>1667</v>
      </c>
      <c r="J21" s="30">
        <f t="shared" si="1"/>
        <v>1066</v>
      </c>
    </row>
    <row r="22" spans="1:10">
      <c r="A22" s="66">
        <v>2007</v>
      </c>
      <c r="B22" s="56">
        <v>79380</v>
      </c>
      <c r="C22" s="56">
        <v>44008</v>
      </c>
      <c r="D22" s="56">
        <v>35371</v>
      </c>
      <c r="E22" s="56">
        <v>23964</v>
      </c>
      <c r="F22" s="56">
        <v>13326</v>
      </c>
      <c r="G22" s="56">
        <v>54104</v>
      </c>
      <c r="H22" s="56">
        <v>29882</v>
      </c>
      <c r="I22" s="30">
        <f t="shared" si="0"/>
        <v>1312</v>
      </c>
      <c r="J22" s="30">
        <f t="shared" si="1"/>
        <v>800</v>
      </c>
    </row>
    <row r="23" spans="1:10">
      <c r="A23" s="66">
        <v>2008</v>
      </c>
      <c r="B23" s="56">
        <v>73515</v>
      </c>
      <c r="C23" s="56">
        <v>39878</v>
      </c>
      <c r="D23" s="56">
        <v>33637</v>
      </c>
      <c r="E23" s="56">
        <v>18680</v>
      </c>
      <c r="F23" s="56">
        <v>9982</v>
      </c>
      <c r="G23" s="56">
        <v>53208</v>
      </c>
      <c r="H23" s="56">
        <v>28932</v>
      </c>
      <c r="I23" s="30">
        <f t="shared" si="0"/>
        <v>1627</v>
      </c>
      <c r="J23" s="30">
        <f t="shared" si="1"/>
        <v>964</v>
      </c>
    </row>
    <row r="24" spans="1:10">
      <c r="A24" s="66">
        <v>2009</v>
      </c>
      <c r="B24" s="56">
        <v>66574</v>
      </c>
      <c r="C24" s="56">
        <v>33948</v>
      </c>
      <c r="D24" s="56">
        <v>32626</v>
      </c>
      <c r="E24" s="56" t="s">
        <v>1811</v>
      </c>
      <c r="F24" s="56" t="s">
        <v>1811</v>
      </c>
      <c r="G24" s="56" t="s">
        <v>1811</v>
      </c>
      <c r="H24" s="56" t="s">
        <v>1811</v>
      </c>
      <c r="I24" s="30" t="s">
        <v>22</v>
      </c>
      <c r="J24" s="30" t="s">
        <v>22</v>
      </c>
    </row>
    <row r="25" spans="1:10">
      <c r="A25" s="66">
        <v>2010</v>
      </c>
      <c r="B25" s="56">
        <v>62821</v>
      </c>
      <c r="C25" s="56">
        <v>31196</v>
      </c>
      <c r="D25" s="56">
        <v>31625</v>
      </c>
      <c r="E25" s="56">
        <v>22975</v>
      </c>
      <c r="F25" s="56">
        <v>13450</v>
      </c>
      <c r="G25" s="56">
        <v>38868</v>
      </c>
      <c r="H25" s="56">
        <v>17298</v>
      </c>
      <c r="I25" s="30">
        <f t="shared" si="0"/>
        <v>978</v>
      </c>
      <c r="J25" s="30">
        <f t="shared" si="1"/>
        <v>448</v>
      </c>
    </row>
    <row r="26" spans="1:10">
      <c r="A26" s="66">
        <v>2011</v>
      </c>
      <c r="B26" s="56">
        <v>61672</v>
      </c>
      <c r="C26" s="56">
        <v>29795</v>
      </c>
      <c r="D26" s="56">
        <v>31878</v>
      </c>
      <c r="E26" s="56">
        <v>21567</v>
      </c>
      <c r="F26" s="56">
        <v>11394</v>
      </c>
      <c r="G26" s="56">
        <v>38273</v>
      </c>
      <c r="H26" s="56">
        <v>17842</v>
      </c>
      <c r="I26" s="30">
        <f t="shared" si="0"/>
        <v>1832</v>
      </c>
      <c r="J26" s="30">
        <f t="shared" si="1"/>
        <v>559</v>
      </c>
    </row>
    <row r="27" spans="1:10">
      <c r="A27" s="66">
        <v>2012</v>
      </c>
      <c r="B27" s="56">
        <v>57592</v>
      </c>
      <c r="C27" s="56">
        <v>27046</v>
      </c>
      <c r="D27" s="56">
        <v>30546</v>
      </c>
      <c r="E27" s="56">
        <v>19540</v>
      </c>
      <c r="F27" s="56">
        <v>8537</v>
      </c>
      <c r="G27" s="56">
        <v>36369</v>
      </c>
      <c r="H27" s="56">
        <v>18235</v>
      </c>
      <c r="I27" s="30">
        <f t="shared" si="0"/>
        <v>1683</v>
      </c>
      <c r="J27" s="30">
        <f t="shared" si="1"/>
        <v>274</v>
      </c>
    </row>
    <row r="29" spans="1:10">
      <c r="A29" s="66" t="s">
        <v>793</v>
      </c>
    </row>
    <row r="30" spans="1:10">
      <c r="A30" s="64" t="s">
        <v>2123</v>
      </c>
      <c r="B30" s="67">
        <f>IFERROR(((B27/B6)^(1/21)-1)*100,"n.a.")</f>
        <v>-3.49730166838218</v>
      </c>
      <c r="C30" s="67">
        <f t="shared" ref="C30:J30" si="2">IFERROR(((C27/C6)^(1/21)-1)*100,"n.a.")</f>
        <v>-5.2388423209456576</v>
      </c>
      <c r="D30" s="67">
        <f t="shared" si="2"/>
        <v>-1.0220919770584258</v>
      </c>
      <c r="E30" s="67">
        <f t="shared" si="2"/>
        <v>-2.1158277432160477</v>
      </c>
      <c r="F30" s="67">
        <f t="shared" si="2"/>
        <v>-3.9354175448138018</v>
      </c>
      <c r="G30" s="67">
        <f t="shared" si="2"/>
        <v>-4.2144463471705524</v>
      </c>
      <c r="H30" s="67">
        <f t="shared" si="2"/>
        <v>-5.7733711664542771</v>
      </c>
      <c r="I30" s="67">
        <f t="shared" si="2"/>
        <v>1.7092591665076817</v>
      </c>
      <c r="J30" s="67">
        <f t="shared" si="2"/>
        <v>-0.72149415025202224</v>
      </c>
    </row>
    <row r="31" spans="1:10">
      <c r="A31" s="64" t="s">
        <v>1395</v>
      </c>
      <c r="B31" s="67">
        <f>((B15/B6)^(1/9)-1)*100</f>
        <v>-1.0959348996427143</v>
      </c>
      <c r="C31" s="67">
        <f t="shared" ref="C31:J31" si="3">((C15/C6)^(1/9)-1)*100</f>
        <v>-1.7840332790834523</v>
      </c>
      <c r="D31" s="67">
        <f t="shared" si="3"/>
        <v>0.30094641477373951</v>
      </c>
      <c r="E31" s="67">
        <f t="shared" si="3"/>
        <v>-1.7478882688902186</v>
      </c>
      <c r="F31" s="67">
        <f t="shared" si="3"/>
        <v>-1.8164142915890857</v>
      </c>
      <c r="G31" s="67">
        <f t="shared" si="3"/>
        <v>-1.1177230832640106</v>
      </c>
      <c r="H31" s="67">
        <f t="shared" si="3"/>
        <v>-2.0713271058951266</v>
      </c>
      <c r="I31" s="67">
        <f t="shared" si="3"/>
        <v>10.222323736071859</v>
      </c>
      <c r="J31" s="67">
        <f t="shared" si="3"/>
        <v>20.650219741822838</v>
      </c>
    </row>
    <row r="32" spans="1:10">
      <c r="A32" s="64" t="s">
        <v>2028</v>
      </c>
      <c r="B32" s="67">
        <f>IFERROR(((B27/B15)^(1/12)-1)*100,"n.a.")</f>
        <v>-5.2599863377981837</v>
      </c>
      <c r="C32" s="67">
        <f t="shared" ref="C32:J32" si="4">IFERROR(((C27/C15)^(1/12)-1)*100,"n.a.")</f>
        <v>-7.749961868105304</v>
      </c>
      <c r="D32" s="67">
        <f t="shared" si="4"/>
        <v>-2.0029053954799703</v>
      </c>
      <c r="E32" s="67">
        <f t="shared" si="4"/>
        <v>-2.3908778337833003</v>
      </c>
      <c r="F32" s="67">
        <f t="shared" si="4"/>
        <v>-5.4946037278483129</v>
      </c>
      <c r="G32" s="67">
        <f t="shared" si="4"/>
        <v>-6.4731773166261437</v>
      </c>
      <c r="H32" s="67">
        <f t="shared" si="4"/>
        <v>-8.457769133780479</v>
      </c>
      <c r="I32" s="67">
        <f t="shared" si="4"/>
        <v>-4.2412017330630718</v>
      </c>
      <c r="J32" s="67">
        <f t="shared" si="4"/>
        <v>-14.227006225574568</v>
      </c>
    </row>
    <row r="33" spans="1:17">
      <c r="A33" s="64" t="s">
        <v>27</v>
      </c>
      <c r="B33" s="67">
        <f>((B21/B15)^(1/6)-1)*100</f>
        <v>-4.4518023214299536</v>
      </c>
      <c r="C33" s="67">
        <f t="shared" ref="C33:J33" si="5">((C21/C15)^(1/6)-1)*100</f>
        <v>-6.6128493282245904</v>
      </c>
      <c r="D33" s="67">
        <f t="shared" si="5"/>
        <v>-1.0370467796518068</v>
      </c>
      <c r="E33" s="67">
        <f t="shared" si="5"/>
        <v>-0.63325024737639346</v>
      </c>
      <c r="F33" s="67">
        <f t="shared" si="5"/>
        <v>-2.5930339054720752</v>
      </c>
      <c r="G33" s="67">
        <f t="shared" si="5"/>
        <v>-5.726159936989772</v>
      </c>
      <c r="H33" s="67">
        <f t="shared" si="5"/>
        <v>-8.0626481987766461</v>
      </c>
      <c r="I33" s="67">
        <f t="shared" si="5"/>
        <v>-8.4483965358584818</v>
      </c>
      <c r="J33" s="67">
        <f t="shared" si="5"/>
        <v>-7.7352991946163634</v>
      </c>
    </row>
    <row r="34" spans="1:17">
      <c r="A34" s="64" t="s">
        <v>2124</v>
      </c>
      <c r="B34" s="67">
        <f>IFERROR(((B27/B21)^(1/6)-1)*100,"n.a.")</f>
        <v>-6.0613344177470774</v>
      </c>
      <c r="C34" s="67">
        <f t="shared" ref="C34:J34" si="6">IFERROR(((C27/C21)^(1/6)-1)*100,"n.a.")</f>
        <v>-8.8732285531863848</v>
      </c>
      <c r="D34" s="67">
        <f t="shared" si="6"/>
        <v>-2.9593374245358683</v>
      </c>
      <c r="E34" s="67">
        <f t="shared" si="6"/>
        <v>-4.1174159990288173</v>
      </c>
      <c r="F34" s="67">
        <f t="shared" si="6"/>
        <v>-8.3097412572204377</v>
      </c>
      <c r="G34" s="67">
        <f t="shared" si="6"/>
        <v>-7.2142753981294767</v>
      </c>
      <c r="H34" s="67">
        <f t="shared" si="6"/>
        <v>-8.8511919498998832</v>
      </c>
      <c r="I34" s="67">
        <f t="shared" si="6"/>
        <v>0.1593319894116707</v>
      </c>
      <c r="J34" s="67">
        <f t="shared" si="6"/>
        <v>-20.261959375493433</v>
      </c>
    </row>
    <row r="36" spans="1:17">
      <c r="A36" s="269" t="s">
        <v>1414</v>
      </c>
      <c r="B36" s="269"/>
      <c r="C36" s="269"/>
      <c r="D36" s="269"/>
      <c r="E36" s="269"/>
      <c r="F36" s="269"/>
      <c r="G36" s="269"/>
      <c r="H36" s="269"/>
    </row>
    <row r="37" spans="1:17" ht="30" customHeight="1">
      <c r="A37" s="131" t="s">
        <v>1961</v>
      </c>
      <c r="B37" s="131"/>
      <c r="C37" s="131"/>
      <c r="D37" s="131"/>
      <c r="E37" s="131"/>
      <c r="F37" s="131"/>
      <c r="G37" s="131"/>
      <c r="H37" s="131"/>
      <c r="I37" s="131"/>
      <c r="J37" s="131"/>
    </row>
    <row r="38" spans="1:17">
      <c r="A38" s="131" t="s">
        <v>1960</v>
      </c>
      <c r="B38" s="131"/>
      <c r="C38" s="131"/>
      <c r="D38" s="131"/>
      <c r="E38" s="131"/>
      <c r="F38" s="131"/>
      <c r="G38" s="131"/>
      <c r="H38" s="131"/>
      <c r="I38" s="131"/>
      <c r="J38" s="131"/>
      <c r="K38" s="131"/>
      <c r="L38" s="131"/>
      <c r="M38" s="131"/>
      <c r="N38" s="131"/>
      <c r="O38" s="131"/>
      <c r="P38" s="131"/>
      <c r="Q38" s="131"/>
    </row>
  </sheetData>
  <mergeCells count="10">
    <mergeCell ref="A38:Q38"/>
    <mergeCell ref="A37:J37"/>
    <mergeCell ref="G2:H2"/>
    <mergeCell ref="E2:F2"/>
    <mergeCell ref="B2:D2"/>
    <mergeCell ref="I2:J2"/>
    <mergeCell ref="B3:D3"/>
    <mergeCell ref="E3:F3"/>
    <mergeCell ref="G3:H3"/>
    <mergeCell ref="I3:J3"/>
  </mergeCells>
  <pageMargins left="0.7" right="0.7" top="0.75" bottom="0.75" header="0.3" footer="0.3"/>
  <pageSetup scale="59" orientation="landscape" horizontalDpi="0" verticalDpi="0" r:id="rId1"/>
  <ignoredErrors>
    <ignoredError sqref="B3:H3" numberStoredAsText="1"/>
  </ignoredErrors>
</worksheet>
</file>

<file path=xl/worksheets/sheet24.xml><?xml version="1.0" encoding="utf-8"?>
<worksheet xmlns="http://schemas.openxmlformats.org/spreadsheetml/2006/main" xmlns:r="http://schemas.openxmlformats.org/officeDocument/2006/relationships">
  <sheetPr codeName="Sheet24"/>
  <dimension ref="A1:E35"/>
  <sheetViews>
    <sheetView view="pageBreakPreview" zoomScale="85" zoomScaleNormal="100" zoomScaleSheetLayoutView="85" workbookViewId="0">
      <pane xSplit="1" ySplit="2" topLeftCell="B3"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11.5703125" style="64" customWidth="1"/>
    <col min="2" max="4" width="16.42578125" style="64" customWidth="1"/>
    <col min="5" max="5" width="17.140625" style="64" customWidth="1"/>
    <col min="6" max="16384" width="9.140625" style="64"/>
  </cols>
  <sheetData>
    <row r="1" spans="1:5" ht="30.75" customHeight="1">
      <c r="A1" s="140" t="s">
        <v>1962</v>
      </c>
      <c r="B1" s="140"/>
      <c r="C1" s="140"/>
      <c r="D1" s="140"/>
      <c r="E1" s="140"/>
    </row>
    <row r="2" spans="1:5" ht="45">
      <c r="B2" s="72" t="s">
        <v>1409</v>
      </c>
      <c r="C2" s="72" t="s">
        <v>1411</v>
      </c>
      <c r="D2" s="72" t="s">
        <v>1413</v>
      </c>
      <c r="E2" s="72" t="s">
        <v>1451</v>
      </c>
    </row>
    <row r="3" spans="1:5">
      <c r="B3" s="63" t="s">
        <v>2079</v>
      </c>
      <c r="C3" s="63" t="s">
        <v>2080</v>
      </c>
      <c r="D3" s="63" t="s">
        <v>2081</v>
      </c>
      <c r="E3" s="63" t="s">
        <v>2126</v>
      </c>
    </row>
    <row r="4" spans="1:5">
      <c r="A4" s="66">
        <v>1991</v>
      </c>
      <c r="B4" s="30">
        <f>'3d'!B6+'3e'!B6+'3f'!B6</f>
        <v>300500</v>
      </c>
      <c r="C4" s="30">
        <f>'3d'!F6+'3e'!F6+'3f'!E6</f>
        <v>70778</v>
      </c>
      <c r="D4" s="30">
        <f>'3d'!J6+'3e'!J6+'3f'!G6</f>
        <v>201267</v>
      </c>
      <c r="E4" s="30">
        <f>B4-C4-D4</f>
        <v>28455</v>
      </c>
    </row>
    <row r="5" spans="1:5">
      <c r="A5" s="66">
        <v>1992</v>
      </c>
      <c r="B5" s="30">
        <f>'3d'!B7+'3e'!B7+'3f'!B7</f>
        <v>282549</v>
      </c>
      <c r="C5" s="30">
        <f>'3d'!F7+'3e'!F7+'3f'!E7</f>
        <v>66345</v>
      </c>
      <c r="D5" s="30">
        <f>'3d'!J7+'3e'!J7+'3f'!G7</f>
        <v>194018</v>
      </c>
      <c r="E5" s="30">
        <f t="shared" ref="E5:E20" si="0">B5-C5-D5</f>
        <v>22186</v>
      </c>
    </row>
    <row r="6" spans="1:5">
      <c r="A6" s="66">
        <v>1993</v>
      </c>
      <c r="B6" s="30">
        <f>'3d'!B8+'3e'!B8+'3f'!B8</f>
        <v>285138</v>
      </c>
      <c r="C6" s="30">
        <f>'3d'!F8+'3e'!F8+'3f'!E8</f>
        <v>66009</v>
      </c>
      <c r="D6" s="30">
        <f>'3d'!J8+'3e'!J8+'3f'!G8</f>
        <v>193440</v>
      </c>
      <c r="E6" s="30">
        <f t="shared" si="0"/>
        <v>25689</v>
      </c>
    </row>
    <row r="7" spans="1:5">
      <c r="A7" s="66">
        <v>1994</v>
      </c>
      <c r="B7" s="30">
        <f>'3d'!B9+'3e'!B9+'3f'!B9</f>
        <v>299161</v>
      </c>
      <c r="C7" s="30">
        <f>'3d'!F9+'3e'!F9+'3f'!E9</f>
        <v>65308</v>
      </c>
      <c r="D7" s="30">
        <f>'3d'!J9+'3e'!J9+'3f'!G9</f>
        <v>200746</v>
      </c>
      <c r="E7" s="30">
        <f t="shared" si="0"/>
        <v>33107</v>
      </c>
    </row>
    <row r="8" spans="1:5">
      <c r="A8" s="66">
        <v>1995</v>
      </c>
      <c r="B8" s="30">
        <f>'3d'!B10+'3e'!B10+'3f'!B10</f>
        <v>301853</v>
      </c>
      <c r="C8" s="30">
        <f>'3d'!F10+'3e'!F10+'3f'!E10</f>
        <v>64178</v>
      </c>
      <c r="D8" s="30">
        <f>'3d'!J10+'3e'!J10+'3f'!G10</f>
        <v>203132</v>
      </c>
      <c r="E8" s="30">
        <f t="shared" si="0"/>
        <v>34543</v>
      </c>
    </row>
    <row r="9" spans="1:5">
      <c r="A9" s="66">
        <v>1996</v>
      </c>
      <c r="B9" s="30">
        <f>'3d'!B11+'3e'!B11+'3f'!B11</f>
        <v>303536</v>
      </c>
      <c r="C9" s="30">
        <f>'3d'!F11+'3e'!F11+'3f'!E11</f>
        <v>67022</v>
      </c>
      <c r="D9" s="30">
        <f>'3d'!J11+'3e'!J11+'3f'!G11</f>
        <v>206091</v>
      </c>
      <c r="E9" s="30">
        <f t="shared" si="0"/>
        <v>30423</v>
      </c>
    </row>
    <row r="10" spans="1:5">
      <c r="A10" s="66">
        <v>1997</v>
      </c>
      <c r="B10" s="30">
        <f>'3d'!B12+'3e'!B12+'3f'!B12</f>
        <v>314906</v>
      </c>
      <c r="C10" s="30">
        <f>'3d'!F12+'3e'!F12+'3f'!E12</f>
        <v>68096</v>
      </c>
      <c r="D10" s="30">
        <f>'3d'!J12+'3e'!J12+'3f'!G12</f>
        <v>215997</v>
      </c>
      <c r="E10" s="30">
        <f t="shared" si="0"/>
        <v>30813</v>
      </c>
    </row>
    <row r="11" spans="1:5">
      <c r="A11" s="66">
        <v>1998</v>
      </c>
      <c r="B11" s="30">
        <f>'3d'!B13+'3e'!B13+'3f'!B13</f>
        <v>306675</v>
      </c>
      <c r="C11" s="30">
        <f>'3d'!F13+'3e'!F13+'3f'!E13</f>
        <v>62083</v>
      </c>
      <c r="D11" s="30">
        <f>'3d'!J13+'3e'!J13+'3f'!G13</f>
        <v>215860</v>
      </c>
      <c r="E11" s="30">
        <f t="shared" si="0"/>
        <v>28732</v>
      </c>
    </row>
    <row r="12" spans="1:5">
      <c r="A12" s="66">
        <v>1999</v>
      </c>
      <c r="B12" s="30">
        <f>'3d'!B14+'3e'!B14+'3f'!B14</f>
        <v>315197</v>
      </c>
      <c r="C12" s="30">
        <f>'3d'!F14+'3e'!F14+'3f'!E14</f>
        <v>58644</v>
      </c>
      <c r="D12" s="30">
        <f>'3d'!J14+'3e'!J14+'3f'!G14</f>
        <v>223894</v>
      </c>
      <c r="E12" s="30">
        <f t="shared" si="0"/>
        <v>32659</v>
      </c>
    </row>
    <row r="13" spans="1:5">
      <c r="A13" s="66">
        <v>2000</v>
      </c>
      <c r="B13" s="30">
        <f>'3d'!B15+'3e'!B15+'3f'!B15</f>
        <v>330344</v>
      </c>
      <c r="C13" s="30">
        <f>'3d'!F15+'3e'!F15+'3f'!E15</f>
        <v>61908</v>
      </c>
      <c r="D13" s="30">
        <f>'3d'!J15+'3e'!J15+'3f'!G15</f>
        <v>231093</v>
      </c>
      <c r="E13" s="30">
        <f t="shared" si="0"/>
        <v>37343</v>
      </c>
    </row>
    <row r="14" spans="1:5">
      <c r="A14" s="66">
        <v>2001</v>
      </c>
      <c r="B14" s="30">
        <f>'3d'!B16+'3e'!B16+'3f'!B16</f>
        <v>307610</v>
      </c>
      <c r="C14" s="30">
        <f>'3d'!F16+'3e'!F16+'3f'!E16</f>
        <v>69792</v>
      </c>
      <c r="D14" s="30">
        <f>'3d'!J16+'3e'!J16+'3f'!G16</f>
        <v>210145</v>
      </c>
      <c r="E14" s="30">
        <f t="shared" si="0"/>
        <v>27673</v>
      </c>
    </row>
    <row r="15" spans="1:5">
      <c r="A15" s="66">
        <v>2002</v>
      </c>
      <c r="B15" s="30">
        <f>'3d'!B17+'3e'!B17+'3f'!B17</f>
        <v>297327</v>
      </c>
      <c r="C15" s="30">
        <f>'3d'!F17+'3e'!F17+'3f'!E17</f>
        <v>62928</v>
      </c>
      <c r="D15" s="30">
        <f>'3d'!J17+'3e'!J17+'3f'!G17</f>
        <v>214890</v>
      </c>
      <c r="E15" s="30">
        <f t="shared" si="0"/>
        <v>19509</v>
      </c>
    </row>
    <row r="16" spans="1:5">
      <c r="A16" s="66">
        <v>2003</v>
      </c>
      <c r="B16" s="30">
        <f>'3d'!B18+'3e'!B18+'3f'!B18</f>
        <v>293800</v>
      </c>
      <c r="C16" s="30">
        <f>'3d'!F18+'3e'!F18+'3f'!E18</f>
        <v>55614</v>
      </c>
      <c r="D16" s="30">
        <f>'3d'!J18+'3e'!J18+'3f'!G18</f>
        <v>213558</v>
      </c>
      <c r="E16" s="30">
        <f t="shared" si="0"/>
        <v>24628</v>
      </c>
    </row>
    <row r="17" spans="1:5">
      <c r="A17" s="66">
        <v>2004</v>
      </c>
      <c r="B17" s="30">
        <f>'3d'!B19+'3e'!B19+'3f'!B19</f>
        <v>292368</v>
      </c>
      <c r="C17" s="30">
        <f>'3d'!F19+'3e'!F19+'3f'!E19</f>
        <v>58382</v>
      </c>
      <c r="D17" s="30">
        <f>'3d'!J19+'3e'!J19+'3f'!G19</f>
        <v>213279</v>
      </c>
      <c r="E17" s="30">
        <f t="shared" si="0"/>
        <v>20707</v>
      </c>
    </row>
    <row r="18" spans="1:5">
      <c r="A18" s="66">
        <v>2005</v>
      </c>
      <c r="B18" s="30">
        <f>'3d'!B20+'3e'!B20+'3f'!B20</f>
        <v>282138</v>
      </c>
      <c r="C18" s="30">
        <f>'3d'!F20+'3e'!F20+'3f'!E20</f>
        <v>62656</v>
      </c>
      <c r="D18" s="30">
        <f>'3d'!J20+'3e'!J20+'3f'!G20</f>
        <v>203742</v>
      </c>
      <c r="E18" s="30">
        <f t="shared" si="0"/>
        <v>15740</v>
      </c>
    </row>
    <row r="19" spans="1:5">
      <c r="A19" s="66">
        <v>2006</v>
      </c>
      <c r="B19" s="30">
        <f>'3d'!B21+'3e'!B21+'3f'!B21</f>
        <v>270093</v>
      </c>
      <c r="C19" s="30">
        <f>'3d'!F21+'3e'!F21+'3f'!E21</f>
        <v>64639</v>
      </c>
      <c r="D19" s="30">
        <f>'3d'!J21+'3e'!J21+'3f'!G21</f>
        <v>189308</v>
      </c>
      <c r="E19" s="30">
        <f t="shared" si="0"/>
        <v>16146</v>
      </c>
    </row>
    <row r="20" spans="1:5">
      <c r="A20" s="66">
        <v>2007</v>
      </c>
      <c r="B20" s="30">
        <f>'3d'!B22+'3e'!B22+'3f'!B22</f>
        <v>254782</v>
      </c>
      <c r="C20" s="30">
        <f>'3d'!F22+'3e'!F22+'3f'!E22</f>
        <v>51363</v>
      </c>
      <c r="D20" s="30">
        <f>'3d'!J22+'3e'!J22+'3f'!G22</f>
        <v>190374</v>
      </c>
      <c r="E20" s="30">
        <f t="shared" si="0"/>
        <v>13045</v>
      </c>
    </row>
    <row r="21" spans="1:5">
      <c r="A21" s="66">
        <v>2008</v>
      </c>
      <c r="B21" s="30">
        <f>'3d'!B23+'3e'!B23+'3f'!B23</f>
        <v>229429</v>
      </c>
      <c r="C21" s="30">
        <f>'3d'!F23+'3e'!F23+'3f'!E23</f>
        <v>49692</v>
      </c>
      <c r="D21" s="30">
        <f>'3d'!J23+'3e'!J23+'3f'!G23</f>
        <v>167430</v>
      </c>
      <c r="E21" s="30">
        <f>B21-C21-D21</f>
        <v>12307</v>
      </c>
    </row>
    <row r="22" spans="1:5">
      <c r="A22" s="66">
        <v>2009</v>
      </c>
      <c r="B22" s="30">
        <f>'3d'!B24+'3e'!B24+'3f'!B24</f>
        <v>195320</v>
      </c>
      <c r="C22" s="30" t="s">
        <v>22</v>
      </c>
      <c r="D22" s="30" t="s">
        <v>22</v>
      </c>
      <c r="E22" s="30" t="s">
        <v>22</v>
      </c>
    </row>
    <row r="23" spans="1:5">
      <c r="A23" s="66">
        <v>2010</v>
      </c>
      <c r="B23" s="30">
        <f>'3d'!B25+'3e'!B25+'3f'!B25</f>
        <v>190658</v>
      </c>
      <c r="C23" s="30">
        <f>'3d'!F25+'3e'!F25+'3f'!E25</f>
        <v>44649</v>
      </c>
      <c r="D23" s="30">
        <f>'3d'!J25+'3e'!J25+'3f'!G25</f>
        <v>131560</v>
      </c>
      <c r="E23" s="30">
        <f t="shared" ref="E23:E25" si="1">B23-C23-D23</f>
        <v>14449</v>
      </c>
    </row>
    <row r="24" spans="1:5">
      <c r="A24" s="66">
        <v>2011</v>
      </c>
      <c r="B24" s="30">
        <f>'3d'!B26+'3e'!B26+'3f'!B26</f>
        <v>188758</v>
      </c>
      <c r="C24" s="30">
        <f>'3d'!F26+'3e'!F26+'3f'!E26</f>
        <v>40254</v>
      </c>
      <c r="D24" s="30">
        <f>'3d'!J26+'3e'!J26+'3f'!G26</f>
        <v>134013</v>
      </c>
      <c r="E24" s="30">
        <f t="shared" si="1"/>
        <v>14491</v>
      </c>
    </row>
    <row r="25" spans="1:5">
      <c r="A25" s="66">
        <v>2012</v>
      </c>
      <c r="B25" s="30">
        <f>'3d'!B27+'3e'!B27+'3f'!B27</f>
        <v>184811</v>
      </c>
      <c r="C25" s="30">
        <f>'3d'!F27+'3e'!F27+'3f'!E27</f>
        <v>39984</v>
      </c>
      <c r="D25" s="30">
        <f>'3d'!J27+'3e'!J27+'3f'!G27</f>
        <v>130727</v>
      </c>
      <c r="E25" s="30">
        <f t="shared" si="1"/>
        <v>14100</v>
      </c>
    </row>
    <row r="26" spans="1:5">
      <c r="A26" s="66"/>
      <c r="B26" s="30"/>
      <c r="C26" s="30"/>
      <c r="D26" s="30"/>
      <c r="E26" s="30"/>
    </row>
    <row r="27" spans="1:5">
      <c r="A27" s="66" t="s">
        <v>793</v>
      </c>
    </row>
    <row r="28" spans="1:5">
      <c r="A28" s="64" t="s">
        <v>2123</v>
      </c>
      <c r="B28" s="67">
        <f>IFERROR(((B25/B4)^(1/21)-1)*100,"n.a.")</f>
        <v>-2.2882422932428592</v>
      </c>
      <c r="C28" s="67">
        <f t="shared" ref="C28:E28" si="2">IFERROR(((C25/C4)^(1/21)-1)*100,"n.a.")</f>
        <v>-2.6827333297279932</v>
      </c>
      <c r="D28" s="67">
        <f t="shared" si="2"/>
        <v>-2.0338944459484254</v>
      </c>
      <c r="E28" s="67">
        <f t="shared" si="2"/>
        <v>-3.2882877261286136</v>
      </c>
    </row>
    <row r="29" spans="1:5">
      <c r="A29" s="64" t="s">
        <v>1395</v>
      </c>
      <c r="B29" s="67">
        <f>((B13/B4)^(1/9)-1)*100</f>
        <v>1.0576291253989067</v>
      </c>
      <c r="C29" s="67">
        <f t="shared" ref="C29:E29" si="3">((C13/C4)^(1/9)-1)*100</f>
        <v>-1.4767519749632529</v>
      </c>
      <c r="D29" s="67">
        <f t="shared" si="3"/>
        <v>1.5472686100320265</v>
      </c>
      <c r="E29" s="67">
        <f t="shared" si="3"/>
        <v>3.0663117413333163</v>
      </c>
    </row>
    <row r="30" spans="1:5">
      <c r="A30" s="64" t="s">
        <v>2028</v>
      </c>
      <c r="B30" s="67">
        <f>IFERROR(((B25/B13)^(1/12)-1)*100,"n.a.")</f>
        <v>-4.7247458041541845</v>
      </c>
      <c r="C30" s="67">
        <f t="shared" ref="C30:E30" si="4">IFERROR(((C25/C13)^(1/12)-1)*100,"n.a.")</f>
        <v>-3.5775219245845813</v>
      </c>
      <c r="D30" s="67">
        <f t="shared" si="4"/>
        <v>-4.6366405320063091</v>
      </c>
      <c r="E30" s="67">
        <f t="shared" si="4"/>
        <v>-7.7957741865503083</v>
      </c>
    </row>
    <row r="31" spans="1:5">
      <c r="A31" s="64" t="s">
        <v>27</v>
      </c>
      <c r="B31" s="67">
        <f>((B19/B13)^(1/6)-1)*100</f>
        <v>-3.3004430533652096</v>
      </c>
      <c r="C31" s="67">
        <f t="shared" ref="C31:E31" si="5">((C19/C13)^(1/6)-1)*100</f>
        <v>0.72206997267521</v>
      </c>
      <c r="D31" s="67">
        <f t="shared" si="5"/>
        <v>-3.2694413158645741</v>
      </c>
      <c r="E31" s="67">
        <f t="shared" si="5"/>
        <v>-13.042050458689957</v>
      </c>
    </row>
    <row r="32" spans="1:5">
      <c r="A32" s="64" t="s">
        <v>2124</v>
      </c>
      <c r="B32" s="67">
        <f>IFERROR(((B25/B19)^(1/6)-1)*100,"n.a.")</f>
        <v>-6.1280697791352807</v>
      </c>
      <c r="C32" s="67">
        <f t="shared" ref="C32:E32" si="6">IFERROR(((C25/C19)^(1/6)-1)*100,"n.a.")</f>
        <v>-7.6935742015010185</v>
      </c>
      <c r="D32" s="67">
        <f t="shared" si="6"/>
        <v>-5.9845156201574046</v>
      </c>
      <c r="E32" s="67">
        <f t="shared" si="6"/>
        <v>-2.2329838421631165</v>
      </c>
    </row>
    <row r="34" spans="1:5" s="61" customFormat="1" ht="30" customHeight="1">
      <c r="A34" s="131" t="s">
        <v>1450</v>
      </c>
      <c r="B34" s="131"/>
      <c r="C34" s="131"/>
      <c r="D34" s="131"/>
      <c r="E34" s="131"/>
    </row>
    <row r="35" spans="1:5" s="61" customFormat="1" ht="60" customHeight="1">
      <c r="A35" s="131" t="s">
        <v>1452</v>
      </c>
      <c r="B35" s="131"/>
      <c r="C35" s="131"/>
      <c r="D35" s="131"/>
      <c r="E35" s="131"/>
    </row>
  </sheetData>
  <mergeCells count="3">
    <mergeCell ref="A1:E1"/>
    <mergeCell ref="A34:E34"/>
    <mergeCell ref="A35:E35"/>
  </mergeCells>
  <pageMargins left="0.7" right="0.7" top="0.75" bottom="0.75" header="0.3" footer="0.3"/>
  <pageSetup orientation="portrait" horizontalDpi="0" verticalDpi="0" r:id="rId1"/>
</worksheet>
</file>

<file path=xl/worksheets/sheet25.xml><?xml version="1.0" encoding="utf-8"?>
<worksheet xmlns="http://schemas.openxmlformats.org/spreadsheetml/2006/main" xmlns:r="http://schemas.openxmlformats.org/officeDocument/2006/relationships">
  <sheetPr codeName="Sheet25"/>
  <dimension ref="A1:AH80"/>
  <sheetViews>
    <sheetView view="pageBreakPreview" zoomScale="85" zoomScaleNormal="100" zoomScaleSheetLayoutView="85" workbookViewId="0">
      <pane xSplit="1" ySplit="5" topLeftCell="B38"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2.5703125" style="64" customWidth="1"/>
    <col min="2" max="2" width="16" style="64" customWidth="1"/>
    <col min="3" max="3" width="17.85546875" style="64" customWidth="1"/>
    <col min="4" max="5" width="16.85546875" style="64" customWidth="1"/>
    <col min="6" max="9" width="19.7109375" style="64" customWidth="1"/>
    <col min="10" max="10" width="9.140625" style="64"/>
    <col min="11" max="12" width="13.42578125" style="64" hidden="1" customWidth="1" outlineLevel="1"/>
    <col min="13" max="17" width="12.140625" style="64" hidden="1" customWidth="1" outlineLevel="1"/>
    <col min="18" max="18" width="9.140625" style="64" hidden="1" customWidth="1" outlineLevel="1"/>
    <col min="19" max="21" width="15" style="64" hidden="1" customWidth="1" outlineLevel="1"/>
    <col min="22" max="25" width="9.140625" style="64" hidden="1" customWidth="1" outlineLevel="1"/>
    <col min="26" max="26" width="23" style="64" hidden="1" customWidth="1" outlineLevel="1"/>
    <col min="27" max="27" width="9.140625" style="64" hidden="1" customWidth="1" outlineLevel="1"/>
    <col min="28" max="33" width="0" style="64" hidden="1" customWidth="1" outlineLevel="1"/>
    <col min="34" max="34" width="9.140625" style="64" collapsed="1"/>
    <col min="35" max="16384" width="9.140625" style="64"/>
  </cols>
  <sheetData>
    <row r="1" spans="1:33">
      <c r="A1" s="140" t="s">
        <v>1965</v>
      </c>
      <c r="B1" s="140"/>
      <c r="C1" s="140"/>
      <c r="D1" s="140"/>
      <c r="E1" s="140"/>
      <c r="F1" s="140"/>
      <c r="G1" s="140"/>
      <c r="H1" s="140"/>
      <c r="I1" s="140"/>
    </row>
    <row r="2" spans="1:33">
      <c r="A2" s="96"/>
      <c r="B2" s="94" t="s">
        <v>51</v>
      </c>
      <c r="C2" s="94" t="s">
        <v>938</v>
      </c>
      <c r="D2" s="94" t="s">
        <v>37</v>
      </c>
      <c r="E2" s="94"/>
      <c r="F2" s="94"/>
      <c r="G2" s="94"/>
      <c r="H2" s="94"/>
      <c r="I2" s="94"/>
    </row>
    <row r="3" spans="1:33">
      <c r="A3" s="96"/>
      <c r="B3" s="94"/>
      <c r="C3" s="94"/>
      <c r="D3" s="94" t="s">
        <v>58</v>
      </c>
      <c r="E3" s="94" t="s">
        <v>0</v>
      </c>
      <c r="F3" s="94" t="s">
        <v>1</v>
      </c>
      <c r="G3" s="94" t="s">
        <v>2</v>
      </c>
      <c r="H3" s="94"/>
      <c r="I3" s="94"/>
    </row>
    <row r="4" spans="1:33" ht="75">
      <c r="A4" s="96"/>
      <c r="B4" s="94"/>
      <c r="C4" s="94"/>
      <c r="D4" s="94"/>
      <c r="E4" s="94"/>
      <c r="F4" s="94"/>
      <c r="G4" s="72" t="s">
        <v>517</v>
      </c>
      <c r="H4" s="72" t="s">
        <v>13</v>
      </c>
      <c r="I4" s="72" t="s">
        <v>19</v>
      </c>
      <c r="K4" s="117" t="s">
        <v>51</v>
      </c>
      <c r="L4" s="64" t="s">
        <v>1645</v>
      </c>
      <c r="M4" s="117" t="s">
        <v>0</v>
      </c>
      <c r="N4" s="117" t="s">
        <v>1</v>
      </c>
      <c r="O4" s="117" t="s">
        <v>2</v>
      </c>
      <c r="P4" s="117" t="s">
        <v>13</v>
      </c>
      <c r="Q4" s="117" t="s">
        <v>19</v>
      </c>
      <c r="S4" s="117" t="s">
        <v>0</v>
      </c>
      <c r="T4" s="117" t="s">
        <v>1</v>
      </c>
      <c r="U4" s="117" t="s">
        <v>2</v>
      </c>
      <c r="Z4" s="77" t="s">
        <v>518</v>
      </c>
    </row>
    <row r="5" spans="1:33" hidden="1" outlineLevel="1">
      <c r="K5" s="64" t="s">
        <v>52</v>
      </c>
      <c r="M5" s="64" t="s">
        <v>53</v>
      </c>
      <c r="N5" s="64" t="s">
        <v>54</v>
      </c>
      <c r="O5" s="64" t="s">
        <v>55</v>
      </c>
      <c r="P5" s="64" t="s">
        <v>56</v>
      </c>
      <c r="Q5" s="64" t="s">
        <v>57</v>
      </c>
      <c r="S5" s="64" t="s">
        <v>59</v>
      </c>
      <c r="T5" s="64" t="s">
        <v>60</v>
      </c>
      <c r="U5" s="64" t="s">
        <v>61</v>
      </c>
      <c r="Z5" s="64" t="s">
        <v>519</v>
      </c>
      <c r="AF5" s="64" t="s">
        <v>1644</v>
      </c>
    </row>
    <row r="6" spans="1:33" collapsed="1">
      <c r="A6" s="66">
        <v>1961</v>
      </c>
      <c r="B6" s="56">
        <f t="shared" ref="B6:B40" si="0">B7*AA6</f>
        <v>13195.87886021154</v>
      </c>
      <c r="C6" s="56">
        <f t="shared" ref="C6:C40" si="1">C7*AG6</f>
        <v>2906.4415058983977</v>
      </c>
      <c r="D6" s="56">
        <f t="shared" ref="D6:D41" si="2">SUM(E6:G6)</f>
        <v>627.61110323006596</v>
      </c>
      <c r="E6" s="156">
        <f t="shared" ref="E6:E40" si="3">E7*V6</f>
        <v>204.50014442013131</v>
      </c>
      <c r="F6" s="156">
        <f t="shared" ref="F6:F40" si="4">F7*W6</f>
        <v>207.18550171952623</v>
      </c>
      <c r="G6" s="156">
        <f t="shared" ref="G6:G39" si="5">G7*X6</f>
        <v>215.92545709040846</v>
      </c>
      <c r="H6" s="57" t="s">
        <v>22</v>
      </c>
      <c r="I6" s="57" t="s">
        <v>22</v>
      </c>
      <c r="S6" s="32">
        <v>203800000</v>
      </c>
      <c r="T6" s="32">
        <v>194200000</v>
      </c>
      <c r="U6" s="32">
        <v>219300000</v>
      </c>
      <c r="V6" s="242">
        <f t="shared" ref="V6:V40" si="6">S6/S7</f>
        <v>0.95278167367928934</v>
      </c>
      <c r="W6" s="242">
        <f t="shared" ref="W6:W40" si="7">T6/T7</f>
        <v>0.96906187624750495</v>
      </c>
      <c r="X6" s="242">
        <f t="shared" ref="X6:X40" si="8">U6/U7</f>
        <v>0.97164377492246345</v>
      </c>
      <c r="Z6" s="64">
        <v>13345287000</v>
      </c>
      <c r="AA6" s="242">
        <f t="shared" ref="AA6:AA42" si="9">Z6/Z7</f>
        <v>0.96992525958115827</v>
      </c>
      <c r="AF6" s="64">
        <v>2898163000</v>
      </c>
      <c r="AG6" s="64">
        <f t="shared" ref="AG6:AG44" si="10">AF6/AF7</f>
        <v>0.96518309472649355</v>
      </c>
    </row>
    <row r="7" spans="1:33" hidden="1" outlineLevel="1">
      <c r="A7" s="66">
        <v>1962</v>
      </c>
      <c r="B7" s="56">
        <f t="shared" si="0"/>
        <v>13605.047120754336</v>
      </c>
      <c r="C7" s="56">
        <f t="shared" si="1"/>
        <v>3011.2851352022526</v>
      </c>
      <c r="D7" s="56">
        <f t="shared" si="2"/>
        <v>650.66189256367375</v>
      </c>
      <c r="E7" s="156">
        <f t="shared" si="3"/>
        <v>214.63484245076589</v>
      </c>
      <c r="F7" s="156">
        <f t="shared" si="4"/>
        <v>213.80007489491791</v>
      </c>
      <c r="G7" s="156">
        <f t="shared" si="5"/>
        <v>222.22697521798992</v>
      </c>
      <c r="H7" s="57" t="s">
        <v>22</v>
      </c>
      <c r="I7" s="57" t="s">
        <v>22</v>
      </c>
      <c r="S7" s="32">
        <v>213900000</v>
      </c>
      <c r="T7" s="32">
        <v>200400000</v>
      </c>
      <c r="U7" s="32">
        <v>225700000</v>
      </c>
      <c r="V7" s="242">
        <f t="shared" si="6"/>
        <v>1.078125</v>
      </c>
      <c r="W7" s="242">
        <f t="shared" si="7"/>
        <v>0.96253602305475505</v>
      </c>
      <c r="X7" s="242">
        <f t="shared" si="8"/>
        <v>0.99558888398764889</v>
      </c>
      <c r="Z7" s="64">
        <v>13759088000</v>
      </c>
      <c r="AA7" s="242">
        <f t="shared" si="9"/>
        <v>0.98400288583694273</v>
      </c>
      <c r="AF7" s="64">
        <v>3002708000</v>
      </c>
      <c r="AG7" s="64">
        <f t="shared" si="10"/>
        <v>0.97515594919212989</v>
      </c>
    </row>
    <row r="8" spans="1:33" hidden="1" outlineLevel="1">
      <c r="A8" s="66">
        <v>1963</v>
      </c>
      <c r="B8" s="56">
        <f t="shared" si="0"/>
        <v>13826.226850120034</v>
      </c>
      <c r="C8" s="56">
        <f t="shared" si="1"/>
        <v>3088.0036548994635</v>
      </c>
      <c r="D8" s="56">
        <f t="shared" si="2"/>
        <v>644.41481511945346</v>
      </c>
      <c r="E8" s="156">
        <f t="shared" si="3"/>
        <v>199.08159299781184</v>
      </c>
      <c r="F8" s="156">
        <f t="shared" si="4"/>
        <v>222.12163469621711</v>
      </c>
      <c r="G8" s="156">
        <f t="shared" si="5"/>
        <v>223.21158742542451</v>
      </c>
      <c r="H8" s="57" t="s">
        <v>22</v>
      </c>
      <c r="I8" s="57" t="s">
        <v>22</v>
      </c>
      <c r="S8" s="32">
        <v>198400000</v>
      </c>
      <c r="T8" s="32">
        <v>208200000</v>
      </c>
      <c r="U8" s="32">
        <v>226700000</v>
      </c>
      <c r="V8" s="242">
        <f t="shared" si="6"/>
        <v>0.95064686152371825</v>
      </c>
      <c r="W8" s="242">
        <f t="shared" si="7"/>
        <v>0.96837209302325578</v>
      </c>
      <c r="X8" s="242">
        <f t="shared" si="8"/>
        <v>0.94655532359081418</v>
      </c>
      <c r="Z8" s="64">
        <v>13982772000</v>
      </c>
      <c r="AA8" s="242">
        <f t="shared" si="9"/>
        <v>0.96910283718959334</v>
      </c>
      <c r="AF8" s="64">
        <v>3079208000</v>
      </c>
      <c r="AG8" s="64">
        <f t="shared" si="10"/>
        <v>0.95230390019267463</v>
      </c>
    </row>
    <row r="9" spans="1:33" hidden="1" outlineLevel="1">
      <c r="A9" s="66">
        <v>1964</v>
      </c>
      <c r="B9" s="56">
        <f t="shared" si="0"/>
        <v>14267.037841119331</v>
      </c>
      <c r="C9" s="56">
        <f t="shared" si="1"/>
        <v>3242.6661848961071</v>
      </c>
      <c r="D9" s="56">
        <f t="shared" si="2"/>
        <v>674.60792965507358</v>
      </c>
      <c r="E9" s="156">
        <f t="shared" si="3"/>
        <v>209.41697811816195</v>
      </c>
      <c r="F9" s="156">
        <f t="shared" si="4"/>
        <v>229.37632785632411</v>
      </c>
      <c r="G9" s="156">
        <f t="shared" si="5"/>
        <v>235.81462368058743</v>
      </c>
      <c r="H9" s="57" t="s">
        <v>22</v>
      </c>
      <c r="I9" s="57" t="s">
        <v>22</v>
      </c>
      <c r="S9" s="32">
        <v>208700000</v>
      </c>
      <c r="T9" s="32">
        <v>215000000</v>
      </c>
      <c r="U9" s="32">
        <v>239500000</v>
      </c>
      <c r="V9" s="242">
        <f t="shared" si="6"/>
        <v>0.98956851588430539</v>
      </c>
      <c r="W9" s="242">
        <f t="shared" si="7"/>
        <v>0.98488318827301879</v>
      </c>
      <c r="X9" s="242">
        <f t="shared" si="8"/>
        <v>0.98357289527720737</v>
      </c>
      <c r="Z9" s="64">
        <v>14428574000</v>
      </c>
      <c r="AA9" s="242">
        <f t="shared" si="9"/>
        <v>0.97195743550866287</v>
      </c>
      <c r="AF9" s="64">
        <v>3233430000</v>
      </c>
      <c r="AG9" s="64">
        <f t="shared" si="10"/>
        <v>0.95433693324042113</v>
      </c>
    </row>
    <row r="10" spans="1:33" hidden="1" outlineLevel="1">
      <c r="A10" s="66">
        <v>1965</v>
      </c>
      <c r="B10" s="56">
        <f t="shared" si="0"/>
        <v>14678.665258271149</v>
      </c>
      <c r="C10" s="56">
        <f t="shared" si="1"/>
        <v>3397.8211174178659</v>
      </c>
      <c r="D10" s="56">
        <f t="shared" si="2"/>
        <v>684.27459638761707</v>
      </c>
      <c r="E10" s="156">
        <f t="shared" si="3"/>
        <v>211.62453610503283</v>
      </c>
      <c r="F10" s="156">
        <f t="shared" si="4"/>
        <v>232.89698777225837</v>
      </c>
      <c r="G10" s="156">
        <f t="shared" si="5"/>
        <v>239.75307251032584</v>
      </c>
      <c r="H10" s="57" t="s">
        <v>22</v>
      </c>
      <c r="I10" s="57" t="s">
        <v>22</v>
      </c>
      <c r="S10" s="32">
        <v>210900000</v>
      </c>
      <c r="T10" s="32">
        <v>218300000</v>
      </c>
      <c r="U10" s="32">
        <v>243500000</v>
      </c>
      <c r="V10" s="242">
        <f t="shared" si="6"/>
        <v>0.99293785310734461</v>
      </c>
      <c r="W10" s="242">
        <f t="shared" si="7"/>
        <v>1.0027560863573726</v>
      </c>
      <c r="X10" s="242">
        <f t="shared" si="8"/>
        <v>0.93906671808715769</v>
      </c>
      <c r="Z10" s="64">
        <v>14844862000</v>
      </c>
      <c r="AA10" s="242">
        <f t="shared" si="9"/>
        <v>0.95614336680241951</v>
      </c>
      <c r="AF10" s="64">
        <v>3388143000</v>
      </c>
      <c r="AG10" s="64">
        <f t="shared" si="10"/>
        <v>0.95357056011744068</v>
      </c>
    </row>
    <row r="11" spans="1:33" hidden="1" outlineLevel="1">
      <c r="A11" s="66">
        <v>1966</v>
      </c>
      <c r="B11" s="56">
        <f t="shared" si="0"/>
        <v>15351.950102797078</v>
      </c>
      <c r="C11" s="56">
        <f t="shared" si="1"/>
        <v>3563.2613458613846</v>
      </c>
      <c r="D11" s="56">
        <f t="shared" si="2"/>
        <v>700.69650245323498</v>
      </c>
      <c r="E11" s="156">
        <f t="shared" si="3"/>
        <v>213.12968927789936</v>
      </c>
      <c r="F11" s="156">
        <f t="shared" si="4"/>
        <v>232.25686778754303</v>
      </c>
      <c r="G11" s="156">
        <f t="shared" si="5"/>
        <v>255.30994538779257</v>
      </c>
      <c r="H11" s="57" t="s">
        <v>22</v>
      </c>
      <c r="I11" s="57" t="s">
        <v>22</v>
      </c>
      <c r="S11" s="32">
        <v>212400000</v>
      </c>
      <c r="T11" s="32">
        <v>217700000</v>
      </c>
      <c r="U11" s="32">
        <v>259300000</v>
      </c>
      <c r="V11" s="242">
        <f t="shared" si="6"/>
        <v>1.0694864048338368</v>
      </c>
      <c r="W11" s="242">
        <f t="shared" si="7"/>
        <v>1.006472491909385</v>
      </c>
      <c r="X11" s="242">
        <f t="shared" si="8"/>
        <v>0.98406072106261855</v>
      </c>
      <c r="Z11" s="64">
        <v>15525770000</v>
      </c>
      <c r="AA11" s="242">
        <f t="shared" si="9"/>
        <v>0.97545524484597212</v>
      </c>
      <c r="AF11" s="64">
        <v>3553112000</v>
      </c>
      <c r="AG11" s="64">
        <f t="shared" si="10"/>
        <v>0.99001986664549047</v>
      </c>
    </row>
    <row r="12" spans="1:33" hidden="1" outlineLevel="1">
      <c r="A12" s="66">
        <v>1967</v>
      </c>
      <c r="B12" s="56">
        <f t="shared" si="0"/>
        <v>15738.241384125426</v>
      </c>
      <c r="C12" s="56">
        <f t="shared" si="1"/>
        <v>3599.1816587831454</v>
      </c>
      <c r="D12" s="56">
        <f t="shared" si="2"/>
        <v>689.4908512364193</v>
      </c>
      <c r="E12" s="156">
        <f t="shared" si="3"/>
        <v>199.28228008752737</v>
      </c>
      <c r="F12" s="156">
        <f t="shared" si="4"/>
        <v>230.76325448987396</v>
      </c>
      <c r="G12" s="156">
        <f t="shared" si="5"/>
        <v>259.44531665901792</v>
      </c>
      <c r="H12" s="57" t="s">
        <v>22</v>
      </c>
      <c r="I12" s="57" t="s">
        <v>22</v>
      </c>
      <c r="S12" s="32">
        <v>198600000</v>
      </c>
      <c r="T12" s="32">
        <v>216300000</v>
      </c>
      <c r="U12" s="32">
        <v>263500000</v>
      </c>
      <c r="V12" s="242">
        <f t="shared" si="6"/>
        <v>1.0770065075921909</v>
      </c>
      <c r="W12" s="242">
        <f t="shared" si="7"/>
        <v>1.0013888888888889</v>
      </c>
      <c r="X12" s="242">
        <f t="shared" si="8"/>
        <v>0.99584278155706729</v>
      </c>
      <c r="Z12" s="64">
        <v>15916435000</v>
      </c>
      <c r="AA12" s="242">
        <f t="shared" si="9"/>
        <v>1.0008244188447648</v>
      </c>
      <c r="AF12" s="64">
        <v>3588930000</v>
      </c>
      <c r="AG12" s="64">
        <f t="shared" si="10"/>
        <v>0.99776478536101221</v>
      </c>
    </row>
    <row r="13" spans="1:33" hidden="1" outlineLevel="1">
      <c r="A13" s="66">
        <v>1968</v>
      </c>
      <c r="B13" s="56">
        <f t="shared" si="0"/>
        <v>15725.277169287914</v>
      </c>
      <c r="C13" s="56">
        <f t="shared" si="1"/>
        <v>3607.2446247748521</v>
      </c>
      <c r="D13" s="56">
        <f t="shared" si="2"/>
        <v>676.00508130243657</v>
      </c>
      <c r="E13" s="156">
        <f t="shared" si="3"/>
        <v>185.03349671772432</v>
      </c>
      <c r="F13" s="156">
        <f t="shared" si="4"/>
        <v>230.44319449751629</v>
      </c>
      <c r="G13" s="156">
        <f t="shared" si="5"/>
        <v>260.52839008719599</v>
      </c>
      <c r="H13" s="57" t="s">
        <v>22</v>
      </c>
      <c r="I13" s="57" t="s">
        <v>22</v>
      </c>
      <c r="S13" s="32">
        <v>184400000</v>
      </c>
      <c r="T13" s="32">
        <v>216000000</v>
      </c>
      <c r="U13" s="32">
        <v>264600000</v>
      </c>
      <c r="V13" s="242">
        <f t="shared" si="6"/>
        <v>0.99139784946236564</v>
      </c>
      <c r="W13" s="242">
        <f t="shared" si="7"/>
        <v>0.98810612991765778</v>
      </c>
      <c r="X13" s="242">
        <f t="shared" si="8"/>
        <v>0.95939086294416243</v>
      </c>
      <c r="Z13" s="64">
        <v>15903324000</v>
      </c>
      <c r="AA13" s="242">
        <f t="shared" si="9"/>
        <v>0.97980598351497539</v>
      </c>
      <c r="AF13" s="64">
        <v>3596970000</v>
      </c>
      <c r="AG13" s="64">
        <f t="shared" si="10"/>
        <v>0.98575372558820962</v>
      </c>
    </row>
    <row r="14" spans="1:33" hidden="1" outlineLevel="1">
      <c r="A14" s="66">
        <v>1969</v>
      </c>
      <c r="B14" s="56">
        <f t="shared" si="0"/>
        <v>16049.378585007966</v>
      </c>
      <c r="C14" s="56">
        <f t="shared" si="1"/>
        <v>3659.3771153361567</v>
      </c>
      <c r="D14" s="56">
        <f t="shared" si="2"/>
        <v>691.41208801052812</v>
      </c>
      <c r="E14" s="156">
        <f t="shared" si="3"/>
        <v>186.63899343544861</v>
      </c>
      <c r="F14" s="156">
        <f t="shared" si="4"/>
        <v>233.21704776461604</v>
      </c>
      <c r="G14" s="156">
        <f t="shared" si="5"/>
        <v>271.55604681046356</v>
      </c>
      <c r="H14" s="57" t="s">
        <v>22</v>
      </c>
      <c r="I14" s="57" t="s">
        <v>22</v>
      </c>
      <c r="S14" s="32">
        <v>186000000</v>
      </c>
      <c r="T14" s="32">
        <v>218600000</v>
      </c>
      <c r="U14" s="32">
        <v>275800000</v>
      </c>
      <c r="V14" s="242">
        <f t="shared" si="6"/>
        <v>1.0054054054054054</v>
      </c>
      <c r="W14" s="242">
        <f t="shared" si="7"/>
        <v>1.0464337003350885</v>
      </c>
      <c r="X14" s="242">
        <f t="shared" si="8"/>
        <v>0.99819037278320666</v>
      </c>
      <c r="Z14" s="64">
        <v>16231095000</v>
      </c>
      <c r="AA14" s="242">
        <f t="shared" si="9"/>
        <v>1.0016257578796341</v>
      </c>
      <c r="AF14" s="64">
        <v>3648954000</v>
      </c>
      <c r="AG14" s="64">
        <f t="shared" si="10"/>
        <v>1.0241007712145753</v>
      </c>
    </row>
    <row r="15" spans="1:33" hidden="1" outlineLevel="1">
      <c r="A15" s="66">
        <v>1970</v>
      </c>
      <c r="B15" s="56">
        <f t="shared" si="0"/>
        <v>16023.328532388468</v>
      </c>
      <c r="C15" s="56">
        <f t="shared" si="1"/>
        <v>3573.258821977221</v>
      </c>
      <c r="D15" s="56">
        <f t="shared" si="2"/>
        <v>680.55235224610351</v>
      </c>
      <c r="E15" s="156">
        <f t="shared" si="3"/>
        <v>185.63555798687094</v>
      </c>
      <c r="F15" s="156">
        <f t="shared" si="4"/>
        <v>222.86844134505165</v>
      </c>
      <c r="G15" s="156">
        <f t="shared" si="5"/>
        <v>272.04835291418084</v>
      </c>
      <c r="H15" s="57" t="s">
        <v>22</v>
      </c>
      <c r="I15" s="57" t="s">
        <v>22</v>
      </c>
      <c r="S15" s="32">
        <v>185000000</v>
      </c>
      <c r="T15" s="32">
        <v>208900000</v>
      </c>
      <c r="U15" s="32">
        <v>276300000</v>
      </c>
      <c r="V15" s="242">
        <f t="shared" si="6"/>
        <v>1.1151295961422543</v>
      </c>
      <c r="W15" s="242">
        <f t="shared" si="7"/>
        <v>0.94183949504057707</v>
      </c>
      <c r="X15" s="242">
        <f t="shared" si="8"/>
        <v>1.0146896804994492</v>
      </c>
      <c r="Z15" s="64">
        <v>16204750000</v>
      </c>
      <c r="AA15" s="242">
        <f t="shared" si="9"/>
        <v>0.98786983204429724</v>
      </c>
      <c r="AF15" s="64">
        <v>3563081000</v>
      </c>
      <c r="AG15" s="64">
        <f t="shared" si="10"/>
        <v>0.99792996556197611</v>
      </c>
    </row>
    <row r="16" spans="1:33" hidden="1" outlineLevel="1">
      <c r="A16" s="66">
        <v>1971</v>
      </c>
      <c r="B16" s="56">
        <f t="shared" si="0"/>
        <v>16220.080837198766</v>
      </c>
      <c r="C16" s="56">
        <f t="shared" si="1"/>
        <v>3580.6709341220849</v>
      </c>
      <c r="D16" s="56">
        <f t="shared" si="2"/>
        <v>671.21086601991078</v>
      </c>
      <c r="E16" s="156">
        <f t="shared" si="3"/>
        <v>166.46994091903724</v>
      </c>
      <c r="F16" s="156">
        <f t="shared" si="4"/>
        <v>236.63102101643111</v>
      </c>
      <c r="G16" s="156">
        <f t="shared" si="5"/>
        <v>268.10990408444241</v>
      </c>
      <c r="H16" s="57" t="s">
        <v>22</v>
      </c>
      <c r="I16" s="57" t="s">
        <v>22</v>
      </c>
      <c r="S16" s="32">
        <v>165900000</v>
      </c>
      <c r="T16" s="32">
        <v>221800000</v>
      </c>
      <c r="U16" s="32">
        <v>272300000</v>
      </c>
      <c r="V16" s="242">
        <f t="shared" si="6"/>
        <v>1.0388227927363807</v>
      </c>
      <c r="W16" s="242">
        <f t="shared" si="7"/>
        <v>0.90493676050591598</v>
      </c>
      <c r="X16" s="242">
        <f t="shared" si="8"/>
        <v>0.98730964467005078</v>
      </c>
      <c r="Z16" s="64">
        <v>16403730000</v>
      </c>
      <c r="AA16" s="242">
        <f t="shared" si="9"/>
        <v>0.97913735767162036</v>
      </c>
      <c r="AF16" s="64">
        <v>3570472000</v>
      </c>
      <c r="AG16" s="64">
        <f t="shared" si="10"/>
        <v>0.96891023405722432</v>
      </c>
    </row>
    <row r="17" spans="1:33" hidden="1" outlineLevel="1">
      <c r="A17" s="66">
        <v>1972</v>
      </c>
      <c r="B17" s="56">
        <f t="shared" si="0"/>
        <v>16565.684793980254</v>
      </c>
      <c r="C17" s="56">
        <f t="shared" si="1"/>
        <v>3695.5651909345079</v>
      </c>
      <c r="D17" s="56">
        <f t="shared" si="2"/>
        <v>693.29370170452864</v>
      </c>
      <c r="E17" s="156">
        <f t="shared" si="3"/>
        <v>160.24864113785563</v>
      </c>
      <c r="F17" s="156">
        <f t="shared" si="4"/>
        <v>261.48901375620949</v>
      </c>
      <c r="G17" s="156">
        <f t="shared" si="5"/>
        <v>271.5560468104635</v>
      </c>
      <c r="H17" s="57" t="s">
        <v>22</v>
      </c>
      <c r="I17" s="57" t="s">
        <v>22</v>
      </c>
      <c r="S17" s="32">
        <v>159700000</v>
      </c>
      <c r="T17" s="32">
        <v>245100000</v>
      </c>
      <c r="U17" s="32">
        <v>275800000</v>
      </c>
      <c r="V17" s="242">
        <f t="shared" si="6"/>
        <v>0.85952637244348762</v>
      </c>
      <c r="W17" s="242">
        <f t="shared" si="7"/>
        <v>0.92490566037735844</v>
      </c>
      <c r="X17" s="242">
        <f t="shared" si="8"/>
        <v>0.99530855286900033</v>
      </c>
      <c r="Z17" s="64">
        <v>16753247000</v>
      </c>
      <c r="AA17" s="242">
        <f t="shared" si="9"/>
        <v>0.95917291692418571</v>
      </c>
      <c r="AF17" s="64">
        <v>3685039000</v>
      </c>
      <c r="AG17" s="64">
        <f t="shared" si="10"/>
        <v>0.96449921427517016</v>
      </c>
    </row>
    <row r="18" spans="1:33" collapsed="1">
      <c r="A18" s="66">
        <v>1973</v>
      </c>
      <c r="B18" s="56">
        <f t="shared" si="0"/>
        <v>17270.801230608169</v>
      </c>
      <c r="C18" s="56">
        <f t="shared" si="1"/>
        <v>3831.5896334988292</v>
      </c>
      <c r="D18" s="56">
        <f t="shared" si="2"/>
        <v>741.99400894179598</v>
      </c>
      <c r="E18" s="156">
        <f t="shared" si="3"/>
        <v>186.43830634573311</v>
      </c>
      <c r="F18" s="156">
        <f t="shared" si="4"/>
        <v>282.71965991593436</v>
      </c>
      <c r="G18" s="156">
        <f t="shared" si="5"/>
        <v>272.83604268012851</v>
      </c>
      <c r="H18" s="57" t="s">
        <v>22</v>
      </c>
      <c r="I18" s="57" t="s">
        <v>22</v>
      </c>
      <c r="S18" s="32">
        <v>185800000</v>
      </c>
      <c r="T18" s="32">
        <v>265000000</v>
      </c>
      <c r="U18" s="32">
        <v>277100000</v>
      </c>
      <c r="V18" s="242">
        <f t="shared" si="6"/>
        <v>0.94892747701736468</v>
      </c>
      <c r="W18" s="242">
        <f t="shared" si="7"/>
        <v>1.0583067092651757</v>
      </c>
      <c r="X18" s="242">
        <f t="shared" si="8"/>
        <v>0.95584684373922046</v>
      </c>
      <c r="Z18" s="64">
        <v>17466347000</v>
      </c>
      <c r="AA18" s="242">
        <f t="shared" si="9"/>
        <v>0.9667975889545708</v>
      </c>
      <c r="AF18" s="64">
        <v>3820676000</v>
      </c>
      <c r="AG18" s="64">
        <f t="shared" si="10"/>
        <v>0.99447979168553757</v>
      </c>
    </row>
    <row r="19" spans="1:33" hidden="1" outlineLevel="1">
      <c r="A19" s="66">
        <v>1974</v>
      </c>
      <c r="B19" s="56">
        <f t="shared" si="0"/>
        <v>17863.926666680705</v>
      </c>
      <c r="C19" s="56">
        <f t="shared" si="1"/>
        <v>3852.8582134431226</v>
      </c>
      <c r="D19" s="56">
        <f t="shared" si="2"/>
        <v>749.05514672132949</v>
      </c>
      <c r="E19" s="156">
        <f t="shared" si="3"/>
        <v>196.47266083150993</v>
      </c>
      <c r="F19" s="156">
        <f t="shared" si="4"/>
        <v>267.14340695452819</v>
      </c>
      <c r="G19" s="156">
        <f t="shared" si="5"/>
        <v>285.43907893529143</v>
      </c>
      <c r="H19" s="57" t="s">
        <v>22</v>
      </c>
      <c r="I19" s="57" t="s">
        <v>22</v>
      </c>
      <c r="S19" s="32">
        <v>195800000</v>
      </c>
      <c r="T19" s="32">
        <v>250400000</v>
      </c>
      <c r="U19" s="32">
        <v>289900000</v>
      </c>
      <c r="V19" s="242">
        <f t="shared" si="6"/>
        <v>1.1731575793888556</v>
      </c>
      <c r="W19" s="242">
        <f t="shared" si="7"/>
        <v>1.1050308914386584</v>
      </c>
      <c r="X19" s="242">
        <f t="shared" si="8"/>
        <v>1.1476642913697546</v>
      </c>
      <c r="Z19" s="64">
        <v>18066188000</v>
      </c>
      <c r="AA19" s="242">
        <f t="shared" si="9"/>
        <v>0.99524785936620896</v>
      </c>
      <c r="AF19" s="64">
        <v>3841884000</v>
      </c>
      <c r="AG19" s="64">
        <f t="shared" si="10"/>
        <v>1.0401650668885318</v>
      </c>
    </row>
    <row r="20" spans="1:33" hidden="1" outlineLevel="1">
      <c r="A20" s="66">
        <v>1975</v>
      </c>
      <c r="B20" s="56">
        <f t="shared" si="0"/>
        <v>17949.223902934857</v>
      </c>
      <c r="C20" s="56">
        <f t="shared" si="1"/>
        <v>3704.0834537620653</v>
      </c>
      <c r="D20" s="56">
        <f t="shared" si="2"/>
        <v>657.93840085974932</v>
      </c>
      <c r="E20" s="156">
        <f t="shared" si="3"/>
        <v>167.47337636761495</v>
      </c>
      <c r="F20" s="156">
        <f t="shared" si="4"/>
        <v>241.75198089415369</v>
      </c>
      <c r="G20" s="156">
        <f t="shared" si="5"/>
        <v>248.71304359798071</v>
      </c>
      <c r="H20" s="57" t="s">
        <v>22</v>
      </c>
      <c r="I20" s="57" t="s">
        <v>22</v>
      </c>
      <c r="S20" s="32">
        <v>166900000</v>
      </c>
      <c r="T20" s="32">
        <v>226600000</v>
      </c>
      <c r="U20" s="32">
        <v>252600000</v>
      </c>
      <c r="V20" s="242">
        <f t="shared" si="6"/>
        <v>1.0922774869109948</v>
      </c>
      <c r="W20" s="242">
        <f t="shared" si="7"/>
        <v>0.91518578352180935</v>
      </c>
      <c r="X20" s="242">
        <f t="shared" si="8"/>
        <v>0.91588107324147938</v>
      </c>
      <c r="Z20" s="64">
        <v>18152451000</v>
      </c>
      <c r="AA20" s="242">
        <f t="shared" si="9"/>
        <v>0.99115798961767054</v>
      </c>
      <c r="AF20" s="64">
        <v>3693533000</v>
      </c>
      <c r="AG20" s="64">
        <f t="shared" si="10"/>
        <v>1.0000668781134199</v>
      </c>
    </row>
    <row r="21" spans="1:33" hidden="1" outlineLevel="1">
      <c r="A21" s="66">
        <v>1976</v>
      </c>
      <c r="B21" s="56">
        <f t="shared" si="0"/>
        <v>18109.346936565173</v>
      </c>
      <c r="C21" s="56">
        <f t="shared" si="1"/>
        <v>3703.8357482148076</v>
      </c>
      <c r="D21" s="56">
        <f>SUM(E21:G21)</f>
        <v>689.03716371232315</v>
      </c>
      <c r="E21" s="156">
        <f t="shared" si="3"/>
        <v>153.32493654266963</v>
      </c>
      <c r="F21" s="156">
        <f t="shared" si="4"/>
        <v>264.15618035918999</v>
      </c>
      <c r="G21" s="156">
        <f t="shared" si="5"/>
        <v>271.5560468104635</v>
      </c>
      <c r="H21" s="57" t="s">
        <v>22</v>
      </c>
      <c r="I21" s="57" t="s">
        <v>22</v>
      </c>
      <c r="S21" s="32">
        <v>152800000</v>
      </c>
      <c r="T21" s="32">
        <v>247600000</v>
      </c>
      <c r="U21" s="32">
        <v>275800000</v>
      </c>
      <c r="V21" s="242">
        <f t="shared" si="6"/>
        <v>0.97948717948717945</v>
      </c>
      <c r="W21" s="242">
        <f t="shared" si="7"/>
        <v>0.96794370602032842</v>
      </c>
      <c r="X21" s="242">
        <f t="shared" si="8"/>
        <v>1.0454890068233511</v>
      </c>
      <c r="Z21" s="64">
        <v>18314387000</v>
      </c>
      <c r="AA21" s="242">
        <f t="shared" si="9"/>
        <v>0.99272196344698693</v>
      </c>
      <c r="AF21" s="64">
        <v>3693286000</v>
      </c>
      <c r="AG21" s="64">
        <f t="shared" si="10"/>
        <v>1.0209633742203075</v>
      </c>
    </row>
    <row r="22" spans="1:33" hidden="1" outlineLevel="1">
      <c r="A22" s="66">
        <v>1977</v>
      </c>
      <c r="B22" s="56">
        <f t="shared" si="0"/>
        <v>18242.11370692842</v>
      </c>
      <c r="C22" s="56">
        <f t="shared" si="1"/>
        <v>3627.7851309243729</v>
      </c>
      <c r="D22" s="56">
        <f t="shared" si="2"/>
        <v>689.18111711633253</v>
      </c>
      <c r="E22" s="156">
        <f t="shared" si="3"/>
        <v>156.53592997811822</v>
      </c>
      <c r="F22" s="156">
        <f t="shared" si="4"/>
        <v>272.90448681696608</v>
      </c>
      <c r="G22" s="156">
        <f t="shared" si="5"/>
        <v>259.74070032124826</v>
      </c>
      <c r="H22" s="57" t="s">
        <v>22</v>
      </c>
      <c r="I22" s="57" t="s">
        <v>22</v>
      </c>
      <c r="S22" s="32">
        <v>156000000</v>
      </c>
      <c r="T22" s="32">
        <v>255800000</v>
      </c>
      <c r="U22" s="32">
        <v>263800000</v>
      </c>
      <c r="V22" s="242">
        <f t="shared" si="6"/>
        <v>0.88586030664395232</v>
      </c>
      <c r="W22" s="242">
        <f t="shared" si="7"/>
        <v>0.9407870540639941</v>
      </c>
      <c r="X22" s="242">
        <f t="shared" si="8"/>
        <v>0.97739903668025196</v>
      </c>
      <c r="Z22" s="64">
        <v>18448657000</v>
      </c>
      <c r="AA22" s="242">
        <f t="shared" si="9"/>
        <v>0.97068103624718438</v>
      </c>
      <c r="AF22" s="64">
        <v>3617452000</v>
      </c>
      <c r="AG22" s="64">
        <f t="shared" si="10"/>
        <v>0.96428820857797393</v>
      </c>
    </row>
    <row r="23" spans="1:33" hidden="1" outlineLevel="1">
      <c r="A23" s="66">
        <v>1978</v>
      </c>
      <c r="B23" s="56">
        <f t="shared" si="0"/>
        <v>18793.108163991223</v>
      </c>
      <c r="C23" s="56">
        <f t="shared" si="1"/>
        <v>3762.1378117588215</v>
      </c>
      <c r="D23" s="56">
        <f t="shared" si="2"/>
        <v>732.53285702128949</v>
      </c>
      <c r="E23" s="156">
        <f t="shared" si="3"/>
        <v>176.70498249452959</v>
      </c>
      <c r="F23" s="156">
        <f t="shared" si="4"/>
        <v>290.08103974016058</v>
      </c>
      <c r="G23" s="156">
        <f t="shared" si="5"/>
        <v>265.74683478659932</v>
      </c>
      <c r="H23" s="57" t="s">
        <v>22</v>
      </c>
      <c r="I23" s="57" t="s">
        <v>22</v>
      </c>
      <c r="S23" s="32">
        <v>176100000</v>
      </c>
      <c r="T23" s="32">
        <v>271900000</v>
      </c>
      <c r="U23" s="32">
        <v>269900000</v>
      </c>
      <c r="V23" s="242">
        <f t="shared" si="6"/>
        <v>0.92440944881889764</v>
      </c>
      <c r="W23" s="242">
        <f t="shared" si="7"/>
        <v>0.97037830121341895</v>
      </c>
      <c r="X23" s="242">
        <f t="shared" si="8"/>
        <v>0.98181156784285195</v>
      </c>
      <c r="Z23" s="64">
        <v>19005890000</v>
      </c>
      <c r="AA23" s="242">
        <f t="shared" si="9"/>
        <v>0.96132887313809734</v>
      </c>
      <c r="AF23" s="64">
        <v>3751422000</v>
      </c>
      <c r="AG23" s="64">
        <f t="shared" si="10"/>
        <v>0.97046180352105293</v>
      </c>
    </row>
    <row r="24" spans="1:33" hidden="1" outlineLevel="1">
      <c r="A24" s="66">
        <v>1979</v>
      </c>
      <c r="B24" s="56">
        <f t="shared" si="0"/>
        <v>19549.09364434698</v>
      </c>
      <c r="C24" s="56">
        <f t="shared" si="1"/>
        <v>3876.6469716880583</v>
      </c>
      <c r="D24" s="56">
        <f t="shared" si="2"/>
        <v>760.76038163987641</v>
      </c>
      <c r="E24" s="156">
        <f t="shared" si="3"/>
        <v>191.1544529540482</v>
      </c>
      <c r="F24" s="156">
        <f t="shared" si="4"/>
        <v>298.93603286205587</v>
      </c>
      <c r="G24" s="156">
        <f t="shared" si="5"/>
        <v>270.66989582377232</v>
      </c>
      <c r="H24" s="57" t="s">
        <v>22</v>
      </c>
      <c r="I24" s="57" t="s">
        <v>22</v>
      </c>
      <c r="S24" s="32">
        <v>190500000</v>
      </c>
      <c r="T24" s="32">
        <v>280200000</v>
      </c>
      <c r="U24" s="32">
        <v>274900000</v>
      </c>
      <c r="V24" s="242">
        <f t="shared" si="6"/>
        <v>1.0618729096989967</v>
      </c>
      <c r="W24" s="242">
        <f t="shared" si="7"/>
        <v>1.067022086824067</v>
      </c>
      <c r="X24" s="242">
        <f t="shared" si="8"/>
        <v>0.9970982952484585</v>
      </c>
      <c r="Z24" s="64">
        <v>19770435000</v>
      </c>
      <c r="AA24" s="242">
        <f t="shared" si="9"/>
        <v>0.98487255098047954</v>
      </c>
      <c r="AF24" s="64">
        <v>3865605000</v>
      </c>
      <c r="AG24" s="64">
        <f t="shared" si="10"/>
        <v>1.0143434315338749</v>
      </c>
    </row>
    <row r="25" spans="1:33" hidden="1" outlineLevel="1">
      <c r="A25" s="66">
        <v>1980</v>
      </c>
      <c r="B25" s="56">
        <f t="shared" si="0"/>
        <v>19849.363884580889</v>
      </c>
      <c r="C25" s="56">
        <f t="shared" si="1"/>
        <v>3821.8288315091186</v>
      </c>
      <c r="D25" s="56">
        <f t="shared" si="2"/>
        <v>731.63308504162899</v>
      </c>
      <c r="E25" s="156">
        <f t="shared" si="3"/>
        <v>180.01631947483594</v>
      </c>
      <c r="F25" s="156">
        <f t="shared" si="4"/>
        <v>280.15917997707305</v>
      </c>
      <c r="G25" s="156">
        <f t="shared" si="5"/>
        <v>271.45758558972</v>
      </c>
      <c r="H25" s="57" t="s">
        <v>22</v>
      </c>
      <c r="I25" s="57" t="s">
        <v>22</v>
      </c>
      <c r="S25" s="32">
        <v>179400000</v>
      </c>
      <c r="T25" s="32">
        <v>262600000</v>
      </c>
      <c r="U25" s="32">
        <v>275700000</v>
      </c>
      <c r="V25" s="242">
        <f t="shared" si="6"/>
        <v>1.1275927089880577</v>
      </c>
      <c r="W25" s="242">
        <f t="shared" si="7"/>
        <v>1.0869205298013245</v>
      </c>
      <c r="X25" s="242">
        <f t="shared" si="8"/>
        <v>0.99279798343536185</v>
      </c>
      <c r="Z25" s="64">
        <v>20074105000</v>
      </c>
      <c r="AA25" s="242">
        <f t="shared" si="9"/>
        <v>0.97094728486125814</v>
      </c>
      <c r="AF25" s="64">
        <v>3810943000</v>
      </c>
      <c r="AG25" s="64">
        <f t="shared" si="10"/>
        <v>1.0123379033108539</v>
      </c>
    </row>
    <row r="26" spans="1:33" collapsed="1">
      <c r="A26" s="66">
        <v>1981</v>
      </c>
      <c r="B26" s="56">
        <f t="shared" si="0"/>
        <v>20443.297173869982</v>
      </c>
      <c r="C26" s="56">
        <f t="shared" si="1"/>
        <v>3775.2501600600121</v>
      </c>
      <c r="D26" s="56">
        <f t="shared" si="2"/>
        <v>690.82837038533501</v>
      </c>
      <c r="E26" s="156">
        <f t="shared" si="3"/>
        <v>159.64657986870904</v>
      </c>
      <c r="F26" s="156">
        <f t="shared" si="4"/>
        <v>257.75498051203675</v>
      </c>
      <c r="G26" s="156">
        <f t="shared" si="5"/>
        <v>273.42681000458924</v>
      </c>
      <c r="H26" s="57" t="s">
        <v>22</v>
      </c>
      <c r="I26" s="57" t="s">
        <v>22</v>
      </c>
      <c r="S26" s="32">
        <v>159100000</v>
      </c>
      <c r="T26" s="32">
        <v>241600000</v>
      </c>
      <c r="U26" s="32">
        <v>277700000</v>
      </c>
      <c r="V26" s="242">
        <f t="shared" si="6"/>
        <v>1.1596209912536444</v>
      </c>
      <c r="W26" s="242">
        <f t="shared" si="7"/>
        <v>1.1966319960376424</v>
      </c>
      <c r="X26" s="242">
        <f t="shared" si="8"/>
        <v>1.1206618240516546</v>
      </c>
      <c r="Z26" s="64">
        <v>20674763000</v>
      </c>
      <c r="AA26" s="242">
        <f t="shared" si="9"/>
        <v>1.042323192861847</v>
      </c>
      <c r="AF26" s="64">
        <v>3764497000</v>
      </c>
      <c r="AG26" s="64">
        <f t="shared" si="10"/>
        <v>1.1099940232177499</v>
      </c>
    </row>
    <row r="27" spans="1:33">
      <c r="A27" s="66">
        <v>1982</v>
      </c>
      <c r="B27" s="56">
        <f t="shared" si="0"/>
        <v>19613.203768151787</v>
      </c>
      <c r="C27" s="56">
        <f t="shared" si="1"/>
        <v>3401.1445837482797</v>
      </c>
      <c r="D27" s="56">
        <f t="shared" si="2"/>
        <v>597.05862340385863</v>
      </c>
      <c r="E27" s="156">
        <f t="shared" si="3"/>
        <v>137.67134354485782</v>
      </c>
      <c r="F27" s="156">
        <f t="shared" si="4"/>
        <v>215.40037485670621</v>
      </c>
      <c r="G27" s="156">
        <f t="shared" si="5"/>
        <v>243.98690500229461</v>
      </c>
      <c r="H27" s="57" t="s">
        <v>22</v>
      </c>
      <c r="I27" s="57" t="s">
        <v>22</v>
      </c>
      <c r="S27" s="32">
        <v>137200000</v>
      </c>
      <c r="T27" s="32">
        <v>201900000</v>
      </c>
      <c r="U27" s="32">
        <v>247800000</v>
      </c>
      <c r="V27" s="242">
        <f t="shared" si="6"/>
        <v>0.95211658570437196</v>
      </c>
      <c r="W27" s="242">
        <f t="shared" si="7"/>
        <v>0.96834532374100724</v>
      </c>
      <c r="X27" s="242">
        <f t="shared" si="8"/>
        <v>1.0337922403003754</v>
      </c>
      <c r="Z27" s="64">
        <v>19835271000</v>
      </c>
      <c r="AA27" s="242">
        <f t="shared" si="9"/>
        <v>0.99397454698230747</v>
      </c>
      <c r="AF27" s="64">
        <v>3391457000</v>
      </c>
      <c r="AG27" s="64">
        <f t="shared" si="10"/>
        <v>1.0129234119838588</v>
      </c>
    </row>
    <row r="28" spans="1:33">
      <c r="A28" s="66">
        <v>1983</v>
      </c>
      <c r="B28" s="56">
        <f t="shared" si="0"/>
        <v>19732.098601213878</v>
      </c>
      <c r="C28" s="56">
        <f t="shared" si="1"/>
        <v>3357.7509844371903</v>
      </c>
      <c r="D28" s="56">
        <f t="shared" si="2"/>
        <v>603.04828895069295</v>
      </c>
      <c r="E28" s="156">
        <f t="shared" si="3"/>
        <v>144.59504814004382</v>
      </c>
      <c r="F28" s="156">
        <f t="shared" si="4"/>
        <v>222.44169468857476</v>
      </c>
      <c r="G28" s="156">
        <f t="shared" si="5"/>
        <v>236.01154612207432</v>
      </c>
      <c r="H28" s="57" t="s">
        <v>22</v>
      </c>
      <c r="I28" s="57" t="s">
        <v>22</v>
      </c>
      <c r="S28" s="32">
        <v>144100000</v>
      </c>
      <c r="T28" s="32">
        <v>208500000</v>
      </c>
      <c r="U28" s="32">
        <v>239700000</v>
      </c>
      <c r="V28" s="242">
        <f t="shared" si="6"/>
        <v>0.97694915254237291</v>
      </c>
      <c r="W28" s="242">
        <f t="shared" si="7"/>
        <v>1.0155869459327813</v>
      </c>
      <c r="X28" s="242">
        <f t="shared" si="8"/>
        <v>0.99254658385093164</v>
      </c>
      <c r="Z28" s="64">
        <v>19955512000</v>
      </c>
      <c r="AA28" s="242">
        <f t="shared" si="9"/>
        <v>0.974823002477467</v>
      </c>
      <c r="AF28" s="64">
        <v>3348187000</v>
      </c>
      <c r="AG28" s="64">
        <f t="shared" si="10"/>
        <v>0.9740993648051488</v>
      </c>
    </row>
    <row r="29" spans="1:33">
      <c r="A29" s="66">
        <v>1984</v>
      </c>
      <c r="B29" s="56">
        <f t="shared" si="0"/>
        <v>20241.724447479875</v>
      </c>
      <c r="C29" s="56">
        <f t="shared" si="1"/>
        <v>3447.031284235411</v>
      </c>
      <c r="D29" s="56">
        <f t="shared" si="2"/>
        <v>604.81829819742427</v>
      </c>
      <c r="E29" s="156">
        <f t="shared" si="3"/>
        <v>148.00672866520793</v>
      </c>
      <c r="F29" s="156">
        <f t="shared" si="4"/>
        <v>219.02772143675969</v>
      </c>
      <c r="G29" s="156">
        <f t="shared" si="5"/>
        <v>237.78384809545662</v>
      </c>
      <c r="H29" s="57" t="s">
        <v>22</v>
      </c>
      <c r="I29" s="57" t="s">
        <v>22</v>
      </c>
      <c r="S29" s="32">
        <v>147500000</v>
      </c>
      <c r="T29" s="32">
        <v>205300000</v>
      </c>
      <c r="U29" s="32">
        <v>241500000</v>
      </c>
      <c r="V29" s="242">
        <f t="shared" si="6"/>
        <v>1.0446175637393769</v>
      </c>
      <c r="W29" s="242">
        <f t="shared" si="7"/>
        <v>0.9794847328244275</v>
      </c>
      <c r="X29" s="242">
        <f t="shared" si="8"/>
        <v>1.0263493412664684</v>
      </c>
      <c r="Z29" s="64">
        <v>20470908000</v>
      </c>
      <c r="AA29" s="242">
        <f t="shared" si="9"/>
        <v>0.96547306411899991</v>
      </c>
      <c r="AF29" s="64">
        <v>3437213000</v>
      </c>
      <c r="AG29" s="64">
        <f t="shared" si="10"/>
        <v>0.97135129284582078</v>
      </c>
    </row>
    <row r="30" spans="1:33">
      <c r="A30" s="66">
        <v>1985</v>
      </c>
      <c r="B30" s="56">
        <f t="shared" si="0"/>
        <v>20965.602459298618</v>
      </c>
      <c r="C30" s="56">
        <f t="shared" si="1"/>
        <v>3548.6968613965146</v>
      </c>
      <c r="D30" s="56">
        <f t="shared" si="2"/>
        <v>596.97958574241682</v>
      </c>
      <c r="E30" s="156">
        <f t="shared" si="3"/>
        <v>141.68508533916852</v>
      </c>
      <c r="F30" s="156">
        <f t="shared" si="4"/>
        <v>223.61524799388616</v>
      </c>
      <c r="G30" s="156">
        <f t="shared" si="5"/>
        <v>231.67925240936208</v>
      </c>
      <c r="H30" s="57" t="s">
        <v>22</v>
      </c>
      <c r="I30" s="57" t="s">
        <v>22</v>
      </c>
      <c r="S30" s="32">
        <v>141200000</v>
      </c>
      <c r="T30" s="32">
        <v>209600000</v>
      </c>
      <c r="U30" s="32">
        <v>235300000</v>
      </c>
      <c r="V30" s="242">
        <f t="shared" si="6"/>
        <v>1</v>
      </c>
      <c r="W30" s="242">
        <f t="shared" si="7"/>
        <v>0.95359417652411282</v>
      </c>
      <c r="X30" s="242">
        <f t="shared" si="8"/>
        <v>0.96080032666394444</v>
      </c>
      <c r="Z30" s="64">
        <v>21202982000</v>
      </c>
      <c r="AA30" s="242">
        <f t="shared" si="9"/>
        <v>0.97122669200540002</v>
      </c>
      <c r="AF30" s="64">
        <v>3538589000</v>
      </c>
      <c r="AG30" s="64">
        <f t="shared" si="10"/>
        <v>0.96310569210134389</v>
      </c>
    </row>
    <row r="31" spans="1:33">
      <c r="A31" s="66">
        <v>1986</v>
      </c>
      <c r="B31" s="56">
        <f t="shared" si="0"/>
        <v>21586.723915102251</v>
      </c>
      <c r="C31" s="56">
        <f t="shared" si="1"/>
        <v>3684.6390697305719</v>
      </c>
      <c r="D31" s="56">
        <f t="shared" si="2"/>
        <v>617.31390267394943</v>
      </c>
      <c r="E31" s="156">
        <f t="shared" si="3"/>
        <v>141.68508533916852</v>
      </c>
      <c r="F31" s="156">
        <f t="shared" si="4"/>
        <v>234.49728773404664</v>
      </c>
      <c r="G31" s="156">
        <f t="shared" si="5"/>
        <v>241.13152960073427</v>
      </c>
      <c r="H31" s="57" t="s">
        <v>22</v>
      </c>
      <c r="I31" s="57" t="s">
        <v>22</v>
      </c>
      <c r="S31" s="32">
        <v>141200000</v>
      </c>
      <c r="T31" s="32">
        <v>219800000</v>
      </c>
      <c r="U31" s="32">
        <v>244900000</v>
      </c>
      <c r="V31" s="242">
        <f t="shared" si="6"/>
        <v>0.93139841688654357</v>
      </c>
      <c r="W31" s="242">
        <f t="shared" si="7"/>
        <v>0.91659716430358629</v>
      </c>
      <c r="X31" s="242">
        <f t="shared" si="8"/>
        <v>0.95477582846003894</v>
      </c>
      <c r="Z31" s="64">
        <v>21831136000</v>
      </c>
      <c r="AA31" s="242">
        <f t="shared" si="9"/>
        <v>0.96502767845341919</v>
      </c>
      <c r="AF31" s="64">
        <v>3674144000</v>
      </c>
      <c r="AG31" s="64">
        <f t="shared" si="10"/>
        <v>0.96341980172265507</v>
      </c>
    </row>
    <row r="32" spans="1:33">
      <c r="A32" s="66">
        <v>1987</v>
      </c>
      <c r="B32" s="56">
        <f t="shared" si="0"/>
        <v>22369.020492446132</v>
      </c>
      <c r="C32" s="56">
        <f t="shared" si="1"/>
        <v>3824.5415582513519</v>
      </c>
      <c r="D32" s="56">
        <f t="shared" si="2"/>
        <v>660.50846576924278</v>
      </c>
      <c r="E32" s="156">
        <f t="shared" si="3"/>
        <v>152.1208140043764</v>
      </c>
      <c r="F32" s="156">
        <f t="shared" si="4"/>
        <v>255.83462055789076</v>
      </c>
      <c r="G32" s="156">
        <f t="shared" si="5"/>
        <v>252.55303120697567</v>
      </c>
      <c r="H32" s="57" t="s">
        <v>22</v>
      </c>
      <c r="I32" s="57" t="s">
        <v>22</v>
      </c>
      <c r="S32" s="32">
        <v>151600000</v>
      </c>
      <c r="T32" s="32">
        <v>239800000</v>
      </c>
      <c r="U32" s="32">
        <v>256500000</v>
      </c>
      <c r="V32" s="242">
        <f t="shared" si="6"/>
        <v>1.0250169033130494</v>
      </c>
      <c r="W32" s="242">
        <f t="shared" si="7"/>
        <v>0.99502074688796682</v>
      </c>
      <c r="X32" s="242">
        <f t="shared" si="8"/>
        <v>1.0094451003541913</v>
      </c>
      <c r="Z32" s="64">
        <v>22622290000</v>
      </c>
      <c r="AA32" s="242">
        <f t="shared" si="9"/>
        <v>0.96120180041811021</v>
      </c>
      <c r="AF32" s="64">
        <v>3813648000</v>
      </c>
      <c r="AG32" s="64">
        <f t="shared" si="10"/>
        <v>0.94637968912503412</v>
      </c>
    </row>
    <row r="33" spans="1:33">
      <c r="A33" s="66">
        <v>1988</v>
      </c>
      <c r="B33" s="56">
        <f t="shared" si="0"/>
        <v>23271.929456141155</v>
      </c>
      <c r="C33" s="56">
        <f t="shared" si="1"/>
        <v>4041.233769278474</v>
      </c>
      <c r="D33" s="56">
        <f t="shared" si="2"/>
        <v>655.71292528109302</v>
      </c>
      <c r="E33" s="156">
        <f t="shared" si="3"/>
        <v>148.40810284463896</v>
      </c>
      <c r="F33" s="156">
        <f t="shared" si="4"/>
        <v>257.11486052732141</v>
      </c>
      <c r="G33" s="156">
        <f t="shared" si="5"/>
        <v>250.18996190913262</v>
      </c>
      <c r="H33" s="57" t="s">
        <v>22</v>
      </c>
      <c r="I33" s="57" t="s">
        <v>22</v>
      </c>
      <c r="S33" s="32">
        <v>147900000</v>
      </c>
      <c r="T33" s="32">
        <v>241000000</v>
      </c>
      <c r="U33" s="32">
        <v>254100000</v>
      </c>
      <c r="V33" s="242">
        <f t="shared" si="6"/>
        <v>0.99462004034969742</v>
      </c>
      <c r="W33" s="242">
        <f t="shared" si="7"/>
        <v>1.0066833751044277</v>
      </c>
      <c r="X33" s="242">
        <f t="shared" si="8"/>
        <v>1.0027624309392265</v>
      </c>
      <c r="Z33" s="64">
        <v>23535422000</v>
      </c>
      <c r="AA33" s="242">
        <f t="shared" si="9"/>
        <v>0.97999244001541974</v>
      </c>
      <c r="AF33" s="64">
        <v>4029723000</v>
      </c>
      <c r="AG33" s="64">
        <f t="shared" si="10"/>
        <v>1.0078091823479716</v>
      </c>
    </row>
    <row r="34" spans="1:33">
      <c r="A34" s="66">
        <v>1989</v>
      </c>
      <c r="B34" s="56">
        <f t="shared" si="0"/>
        <v>23747.049983135566</v>
      </c>
      <c r="C34" s="56">
        <f t="shared" si="1"/>
        <v>4009.9195761079463</v>
      </c>
      <c r="D34" s="56">
        <f t="shared" si="2"/>
        <v>654.1194584688435</v>
      </c>
      <c r="E34" s="156">
        <f t="shared" si="3"/>
        <v>149.21085120350111</v>
      </c>
      <c r="F34" s="156">
        <f t="shared" si="4"/>
        <v>255.40787390141389</v>
      </c>
      <c r="G34" s="156">
        <f t="shared" si="5"/>
        <v>249.50073336392842</v>
      </c>
      <c r="H34" s="57" t="s">
        <v>22</v>
      </c>
      <c r="I34" s="57" t="s">
        <v>22</v>
      </c>
      <c r="S34" s="32">
        <v>148700000</v>
      </c>
      <c r="T34" s="32">
        <v>239400000</v>
      </c>
      <c r="U34" s="32">
        <v>253400000</v>
      </c>
      <c r="V34" s="242">
        <f t="shared" si="6"/>
        <v>1.1080476900149032</v>
      </c>
      <c r="W34" s="242">
        <f t="shared" si="7"/>
        <v>1.1103896103896105</v>
      </c>
      <c r="X34" s="242">
        <f t="shared" si="8"/>
        <v>1.0423693953105717</v>
      </c>
      <c r="Z34" s="64">
        <v>24015922000</v>
      </c>
      <c r="AA34" s="242">
        <f t="shared" si="9"/>
        <v>1.0011706764760813</v>
      </c>
      <c r="AF34" s="64">
        <v>3998498000</v>
      </c>
      <c r="AG34" s="64">
        <f t="shared" si="10"/>
        <v>1.0594986212069943</v>
      </c>
    </row>
    <row r="35" spans="1:33">
      <c r="A35" s="66">
        <v>1990</v>
      </c>
      <c r="B35" s="56">
        <f t="shared" si="0"/>
        <v>23719.282377227017</v>
      </c>
      <c r="C35" s="56">
        <f t="shared" si="1"/>
        <v>3784.7331708084666</v>
      </c>
      <c r="D35" s="56">
        <f t="shared" si="2"/>
        <v>604.03671266751621</v>
      </c>
      <c r="E35" s="156">
        <f t="shared" si="3"/>
        <v>134.66103719912473</v>
      </c>
      <c r="F35" s="156">
        <f t="shared" si="4"/>
        <v>230.01644784103939</v>
      </c>
      <c r="G35" s="156">
        <f t="shared" si="5"/>
        <v>239.35922762735203</v>
      </c>
      <c r="H35" s="57" t="s">
        <v>22</v>
      </c>
      <c r="I35" s="57" t="s">
        <v>22</v>
      </c>
      <c r="S35" s="32">
        <v>134200000</v>
      </c>
      <c r="T35" s="32">
        <v>215600000</v>
      </c>
      <c r="U35" s="32">
        <v>243100000</v>
      </c>
      <c r="V35" s="242">
        <f t="shared" si="6"/>
        <v>1.0197568389057752</v>
      </c>
      <c r="W35" s="242">
        <f t="shared" si="7"/>
        <v>1.1628910463861921</v>
      </c>
      <c r="X35" s="242">
        <f t="shared" si="8"/>
        <v>1.0482966796032773</v>
      </c>
      <c r="Z35" s="64">
        <v>23987840000</v>
      </c>
      <c r="AA35" s="242">
        <f t="shared" si="9"/>
        <v>1.0300744850849262</v>
      </c>
      <c r="AF35" s="64">
        <v>3773953000</v>
      </c>
      <c r="AG35" s="64">
        <f t="shared" si="10"/>
        <v>1.0925671217735358</v>
      </c>
    </row>
    <row r="36" spans="1:33">
      <c r="A36" s="66">
        <v>1991</v>
      </c>
      <c r="B36" s="56">
        <f t="shared" si="0"/>
        <v>23026.764297798756</v>
      </c>
      <c r="C36" s="56">
        <f t="shared" si="1"/>
        <v>3464.073827029325</v>
      </c>
      <c r="D36" s="56">
        <f t="shared" si="2"/>
        <v>558.18075121394202</v>
      </c>
      <c r="E36" s="156">
        <f t="shared" si="3"/>
        <v>132.05210503282277</v>
      </c>
      <c r="F36" s="156">
        <f t="shared" si="4"/>
        <v>197.79707527703479</v>
      </c>
      <c r="G36" s="156">
        <f t="shared" si="5"/>
        <v>228.33157090408446</v>
      </c>
      <c r="H36" s="57" t="s">
        <v>22</v>
      </c>
      <c r="I36" s="57" t="s">
        <v>22</v>
      </c>
      <c r="S36" s="32">
        <v>131600000</v>
      </c>
      <c r="T36" s="32">
        <v>185400000</v>
      </c>
      <c r="U36" s="32">
        <v>231900000</v>
      </c>
      <c r="V36" s="242">
        <f t="shared" si="6"/>
        <v>1.0570281124497991</v>
      </c>
      <c r="W36" s="242">
        <f t="shared" si="7"/>
        <v>0.94640122511485447</v>
      </c>
      <c r="X36" s="242">
        <f t="shared" si="8"/>
        <v>1.0375838926174497</v>
      </c>
      <c r="Z36" s="64">
        <v>23287481000</v>
      </c>
      <c r="AA36" s="242">
        <f t="shared" si="9"/>
        <v>1.0116927668046161</v>
      </c>
      <c r="AF36" s="64">
        <v>3454207000</v>
      </c>
      <c r="AG36" s="64">
        <f t="shared" si="10"/>
        <v>1.0387520926412703</v>
      </c>
    </row>
    <row r="37" spans="1:33">
      <c r="A37" s="66">
        <v>1992</v>
      </c>
      <c r="B37" s="56">
        <f t="shared" si="0"/>
        <v>22760.629563980878</v>
      </c>
      <c r="C37" s="56">
        <f t="shared" si="1"/>
        <v>3334.8417313134901</v>
      </c>
      <c r="D37" s="56">
        <f t="shared" si="2"/>
        <v>553.98771671910799</v>
      </c>
      <c r="E37" s="156">
        <f t="shared" si="3"/>
        <v>124.92771334792124</v>
      </c>
      <c r="F37" s="156">
        <f t="shared" si="4"/>
        <v>208.99917500955294</v>
      </c>
      <c r="G37" s="156">
        <f t="shared" si="5"/>
        <v>220.06082836163378</v>
      </c>
      <c r="H37" s="57" t="s">
        <v>22</v>
      </c>
      <c r="I37" s="57" t="s">
        <v>22</v>
      </c>
      <c r="S37" s="32">
        <v>124500000</v>
      </c>
      <c r="T37" s="32">
        <v>195900000</v>
      </c>
      <c r="U37" s="32">
        <v>223500000</v>
      </c>
      <c r="V37" s="242">
        <f t="shared" si="6"/>
        <v>0.95329249617151612</v>
      </c>
      <c r="W37" s="242">
        <f t="shared" si="7"/>
        <v>0.90027573529411764</v>
      </c>
      <c r="X37" s="242">
        <f t="shared" si="8"/>
        <v>1.0380863910822109</v>
      </c>
      <c r="Z37" s="64">
        <v>23018333000</v>
      </c>
      <c r="AA37" s="242">
        <f t="shared" si="9"/>
        <v>0.9871004248012577</v>
      </c>
      <c r="AF37" s="64">
        <v>3325343000</v>
      </c>
      <c r="AG37" s="64">
        <f t="shared" si="10"/>
        <v>0.99898369526359332</v>
      </c>
    </row>
    <row r="38" spans="1:33">
      <c r="A38" s="66">
        <v>1993</v>
      </c>
      <c r="B38" s="56">
        <f t="shared" si="0"/>
        <v>23058.068857141352</v>
      </c>
      <c r="C38" s="56">
        <f t="shared" si="1"/>
        <v>3338.2343947401</v>
      </c>
      <c r="D38" s="56">
        <f t="shared" si="2"/>
        <v>575.18585896833895</v>
      </c>
      <c r="E38" s="156">
        <f t="shared" si="3"/>
        <v>131.04866958424509</v>
      </c>
      <c r="F38" s="156">
        <f t="shared" si="4"/>
        <v>232.15018112342381</v>
      </c>
      <c r="G38" s="156">
        <f t="shared" si="5"/>
        <v>211.98700826067002</v>
      </c>
      <c r="H38" s="57" t="s">
        <v>22</v>
      </c>
      <c r="I38" s="57" t="s">
        <v>22</v>
      </c>
      <c r="S38" s="32">
        <v>130600000</v>
      </c>
      <c r="T38" s="32">
        <v>217600000</v>
      </c>
      <c r="U38" s="32">
        <v>215300000</v>
      </c>
      <c r="V38" s="242">
        <f t="shared" si="6"/>
        <v>0.95467836257309946</v>
      </c>
      <c r="W38" s="242">
        <f t="shared" si="7"/>
        <v>0.90893901420217205</v>
      </c>
      <c r="X38" s="242">
        <f t="shared" si="8"/>
        <v>0.97952684258416745</v>
      </c>
      <c r="Z38" s="64">
        <v>23319140000</v>
      </c>
      <c r="AA38" s="242">
        <f t="shared" si="9"/>
        <v>0.97261260470673438</v>
      </c>
      <c r="AF38" s="64">
        <v>3328726000</v>
      </c>
      <c r="AG38" s="64">
        <f t="shared" si="10"/>
        <v>0.97205087202680962</v>
      </c>
    </row>
    <row r="39" spans="1:33">
      <c r="A39" s="66">
        <v>1994</v>
      </c>
      <c r="B39" s="56">
        <f t="shared" si="0"/>
        <v>23707.351463015333</v>
      </c>
      <c r="C39" s="56">
        <f t="shared" si="1"/>
        <v>3434.2177871612771</v>
      </c>
      <c r="D39" s="56">
        <f t="shared" si="2"/>
        <v>609.09560646096634</v>
      </c>
      <c r="E39" s="156">
        <f t="shared" si="3"/>
        <v>137.2699693654267</v>
      </c>
      <c r="F39" s="156">
        <f t="shared" si="4"/>
        <v>255.40787390141389</v>
      </c>
      <c r="G39" s="156">
        <f t="shared" si="5"/>
        <v>216.41776319412574</v>
      </c>
      <c r="H39" s="57" t="s">
        <v>22</v>
      </c>
      <c r="I39" s="57" t="s">
        <v>22</v>
      </c>
      <c r="S39" s="32">
        <v>136800000</v>
      </c>
      <c r="T39" s="32">
        <v>239400000</v>
      </c>
      <c r="U39" s="32">
        <v>219800000</v>
      </c>
      <c r="V39" s="242">
        <f t="shared" si="6"/>
        <v>0.86472819216182051</v>
      </c>
      <c r="W39" s="242">
        <f t="shared" si="7"/>
        <v>0.98599670510708404</v>
      </c>
      <c r="X39" s="242">
        <f t="shared" si="8"/>
        <v>0.95275249241439097</v>
      </c>
      <c r="Z39" s="64">
        <v>23975774000</v>
      </c>
      <c r="AA39" s="242">
        <f t="shared" si="9"/>
        <v>0.98658249966545752</v>
      </c>
      <c r="AF39" s="64">
        <v>3424436000</v>
      </c>
      <c r="AG39" s="64">
        <f t="shared" si="10"/>
        <v>0.96767763482675995</v>
      </c>
    </row>
    <row r="40" spans="1:33">
      <c r="A40" s="66">
        <v>1995</v>
      </c>
      <c r="B40" s="56">
        <f t="shared" si="0"/>
        <v>24029.770922405689</v>
      </c>
      <c r="C40" s="56">
        <f t="shared" si="1"/>
        <v>3548.9275183838404</v>
      </c>
      <c r="D40" s="56">
        <f t="shared" si="2"/>
        <v>644.92874470161939</v>
      </c>
      <c r="E40" s="156">
        <f t="shared" si="3"/>
        <v>158.74348796498907</v>
      </c>
      <c r="F40" s="156">
        <f t="shared" si="4"/>
        <v>259.03522048146738</v>
      </c>
      <c r="G40" s="156">
        <f>G41*X40</f>
        <v>227.15003625516292</v>
      </c>
      <c r="H40" s="57" t="s">
        <v>22</v>
      </c>
      <c r="I40" s="57" t="s">
        <v>22</v>
      </c>
      <c r="S40" s="32">
        <v>158200000</v>
      </c>
      <c r="T40" s="32">
        <v>242800000</v>
      </c>
      <c r="U40" s="32">
        <v>230700000</v>
      </c>
      <c r="V40" s="242">
        <f t="shared" si="6"/>
        <v>1.1414141414141414</v>
      </c>
      <c r="W40" s="242">
        <f t="shared" si="7"/>
        <v>0.96848823294774633</v>
      </c>
      <c r="X40" s="242">
        <f t="shared" si="8"/>
        <v>1.0387212967131922</v>
      </c>
      <c r="Z40" s="64">
        <v>24301844000</v>
      </c>
      <c r="AA40" s="242">
        <f t="shared" si="9"/>
        <v>0.98584290961747811</v>
      </c>
      <c r="AF40" s="64">
        <v>3538819000</v>
      </c>
      <c r="AG40" s="64">
        <f t="shared" si="10"/>
        <v>0.97618149794561071</v>
      </c>
    </row>
    <row r="41" spans="1:33">
      <c r="A41" s="66">
        <v>1996</v>
      </c>
      <c r="B41" s="56">
        <f>B42*AA41</f>
        <v>24374.847846427787</v>
      </c>
      <c r="C41" s="56">
        <f>C42*AG41</f>
        <v>3635.5201628514924</v>
      </c>
      <c r="D41" s="56">
        <f t="shared" si="2"/>
        <v>625.22199139097756</v>
      </c>
      <c r="E41" s="156">
        <f>E42*V41</f>
        <v>139.07615317286653</v>
      </c>
      <c r="F41" s="156">
        <f>F42*W41</f>
        <v>267.46346694688577</v>
      </c>
      <c r="G41" s="156">
        <f>G42*X41</f>
        <v>218.68237127122532</v>
      </c>
      <c r="H41" s="57" t="s">
        <v>22</v>
      </c>
      <c r="I41" s="57" t="s">
        <v>22</v>
      </c>
      <c r="S41" s="32">
        <v>138600000</v>
      </c>
      <c r="T41" s="32">
        <v>250700000</v>
      </c>
      <c r="U41" s="32">
        <v>222100000</v>
      </c>
      <c r="V41" s="242">
        <f>S41/S42</f>
        <v>1.0109409190371992</v>
      </c>
      <c r="W41" s="242">
        <f>T41/T42</f>
        <v>0.95796713794421096</v>
      </c>
      <c r="X41" s="242">
        <f>U41/U42</f>
        <v>1.0192748967416245</v>
      </c>
      <c r="Z41" s="64">
        <v>24650828000</v>
      </c>
      <c r="AA41" s="242">
        <f t="shared" si="9"/>
        <v>0.9760847471271108</v>
      </c>
      <c r="AF41" s="64">
        <v>3625165000</v>
      </c>
      <c r="AG41" s="64">
        <f t="shared" si="10"/>
        <v>0.9694937600872906</v>
      </c>
    </row>
    <row r="42" spans="1:33">
      <c r="A42" s="66">
        <v>1997</v>
      </c>
      <c r="B42" s="56">
        <v>24972.061000000002</v>
      </c>
      <c r="C42" s="56">
        <v>3749.9160000000002</v>
      </c>
      <c r="D42" s="56">
        <f>SUM(E42:G42)</f>
        <v>631.31700000000001</v>
      </c>
      <c r="E42" s="56">
        <v>137.571</v>
      </c>
      <c r="F42" s="56">
        <v>279.19900000000001</v>
      </c>
      <c r="G42" s="56">
        <v>214.547</v>
      </c>
      <c r="H42" s="56">
        <v>146.96899999999999</v>
      </c>
      <c r="I42" s="56">
        <v>67.578000000000003</v>
      </c>
      <c r="K42" s="32">
        <v>24780402000</v>
      </c>
      <c r="L42" s="64">
        <v>3717749000</v>
      </c>
      <c r="M42" s="32">
        <v>139790000</v>
      </c>
      <c r="N42" s="32">
        <v>261663000</v>
      </c>
      <c r="O42" s="32">
        <v>217852000</v>
      </c>
      <c r="P42" s="32">
        <v>148197000</v>
      </c>
      <c r="Q42" s="32">
        <v>69656000</v>
      </c>
      <c r="S42" s="32">
        <v>137100000</v>
      </c>
      <c r="T42" s="32">
        <v>261700000</v>
      </c>
      <c r="U42" s="32">
        <v>217900000</v>
      </c>
      <c r="V42" s="270"/>
      <c r="W42" s="270"/>
      <c r="X42" s="270"/>
      <c r="Z42" s="64">
        <v>25254803000</v>
      </c>
      <c r="AA42" s="242">
        <f t="shared" si="9"/>
        <v>0.97887254476172358</v>
      </c>
      <c r="AF42" s="64">
        <v>3739235000</v>
      </c>
      <c r="AG42" s="64">
        <f t="shared" si="10"/>
        <v>0.95728753661285904</v>
      </c>
    </row>
    <row r="43" spans="1:33">
      <c r="A43" s="66">
        <v>1998</v>
      </c>
      <c r="B43" s="56">
        <v>25524.080999999998</v>
      </c>
      <c r="C43" s="56">
        <v>3742.2829999999999</v>
      </c>
      <c r="D43" s="56">
        <f t="shared" ref="D43:D56" si="11">SUM(E43:G43)</f>
        <v>598.67399999999998</v>
      </c>
      <c r="E43" s="56">
        <v>129.75200000000001</v>
      </c>
      <c r="F43" s="56">
        <v>267.55500000000001</v>
      </c>
      <c r="G43" s="56">
        <v>201.36699999999999</v>
      </c>
      <c r="H43" s="56">
        <v>132.477</v>
      </c>
      <c r="I43" s="56">
        <v>68.89</v>
      </c>
      <c r="K43" s="32">
        <v>25327286000</v>
      </c>
      <c r="L43" s="64">
        <v>3728283000</v>
      </c>
      <c r="M43" s="32">
        <v>132584000</v>
      </c>
      <c r="N43" s="32">
        <v>251816000</v>
      </c>
      <c r="O43" s="32">
        <v>205425000</v>
      </c>
      <c r="P43" s="32">
        <v>134448000</v>
      </c>
      <c r="Q43" s="32">
        <v>70977000</v>
      </c>
      <c r="S43" s="32">
        <v>129900000</v>
      </c>
      <c r="T43" s="32">
        <v>251800000</v>
      </c>
      <c r="U43" s="32">
        <v>205400000</v>
      </c>
      <c r="V43" s="270"/>
      <c r="W43" s="270"/>
      <c r="X43" s="270"/>
      <c r="Z43" s="64">
        <v>25799889000</v>
      </c>
      <c r="AA43" s="242">
        <f>Z43/Z44</f>
        <v>0.97040328704840795</v>
      </c>
      <c r="AB43" s="242"/>
      <c r="AF43" s="64">
        <v>3906073000</v>
      </c>
      <c r="AG43" s="64">
        <f t="shared" si="10"/>
        <v>0.96666168413769005</v>
      </c>
    </row>
    <row r="44" spans="1:33">
      <c r="A44" s="66">
        <v>1999</v>
      </c>
      <c r="B44" s="56">
        <v>26167.659</v>
      </c>
      <c r="C44" s="56">
        <v>3879.174</v>
      </c>
      <c r="D44" s="56">
        <f t="shared" si="11"/>
        <v>642.32499999999993</v>
      </c>
      <c r="E44" s="56">
        <v>140.16200000000001</v>
      </c>
      <c r="F44" s="56">
        <v>292.2</v>
      </c>
      <c r="G44" s="56">
        <v>209.96299999999999</v>
      </c>
      <c r="H44" s="56">
        <v>137.92099999999999</v>
      </c>
      <c r="I44" s="56">
        <v>72.042000000000002</v>
      </c>
      <c r="K44" s="32">
        <v>26035212000</v>
      </c>
      <c r="L44" s="64">
        <v>3873558000</v>
      </c>
      <c r="M44" s="32">
        <v>142486000</v>
      </c>
      <c r="N44" s="32">
        <v>276061000</v>
      </c>
      <c r="O44" s="32">
        <v>214245000</v>
      </c>
      <c r="P44" s="32">
        <v>140566000</v>
      </c>
      <c r="Q44" s="32">
        <v>73679000</v>
      </c>
      <c r="S44" s="32">
        <v>139700000</v>
      </c>
      <c r="T44" s="32">
        <v>276100000</v>
      </c>
      <c r="U44" s="32">
        <v>214200000</v>
      </c>
      <c r="V44" s="270"/>
      <c r="W44" s="270"/>
      <c r="X44" s="270"/>
      <c r="Z44" s="64">
        <v>26586770000</v>
      </c>
      <c r="AA44" s="242"/>
      <c r="AB44" s="242"/>
      <c r="AF44" s="64">
        <v>4040786000</v>
      </c>
      <c r="AG44" s="64">
        <f t="shared" si="10"/>
        <v>0.96744139498981985</v>
      </c>
    </row>
    <row r="45" spans="1:33">
      <c r="A45" s="66">
        <v>2000</v>
      </c>
      <c r="B45" s="56">
        <v>26709.974999999999</v>
      </c>
      <c r="C45" s="56">
        <v>4036.9380000000001</v>
      </c>
      <c r="D45" s="56">
        <f t="shared" si="11"/>
        <v>635.06299999999999</v>
      </c>
      <c r="E45" s="56">
        <v>133.333</v>
      </c>
      <c r="F45" s="56">
        <v>294.94</v>
      </c>
      <c r="G45" s="56">
        <v>206.79</v>
      </c>
      <c r="H45" s="56">
        <v>134.279</v>
      </c>
      <c r="I45" s="56">
        <v>72.510999999999996</v>
      </c>
      <c r="J45" s="147"/>
      <c r="K45" s="32">
        <v>26606054000</v>
      </c>
      <c r="L45" s="64">
        <v>4020919000</v>
      </c>
      <c r="M45" s="32">
        <v>135439000</v>
      </c>
      <c r="N45" s="32">
        <v>279952000</v>
      </c>
      <c r="O45" s="32">
        <v>210150000</v>
      </c>
      <c r="P45" s="32">
        <v>136241000</v>
      </c>
      <c r="Q45" s="32">
        <v>73909000</v>
      </c>
      <c r="S45" s="32">
        <v>132500000</v>
      </c>
      <c r="T45" s="32">
        <v>280000000</v>
      </c>
      <c r="U45" s="32">
        <v>210100000</v>
      </c>
      <c r="V45" s="270"/>
      <c r="W45" s="270"/>
      <c r="X45" s="270"/>
      <c r="Z45" s="64">
        <v>27278313000</v>
      </c>
      <c r="AA45" s="242"/>
      <c r="AB45" s="242"/>
      <c r="AD45" s="147">
        <f>(D45/D44-1)*100</f>
        <v>-1.1305803137041104</v>
      </c>
      <c r="AF45" s="64">
        <v>4176776000</v>
      </c>
      <c r="AG45" s="64">
        <f>AF45/AF46</f>
        <v>1.0137855038131254</v>
      </c>
    </row>
    <row r="46" spans="1:33">
      <c r="A46" s="66">
        <v>2001</v>
      </c>
      <c r="B46" s="56">
        <v>26868.101999999999</v>
      </c>
      <c r="C46" s="56">
        <v>3960.123</v>
      </c>
      <c r="D46" s="56">
        <f t="shared" si="11"/>
        <v>586.84199999999998</v>
      </c>
      <c r="E46" s="56">
        <v>119.384</v>
      </c>
      <c r="F46" s="56">
        <v>261.13499999999999</v>
      </c>
      <c r="G46" s="56">
        <v>206.32300000000001</v>
      </c>
      <c r="H46" s="56">
        <v>130.22399999999999</v>
      </c>
      <c r="I46" s="56">
        <v>76.099000000000004</v>
      </c>
      <c r="J46" s="147"/>
      <c r="K46" s="32">
        <v>26791645000</v>
      </c>
      <c r="L46" s="64">
        <v>3948336000</v>
      </c>
      <c r="M46" s="32">
        <v>120203000</v>
      </c>
      <c r="N46" s="32">
        <v>269353000</v>
      </c>
      <c r="O46" s="32">
        <v>210007000</v>
      </c>
      <c r="P46" s="32">
        <v>130999000</v>
      </c>
      <c r="Q46" s="32">
        <v>79008000</v>
      </c>
      <c r="S46" s="32">
        <v>117500000</v>
      </c>
      <c r="T46" s="32">
        <v>269400000</v>
      </c>
      <c r="U46" s="32">
        <v>210000000</v>
      </c>
      <c r="V46" s="270"/>
      <c r="W46" s="270"/>
      <c r="X46" s="270"/>
      <c r="Z46" s="64">
        <v>27284742000</v>
      </c>
      <c r="AA46" s="242"/>
      <c r="AB46" s="242"/>
      <c r="AD46" s="147">
        <f t="shared" ref="AD46:AD52" si="12">(D46/D45-1)*100</f>
        <v>-7.5931049360457141</v>
      </c>
      <c r="AF46" s="64">
        <v>4119980000</v>
      </c>
    </row>
    <row r="47" spans="1:33">
      <c r="A47" s="66">
        <v>2002</v>
      </c>
      <c r="B47" s="56">
        <v>27201.949000000001</v>
      </c>
      <c r="C47" s="56">
        <v>3910.0859999999998</v>
      </c>
      <c r="D47" s="56">
        <f t="shared" si="11"/>
        <v>571.73700000000008</v>
      </c>
      <c r="E47" s="56">
        <v>121.04</v>
      </c>
      <c r="F47" s="56">
        <v>256.51100000000002</v>
      </c>
      <c r="G47" s="56">
        <v>194.18600000000001</v>
      </c>
      <c r="H47" s="56">
        <v>119.1</v>
      </c>
      <c r="I47" s="56">
        <v>75.085999999999999</v>
      </c>
      <c r="J47" s="147"/>
      <c r="K47" s="32">
        <v>27188517000</v>
      </c>
      <c r="L47" s="64">
        <v>3916193000</v>
      </c>
      <c r="M47" s="32">
        <v>122131000</v>
      </c>
      <c r="N47" s="32">
        <v>267738000</v>
      </c>
      <c r="O47" s="32">
        <v>206767000</v>
      </c>
      <c r="P47" s="32">
        <v>127196000</v>
      </c>
      <c r="Q47" s="32">
        <v>79571000</v>
      </c>
      <c r="S47" s="32">
        <v>119700000</v>
      </c>
      <c r="T47" s="32">
        <v>267700000</v>
      </c>
      <c r="U47" s="32">
        <v>206800000</v>
      </c>
      <c r="V47" s="270"/>
      <c r="W47" s="270"/>
      <c r="X47" s="270"/>
      <c r="AD47" s="147">
        <f t="shared" si="12"/>
        <v>-2.5739466500352526</v>
      </c>
    </row>
    <row r="48" spans="1:33">
      <c r="A48" s="66">
        <v>2003</v>
      </c>
      <c r="B48" s="56">
        <v>27611.261999999999</v>
      </c>
      <c r="C48" s="56">
        <v>3894.4659999999999</v>
      </c>
      <c r="D48" s="56">
        <f t="shared" si="11"/>
        <v>572.52700000000004</v>
      </c>
      <c r="E48" s="56">
        <v>122.83499999999999</v>
      </c>
      <c r="F48" s="56">
        <v>253.98099999999999</v>
      </c>
      <c r="G48" s="56">
        <v>195.71100000000001</v>
      </c>
      <c r="H48" s="56">
        <v>120.22799999999999</v>
      </c>
      <c r="I48" s="56">
        <v>75.483000000000004</v>
      </c>
      <c r="J48" s="147"/>
      <c r="K48" s="32">
        <v>27599807000</v>
      </c>
      <c r="L48" s="64">
        <v>3875384000</v>
      </c>
      <c r="M48" s="32">
        <v>124107000</v>
      </c>
      <c r="N48" s="32">
        <v>258229000</v>
      </c>
      <c r="O48" s="32">
        <v>209960000</v>
      </c>
      <c r="P48" s="32">
        <v>128832000</v>
      </c>
      <c r="Q48" s="32">
        <v>81128000</v>
      </c>
      <c r="S48" s="32">
        <v>121700000</v>
      </c>
      <c r="T48" s="32">
        <v>258200000</v>
      </c>
      <c r="U48" s="32">
        <v>210000000</v>
      </c>
      <c r="V48" s="270"/>
      <c r="W48" s="270"/>
      <c r="X48" s="270"/>
      <c r="AD48" s="147">
        <f t="shared" si="12"/>
        <v>0.13817541981715475</v>
      </c>
    </row>
    <row r="49" spans="1:30">
      <c r="A49" s="66">
        <v>2004</v>
      </c>
      <c r="B49" s="56">
        <v>28349.86</v>
      </c>
      <c r="C49" s="56">
        <v>3936.7719999999999</v>
      </c>
      <c r="D49" s="56">
        <f t="shared" si="11"/>
        <v>576.45600000000002</v>
      </c>
      <c r="E49" s="56">
        <v>117.44199999999999</v>
      </c>
      <c r="F49" s="56">
        <v>257.86599999999999</v>
      </c>
      <c r="G49" s="56">
        <v>201.148</v>
      </c>
      <c r="H49" s="56">
        <v>124.125</v>
      </c>
      <c r="I49" s="56">
        <v>77.022999999999996</v>
      </c>
      <c r="J49" s="147"/>
      <c r="K49" s="32">
        <v>28379090000</v>
      </c>
      <c r="L49" s="64">
        <v>3904409000</v>
      </c>
      <c r="M49" s="32">
        <v>121712000</v>
      </c>
      <c r="N49" s="32">
        <v>258316000</v>
      </c>
      <c r="O49" s="32">
        <v>216142000</v>
      </c>
      <c r="P49" s="32">
        <v>132260000</v>
      </c>
      <c r="Q49" s="32">
        <v>83882000</v>
      </c>
      <c r="S49" s="32">
        <v>119300000</v>
      </c>
      <c r="T49" s="32">
        <v>258300000</v>
      </c>
      <c r="U49" s="32">
        <v>216100000</v>
      </c>
      <c r="V49" s="270"/>
      <c r="W49" s="270"/>
      <c r="X49" s="270"/>
      <c r="AD49" s="147">
        <f t="shared" si="12"/>
        <v>0.68625584470252132</v>
      </c>
    </row>
    <row r="50" spans="1:30">
      <c r="A50" s="66">
        <v>2005</v>
      </c>
      <c r="B50" s="56">
        <v>28533.803</v>
      </c>
      <c r="C50" s="56">
        <v>3855.92</v>
      </c>
      <c r="D50" s="56">
        <f t="shared" si="11"/>
        <v>559.22399999999993</v>
      </c>
      <c r="E50" s="56">
        <v>113.31100000000001</v>
      </c>
      <c r="F50" s="56">
        <v>250.72300000000001</v>
      </c>
      <c r="G50" s="56">
        <v>195.19</v>
      </c>
      <c r="H50" s="56">
        <v>117.878</v>
      </c>
      <c r="I50" s="56">
        <v>77.311999999999998</v>
      </c>
      <c r="J50" s="147"/>
      <c r="K50" s="32">
        <v>28611821000</v>
      </c>
      <c r="L50" s="64">
        <v>3820646000</v>
      </c>
      <c r="M50" s="32">
        <v>114523000</v>
      </c>
      <c r="N50" s="32">
        <v>258414000</v>
      </c>
      <c r="O50" s="32">
        <v>206922000</v>
      </c>
      <c r="P50" s="32">
        <v>126571000</v>
      </c>
      <c r="Q50" s="32">
        <v>80351000</v>
      </c>
      <c r="AD50" s="147">
        <f t="shared" si="12"/>
        <v>-2.9893001373912487</v>
      </c>
    </row>
    <row r="51" spans="1:30">
      <c r="A51" s="66">
        <v>2006</v>
      </c>
      <c r="B51" s="56">
        <v>28986.531999999999</v>
      </c>
      <c r="C51" s="56">
        <v>3708.28</v>
      </c>
      <c r="D51" s="56">
        <f t="shared" si="11"/>
        <v>526.59400000000005</v>
      </c>
      <c r="E51" s="56">
        <v>106.24299999999999</v>
      </c>
      <c r="F51" s="56">
        <v>233.93700000000001</v>
      </c>
      <c r="G51" s="56">
        <v>186.41399999999999</v>
      </c>
      <c r="H51" s="56">
        <v>112.53400000000001</v>
      </c>
      <c r="I51" s="56">
        <v>73.88</v>
      </c>
      <c r="J51" s="147"/>
      <c r="K51" s="32">
        <v>29125632000</v>
      </c>
      <c r="L51" s="64">
        <v>3787184000</v>
      </c>
      <c r="M51" s="32">
        <v>117582000</v>
      </c>
      <c r="N51" s="32">
        <v>258383000</v>
      </c>
      <c r="O51" s="32">
        <v>209886000</v>
      </c>
      <c r="P51" s="32">
        <v>128141000</v>
      </c>
      <c r="Q51" s="32">
        <v>81746000</v>
      </c>
      <c r="AB51" s="145" t="s">
        <v>1456</v>
      </c>
      <c r="AD51" s="147">
        <f t="shared" si="12"/>
        <v>-5.834871178633227</v>
      </c>
    </row>
    <row r="52" spans="1:30">
      <c r="A52" s="66">
        <v>2007</v>
      </c>
      <c r="B52" s="56">
        <v>29625.119999999999</v>
      </c>
      <c r="C52" s="56">
        <v>3606.652</v>
      </c>
      <c r="D52" s="56">
        <f t="shared" si="11"/>
        <v>488.45500000000004</v>
      </c>
      <c r="E52" s="56">
        <v>101.256</v>
      </c>
      <c r="F52" s="56">
        <v>205.732</v>
      </c>
      <c r="G52" s="56">
        <v>181.46700000000001</v>
      </c>
      <c r="H52" s="56">
        <v>110.002</v>
      </c>
      <c r="I52" s="56">
        <v>71.465000000000003</v>
      </c>
      <c r="J52" s="147"/>
      <c r="K52" s="32"/>
      <c r="L52" s="64">
        <v>3670140000</v>
      </c>
      <c r="M52" s="32"/>
      <c r="N52" s="32"/>
      <c r="O52" s="32"/>
      <c r="P52" s="32"/>
      <c r="Q52" s="32"/>
      <c r="AB52" s="138">
        <v>2.577847861661664</v>
      </c>
      <c r="AD52" s="147">
        <f t="shared" si="12"/>
        <v>-7.2425815713813684</v>
      </c>
    </row>
    <row r="53" spans="1:30">
      <c r="A53" s="66">
        <v>2008</v>
      </c>
      <c r="B53" s="56">
        <v>29953.588</v>
      </c>
      <c r="C53" s="56">
        <v>3455.9459999999999</v>
      </c>
      <c r="D53" s="56">
        <f t="shared" si="11"/>
        <v>426.65100000000001</v>
      </c>
      <c r="E53" s="56">
        <v>76.171999999999997</v>
      </c>
      <c r="F53" s="56">
        <v>180.85900000000001</v>
      </c>
      <c r="G53" s="56">
        <v>169.62</v>
      </c>
      <c r="H53" s="56">
        <v>100.765</v>
      </c>
      <c r="I53" s="56">
        <v>68.855000000000004</v>
      </c>
      <c r="J53" s="147"/>
      <c r="K53" s="32"/>
      <c r="M53" s="32"/>
      <c r="N53" s="32"/>
      <c r="O53" s="32"/>
      <c r="P53" s="32"/>
      <c r="Q53" s="32"/>
      <c r="AB53" s="138"/>
      <c r="AD53" s="147"/>
    </row>
    <row r="54" spans="1:30">
      <c r="A54" s="66">
        <v>2009</v>
      </c>
      <c r="B54" s="56">
        <v>28954.808000000001</v>
      </c>
      <c r="C54" s="56">
        <v>3067.636</v>
      </c>
      <c r="D54" s="56">
        <f t="shared" si="11"/>
        <v>367.70600000000002</v>
      </c>
      <c r="E54" s="56">
        <v>70.313999999999993</v>
      </c>
      <c r="F54" s="56">
        <v>153.15100000000001</v>
      </c>
      <c r="G54" s="56">
        <v>144.24100000000001</v>
      </c>
      <c r="H54" s="56">
        <v>83.914000000000001</v>
      </c>
      <c r="I54" s="56">
        <v>60.326999999999998</v>
      </c>
      <c r="J54" s="147"/>
      <c r="K54" s="32"/>
      <c r="M54" s="32"/>
      <c r="N54" s="32"/>
      <c r="O54" s="32"/>
      <c r="P54" s="32"/>
      <c r="Q54" s="32"/>
      <c r="AB54" s="138"/>
      <c r="AD54" s="147"/>
    </row>
    <row r="55" spans="1:30">
      <c r="A55" s="66">
        <v>2010</v>
      </c>
      <c r="B55" s="56">
        <v>29508.16</v>
      </c>
      <c r="C55" s="56">
        <v>3114.4859999999999</v>
      </c>
      <c r="D55" s="56">
        <f t="shared" si="11"/>
        <v>373.64400000000001</v>
      </c>
      <c r="E55" s="56">
        <v>75.31</v>
      </c>
      <c r="F55" s="56">
        <v>156.09800000000001</v>
      </c>
      <c r="G55" s="56">
        <v>142.23599999999999</v>
      </c>
      <c r="H55" s="56">
        <v>81.926000000000002</v>
      </c>
      <c r="I55" s="56">
        <v>60.31</v>
      </c>
      <c r="J55" s="147"/>
      <c r="K55" s="32"/>
      <c r="M55" s="32"/>
      <c r="N55" s="32"/>
      <c r="O55" s="32"/>
      <c r="P55" s="32"/>
      <c r="Q55" s="32"/>
      <c r="AB55" s="138"/>
      <c r="AD55" s="147"/>
    </row>
    <row r="56" spans="1:30">
      <c r="A56" s="66">
        <v>2011</v>
      </c>
      <c r="B56" s="56">
        <v>29954.832999999999</v>
      </c>
      <c r="C56" s="56">
        <v>3130.3249999999998</v>
      </c>
      <c r="D56" s="56">
        <f t="shared" si="11"/>
        <v>372.24199999999996</v>
      </c>
      <c r="E56" s="56">
        <v>80.103999999999999</v>
      </c>
      <c r="F56" s="56">
        <v>155.02199999999999</v>
      </c>
      <c r="G56" s="56">
        <v>137.11600000000001</v>
      </c>
      <c r="H56" s="56">
        <v>76.98</v>
      </c>
      <c r="I56" s="56">
        <v>60.136000000000003</v>
      </c>
      <c r="J56" s="147"/>
      <c r="K56" s="32"/>
      <c r="M56" s="32"/>
      <c r="N56" s="32"/>
      <c r="O56" s="32"/>
      <c r="P56" s="32"/>
      <c r="Q56" s="32"/>
      <c r="AB56" s="138"/>
      <c r="AD56" s="147"/>
    </row>
    <row r="57" spans="1:30">
      <c r="A57" s="66">
        <v>2012</v>
      </c>
      <c r="B57" s="56" t="s">
        <v>22</v>
      </c>
      <c r="C57" s="56" t="s">
        <v>22</v>
      </c>
      <c r="D57" s="56" t="s">
        <v>22</v>
      </c>
      <c r="E57" s="56" t="s">
        <v>22</v>
      </c>
      <c r="F57" s="56" t="s">
        <v>22</v>
      </c>
      <c r="G57" s="56" t="s">
        <v>22</v>
      </c>
      <c r="H57" s="56" t="s">
        <v>22</v>
      </c>
      <c r="I57" s="56" t="s">
        <v>22</v>
      </c>
      <c r="J57" s="147"/>
      <c r="K57" s="32"/>
      <c r="M57" s="32"/>
      <c r="N57" s="32"/>
      <c r="O57" s="32"/>
      <c r="P57" s="32"/>
      <c r="Q57" s="32"/>
      <c r="AB57" s="138"/>
      <c r="AD57" s="147"/>
    </row>
    <row r="58" spans="1:30">
      <c r="D58" s="56"/>
      <c r="E58" s="56"/>
      <c r="F58" s="56"/>
      <c r="G58" s="56"/>
      <c r="H58" s="56"/>
      <c r="I58" s="56"/>
    </row>
    <row r="59" spans="1:30">
      <c r="A59" s="66" t="s">
        <v>23</v>
      </c>
      <c r="B59" s="56"/>
      <c r="C59" s="56"/>
      <c r="D59" s="56"/>
      <c r="E59" s="56"/>
      <c r="F59" s="56"/>
      <c r="G59" s="56"/>
      <c r="H59" s="56"/>
      <c r="I59" s="56"/>
    </row>
    <row r="60" spans="1:30">
      <c r="A60" s="64" t="s">
        <v>2122</v>
      </c>
      <c r="B60" s="147">
        <f>((B56/B6)^(1/50)-1)*100</f>
        <v>1.6530869599522102</v>
      </c>
      <c r="C60" s="147">
        <f t="shared" ref="C60:G60" si="13">((C56/C6)^(1/50)-1)*100</f>
        <v>0.14852488980694467</v>
      </c>
      <c r="D60" s="147">
        <f t="shared" si="13"/>
        <v>-1.0393144753444994</v>
      </c>
      <c r="E60" s="147">
        <f t="shared" si="13"/>
        <v>-1.8570265582499967</v>
      </c>
      <c r="F60" s="147">
        <f t="shared" si="13"/>
        <v>-0.57841568420503586</v>
      </c>
      <c r="G60" s="147">
        <f t="shared" si="13"/>
        <v>-0.90410013121211552</v>
      </c>
      <c r="H60" s="57" t="s">
        <v>22</v>
      </c>
      <c r="I60" s="57" t="s">
        <v>22</v>
      </c>
    </row>
    <row r="61" spans="1:30">
      <c r="A61" s="109" t="s">
        <v>1047</v>
      </c>
      <c r="B61" s="147">
        <f t="shared" ref="B61:G61" si="14">((B51/B6)^(1/45)-1)*100</f>
        <v>1.7641058113378127</v>
      </c>
      <c r="C61" s="147">
        <f t="shared" si="14"/>
        <v>0.54288759972729306</v>
      </c>
      <c r="D61" s="147">
        <f t="shared" si="14"/>
        <v>-0.38922025369269031</v>
      </c>
      <c r="E61" s="147">
        <f t="shared" si="14"/>
        <v>-1.4446626084219538</v>
      </c>
      <c r="F61" s="147">
        <f t="shared" si="14"/>
        <v>0.2702251468448047</v>
      </c>
      <c r="G61" s="147">
        <f t="shared" si="14"/>
        <v>-0.32605225877128108</v>
      </c>
      <c r="H61" s="57" t="s">
        <v>22</v>
      </c>
      <c r="I61" s="57" t="s">
        <v>22</v>
      </c>
    </row>
    <row r="62" spans="1:30">
      <c r="A62" s="64" t="s">
        <v>1095</v>
      </c>
      <c r="B62" s="147">
        <f t="shared" ref="B62:G62" si="15">((B26/B6)^(1/20)-1)*100</f>
        <v>2.2128813500137623</v>
      </c>
      <c r="C62" s="147">
        <f t="shared" si="15"/>
        <v>1.3162734301674028</v>
      </c>
      <c r="D62" s="147">
        <f t="shared" si="15"/>
        <v>0.48100665088075534</v>
      </c>
      <c r="E62" s="147">
        <f t="shared" si="15"/>
        <v>-1.2303988526223941</v>
      </c>
      <c r="F62" s="147">
        <f t="shared" si="15"/>
        <v>1.0979583538178739</v>
      </c>
      <c r="G62" s="147">
        <f t="shared" si="15"/>
        <v>1.1874991393682421</v>
      </c>
      <c r="H62" s="57" t="s">
        <v>22</v>
      </c>
      <c r="I62" s="57" t="s">
        <v>22</v>
      </c>
    </row>
    <row r="63" spans="1:30">
      <c r="A63" s="64" t="s">
        <v>1031</v>
      </c>
      <c r="B63" s="147">
        <f t="shared" ref="B63:G63" si="16">((B18/B6)^(1/12)-1)*100</f>
        <v>2.2679413784540303</v>
      </c>
      <c r="C63" s="147">
        <f t="shared" si="16"/>
        <v>2.3296409330406886</v>
      </c>
      <c r="D63" s="147">
        <f t="shared" si="16"/>
        <v>1.4049483953698871</v>
      </c>
      <c r="E63" s="147">
        <f t="shared" si="16"/>
        <v>-0.76760784732952114</v>
      </c>
      <c r="F63" s="147">
        <f t="shared" si="16"/>
        <v>2.6241848931849887</v>
      </c>
      <c r="G63" s="147">
        <f t="shared" si="16"/>
        <v>1.9686081172030523</v>
      </c>
      <c r="H63" s="57" t="s">
        <v>22</v>
      </c>
      <c r="I63" s="57" t="s">
        <v>22</v>
      </c>
    </row>
    <row r="64" spans="1:30">
      <c r="A64" s="64" t="s">
        <v>1032</v>
      </c>
      <c r="B64" s="147">
        <f t="shared" ref="B64:G64" si="17">((B26/B18)^(1/8)-1)*100</f>
        <v>2.130346884423262</v>
      </c>
      <c r="C64" s="147">
        <f t="shared" si="17"/>
        <v>-0.1849926388451828</v>
      </c>
      <c r="D64" s="147">
        <f t="shared" si="17"/>
        <v>-0.88914544589829836</v>
      </c>
      <c r="E64" s="147">
        <f t="shared" si="17"/>
        <v>-1.9205416530830188</v>
      </c>
      <c r="F64" s="147">
        <f t="shared" si="17"/>
        <v>-1.148928323701659</v>
      </c>
      <c r="G64" s="147">
        <f t="shared" si="17"/>
        <v>2.704043581469584E-2</v>
      </c>
      <c r="H64" s="57" t="s">
        <v>22</v>
      </c>
      <c r="I64" s="57" t="s">
        <v>22</v>
      </c>
    </row>
    <row r="65" spans="1:9">
      <c r="A65" s="64" t="s">
        <v>1781</v>
      </c>
      <c r="B65" s="147">
        <f>((B56/B26)^(1/30)-1)*100</f>
        <v>1.2815949904414703</v>
      </c>
      <c r="C65" s="147">
        <f t="shared" ref="C65:G65" si="18">((C52/C26)^(1/26)-1)*100</f>
        <v>-0.17556389778984327</v>
      </c>
      <c r="D65" s="147">
        <f t="shared" si="18"/>
        <v>-1.3243980441772329</v>
      </c>
      <c r="E65" s="147">
        <f t="shared" si="18"/>
        <v>-1.7359500638277514</v>
      </c>
      <c r="F65" s="147">
        <f t="shared" si="18"/>
        <v>-0.86330994923127236</v>
      </c>
      <c r="G65" s="147">
        <f t="shared" si="18"/>
        <v>-1.5644039172465374</v>
      </c>
      <c r="H65" s="57" t="s">
        <v>22</v>
      </c>
      <c r="I65" s="57" t="s">
        <v>22</v>
      </c>
    </row>
    <row r="66" spans="1:9">
      <c r="A66" s="64" t="s">
        <v>24</v>
      </c>
      <c r="B66" s="65">
        <f t="shared" ref="B66:G66" si="19">((B51/B26)^(1/25)-1)*100</f>
        <v>1.4065044787272329</v>
      </c>
      <c r="C66" s="65">
        <f t="shared" si="19"/>
        <v>-7.1568340887806503E-2</v>
      </c>
      <c r="D66" s="65">
        <f t="shared" si="19"/>
        <v>-1.0799722145224289</v>
      </c>
      <c r="E66" s="65">
        <f t="shared" si="19"/>
        <v>-1.6157389024603286</v>
      </c>
      <c r="F66" s="65">
        <f t="shared" si="19"/>
        <v>-0.38707929886467873</v>
      </c>
      <c r="G66" s="65">
        <f t="shared" si="19"/>
        <v>-1.5205765846207919</v>
      </c>
      <c r="H66" s="57" t="s">
        <v>22</v>
      </c>
      <c r="I66" s="57" t="s">
        <v>22</v>
      </c>
    </row>
    <row r="67" spans="1:9">
      <c r="A67" s="64" t="s">
        <v>25</v>
      </c>
      <c r="B67" s="65">
        <f t="shared" ref="B67:G67" si="20">((B34/B26)^(1/8)-1)*100</f>
        <v>1.890182604134294</v>
      </c>
      <c r="C67" s="65">
        <f t="shared" si="20"/>
        <v>0.75665499031305483</v>
      </c>
      <c r="D67" s="65">
        <f t="shared" si="20"/>
        <v>-0.68019390401142799</v>
      </c>
      <c r="E67" s="65">
        <f t="shared" si="20"/>
        <v>-0.84146571414012161</v>
      </c>
      <c r="F67" s="65">
        <f t="shared" si="20"/>
        <v>-0.11428056168295564</v>
      </c>
      <c r="G67" s="65">
        <f t="shared" si="20"/>
        <v>-1.1381253686489234</v>
      </c>
      <c r="H67" s="57" t="s">
        <v>22</v>
      </c>
      <c r="I67" s="57" t="s">
        <v>22</v>
      </c>
    </row>
    <row r="68" spans="1:9">
      <c r="A68" s="64" t="s">
        <v>1363</v>
      </c>
      <c r="B68" s="65">
        <f t="shared" ref="B68:G68" si="21">((B52/B34)^(1/18)-1)*100</f>
        <v>1.2362701854801594</v>
      </c>
      <c r="C68" s="65">
        <f t="shared" si="21"/>
        <v>-0.58711010561035559</v>
      </c>
      <c r="D68" s="65">
        <f t="shared" si="21"/>
        <v>-1.6093681619346989</v>
      </c>
      <c r="E68" s="65">
        <f t="shared" si="21"/>
        <v>-2.1309042981708992</v>
      </c>
      <c r="F68" s="65">
        <f t="shared" si="21"/>
        <v>-1.1944064425346679</v>
      </c>
      <c r="G68" s="65">
        <f t="shared" si="21"/>
        <v>-1.7532705856232567</v>
      </c>
      <c r="H68" s="57" t="s">
        <v>22</v>
      </c>
      <c r="I68" s="57" t="s">
        <v>22</v>
      </c>
    </row>
    <row r="69" spans="1:9">
      <c r="A69" s="64" t="s">
        <v>26</v>
      </c>
      <c r="B69" s="65">
        <f t="shared" ref="B69:G69" si="22">((B45/B34)^(1/11)-1)*100</f>
        <v>1.0746311199886449</v>
      </c>
      <c r="C69" s="65">
        <f t="shared" si="22"/>
        <v>6.1066806640353022E-2</v>
      </c>
      <c r="D69" s="65">
        <f t="shared" si="22"/>
        <v>-0.26841898680971532</v>
      </c>
      <c r="E69" s="65">
        <f t="shared" si="22"/>
        <v>-1.0176110873097222</v>
      </c>
      <c r="F69" s="65">
        <f t="shared" si="22"/>
        <v>1.3168696510470701</v>
      </c>
      <c r="G69" s="65">
        <f t="shared" si="22"/>
        <v>-1.6924066731106469</v>
      </c>
      <c r="H69" s="57" t="s">
        <v>22</v>
      </c>
      <c r="I69" s="57" t="s">
        <v>22</v>
      </c>
    </row>
    <row r="70" spans="1:9">
      <c r="A70" s="64" t="s">
        <v>27</v>
      </c>
      <c r="B70" s="65">
        <f>((B51/B42)^(1/9)-1)*100</f>
        <v>1.6701680233325744</v>
      </c>
      <c r="C70" s="65">
        <f>((C51/C42)^(1/9)-1)*100</f>
        <v>-0.12398177316033099</v>
      </c>
      <c r="D70" s="65">
        <f t="shared" ref="D70:I70" si="23">((D51/D42)^(1/9)-1)*100</f>
        <v>-1.9951422870781665</v>
      </c>
      <c r="E70" s="65">
        <f t="shared" si="23"/>
        <v>-2.8304075405033546</v>
      </c>
      <c r="F70" s="65">
        <f t="shared" si="23"/>
        <v>-1.946069649826998</v>
      </c>
      <c r="G70" s="65">
        <f t="shared" si="23"/>
        <v>-1.5496323840748505</v>
      </c>
      <c r="H70" s="65">
        <f t="shared" si="23"/>
        <v>-2.9227293745879734</v>
      </c>
      <c r="I70" s="65">
        <f t="shared" si="23"/>
        <v>0.9955862994699638</v>
      </c>
    </row>
    <row r="71" spans="1:9">
      <c r="A71" s="64" t="s">
        <v>1782</v>
      </c>
      <c r="B71" s="65">
        <f>((B56/B45)^(1/12)-1)*100</f>
        <v>0.96002554028351561</v>
      </c>
      <c r="C71" s="65">
        <f t="shared" ref="C71:I71" si="24">((C56/C45)^(1/12)-1)*100</f>
        <v>-2.0972751877986417</v>
      </c>
      <c r="D71" s="65">
        <f t="shared" si="24"/>
        <v>-4.3538749018676164</v>
      </c>
      <c r="E71" s="65">
        <f t="shared" si="24"/>
        <v>-4.1571515016609943</v>
      </c>
      <c r="F71" s="65">
        <f t="shared" si="24"/>
        <v>-5.2189232149513431</v>
      </c>
      <c r="G71" s="65">
        <f t="shared" si="24"/>
        <v>-3.3660163054529457</v>
      </c>
      <c r="H71" s="65">
        <f t="shared" si="24"/>
        <v>-4.5306093302809209</v>
      </c>
      <c r="I71" s="65">
        <f t="shared" si="24"/>
        <v>-1.5473175273091999</v>
      </c>
    </row>
    <row r="72" spans="1:9">
      <c r="B72" s="65"/>
      <c r="C72" s="65"/>
      <c r="D72" s="65"/>
      <c r="E72" s="65"/>
      <c r="F72" s="65"/>
      <c r="G72" s="65"/>
      <c r="H72" s="65"/>
      <c r="I72" s="65"/>
    </row>
    <row r="73" spans="1:9">
      <c r="A73" s="64" t="s">
        <v>802</v>
      </c>
      <c r="B73" s="65">
        <f t="shared" ref="B73:G73" si="25">((B51/B31)^(1/20)-1)*100</f>
        <v>1.4846775305269455</v>
      </c>
      <c r="C73" s="65">
        <f t="shared" si="25"/>
        <v>3.1983024544190997E-2</v>
      </c>
      <c r="D73" s="65">
        <f t="shared" si="25"/>
        <v>-0.79158928790150629</v>
      </c>
      <c r="E73" s="65">
        <f t="shared" si="25"/>
        <v>-1.4290801230598893</v>
      </c>
      <c r="F73" s="65">
        <f t="shared" si="25"/>
        <v>-1.1960151286738441E-2</v>
      </c>
      <c r="G73" s="65">
        <f t="shared" si="25"/>
        <v>-1.2786180448097317</v>
      </c>
      <c r="H73" s="57" t="s">
        <v>22</v>
      </c>
      <c r="I73" s="57" t="s">
        <v>22</v>
      </c>
    </row>
    <row r="74" spans="1:9">
      <c r="A74" s="64" t="s">
        <v>662</v>
      </c>
      <c r="B74" s="65">
        <f>((B49/B45)^(1/4)-1)*100</f>
        <v>1.5007752288142662</v>
      </c>
      <c r="C74" s="65">
        <f>((C49/C45)^(1/4)-1)*100</f>
        <v>-0.62616599955136465</v>
      </c>
      <c r="D74" s="65">
        <f t="shared" ref="D74:I74" si="26">((D49/D45)^(1/4)-1)*100</f>
        <v>-2.3915675358133104</v>
      </c>
      <c r="E74" s="65">
        <f t="shared" si="26"/>
        <v>-3.1228292608507346</v>
      </c>
      <c r="F74" s="65">
        <f t="shared" si="26"/>
        <v>-3.3025320939448655</v>
      </c>
      <c r="G74" s="65">
        <f t="shared" si="26"/>
        <v>-0.68918490379051844</v>
      </c>
      <c r="H74" s="65">
        <f t="shared" si="26"/>
        <v>-1.9465698865232972</v>
      </c>
      <c r="I74" s="65">
        <f t="shared" si="26"/>
        <v>1.5205901980894554</v>
      </c>
    </row>
    <row r="76" spans="1:9" ht="30.75" customHeight="1">
      <c r="A76" s="104" t="s">
        <v>1613</v>
      </c>
      <c r="B76" s="104"/>
      <c r="C76" s="104"/>
      <c r="D76" s="104"/>
      <c r="E76" s="104"/>
      <c r="F76" s="104"/>
      <c r="G76" s="104"/>
      <c r="H76" s="104"/>
      <c r="I76" s="104"/>
    </row>
    <row r="77" spans="1:9">
      <c r="A77" s="104" t="s">
        <v>62</v>
      </c>
      <c r="B77" s="104"/>
      <c r="C77" s="104"/>
      <c r="D77" s="104"/>
      <c r="E77" s="104"/>
      <c r="F77" s="104"/>
      <c r="G77" s="104"/>
      <c r="H77" s="104"/>
      <c r="I77" s="104"/>
    </row>
    <row r="78" spans="1:9" ht="30.75" customHeight="1">
      <c r="A78" s="131" t="s">
        <v>520</v>
      </c>
      <c r="B78" s="131"/>
      <c r="C78" s="131"/>
      <c r="D78" s="131"/>
      <c r="E78" s="131"/>
      <c r="F78" s="131"/>
      <c r="G78" s="131"/>
      <c r="H78" s="131"/>
      <c r="I78" s="131"/>
    </row>
    <row r="79" spans="1:9" ht="44.25" customHeight="1">
      <c r="A79" s="131" t="s">
        <v>521</v>
      </c>
      <c r="B79" s="131"/>
      <c r="C79" s="131"/>
      <c r="D79" s="131"/>
      <c r="E79" s="131"/>
      <c r="F79" s="131"/>
      <c r="G79" s="131"/>
      <c r="H79" s="131"/>
      <c r="I79" s="131"/>
    </row>
    <row r="80" spans="1:9" ht="30.75" customHeight="1">
      <c r="A80" s="104" t="s">
        <v>1603</v>
      </c>
      <c r="B80" s="104"/>
      <c r="C80" s="104"/>
      <c r="D80" s="104"/>
      <c r="E80" s="104"/>
      <c r="F80" s="104"/>
      <c r="G80" s="104"/>
      <c r="H80" s="104"/>
      <c r="I80" s="104"/>
    </row>
  </sheetData>
  <mergeCells count="14">
    <mergeCell ref="A1:I1"/>
    <mergeCell ref="A2:A4"/>
    <mergeCell ref="G3:I3"/>
    <mergeCell ref="F3:F4"/>
    <mergeCell ref="E3:E4"/>
    <mergeCell ref="B2:B4"/>
    <mergeCell ref="D3:D4"/>
    <mergeCell ref="D2:I2"/>
    <mergeCell ref="C2:C4"/>
    <mergeCell ref="A80:I80"/>
    <mergeCell ref="A76:I76"/>
    <mergeCell ref="A77:I77"/>
    <mergeCell ref="A78:I78"/>
    <mergeCell ref="A79:I79"/>
  </mergeCells>
  <pageMargins left="0.70866141732283472" right="0.70866141732283472" top="0.74803149606299213" bottom="0.74803149606299213" header="0.31496062992125984" footer="0.31496062992125984"/>
  <pageSetup scale="57" orientation="portrait" horizontalDpi="0" verticalDpi="0" r:id="rId1"/>
  <ignoredErrors>
    <ignoredError sqref="D42 D43:D56" formulaRange="1"/>
  </ignoredErrors>
</worksheet>
</file>

<file path=xl/worksheets/sheet26.xml><?xml version="1.0" encoding="utf-8"?>
<worksheet xmlns="http://schemas.openxmlformats.org/spreadsheetml/2006/main" xmlns:r="http://schemas.openxmlformats.org/officeDocument/2006/relationships">
  <sheetPr codeName="Sheet26"/>
  <dimension ref="A1:H66"/>
  <sheetViews>
    <sheetView view="pageBreakPreview" zoomScale="85" zoomScaleNormal="100" zoomScaleSheetLayoutView="85"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3.5703125" style="64" customWidth="1"/>
    <col min="2" max="2" width="15.5703125" style="64" customWidth="1"/>
    <col min="3" max="4" width="17" style="64" customWidth="1"/>
    <col min="5" max="6" width="20.85546875" style="64" customWidth="1"/>
    <col min="7" max="7" width="17" style="64" customWidth="1"/>
    <col min="8" max="8" width="22" style="64" customWidth="1"/>
    <col min="9" max="10" width="10.5703125" style="64" bestFit="1" customWidth="1"/>
    <col min="11" max="16384" width="9.140625" style="64"/>
  </cols>
  <sheetData>
    <row r="1" spans="1:8" ht="30" customHeight="1">
      <c r="A1" s="140" t="s">
        <v>1809</v>
      </c>
      <c r="B1" s="140"/>
      <c r="C1" s="140"/>
      <c r="D1" s="140"/>
      <c r="E1" s="140"/>
      <c r="F1" s="140"/>
      <c r="G1" s="140"/>
      <c r="H1" s="140"/>
    </row>
    <row r="2" spans="1:8">
      <c r="A2" s="96"/>
      <c r="B2" s="94" t="s">
        <v>51</v>
      </c>
      <c r="C2" s="94" t="s">
        <v>37</v>
      </c>
      <c r="D2" s="94"/>
      <c r="E2" s="94"/>
      <c r="F2" s="94"/>
      <c r="G2" s="94"/>
      <c r="H2" s="94"/>
    </row>
    <row r="3" spans="1:8">
      <c r="A3" s="96"/>
      <c r="B3" s="94"/>
      <c r="C3" s="94" t="s">
        <v>58</v>
      </c>
      <c r="D3" s="94" t="s">
        <v>0</v>
      </c>
      <c r="E3" s="94" t="s">
        <v>1</v>
      </c>
      <c r="F3" s="94" t="s">
        <v>2</v>
      </c>
      <c r="G3" s="94"/>
      <c r="H3" s="94"/>
    </row>
    <row r="4" spans="1:8" ht="45">
      <c r="A4" s="96"/>
      <c r="B4" s="94"/>
      <c r="C4" s="94"/>
      <c r="D4" s="94"/>
      <c r="E4" s="94"/>
      <c r="F4" s="72" t="s">
        <v>517</v>
      </c>
      <c r="G4" s="72" t="s">
        <v>13</v>
      </c>
      <c r="H4" s="72" t="s">
        <v>19</v>
      </c>
    </row>
    <row r="5" spans="1:8" hidden="1" outlineLevel="1"/>
    <row r="6" spans="1:8" collapsed="1">
      <c r="A6" s="66">
        <v>1961</v>
      </c>
      <c r="B6" s="58">
        <f>'4'!B6/'4'!B$52*100</f>
        <v>44.542870578115938</v>
      </c>
      <c r="C6" s="58">
        <f>'4'!D6/'4'!D$52*100</f>
        <v>128.48903240422678</v>
      </c>
      <c r="D6" s="58">
        <f>'4'!E6/'4'!E$52*100</f>
        <v>201.96348307273772</v>
      </c>
      <c r="E6" s="58">
        <f>'4'!F6/'4'!F$52*100</f>
        <v>100.70650249816569</v>
      </c>
      <c r="F6" s="58">
        <f>'4'!G6/'4'!G$52*100</f>
        <v>118.98882832162786</v>
      </c>
      <c r="G6" s="58" t="s">
        <v>22</v>
      </c>
      <c r="H6" s="58" t="s">
        <v>22</v>
      </c>
    </row>
    <row r="7" spans="1:8" hidden="1" outlineLevel="1">
      <c r="A7" s="66">
        <v>1962</v>
      </c>
      <c r="B7" s="58">
        <f>'4'!B7/'4'!B$52*100</f>
        <v>45.924023668948301</v>
      </c>
      <c r="C7" s="58">
        <f>'4'!D7/'4'!D$52*100</f>
        <v>133.20815480723377</v>
      </c>
      <c r="D7" s="58">
        <f>'4'!E7/'4'!E$52*100</f>
        <v>211.97246824955153</v>
      </c>
      <c r="E7" s="58">
        <f>'4'!F7/'4'!F$52*100</f>
        <v>103.92164315464679</v>
      </c>
      <c r="F7" s="58">
        <f>'4'!G7/'4'!G$52*100</f>
        <v>122.46137050702876</v>
      </c>
      <c r="G7" s="58" t="s">
        <v>22</v>
      </c>
      <c r="H7" s="58" t="s">
        <v>22</v>
      </c>
    </row>
    <row r="8" spans="1:8" hidden="1" outlineLevel="1">
      <c r="A8" s="66">
        <v>1963</v>
      </c>
      <c r="B8" s="58">
        <f>'4'!B8/'4'!B$52*100</f>
        <v>46.670618887349775</v>
      </c>
      <c r="C8" s="58">
        <f>'4'!D8/'4'!D$52*100</f>
        <v>131.92920844693029</v>
      </c>
      <c r="D8" s="58">
        <f>'4'!E8/'4'!E$52*100</f>
        <v>196.61214446335214</v>
      </c>
      <c r="E8" s="58">
        <f>'4'!F8/'4'!F$52*100</f>
        <v>107.96649752892944</v>
      </c>
      <c r="F8" s="58">
        <f>'4'!G8/'4'!G$52*100</f>
        <v>123.00395522349766</v>
      </c>
      <c r="G8" s="58" t="s">
        <v>22</v>
      </c>
      <c r="H8" s="58" t="s">
        <v>22</v>
      </c>
    </row>
    <row r="9" spans="1:8" hidden="1" outlineLevel="1">
      <c r="A9" s="66">
        <v>1964</v>
      </c>
      <c r="B9" s="58">
        <f>'4'!B9/'4'!B$52*100</f>
        <v>48.158582450026636</v>
      </c>
      <c r="C9" s="58">
        <f>'4'!D9/'4'!D$52*100</f>
        <v>138.11055873213982</v>
      </c>
      <c r="D9" s="58">
        <f>'4'!E9/'4'!E$52*100</f>
        <v>206.81932736643947</v>
      </c>
      <c r="E9" s="58">
        <f>'4'!F9/'4'!F$52*100</f>
        <v>111.49278082958611</v>
      </c>
      <c r="F9" s="58">
        <f>'4'!G9/'4'!G$52*100</f>
        <v>129.94903959429948</v>
      </c>
      <c r="G9" s="58" t="s">
        <v>22</v>
      </c>
      <c r="H9" s="58" t="s">
        <v>22</v>
      </c>
    </row>
    <row r="10" spans="1:8" hidden="1" outlineLevel="1">
      <c r="A10" s="66">
        <v>1965</v>
      </c>
      <c r="B10" s="58">
        <f>'4'!B10/'4'!B$52*100</f>
        <v>49.548036457814007</v>
      </c>
      <c r="C10" s="58">
        <f>'4'!D10/'4'!D$52*100</f>
        <v>140.08958786123941</v>
      </c>
      <c r="D10" s="58">
        <f>'4'!E10/'4'!E$52*100</f>
        <v>208.99950235544841</v>
      </c>
      <c r="E10" s="58">
        <f>'4'!F10/'4'!F$52*100</f>
        <v>113.20406537255185</v>
      </c>
      <c r="F10" s="58">
        <f>'4'!G10/'4'!G$52*100</f>
        <v>132.11937846017503</v>
      </c>
      <c r="G10" s="58" t="s">
        <v>22</v>
      </c>
      <c r="H10" s="58" t="s">
        <v>22</v>
      </c>
    </row>
    <row r="11" spans="1:8" hidden="1" outlineLevel="1">
      <c r="A11" s="66">
        <v>1966</v>
      </c>
      <c r="B11" s="58">
        <f>'4'!B11/'4'!B$52*100</f>
        <v>51.820718710327853</v>
      </c>
      <c r="C11" s="58">
        <f>'4'!D11/'4'!D$52*100</f>
        <v>143.45159788583081</v>
      </c>
      <c r="D11" s="58">
        <f>'4'!E11/'4'!E$52*100</f>
        <v>210.48598530249998</v>
      </c>
      <c r="E11" s="58">
        <f>'4'!F11/'4'!F$52*100</f>
        <v>112.89292272837625</v>
      </c>
      <c r="F11" s="58">
        <f>'4'!G11/'4'!G$52*100</f>
        <v>140.69221698038353</v>
      </c>
      <c r="G11" s="58" t="s">
        <v>22</v>
      </c>
      <c r="H11" s="58" t="s">
        <v>22</v>
      </c>
    </row>
    <row r="12" spans="1:8" hidden="1" outlineLevel="1">
      <c r="A12" s="66">
        <v>1967</v>
      </c>
      <c r="B12" s="58">
        <f>'4'!B12/'4'!B$52*100</f>
        <v>53.124650243190331</v>
      </c>
      <c r="C12" s="58">
        <f>'4'!D12/'4'!D$52*100</f>
        <v>141.15749684953974</v>
      </c>
      <c r="D12" s="58">
        <f>'4'!E12/'4'!E$52*100</f>
        <v>196.81034218962569</v>
      </c>
      <c r="E12" s="58">
        <f>'4'!F12/'4'!F$52*100</f>
        <v>112.16692322529988</v>
      </c>
      <c r="F12" s="58">
        <f>'4'!G12/'4'!G$52*100</f>
        <v>142.97107278955286</v>
      </c>
      <c r="G12" s="58" t="s">
        <v>22</v>
      </c>
      <c r="H12" s="58" t="s">
        <v>22</v>
      </c>
    </row>
    <row r="13" spans="1:8" hidden="1" outlineLevel="1">
      <c r="A13" s="66">
        <v>1968</v>
      </c>
      <c r="B13" s="58">
        <f>'4'!B13/'4'!B$52*100</f>
        <v>53.080889357706951</v>
      </c>
      <c r="C13" s="58">
        <f>'4'!D13/'4'!D$52*100</f>
        <v>138.39659360686994</v>
      </c>
      <c r="D13" s="58">
        <f>'4'!E13/'4'!E$52*100</f>
        <v>182.73830362420432</v>
      </c>
      <c r="E13" s="58">
        <f>'4'!F13/'4'!F$52*100</f>
        <v>112.01135190321207</v>
      </c>
      <c r="F13" s="58">
        <f>'4'!G13/'4'!G$52*100</f>
        <v>143.56791597766863</v>
      </c>
      <c r="G13" s="58" t="s">
        <v>22</v>
      </c>
      <c r="H13" s="58" t="s">
        <v>22</v>
      </c>
    </row>
    <row r="14" spans="1:8" hidden="1" outlineLevel="1">
      <c r="A14" s="66">
        <v>1969</v>
      </c>
      <c r="B14" s="58">
        <f>'4'!B14/'4'!B$52*100</f>
        <v>54.174898143899384</v>
      </c>
      <c r="C14" s="58">
        <f>'4'!D14/'4'!D$52*100</f>
        <v>141.55082617856877</v>
      </c>
      <c r="D14" s="58">
        <f>'4'!E14/'4'!E$52*100</f>
        <v>184.32388543439265</v>
      </c>
      <c r="E14" s="58">
        <f>'4'!F14/'4'!F$52*100</f>
        <v>113.35963669463965</v>
      </c>
      <c r="F14" s="58">
        <f>'4'!G14/'4'!G$52*100</f>
        <v>149.64486480212025</v>
      </c>
      <c r="G14" s="58" t="s">
        <v>22</v>
      </c>
      <c r="H14" s="58" t="s">
        <v>22</v>
      </c>
    </row>
    <row r="15" spans="1:8" hidden="1" outlineLevel="1">
      <c r="A15" s="66">
        <v>1970</v>
      </c>
      <c r="B15" s="58">
        <f>'4'!B15/'4'!B$52*100</f>
        <v>54.086965833010872</v>
      </c>
      <c r="C15" s="58">
        <f>'4'!D15/'4'!D$52*100</f>
        <v>139.32754342694895</v>
      </c>
      <c r="D15" s="58">
        <f>'4'!E15/'4'!E$52*100</f>
        <v>183.33289680302494</v>
      </c>
      <c r="E15" s="58">
        <f>'4'!F15/'4'!F$52*100</f>
        <v>108.32949728046761</v>
      </c>
      <c r="F15" s="58">
        <f>'4'!G15/'4'!G$52*100</f>
        <v>149.91615716035466</v>
      </c>
      <c r="G15" s="58" t="s">
        <v>22</v>
      </c>
      <c r="H15" s="58" t="s">
        <v>22</v>
      </c>
    </row>
    <row r="16" spans="1:8" hidden="1" outlineLevel="1">
      <c r="A16" s="66">
        <v>1971</v>
      </c>
      <c r="B16" s="58">
        <f>'4'!B16/'4'!B$52*100</f>
        <v>54.751105943870492</v>
      </c>
      <c r="C16" s="58">
        <f>'4'!D16/'4'!D$52*100</f>
        <v>137.41508757611462</v>
      </c>
      <c r="D16" s="58">
        <f>'4'!E16/'4'!E$52*100</f>
        <v>164.40501394390182</v>
      </c>
      <c r="E16" s="58">
        <f>'4'!F16/'4'!F$52*100</f>
        <v>115.01906413024278</v>
      </c>
      <c r="F16" s="58">
        <f>'4'!G16/'4'!G$52*100</f>
        <v>147.74581829447911</v>
      </c>
      <c r="G16" s="58" t="s">
        <v>22</v>
      </c>
      <c r="H16" s="58" t="s">
        <v>22</v>
      </c>
    </row>
    <row r="17" spans="1:8" hidden="1" outlineLevel="1">
      <c r="A17" s="66">
        <v>1972</v>
      </c>
      <c r="B17" s="58">
        <f>'4'!B17/'4'!B$52*100</f>
        <v>55.917696853144406</v>
      </c>
      <c r="C17" s="58">
        <f>'4'!D17/'4'!D$52*100</f>
        <v>141.93604358733734</v>
      </c>
      <c r="D17" s="58">
        <f>'4'!E17/'4'!E$52*100</f>
        <v>158.26088442942208</v>
      </c>
      <c r="E17" s="58">
        <f>'4'!F17/'4'!F$52*100</f>
        <v>127.10177014572817</v>
      </c>
      <c r="F17" s="58">
        <f>'4'!G17/'4'!G$52*100</f>
        <v>149.6448648021202</v>
      </c>
      <c r="G17" s="58" t="s">
        <v>22</v>
      </c>
      <c r="H17" s="58" t="s">
        <v>22</v>
      </c>
    </row>
    <row r="18" spans="1:8" collapsed="1">
      <c r="A18" s="66">
        <v>1973</v>
      </c>
      <c r="B18" s="58">
        <f>'4'!B18/'4'!B$52*100</f>
        <v>58.29782708258454</v>
      </c>
      <c r="C18" s="58">
        <f>'4'!D18/'4'!D$52*100</f>
        <v>151.90631868683829</v>
      </c>
      <c r="D18" s="58">
        <f>'4'!E18/'4'!E$52*100</f>
        <v>184.12568770811913</v>
      </c>
      <c r="E18" s="58">
        <f>'4'!F18/'4'!F$52*100</f>
        <v>137.4213345108852</v>
      </c>
      <c r="F18" s="58">
        <f>'4'!G18/'4'!G$52*100</f>
        <v>150.35022493352977</v>
      </c>
      <c r="G18" s="58" t="s">
        <v>22</v>
      </c>
      <c r="H18" s="58" t="s">
        <v>22</v>
      </c>
    </row>
    <row r="19" spans="1:8" hidden="1" outlineLevel="1">
      <c r="A19" s="66">
        <v>1974</v>
      </c>
      <c r="B19" s="58">
        <f>'4'!B19/'4'!B$52*100</f>
        <v>60.299930149416127</v>
      </c>
      <c r="C19" s="58">
        <f>'4'!D19/'4'!D$52*100</f>
        <v>153.35192529942972</v>
      </c>
      <c r="D19" s="58">
        <f>'4'!E19/'4'!E$52*100</f>
        <v>194.03557402179615</v>
      </c>
      <c r="E19" s="58">
        <f>'4'!F19/'4'!F$52*100</f>
        <v>129.85019683594587</v>
      </c>
      <c r="F19" s="58">
        <f>'4'!G19/'4'!G$52*100</f>
        <v>157.2953093043316</v>
      </c>
      <c r="G19" s="58" t="s">
        <v>22</v>
      </c>
      <c r="H19" s="58" t="s">
        <v>22</v>
      </c>
    </row>
    <row r="20" spans="1:8" hidden="1" outlineLevel="1">
      <c r="A20" s="66">
        <v>1975</v>
      </c>
      <c r="B20" s="58">
        <f>'4'!B20/'4'!B$52*100</f>
        <v>60.587852143501387</v>
      </c>
      <c r="C20" s="58">
        <f>'4'!D20/'4'!D$52*100</f>
        <v>134.69785361184739</v>
      </c>
      <c r="D20" s="58">
        <f>'4'!E20/'4'!E$52*100</f>
        <v>165.39600257526956</v>
      </c>
      <c r="E20" s="58">
        <f>'4'!F20/'4'!F$52*100</f>
        <v>117.50820528364751</v>
      </c>
      <c r="F20" s="58">
        <f>'4'!G20/'4'!G$52*100</f>
        <v>137.05689938004193</v>
      </c>
      <c r="G20" s="58" t="s">
        <v>22</v>
      </c>
      <c r="H20" s="58" t="s">
        <v>22</v>
      </c>
    </row>
    <row r="21" spans="1:8" hidden="1" outlineLevel="1">
      <c r="A21" s="66">
        <v>1976</v>
      </c>
      <c r="B21" s="58">
        <f>'4'!B21/'4'!B$52*100</f>
        <v>61.128349645723532</v>
      </c>
      <c r="C21" s="58">
        <f>'4'!D21/'4'!D$52*100</f>
        <v>141.06461469579043</v>
      </c>
      <c r="D21" s="58">
        <f>'4'!E21/'4'!E$52*100</f>
        <v>151.42306287298496</v>
      </c>
      <c r="E21" s="58">
        <f>'4'!F21/'4'!F$52*100</f>
        <v>128.39819782979311</v>
      </c>
      <c r="F21" s="58">
        <f>'4'!G21/'4'!G$52*100</f>
        <v>149.6448648021202</v>
      </c>
      <c r="G21" s="58" t="s">
        <v>22</v>
      </c>
      <c r="H21" s="58" t="s">
        <v>22</v>
      </c>
    </row>
    <row r="22" spans="1:8" hidden="1" outlineLevel="1">
      <c r="A22" s="66">
        <v>1977</v>
      </c>
      <c r="B22" s="58">
        <f>'4'!B22/'4'!B$52*100</f>
        <v>61.57650570505173</v>
      </c>
      <c r="C22" s="58">
        <f>'4'!D22/'4'!D$52*100</f>
        <v>141.09408586591036</v>
      </c>
      <c r="D22" s="58">
        <f>'4'!E22/'4'!E$52*100</f>
        <v>154.59422649336159</v>
      </c>
      <c r="E22" s="58">
        <f>'4'!F22/'4'!F$52*100</f>
        <v>132.65048063352617</v>
      </c>
      <c r="F22" s="58">
        <f>'4'!G22/'4'!G$52*100</f>
        <v>143.13384820449352</v>
      </c>
      <c r="G22" s="58" t="s">
        <v>22</v>
      </c>
      <c r="H22" s="58" t="s">
        <v>22</v>
      </c>
    </row>
    <row r="23" spans="1:8" hidden="1" outlineLevel="1">
      <c r="A23" s="66">
        <v>1978</v>
      </c>
      <c r="B23" s="58">
        <f>'4'!B23/'4'!B$52*100</f>
        <v>63.436395072800458</v>
      </c>
      <c r="C23" s="58">
        <f>'4'!D23/'4'!D$52*100</f>
        <v>149.96936401946738</v>
      </c>
      <c r="D23" s="58">
        <f>'4'!E23/'4'!E$52*100</f>
        <v>174.51309798385239</v>
      </c>
      <c r="E23" s="58">
        <f>'4'!F23/'4'!F$52*100</f>
        <v>140.99947491890447</v>
      </c>
      <c r="F23" s="58">
        <f>'4'!G23/'4'!G$52*100</f>
        <v>146.44361497495376</v>
      </c>
      <c r="G23" s="58" t="s">
        <v>22</v>
      </c>
      <c r="H23" s="58" t="s">
        <v>22</v>
      </c>
    </row>
    <row r="24" spans="1:8" hidden="1" outlineLevel="1">
      <c r="A24" s="66">
        <v>1979</v>
      </c>
      <c r="B24" s="58">
        <f>'4'!B24/'4'!B$52*100</f>
        <v>65.988234458955702</v>
      </c>
      <c r="C24" s="58">
        <f>'4'!D24/'4'!D$52*100</f>
        <v>155.74830468310822</v>
      </c>
      <c r="D24" s="58">
        <f>'4'!E24/'4'!E$52*100</f>
        <v>188.78333427554733</v>
      </c>
      <c r="E24" s="58">
        <f>'4'!F24/'4'!F$52*100</f>
        <v>145.30361483000013</v>
      </c>
      <c r="F24" s="58">
        <f>'4'!G24/'4'!G$52*100</f>
        <v>149.15653855729818</v>
      </c>
      <c r="G24" s="58" t="s">
        <v>22</v>
      </c>
      <c r="H24" s="58" t="s">
        <v>22</v>
      </c>
    </row>
    <row r="25" spans="1:8" hidden="1" outlineLevel="1">
      <c r="A25" s="66">
        <v>1980</v>
      </c>
      <c r="B25" s="58">
        <f>'4'!B25/'4'!B$52*100</f>
        <v>67.00180078453991</v>
      </c>
      <c r="C25" s="58">
        <f>'4'!D25/'4'!D$52*100</f>
        <v>149.78515626651975</v>
      </c>
      <c r="D25" s="58">
        <f>'4'!E25/'4'!E$52*100</f>
        <v>177.78336046736584</v>
      </c>
      <c r="E25" s="58">
        <f>'4'!F25/'4'!F$52*100</f>
        <v>136.17676393418284</v>
      </c>
      <c r="F25" s="58">
        <f>'4'!G25/'4'!G$52*100</f>
        <v>149.59060633047329</v>
      </c>
      <c r="G25" s="58" t="s">
        <v>22</v>
      </c>
      <c r="H25" s="58" t="s">
        <v>22</v>
      </c>
    </row>
    <row r="26" spans="1:8" collapsed="1">
      <c r="A26" s="66">
        <v>1981</v>
      </c>
      <c r="B26" s="58">
        <f>'4'!B26/'4'!B$52*100</f>
        <v>69.006630771014542</v>
      </c>
      <c r="C26" s="58">
        <f>IFERROR('4'!D26/'4'!D$52*100,"..")</f>
        <v>141.43132333282185</v>
      </c>
      <c r="D26" s="58">
        <f>IFERROR('4'!E26/'4'!E$52*100,"..")</f>
        <v>157.66629125060149</v>
      </c>
      <c r="E26" s="58">
        <f>IFERROR('4'!F26/'4'!F$52*100,"..")</f>
        <v>125.28677138803724</v>
      </c>
      <c r="F26" s="58">
        <f>IFERROR('4'!G26/'4'!G$52*100,"..")</f>
        <v>150.67577576341108</v>
      </c>
      <c r="G26" s="58" t="str">
        <f>IFERROR('4'!H26/'4'!H$52*100,"..")</f>
        <v>..</v>
      </c>
      <c r="H26" s="58" t="str">
        <f>IFERROR('4'!I26/'4'!I$52*100,"..")</f>
        <v>..</v>
      </c>
    </row>
    <row r="27" spans="1:8">
      <c r="A27" s="66">
        <v>1982</v>
      </c>
      <c r="B27" s="58">
        <f>'4'!B27/'4'!B$52*100</f>
        <v>66.204639063577758</v>
      </c>
      <c r="C27" s="58">
        <f>IFERROR('4'!D27/'4'!D$52*100,"..")</f>
        <v>122.2341102873056</v>
      </c>
      <c r="D27" s="58">
        <f>IFERROR('4'!E27/'4'!E$52*100,"..")</f>
        <v>135.96364022364881</v>
      </c>
      <c r="E27" s="58">
        <f>IFERROR('4'!F27/'4'!F$52*100,"..")</f>
        <v>104.69949976508575</v>
      </c>
      <c r="F27" s="58">
        <f>IFERROR('4'!G27/'4'!G$52*100,"..")</f>
        <v>134.45249274099126</v>
      </c>
      <c r="G27" s="58" t="str">
        <f>IFERROR('4'!H27/'4'!H$52*100,"..")</f>
        <v>..</v>
      </c>
      <c r="H27" s="58" t="str">
        <f>IFERROR('4'!I27/'4'!I$52*100,"..")</f>
        <v>..</v>
      </c>
    </row>
    <row r="28" spans="1:8">
      <c r="A28" s="66">
        <v>1983</v>
      </c>
      <c r="B28" s="58">
        <f>'4'!B28/'4'!B$52*100</f>
        <v>66.605970207762468</v>
      </c>
      <c r="C28" s="58">
        <f>IFERROR('4'!D28/'4'!D$52*100,"..")</f>
        <v>123.46035744350921</v>
      </c>
      <c r="D28" s="58">
        <f>IFERROR('4'!E28/'4'!E$52*100,"..")</f>
        <v>142.80146178008593</v>
      </c>
      <c r="E28" s="58">
        <f>IFERROR('4'!F28/'4'!F$52*100,"..")</f>
        <v>108.12206885101723</v>
      </c>
      <c r="F28" s="58">
        <f>IFERROR('4'!G28/'4'!G$52*100,"..")</f>
        <v>130.05755653759323</v>
      </c>
      <c r="G28" s="58" t="str">
        <f>IFERROR('4'!H28/'4'!H$52*100,"..")</f>
        <v>..</v>
      </c>
      <c r="H28" s="58" t="str">
        <f>IFERROR('4'!I28/'4'!I$52*100,"..")</f>
        <v>..</v>
      </c>
    </row>
    <row r="29" spans="1:8">
      <c r="A29" s="66">
        <v>1984</v>
      </c>
      <c r="B29" s="58">
        <f>'4'!B29/'4'!B$52*100</f>
        <v>68.326219260816075</v>
      </c>
      <c r="C29" s="58">
        <f>IFERROR('4'!D29/'4'!D$52*100,"..")</f>
        <v>123.82272639187319</v>
      </c>
      <c r="D29" s="58">
        <f>IFERROR('4'!E29/'4'!E$52*100,"..")</f>
        <v>146.17082312673614</v>
      </c>
      <c r="E29" s="58">
        <f>IFERROR('4'!F29/'4'!F$52*100,"..")</f>
        <v>106.46264141541408</v>
      </c>
      <c r="F29" s="58">
        <f>IFERROR('4'!G29/'4'!G$52*100,"..")</f>
        <v>131.03420902723724</v>
      </c>
      <c r="G29" s="58" t="str">
        <f>IFERROR('4'!H29/'4'!H$52*100,"..")</f>
        <v>..</v>
      </c>
      <c r="H29" s="58" t="str">
        <f>IFERROR('4'!I29/'4'!I$52*100,"..")</f>
        <v>..</v>
      </c>
    </row>
    <row r="30" spans="1:8">
      <c r="A30" s="66">
        <v>1985</v>
      </c>
      <c r="B30" s="58">
        <f>'4'!B30/'4'!B$52*100</f>
        <v>70.769679445344408</v>
      </c>
      <c r="C30" s="58">
        <f>IFERROR('4'!D30/'4'!D$52*100,"..")</f>
        <v>122.21792913214458</v>
      </c>
      <c r="D30" s="58">
        <f>IFERROR('4'!E30/'4'!E$52*100,"..")</f>
        <v>139.92759474911958</v>
      </c>
      <c r="E30" s="58">
        <f>IFERROR('4'!F30/'4'!F$52*100,"..")</f>
        <v>108.69249703200579</v>
      </c>
      <c r="F30" s="58">
        <f>IFERROR('4'!G30/'4'!G$52*100,"..")</f>
        <v>127.67018378513011</v>
      </c>
      <c r="G30" s="58" t="str">
        <f>IFERROR('4'!H30/'4'!H$52*100,"..")</f>
        <v>..</v>
      </c>
      <c r="H30" s="58" t="str">
        <f>IFERROR('4'!I30/'4'!I$52*100,"..")</f>
        <v>..</v>
      </c>
    </row>
    <row r="31" spans="1:8">
      <c r="A31" s="66">
        <v>1986</v>
      </c>
      <c r="B31" s="58">
        <f>'4'!B31/'4'!B$52*100</f>
        <v>72.866283461812984</v>
      </c>
      <c r="C31" s="58">
        <f>IFERROR('4'!D31/'4'!D$52*100,"..")</f>
        <v>126.38091588251719</v>
      </c>
      <c r="D31" s="58">
        <f>IFERROR('4'!E31/'4'!E$52*100,"..")</f>
        <v>139.92759474911958</v>
      </c>
      <c r="E31" s="58">
        <f>IFERROR('4'!F31/'4'!F$52*100,"..")</f>
        <v>113.9819219829908</v>
      </c>
      <c r="F31" s="58">
        <f>IFERROR('4'!G31/'4'!G$52*100,"..")</f>
        <v>132.87899706323148</v>
      </c>
      <c r="G31" s="58" t="str">
        <f>IFERROR('4'!H31/'4'!H$52*100,"..")</f>
        <v>..</v>
      </c>
      <c r="H31" s="58" t="str">
        <f>IFERROR('4'!I31/'4'!I$52*100,"..")</f>
        <v>..</v>
      </c>
    </row>
    <row r="32" spans="1:8">
      <c r="A32" s="66">
        <v>1987</v>
      </c>
      <c r="B32" s="58">
        <f>'4'!B32/'4'!B$52*100</f>
        <v>75.506936317713254</v>
      </c>
      <c r="C32" s="58">
        <f>IFERROR('4'!D32/'4'!D$52*100,"..")</f>
        <v>135.22401567580283</v>
      </c>
      <c r="D32" s="58">
        <f>IFERROR('4'!E32/'4'!E$52*100,"..")</f>
        <v>150.23387651534367</v>
      </c>
      <c r="E32" s="58">
        <f>IFERROR('4'!F32/'4'!F$52*100,"..")</f>
        <v>124.35334345551045</v>
      </c>
      <c r="F32" s="58">
        <f>IFERROR('4'!G32/'4'!G$52*100,"..")</f>
        <v>139.1729797742706</v>
      </c>
      <c r="G32" s="58" t="str">
        <f>IFERROR('4'!H32/'4'!H$52*100,"..")</f>
        <v>..</v>
      </c>
      <c r="H32" s="58" t="str">
        <f>IFERROR('4'!I32/'4'!I$52*100,"..")</f>
        <v>..</v>
      </c>
    </row>
    <row r="33" spans="1:8">
      <c r="A33" s="66">
        <v>1988</v>
      </c>
      <c r="B33" s="58">
        <f>'4'!B33/'4'!B$52*100</f>
        <v>78.554717942547256</v>
      </c>
      <c r="C33" s="58">
        <f>IFERROR('4'!D33/'4'!D$52*100,"..")</f>
        <v>134.24223833947713</v>
      </c>
      <c r="D33" s="58">
        <f>IFERROR('4'!E33/'4'!E$52*100,"..")</f>
        <v>146.56721857928318</v>
      </c>
      <c r="E33" s="58">
        <f>IFERROR('4'!F33/'4'!F$52*100,"..")</f>
        <v>124.97562874386163</v>
      </c>
      <c r="F33" s="58">
        <f>IFERROR('4'!G33/'4'!G$52*100,"..")</f>
        <v>137.87077645474528</v>
      </c>
      <c r="G33" s="58" t="str">
        <f>IFERROR('4'!H33/'4'!H$52*100,"..")</f>
        <v>..</v>
      </c>
      <c r="H33" s="58" t="str">
        <f>IFERROR('4'!I33/'4'!I$52*100,"..")</f>
        <v>..</v>
      </c>
    </row>
    <row r="34" spans="1:8">
      <c r="A34" s="66">
        <v>1989</v>
      </c>
      <c r="B34" s="58">
        <f>'4'!B34/'4'!B$52*100</f>
        <v>80.158493815841311</v>
      </c>
      <c r="C34" s="58">
        <f>IFERROR('4'!D34/'4'!D$52*100,"..")</f>
        <v>133.91601242055941</v>
      </c>
      <c r="D34" s="58">
        <f>IFERROR('4'!E34/'4'!E$52*100,"..")</f>
        <v>147.36000948437734</v>
      </c>
      <c r="E34" s="58">
        <f>IFERROR('4'!F34/'4'!F$52*100,"..")</f>
        <v>124.14591502606007</v>
      </c>
      <c r="F34" s="58">
        <f>IFERROR('4'!G34/'4'!G$52*100,"..")</f>
        <v>137.49096715321707</v>
      </c>
      <c r="G34" s="58" t="str">
        <f>IFERROR('4'!H34/'4'!H$52*100,"..")</f>
        <v>..</v>
      </c>
      <c r="H34" s="58" t="str">
        <f>IFERROR('4'!I34/'4'!I$52*100,"..")</f>
        <v>..</v>
      </c>
    </row>
    <row r="35" spans="1:8">
      <c r="A35" s="66">
        <v>1990</v>
      </c>
      <c r="B35" s="58">
        <f>'4'!B35/'4'!B$52*100</f>
        <v>80.064763880203742</v>
      </c>
      <c r="C35" s="58">
        <f>IFERROR('4'!D35/'4'!D$52*100,"..")</f>
        <v>123.6627146139391</v>
      </c>
      <c r="D35" s="58">
        <f>IFERROR('4'!E35/'4'!E$52*100,"..")</f>
        <v>132.99067432954564</v>
      </c>
      <c r="E35" s="58">
        <f>IFERROR('4'!F35/'4'!F$52*100,"..")</f>
        <v>111.80392347376169</v>
      </c>
      <c r="F35" s="58">
        <f>IFERROR('4'!G35/'4'!G$52*100,"..")</f>
        <v>131.9023445735875</v>
      </c>
      <c r="G35" s="58" t="str">
        <f>IFERROR('4'!H35/'4'!H$52*100,"..")</f>
        <v>..</v>
      </c>
      <c r="H35" s="58" t="str">
        <f>IFERROR('4'!I35/'4'!I$52*100,"..")</f>
        <v>..</v>
      </c>
    </row>
    <row r="36" spans="1:8">
      <c r="A36" s="66">
        <v>1991</v>
      </c>
      <c r="B36" s="58">
        <f>'4'!B36/'4'!B$52*100</f>
        <v>77.727159578758688</v>
      </c>
      <c r="C36" s="58">
        <f>IFERROR('4'!D36/'4'!D$52*100,"..")</f>
        <v>114.27475432003806</v>
      </c>
      <c r="D36" s="58">
        <f>IFERROR('4'!E36/'4'!E$52*100,"..")</f>
        <v>130.41410388798963</v>
      </c>
      <c r="E36" s="58">
        <f>IFERROR('4'!F36/'4'!F$52*100,"..")</f>
        <v>96.143077050257034</v>
      </c>
      <c r="F36" s="58">
        <f>IFERROR('4'!G36/'4'!G$52*100,"..")</f>
        <v>125.82539574913589</v>
      </c>
      <c r="G36" s="58" t="str">
        <f>IFERROR('4'!H36/'4'!H$52*100,"..")</f>
        <v>..</v>
      </c>
      <c r="H36" s="58" t="str">
        <f>IFERROR('4'!I36/'4'!I$52*100,"..")</f>
        <v>..</v>
      </c>
    </row>
    <row r="37" spans="1:8">
      <c r="A37" s="66">
        <v>1992</v>
      </c>
      <c r="B37" s="58">
        <f>'4'!B37/'4'!B$52*100</f>
        <v>76.828818124554019</v>
      </c>
      <c r="C37" s="58">
        <f>IFERROR('4'!D37/'4'!D$52*100,"..")</f>
        <v>113.41632631851613</v>
      </c>
      <c r="D37" s="58">
        <f>IFERROR('4'!E37/'4'!E$52*100,"..")</f>
        <v>123.37808460527894</v>
      </c>
      <c r="E37" s="58">
        <f>IFERROR('4'!F37/'4'!F$52*100,"..")</f>
        <v>101.58807332332984</v>
      </c>
      <c r="F37" s="58">
        <f>IFERROR('4'!G37/'4'!G$52*100,"..")</f>
        <v>121.26768413079721</v>
      </c>
      <c r="G37" s="58" t="str">
        <f>IFERROR('4'!H37/'4'!H$52*100,"..")</f>
        <v>..</v>
      </c>
      <c r="H37" s="58" t="str">
        <f>IFERROR('4'!I37/'4'!I$52*100,"..")</f>
        <v>..</v>
      </c>
    </row>
    <row r="38" spans="1:8">
      <c r="A38" s="66">
        <v>1993</v>
      </c>
      <c r="B38" s="58">
        <f>IFERROR('4'!B38/'4'!B$52*100,"..")</f>
        <v>77.832828549357274</v>
      </c>
      <c r="C38" s="58">
        <f>IFERROR('4'!D38/'4'!D$52*100,"..")</f>
        <v>117.75616156418481</v>
      </c>
      <c r="D38" s="58">
        <f>IFERROR('4'!E38/'4'!E$52*100,"..")</f>
        <v>129.42311525662191</v>
      </c>
      <c r="E38" s="58">
        <f>IFERROR('4'!F38/'4'!F$52*100,"..")</f>
        <v>112.84106562101366</v>
      </c>
      <c r="F38" s="58">
        <f>IFERROR('4'!G38/'4'!G$52*100,"..")</f>
        <v>116.81848945575229</v>
      </c>
      <c r="G38" s="58" t="str">
        <f>IFERROR('4'!H38/'4'!H$52*100,"..")</f>
        <v>..</v>
      </c>
      <c r="H38" s="58" t="str">
        <f>IFERROR('4'!I38/'4'!I$52*100,"..")</f>
        <v>..</v>
      </c>
    </row>
    <row r="39" spans="1:8">
      <c r="A39" s="66">
        <v>1994</v>
      </c>
      <c r="B39" s="58">
        <f>IFERROR('4'!B39/'4'!B$52*100,"..")</f>
        <v>80.02449091519405</v>
      </c>
      <c r="C39" s="58">
        <f>IFERROR('4'!D39/'4'!D$52*100,"..")</f>
        <v>124.69840752187331</v>
      </c>
      <c r="D39" s="58">
        <f>IFERROR('4'!E39/'4'!E$52*100,"..")</f>
        <v>135.56724477110166</v>
      </c>
      <c r="E39" s="58">
        <f>IFERROR('4'!F39/'4'!F$52*100,"..")</f>
        <v>124.14591502606007</v>
      </c>
      <c r="F39" s="58">
        <f>IFERROR('4'!G39/'4'!G$52*100,"..")</f>
        <v>119.26012067986231</v>
      </c>
      <c r="G39" s="58" t="str">
        <f>IFERROR('4'!H39/'4'!H$52*100,"..")</f>
        <v>..</v>
      </c>
      <c r="H39" s="58" t="str">
        <f>IFERROR('4'!I39/'4'!I$52*100,"..")</f>
        <v>..</v>
      </c>
    </row>
    <row r="40" spans="1:8">
      <c r="A40" s="66">
        <v>1995</v>
      </c>
      <c r="B40" s="58">
        <f>IFERROR('4'!B40/'4'!B$52*100,"..")</f>
        <v>81.112822234663312</v>
      </c>
      <c r="C40" s="58">
        <f>IFERROR('4'!D40/'4'!D$52*100,"..")</f>
        <v>132.0344237855318</v>
      </c>
      <c r="D40" s="58">
        <f>IFERROR('4'!E40/'4'!E$52*100,"..")</f>
        <v>156.77440148237051</v>
      </c>
      <c r="E40" s="58">
        <f>IFERROR('4'!F40/'4'!F$52*100,"..")</f>
        <v>125.90905667638839</v>
      </c>
      <c r="F40" s="58">
        <f>IFERROR('4'!G40/'4'!G$52*100,"..")</f>
        <v>125.17429408937322</v>
      </c>
      <c r="G40" s="58" t="str">
        <f>IFERROR('4'!H40/'4'!H$52*100,"..")</f>
        <v>..</v>
      </c>
      <c r="H40" s="58" t="str">
        <f>IFERROR('4'!I40/'4'!I$52*100,"..")</f>
        <v>..</v>
      </c>
    </row>
    <row r="41" spans="1:8">
      <c r="A41" s="66">
        <v>1996</v>
      </c>
      <c r="B41" s="58">
        <f>IFERROR('4'!B41/'4'!B$52*100,"..")</f>
        <v>82.277634137609525</v>
      </c>
      <c r="C41" s="58">
        <f>IFERROR('4'!D41/'4'!D$52*100,"..")</f>
        <v>127.99991634663941</v>
      </c>
      <c r="D41" s="58">
        <f>IFERROR('4'!E41/'4'!E$52*100,"..")</f>
        <v>137.35102430756351</v>
      </c>
      <c r="E41" s="58">
        <f>IFERROR('4'!F41/'4'!F$52*100,"..")</f>
        <v>130.00576815803365</v>
      </c>
      <c r="F41" s="58">
        <f>IFERROR('4'!G41/'4'!G$52*100,"..")</f>
        <v>120.50806552774075</v>
      </c>
      <c r="G41" s="58" t="str">
        <f>IFERROR('4'!H41/'4'!H$52*100,"..")</f>
        <v>..</v>
      </c>
      <c r="H41" s="58" t="str">
        <f>IFERROR('4'!I41/'4'!I$52*100,"..")</f>
        <v>..</v>
      </c>
    </row>
    <row r="42" spans="1:8">
      <c r="A42" s="66">
        <v>1997</v>
      </c>
      <c r="B42" s="58">
        <f>IFERROR('4'!B42/'4'!B$52*100,"..")</f>
        <v>84.293535351080436</v>
      </c>
      <c r="C42" s="58">
        <f>IFERROR('4'!D42/'4'!D$52*100,"..")</f>
        <v>129.24773008772556</v>
      </c>
      <c r="D42" s="58">
        <f>IFERROR('4'!E42/'4'!E$52*100,"..")</f>
        <v>135.86454136051196</v>
      </c>
      <c r="E42" s="58">
        <f>IFERROR('4'!F42/'4'!F$52*100,"..")</f>
        <v>135.71004996791945</v>
      </c>
      <c r="F42" s="58">
        <f>IFERROR('4'!G42/'4'!G$52*100,"..")</f>
        <v>118.22920971857141</v>
      </c>
      <c r="G42" s="58">
        <f>IFERROR('4'!H42/'4'!H$52*100,"..")</f>
        <v>133.6057526226796</v>
      </c>
      <c r="H42" s="58">
        <f>IFERROR('4'!I42/'4'!I$52*100,"..")</f>
        <v>94.560973903309304</v>
      </c>
    </row>
    <row r="43" spans="1:8">
      <c r="A43" s="66">
        <v>1998</v>
      </c>
      <c r="B43" s="58">
        <f>IFERROR('4'!B43/'4'!B$52*100,"..")</f>
        <v>86.156886453118162</v>
      </c>
      <c r="C43" s="58">
        <f>IFERROR('4'!D43/'4'!D$52*100,"..")</f>
        <v>122.56482173383422</v>
      </c>
      <c r="D43" s="58">
        <f>IFERROR('4'!E43/'4'!E$52*100,"..")</f>
        <v>128.14252982539307</v>
      </c>
      <c r="E43" s="58">
        <f>IFERROR('4'!F43/'4'!F$52*100,"..")</f>
        <v>130.05025956098225</v>
      </c>
      <c r="F43" s="58">
        <f>IFERROR('4'!G43/'4'!G$52*100,"..")</f>
        <v>110.96618117894712</v>
      </c>
      <c r="G43" s="58">
        <f>IFERROR('4'!H43/'4'!H$52*100,"..")</f>
        <v>120.43144670096908</v>
      </c>
      <c r="H43" s="58">
        <f>IFERROR('4'!I43/'4'!I$52*100,"..")</f>
        <v>96.39683761281745</v>
      </c>
    </row>
    <row r="44" spans="1:8">
      <c r="A44" s="66">
        <v>1999</v>
      </c>
      <c r="B44" s="58">
        <f>IFERROR('4'!B44/'4'!B$52*100,"..")</f>
        <v>88.329292843370766</v>
      </c>
      <c r="C44" s="58">
        <f>IFERROR('4'!D44/'4'!D$52*100,"..")</f>
        <v>131.50136655372552</v>
      </c>
      <c r="D44" s="58">
        <f>IFERROR('4'!E44/'4'!E$52*100,"..")</f>
        <v>138.42340207000078</v>
      </c>
      <c r="E44" s="58">
        <f>IFERROR('4'!F44/'4'!F$52*100,"..")</f>
        <v>142.02943635409173</v>
      </c>
      <c r="F44" s="58">
        <f>IFERROR('4'!G44/'4'!G$52*100,"..")</f>
        <v>115.70313059674761</v>
      </c>
      <c r="G44" s="58">
        <f>IFERROR('4'!H44/'4'!H$52*100,"..")</f>
        <v>125.38044762822493</v>
      </c>
      <c r="H44" s="58">
        <f>IFERROR('4'!I44/'4'!I$52*100,"..")</f>
        <v>100.80738823200168</v>
      </c>
    </row>
    <row r="45" spans="1:8">
      <c r="A45" s="66">
        <v>2000</v>
      </c>
      <c r="B45" s="58">
        <f>IFERROR('4'!B45/'4'!B$52*100,"..")</f>
        <v>90.159887959947511</v>
      </c>
      <c r="C45" s="58">
        <f>IFERROR('4'!D45/'4'!D$52*100,"..")</f>
        <v>130.0146379912172</v>
      </c>
      <c r="D45" s="58">
        <f>IFERROR('4'!E45/'4'!E$52*100,"..")</f>
        <v>131.67911037370627</v>
      </c>
      <c r="E45" s="58">
        <f>IFERROR('4'!F45/'4'!F$52*100,"..")</f>
        <v>143.36126611319582</v>
      </c>
      <c r="F45" s="58">
        <f>IFERROR('4'!G45/'4'!G$52*100,"..")</f>
        <v>113.95460331630542</v>
      </c>
      <c r="G45" s="58">
        <f>IFERROR('4'!H45/'4'!H$52*100,"..")</f>
        <v>122.06959873456846</v>
      </c>
      <c r="H45" s="58">
        <f>IFERROR('4'!I45/'4'!I$52*100,"..")</f>
        <v>101.46365353669626</v>
      </c>
    </row>
    <row r="46" spans="1:8">
      <c r="A46" s="66">
        <v>2001</v>
      </c>
      <c r="B46" s="58">
        <f>IFERROR('4'!B46/'4'!B$52*100,"..")</f>
        <v>90.693647823198688</v>
      </c>
      <c r="C46" s="58">
        <f>IFERROR('4'!D46/'4'!D$52*100,"..")</f>
        <v>120.14249009632411</v>
      </c>
      <c r="D46" s="58">
        <f>IFERROR('4'!E46/'4'!E$52*100,"..")</f>
        <v>117.90313660425061</v>
      </c>
      <c r="E46" s="58">
        <f>IFERROR('4'!F46/'4'!F$52*100,"..")</f>
        <v>126.92969494293547</v>
      </c>
      <c r="F46" s="58">
        <f>IFERROR('4'!G46/'4'!G$52*100,"..")</f>
        <v>113.69725625044774</v>
      </c>
      <c r="G46" s="58">
        <f>IFERROR('4'!H46/'4'!H$52*100,"..")</f>
        <v>118.38330212177961</v>
      </c>
      <c r="H46" s="58">
        <f>IFERROR('4'!I46/'4'!I$52*100,"..")</f>
        <v>106.48429301056461</v>
      </c>
    </row>
    <row r="47" spans="1:8">
      <c r="A47" s="66">
        <v>2002</v>
      </c>
      <c r="B47" s="58">
        <f>IFERROR('4'!B47/'4'!B$52*100,"..")</f>
        <v>91.820552963160992</v>
      </c>
      <c r="C47" s="58">
        <f>IFERROR('4'!D47/'4'!D$52*100,"..")</f>
        <v>117.05008649722085</v>
      </c>
      <c r="D47" s="58">
        <f>IFERROR('4'!E47/'4'!E$52*100,"..")</f>
        <v>119.53859524373864</v>
      </c>
      <c r="E47" s="58">
        <f>IFERROR('4'!F47/'4'!F$52*100,"..")</f>
        <v>124.68211070713357</v>
      </c>
      <c r="F47" s="58">
        <f>IFERROR('4'!G47/'4'!G$52*100,"..")</f>
        <v>107.00898786005169</v>
      </c>
      <c r="G47" s="58">
        <f>IFERROR('4'!H47/'4'!H$52*100,"..")</f>
        <v>108.27075871347793</v>
      </c>
      <c r="H47" s="58">
        <f>IFERROR('4'!I47/'4'!I$52*100,"..")</f>
        <v>105.06681592387881</v>
      </c>
    </row>
    <row r="48" spans="1:8">
      <c r="A48" s="66">
        <v>2003</v>
      </c>
      <c r="B48" s="58">
        <f>IFERROR('4'!B48/'4'!B$52*100,"..")</f>
        <v>93.202194624021772</v>
      </c>
      <c r="C48" s="58">
        <f>IFERROR('4'!D48/'4'!D$52*100,"..")</f>
        <v>117.21182094563471</v>
      </c>
      <c r="D48" s="58">
        <f>IFERROR('4'!E48/'4'!E$52*100,"..")</f>
        <v>121.3113296989808</v>
      </c>
      <c r="E48" s="58">
        <f>IFERROR('4'!F48/'4'!F$52*100,"..")</f>
        <v>123.45235549161045</v>
      </c>
      <c r="F48" s="58">
        <f>IFERROR('4'!G48/'4'!G$52*100,"..")</f>
        <v>107.84936104085041</v>
      </c>
      <c r="G48" s="58">
        <f>IFERROR('4'!H48/'4'!H$52*100,"..")</f>
        <v>109.29619461464337</v>
      </c>
      <c r="H48" s="58">
        <f>IFERROR('4'!I48/'4'!I$52*100,"..")</f>
        <v>105.6223326103687</v>
      </c>
    </row>
    <row r="49" spans="1:8">
      <c r="A49" s="66">
        <v>2004</v>
      </c>
      <c r="B49" s="58">
        <f>IFERROR('4'!B49/'4'!B$52*100,"..")</f>
        <v>95.695342331102793</v>
      </c>
      <c r="C49" s="58">
        <f>IFERROR('4'!D49/'4'!D$52*100,"..")</f>
        <v>118.01619391755638</v>
      </c>
      <c r="D49" s="58">
        <f>IFERROR('4'!E49/'4'!E$52*100,"..")</f>
        <v>115.98522556687998</v>
      </c>
      <c r="E49" s="58">
        <f>IFERROR('4'!F49/'4'!F$52*100,"..")</f>
        <v>125.34073454785837</v>
      </c>
      <c r="F49" s="58">
        <f>IFERROR('4'!G49/'4'!G$52*100,"..")</f>
        <v>110.84549807954063</v>
      </c>
      <c r="G49" s="58">
        <f>IFERROR('4'!H49/'4'!H$52*100,"..")</f>
        <v>112.83885747531863</v>
      </c>
      <c r="H49" s="58">
        <f>IFERROR('4'!I49/'4'!I$52*100,"..")</f>
        <v>107.77723361085845</v>
      </c>
    </row>
    <row r="50" spans="1:8">
      <c r="A50" s="66">
        <v>2005</v>
      </c>
      <c r="B50" s="58">
        <f>IFERROR('4'!B50/'4'!B$52*100,"..")</f>
        <v>96.316244457406412</v>
      </c>
      <c r="C50" s="58">
        <f>IFERROR('4'!D50/'4'!D$52*100,"..")</f>
        <v>114.48833567063494</v>
      </c>
      <c r="D50" s="58">
        <f>IFERROR('4'!E50/'4'!E$52*100,"..")</f>
        <v>111.90546733033105</v>
      </c>
      <c r="E50" s="58">
        <f>IFERROR('4'!F50/'4'!F$52*100,"..")</f>
        <v>121.86874185833997</v>
      </c>
      <c r="F50" s="58">
        <f>IFERROR('4'!G50/'4'!G$52*100,"..")</f>
        <v>107.56225649842671</v>
      </c>
      <c r="G50" s="58">
        <f>IFERROR('4'!H50/'4'!H$52*100,"..")</f>
        <v>107.15986982054872</v>
      </c>
      <c r="H50" s="58">
        <f>IFERROR('4'!I50/'4'!I$52*100,"..")</f>
        <v>108.18162737004127</v>
      </c>
    </row>
    <row r="51" spans="1:8">
      <c r="A51" s="66">
        <v>2006</v>
      </c>
      <c r="B51" s="58">
        <f>IFERROR('4'!B51/'4'!B$52*100,"..")</f>
        <v>97.844437423375837</v>
      </c>
      <c r="C51" s="58">
        <f>IFERROR('4'!D51/'4'!D$52*100,"..")</f>
        <v>107.80808876969219</v>
      </c>
      <c r="D51" s="58">
        <f>IFERROR('4'!E51/'4'!E$52*100,"..")</f>
        <v>104.92514023860313</v>
      </c>
      <c r="E51" s="58">
        <f>IFERROR('4'!F51/'4'!F$52*100,"..")</f>
        <v>113.70958334143448</v>
      </c>
      <c r="F51" s="58">
        <f>IFERROR('4'!G51/'4'!G$52*100,"..")</f>
        <v>102.72611549207294</v>
      </c>
      <c r="G51" s="58">
        <f>IFERROR('4'!H51/'4'!H$52*100,"..")</f>
        <v>102.30177633133944</v>
      </c>
      <c r="H51" s="58">
        <f>IFERROR('4'!I51/'4'!I$52*100,"..")</f>
        <v>103.37927656894983</v>
      </c>
    </row>
    <row r="52" spans="1:8">
      <c r="A52" s="66">
        <v>2007</v>
      </c>
      <c r="B52" s="58">
        <f>IFERROR('4'!B52/'4'!B$52*100,"..")</f>
        <v>100</v>
      </c>
      <c r="C52" s="58">
        <f>IFERROR('4'!D52/'4'!D$52*100,"..")</f>
        <v>100</v>
      </c>
      <c r="D52" s="58">
        <f>IFERROR('4'!E52/'4'!E$52*100,"..")</f>
        <v>100</v>
      </c>
      <c r="E52" s="58">
        <f>IFERROR('4'!F52/'4'!F$52*100,"..")</f>
        <v>100</v>
      </c>
      <c r="F52" s="58">
        <f>IFERROR('4'!G52/'4'!G$52*100,"..")</f>
        <v>100</v>
      </c>
      <c r="G52" s="58">
        <f>IFERROR('4'!H52/'4'!H$52*100,"..")</f>
        <v>100</v>
      </c>
      <c r="H52" s="58">
        <f>IFERROR('4'!I52/'4'!I$52*100,"..")</f>
        <v>100</v>
      </c>
    </row>
    <row r="53" spans="1:8">
      <c r="A53" s="66">
        <v>2008</v>
      </c>
      <c r="B53" s="58">
        <f>IFERROR('4'!B53/'4'!B$52*100,"..")</f>
        <v>101.10874825148389</v>
      </c>
      <c r="C53" s="58">
        <f>IFERROR('4'!D53/'4'!D$52*100,"..")</f>
        <v>87.347043228137693</v>
      </c>
      <c r="D53" s="58">
        <f>IFERROR('4'!E53/'4'!E$52*100,"..")</f>
        <v>75.227147033262227</v>
      </c>
      <c r="E53" s="58">
        <f>IFERROR('4'!F53/'4'!F$52*100,"..")</f>
        <v>87.9099994167169</v>
      </c>
      <c r="F53" s="58">
        <f>IFERROR('4'!G53/'4'!G$52*100,"..")</f>
        <v>93.471540280050917</v>
      </c>
      <c r="G53" s="58">
        <f>IFERROR('4'!H53/'4'!H$52*100,"..")</f>
        <v>91.602879947637319</v>
      </c>
      <c r="H53" s="58">
        <f>IFERROR('4'!I53/'4'!I$52*100,"..")</f>
        <v>96.34786259007906</v>
      </c>
    </row>
    <row r="54" spans="1:8">
      <c r="A54" s="66">
        <v>2009</v>
      </c>
      <c r="B54" s="58">
        <f>IFERROR('4'!B54/'4'!B$52*100,"..")</f>
        <v>97.737352625069533</v>
      </c>
      <c r="C54" s="58">
        <f>IFERROR('4'!D54/'4'!D$52*100,"..")</f>
        <v>75.279401377813713</v>
      </c>
      <c r="D54" s="58">
        <f>IFERROR('4'!E54/'4'!E$52*100,"..")</f>
        <v>69.441810855653003</v>
      </c>
      <c r="E54" s="58">
        <f>IFERROR('4'!F54/'4'!F$52*100,"..")</f>
        <v>74.441992495090702</v>
      </c>
      <c r="F54" s="58">
        <f>IFERROR('4'!G54/'4'!G$52*100,"..")</f>
        <v>79.486077358417788</v>
      </c>
      <c r="G54" s="58">
        <f>IFERROR('4'!H54/'4'!H$52*100,"..")</f>
        <v>76.284067562407969</v>
      </c>
      <c r="H54" s="58">
        <f>IFERROR('4'!I54/'4'!I$52*100,"..")</f>
        <v>84.414748478276067</v>
      </c>
    </row>
    <row r="55" spans="1:8">
      <c r="A55" s="66">
        <v>2010</v>
      </c>
      <c r="B55" s="58">
        <f>IFERROR('4'!B55/'4'!B$52*100,"..")</f>
        <v>99.605199911426524</v>
      </c>
      <c r="C55" s="58">
        <f>IFERROR('4'!D55/'4'!D$52*100,"..")</f>
        <v>76.495071193866366</v>
      </c>
      <c r="D55" s="58">
        <f>IFERROR('4'!E55/'4'!E$52*100,"..")</f>
        <v>74.375839456427272</v>
      </c>
      <c r="E55" s="58">
        <f>IFERROR('4'!F55/'4'!F$52*100,"..")</f>
        <v>75.8744385900103</v>
      </c>
      <c r="F55" s="58">
        <f>IFERROR('4'!G55/'4'!G$52*100,"..")</f>
        <v>78.381193274810286</v>
      </c>
      <c r="G55" s="58">
        <f>IFERROR('4'!H55/'4'!H$52*100,"..")</f>
        <v>74.47682769404193</v>
      </c>
      <c r="H55" s="58">
        <f>IFERROR('4'!I55/'4'!I$52*100,"..")</f>
        <v>84.390960610088854</v>
      </c>
    </row>
    <row r="56" spans="1:8">
      <c r="A56" s="66">
        <v>2011</v>
      </c>
      <c r="B56" s="58">
        <f>IFERROR('4'!B56/'4'!B$52*100,"..")</f>
        <v>101.11295076610661</v>
      </c>
      <c r="C56" s="58">
        <f>IFERROR('4'!D56/'4'!D$52*100,"..")</f>
        <v>76.208043729719193</v>
      </c>
      <c r="D56" s="58">
        <f>IFERROR('4'!E56/'4'!E$52*100,"..")</f>
        <v>79.110373706249504</v>
      </c>
      <c r="E56" s="58">
        <f>IFERROR('4'!F56/'4'!F$52*100,"..")</f>
        <v>75.351428071471616</v>
      </c>
      <c r="F56" s="58">
        <f>IFERROR('4'!G56/'4'!G$52*100,"..")</f>
        <v>75.55974364485003</v>
      </c>
      <c r="G56" s="58">
        <f>IFERROR('4'!H56/'4'!H$52*100,"..")</f>
        <v>69.980545808258043</v>
      </c>
      <c r="H56" s="58">
        <f>IFERROR('4'!I56/'4'!I$52*100,"..")</f>
        <v>84.147484782760799</v>
      </c>
    </row>
    <row r="57" spans="1:8">
      <c r="A57" s="66">
        <v>2012</v>
      </c>
      <c r="B57" s="58" t="str">
        <f>IFERROR('4'!B57/'4'!B$52*100,"..")</f>
        <v>..</v>
      </c>
      <c r="C57" s="58" t="str">
        <f>IFERROR('4'!D57/'4'!D$52*100,"..")</f>
        <v>..</v>
      </c>
      <c r="D57" s="58" t="str">
        <f>IFERROR('4'!E57/'4'!E$52*100,"..")</f>
        <v>..</v>
      </c>
      <c r="E57" s="58" t="str">
        <f>IFERROR('4'!F57/'4'!F$52*100,"..")</f>
        <v>..</v>
      </c>
      <c r="F57" s="58" t="str">
        <f>IFERROR('4'!G57/'4'!G$52*100,"..")</f>
        <v>..</v>
      </c>
      <c r="G57" s="58" t="str">
        <f>IFERROR('4'!H57/'4'!H$52*100,"..")</f>
        <v>..</v>
      </c>
      <c r="H57" s="58" t="str">
        <f>IFERROR('4'!I57/'4'!I$52*100,"..")</f>
        <v>..</v>
      </c>
    </row>
    <row r="58" spans="1:8">
      <c r="B58" s="56"/>
      <c r="C58" s="56"/>
      <c r="D58" s="56"/>
      <c r="E58" s="56"/>
      <c r="F58" s="56"/>
      <c r="G58" s="56"/>
      <c r="H58" s="56"/>
    </row>
    <row r="59" spans="1:8">
      <c r="A59" s="66" t="s">
        <v>23</v>
      </c>
      <c r="B59" s="56"/>
      <c r="C59" s="56"/>
      <c r="D59" s="56"/>
      <c r="E59" s="56"/>
      <c r="F59" s="56"/>
      <c r="G59" s="56"/>
      <c r="H59" s="56"/>
    </row>
    <row r="60" spans="1:8">
      <c r="A60" s="64" t="s">
        <v>1781</v>
      </c>
      <c r="B60" s="65">
        <f>((B56/B26)^(1/30)-1)*100</f>
        <v>1.2815949904414703</v>
      </c>
      <c r="C60" s="65">
        <f t="shared" ref="C60:F60" si="0">((C56/C26)^(1/30)-1)*100</f>
        <v>-2.040060790006748</v>
      </c>
      <c r="D60" s="65">
        <f t="shared" si="0"/>
        <v>-2.2725681696730171</v>
      </c>
      <c r="E60" s="65">
        <f t="shared" si="0"/>
        <v>-1.6805269331700345</v>
      </c>
      <c r="F60" s="65">
        <f t="shared" si="0"/>
        <v>-2.2744249478582224</v>
      </c>
      <c r="G60" s="57" t="s">
        <v>22</v>
      </c>
      <c r="H60" s="57" t="s">
        <v>22</v>
      </c>
    </row>
    <row r="61" spans="1:8">
      <c r="A61" s="64" t="s">
        <v>25</v>
      </c>
      <c r="B61" s="65">
        <f>((B34/B26)^(1/8)-1)*100</f>
        <v>1.890182604134294</v>
      </c>
      <c r="C61" s="65">
        <f>((C34/C26)^(1/8)-1)*100</f>
        <v>-0.68019390401142799</v>
      </c>
      <c r="D61" s="65">
        <f>((D34/D26)^(1/8)-1)*100</f>
        <v>-0.84146571414012161</v>
      </c>
      <c r="E61" s="65">
        <f>((E34/E26)^(1/8)-1)*100</f>
        <v>-0.11428056168295564</v>
      </c>
      <c r="F61" s="65">
        <f>((F34/F26)^(1/8)-1)*100</f>
        <v>-1.1381253686489234</v>
      </c>
      <c r="G61" s="57" t="s">
        <v>22</v>
      </c>
      <c r="H61" s="57" t="s">
        <v>22</v>
      </c>
    </row>
    <row r="62" spans="1:8">
      <c r="A62" s="64" t="s">
        <v>26</v>
      </c>
      <c r="B62" s="65">
        <f>((B45/B34)^(1/11)-1)*100</f>
        <v>1.0746311199886449</v>
      </c>
      <c r="C62" s="65">
        <f>((C45/C34)^(1/11)-1)*100</f>
        <v>-0.26841898680971532</v>
      </c>
      <c r="D62" s="65">
        <f>((D45/D34)^(1/11)-1)*100</f>
        <v>-1.0176110873097222</v>
      </c>
      <c r="E62" s="65">
        <f>((E45/E34)^(1/11)-1)*100</f>
        <v>1.3168696510470701</v>
      </c>
      <c r="F62" s="65">
        <f>((F45/F34)^(1/11)-1)*100</f>
        <v>-1.6924066731106469</v>
      </c>
      <c r="G62" s="57" t="s">
        <v>22</v>
      </c>
      <c r="H62" s="57" t="s">
        <v>22</v>
      </c>
    </row>
    <row r="63" spans="1:8">
      <c r="A63" s="64" t="s">
        <v>1782</v>
      </c>
      <c r="B63" s="65">
        <f>((B56/B45)^(1/11)-1)*100</f>
        <v>1.0477562819735109</v>
      </c>
      <c r="C63" s="65">
        <f t="shared" ref="C63:H63" si="1">((C56/C45)^(1/11)-1)*100</f>
        <v>-4.7401552684865784</v>
      </c>
      <c r="D63" s="65">
        <f t="shared" si="1"/>
        <v>-4.5263946746360029</v>
      </c>
      <c r="E63" s="65">
        <f t="shared" si="1"/>
        <v>-5.6796456660427763</v>
      </c>
      <c r="F63" s="65">
        <f t="shared" si="1"/>
        <v>-3.6663413282103652</v>
      </c>
      <c r="G63" s="65">
        <f t="shared" si="1"/>
        <v>-4.9321616711586413</v>
      </c>
      <c r="H63" s="65">
        <f t="shared" si="1"/>
        <v>-1.6867899465667135</v>
      </c>
    </row>
    <row r="65" spans="1:8">
      <c r="A65" s="104" t="s">
        <v>1023</v>
      </c>
      <c r="B65" s="104"/>
      <c r="C65" s="104"/>
      <c r="D65" s="104"/>
      <c r="E65" s="104"/>
      <c r="F65" s="104"/>
      <c r="G65" s="104"/>
      <c r="H65" s="104"/>
    </row>
    <row r="66" spans="1:8" ht="30" customHeight="1">
      <c r="A66" s="104" t="s">
        <v>1604</v>
      </c>
      <c r="B66" s="104"/>
      <c r="C66" s="104"/>
      <c r="D66" s="104"/>
      <c r="E66" s="104"/>
      <c r="F66" s="104"/>
      <c r="G66" s="104"/>
      <c r="H66" s="104"/>
    </row>
  </sheetData>
  <mergeCells count="10">
    <mergeCell ref="A66:H66"/>
    <mergeCell ref="A65:H65"/>
    <mergeCell ref="A1:H1"/>
    <mergeCell ref="A2:A4"/>
    <mergeCell ref="B2:B4"/>
    <mergeCell ref="C2:H2"/>
    <mergeCell ref="C3:C4"/>
    <mergeCell ref="D3:D4"/>
    <mergeCell ref="E3:E4"/>
    <mergeCell ref="F3:H3"/>
  </mergeCells>
  <pageMargins left="0.70866141732283472" right="0.70866141732283472" top="0.74803149606299213" bottom="0.74803149606299213" header="0.31496062992125984" footer="0.31496062992125984"/>
  <pageSetup scale="63" orientation="portrait" horizontalDpi="0" verticalDpi="0" r:id="rId1"/>
</worksheet>
</file>

<file path=xl/worksheets/sheet27.xml><?xml version="1.0" encoding="utf-8"?>
<worksheet xmlns="http://schemas.openxmlformats.org/spreadsheetml/2006/main" xmlns:r="http://schemas.openxmlformats.org/officeDocument/2006/relationships">
  <sheetPr codeName="Sheet27"/>
  <dimension ref="A1:J65"/>
  <sheetViews>
    <sheetView view="pageBreakPreview" zoomScale="85" zoomScaleNormal="100" zoomScaleSheetLayoutView="85" workbookViewId="0">
      <pane xSplit="1" ySplit="5" topLeftCell="B2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4.140625" style="64" customWidth="1"/>
    <col min="2" max="2" width="13.28515625" style="64" customWidth="1"/>
    <col min="3" max="4" width="16.42578125" style="64" customWidth="1"/>
    <col min="5" max="8" width="18.28515625" style="64" customWidth="1"/>
    <col min="9" max="16384" width="9.140625" style="64"/>
  </cols>
  <sheetData>
    <row r="1" spans="1:8" ht="30" customHeight="1">
      <c r="A1" s="140" t="s">
        <v>1810</v>
      </c>
      <c r="B1" s="140"/>
      <c r="C1" s="140"/>
      <c r="D1" s="140"/>
      <c r="E1" s="140"/>
      <c r="F1" s="140"/>
      <c r="G1" s="140"/>
      <c r="H1" s="140"/>
    </row>
    <row r="2" spans="1:8">
      <c r="A2" s="96"/>
      <c r="B2" s="94" t="s">
        <v>51</v>
      </c>
      <c r="C2" s="94" t="s">
        <v>37</v>
      </c>
      <c r="D2" s="94"/>
      <c r="E2" s="94"/>
      <c r="F2" s="94"/>
      <c r="G2" s="94"/>
      <c r="H2" s="94"/>
    </row>
    <row r="3" spans="1:8">
      <c r="A3" s="96"/>
      <c r="B3" s="94"/>
      <c r="C3" s="94" t="s">
        <v>58</v>
      </c>
      <c r="D3" s="94" t="s">
        <v>0</v>
      </c>
      <c r="E3" s="94" t="s">
        <v>1</v>
      </c>
      <c r="F3" s="94" t="s">
        <v>2</v>
      </c>
      <c r="G3" s="94"/>
      <c r="H3" s="94"/>
    </row>
    <row r="4" spans="1:8" ht="60">
      <c r="A4" s="96"/>
      <c r="B4" s="94"/>
      <c r="C4" s="94"/>
      <c r="D4" s="94"/>
      <c r="E4" s="94"/>
      <c r="F4" s="72" t="s">
        <v>517</v>
      </c>
      <c r="G4" s="72" t="s">
        <v>13</v>
      </c>
      <c r="H4" s="72" t="s">
        <v>19</v>
      </c>
    </row>
    <row r="5" spans="1:8" hidden="1" outlineLevel="1"/>
    <row r="6" spans="1:8" collapsed="1">
      <c r="A6" s="66">
        <v>1961</v>
      </c>
      <c r="B6" s="58">
        <f>'4'!B6/'4'!$B6*100</f>
        <v>100</v>
      </c>
      <c r="C6" s="147">
        <f>'4'!D6/'4'!$B6*100</f>
        <v>4.7561144648156075</v>
      </c>
      <c r="D6" s="147">
        <f>'4'!E6/'4'!$B6*100</f>
        <v>1.5497273549300603</v>
      </c>
      <c r="E6" s="147">
        <f>'4'!F6/'4'!$B6*100</f>
        <v>1.5700773242488291</v>
      </c>
      <c r="F6" s="147">
        <f>'4'!G6/'4'!$B6*100</f>
        <v>1.6363097856367181</v>
      </c>
      <c r="G6" s="147" t="s">
        <v>22</v>
      </c>
      <c r="H6" s="147" t="s">
        <v>22</v>
      </c>
    </row>
    <row r="7" spans="1:8" hidden="1" outlineLevel="1">
      <c r="A7" s="66">
        <v>1962</v>
      </c>
      <c r="B7" s="58">
        <f>'4'!B7/'4'!$B7*100</f>
        <v>100</v>
      </c>
      <c r="C7" s="147">
        <f>'4'!D7/'4'!$B7*100</f>
        <v>4.7825037781096462</v>
      </c>
      <c r="D7" s="147">
        <f>'4'!E7/'4'!$B7*100</f>
        <v>1.5776119005375808</v>
      </c>
      <c r="E7" s="147">
        <f>'4'!F7/'4'!$B7*100</f>
        <v>1.571476180841509</v>
      </c>
      <c r="F7" s="147">
        <f>'4'!G7/'4'!$B7*100</f>
        <v>1.6334156967305562</v>
      </c>
      <c r="G7" s="147" t="s">
        <v>22</v>
      </c>
      <c r="H7" s="147" t="s">
        <v>22</v>
      </c>
    </row>
    <row r="8" spans="1:8" hidden="1" outlineLevel="1">
      <c r="A8" s="66">
        <v>1963</v>
      </c>
      <c r="B8" s="58">
        <f>'4'!B8/'4'!$B8*100</f>
        <v>100</v>
      </c>
      <c r="C8" s="147">
        <f>'4'!D8/'4'!$B8*100</f>
        <v>4.6608147118160357</v>
      </c>
      <c r="D8" s="147">
        <f>'4'!E8/'4'!$B8*100</f>
        <v>1.4398837452611555</v>
      </c>
      <c r="E8" s="147">
        <f>'4'!F8/'4'!$B8*100</f>
        <v>1.6065238702075015</v>
      </c>
      <c r="F8" s="147">
        <f>'4'!G8/'4'!$B8*100</f>
        <v>1.6144070963473791</v>
      </c>
      <c r="G8" s="147" t="s">
        <v>22</v>
      </c>
      <c r="H8" s="147" t="s">
        <v>22</v>
      </c>
    </row>
    <row r="9" spans="1:8" hidden="1" outlineLevel="1">
      <c r="A9" s="66">
        <v>1964</v>
      </c>
      <c r="B9" s="58">
        <f>'4'!B9/'4'!$B9*100</f>
        <v>100</v>
      </c>
      <c r="C9" s="147">
        <f>'4'!D9/'4'!$B9*100</f>
        <v>4.7284372353087329</v>
      </c>
      <c r="D9" s="147">
        <f>'4'!E9/'4'!$B9*100</f>
        <v>1.4678378262556846</v>
      </c>
      <c r="E9" s="147">
        <f>'4'!F9/'4'!$B9*100</f>
        <v>1.6077361706803197</v>
      </c>
      <c r="F9" s="147">
        <f>'4'!G9/'4'!$B9*100</f>
        <v>1.6528632383727273</v>
      </c>
      <c r="G9" s="147" t="s">
        <v>22</v>
      </c>
      <c r="H9" s="147" t="s">
        <v>22</v>
      </c>
    </row>
    <row r="10" spans="1:8" hidden="1" outlineLevel="1">
      <c r="A10" s="66">
        <v>1965</v>
      </c>
      <c r="B10" s="58">
        <f>'4'!B10/'4'!$B10*100</f>
        <v>100</v>
      </c>
      <c r="C10" s="147">
        <f>'4'!D10/'4'!$B10*100</f>
        <v>4.6616949453359959</v>
      </c>
      <c r="D10" s="147">
        <f>'4'!E10/'4'!$B10*100</f>
        <v>1.4417151176997272</v>
      </c>
      <c r="E10" s="147">
        <f>'4'!F10/'4'!$B10*100</f>
        <v>1.5866360031681039</v>
      </c>
      <c r="F10" s="147">
        <f>'4'!G10/'4'!$B10*100</f>
        <v>1.6333438244681653</v>
      </c>
      <c r="G10" s="147" t="s">
        <v>22</v>
      </c>
      <c r="H10" s="147" t="s">
        <v>22</v>
      </c>
    </row>
    <row r="11" spans="1:8" hidden="1" outlineLevel="1">
      <c r="A11" s="66">
        <v>1966</v>
      </c>
      <c r="B11" s="58">
        <f>'4'!B11/'4'!$B11*100</f>
        <v>100</v>
      </c>
      <c r="C11" s="147">
        <f>'4'!D11/'4'!$B11*100</f>
        <v>4.5642182117669226</v>
      </c>
      <c r="D11" s="147">
        <f>'4'!E11/'4'!$B11*100</f>
        <v>1.3882906591721387</v>
      </c>
      <c r="E11" s="147">
        <f>'4'!F11/'4'!$B11*100</f>
        <v>1.5128818569129308</v>
      </c>
      <c r="F11" s="147">
        <f>'4'!G11/'4'!$B11*100</f>
        <v>1.6630456956818525</v>
      </c>
      <c r="G11" s="147" t="s">
        <v>22</v>
      </c>
      <c r="H11" s="147" t="s">
        <v>22</v>
      </c>
    </row>
    <row r="12" spans="1:8" hidden="1" outlineLevel="1">
      <c r="A12" s="66">
        <v>1967</v>
      </c>
      <c r="B12" s="58">
        <f>'4'!B12/'4'!$B12*100</f>
        <v>100</v>
      </c>
      <c r="C12" s="147">
        <f>'4'!D12/'4'!$B12*100</f>
        <v>4.3809904449164367</v>
      </c>
      <c r="D12" s="147">
        <f>'4'!E12/'4'!$B12*100</f>
        <v>1.2662296582166794</v>
      </c>
      <c r="E12" s="147">
        <f>'4'!F12/'4'!$B12*100</f>
        <v>1.4662581978354723</v>
      </c>
      <c r="F12" s="147">
        <f>'4'!G12/'4'!$B12*100</f>
        <v>1.648502588864285</v>
      </c>
      <c r="G12" s="147" t="s">
        <v>22</v>
      </c>
      <c r="H12" s="147" t="s">
        <v>22</v>
      </c>
    </row>
    <row r="13" spans="1:8" hidden="1" outlineLevel="1">
      <c r="A13" s="66">
        <v>1968</v>
      </c>
      <c r="B13" s="58">
        <f>'4'!B13/'4'!$B13*100</f>
        <v>100</v>
      </c>
      <c r="C13" s="147">
        <f>'4'!D13/'4'!$B13*100</f>
        <v>4.2988436644073991</v>
      </c>
      <c r="D13" s="147">
        <f>'4'!E13/'4'!$B13*100</f>
        <v>1.1766628640358849</v>
      </c>
      <c r="E13" s="147">
        <f>'4'!F13/'4'!$B13*100</f>
        <v>1.4654316869376454</v>
      </c>
      <c r="F13" s="147">
        <f>'4'!G13/'4'!$B13*100</f>
        <v>1.6567491134338683</v>
      </c>
      <c r="G13" s="147" t="s">
        <v>22</v>
      </c>
      <c r="H13" s="147" t="s">
        <v>22</v>
      </c>
    </row>
    <row r="14" spans="1:8" hidden="1" outlineLevel="1">
      <c r="A14" s="66">
        <v>1969</v>
      </c>
      <c r="B14" s="58">
        <f>'4'!B14/'4'!$B14*100</f>
        <v>100</v>
      </c>
      <c r="C14" s="147">
        <f>'4'!D14/'4'!$B14*100</f>
        <v>4.3080302726261905</v>
      </c>
      <c r="D14" s="147">
        <f>'4'!E14/'4'!$B14*100</f>
        <v>1.1629047968859785</v>
      </c>
      <c r="E14" s="147">
        <f>'4'!F14/'4'!$B14*100</f>
        <v>1.4531219793298948</v>
      </c>
      <c r="F14" s="147">
        <f>'4'!G14/'4'!$B14*100</f>
        <v>1.6920034964103177</v>
      </c>
      <c r="G14" s="147" t="s">
        <v>22</v>
      </c>
      <c r="H14" s="147" t="s">
        <v>22</v>
      </c>
    </row>
    <row r="15" spans="1:8" hidden="1" outlineLevel="1">
      <c r="A15" s="66">
        <v>1970</v>
      </c>
      <c r="B15" s="58">
        <f>'4'!B15/'4'!$B15*100</f>
        <v>100</v>
      </c>
      <c r="C15" s="147">
        <f>'4'!D15/'4'!$B15*100</f>
        <v>4.2472595557813175</v>
      </c>
      <c r="D15" s="147">
        <f>'4'!E15/'4'!$B15*100</f>
        <v>1.1585330576705073</v>
      </c>
      <c r="E15" s="147">
        <f>'4'!F15/'4'!$B15*100</f>
        <v>1.3908997802457868</v>
      </c>
      <c r="F15" s="147">
        <f>'4'!G15/'4'!$B15*100</f>
        <v>1.6978267178650228</v>
      </c>
      <c r="G15" s="147" t="s">
        <v>22</v>
      </c>
      <c r="H15" s="147" t="s">
        <v>22</v>
      </c>
    </row>
    <row r="16" spans="1:8" hidden="1" outlineLevel="1">
      <c r="A16" s="66">
        <v>1971</v>
      </c>
      <c r="B16" s="58">
        <f>'4'!B16/'4'!$B16*100</f>
        <v>100</v>
      </c>
      <c r="C16" s="147">
        <f>'4'!D16/'4'!$B16*100</f>
        <v>4.1381474775425957</v>
      </c>
      <c r="D16" s="147">
        <f>'4'!E16/'4'!$B16*100</f>
        <v>1.0263200448252936</v>
      </c>
      <c r="E16" s="147">
        <f>'4'!F16/'4'!$B16*100</f>
        <v>1.4588769525349521</v>
      </c>
      <c r="F16" s="147">
        <f>'4'!G16/'4'!$B16*100</f>
        <v>1.6529504801823505</v>
      </c>
      <c r="G16" s="147" t="s">
        <v>22</v>
      </c>
      <c r="H16" s="147" t="s">
        <v>22</v>
      </c>
    </row>
    <row r="17" spans="1:8" hidden="1" outlineLevel="1">
      <c r="A17" s="66">
        <v>1972</v>
      </c>
      <c r="B17" s="58">
        <f>'4'!B17/'4'!$B17*100</f>
        <v>100</v>
      </c>
      <c r="C17" s="147">
        <f>'4'!D17/'4'!$B17*100</f>
        <v>4.1851194823920723</v>
      </c>
      <c r="D17" s="147">
        <f>'4'!E17/'4'!$B17*100</f>
        <v>0.96735295359530094</v>
      </c>
      <c r="E17" s="147">
        <f>'4'!F17/'4'!$B17*100</f>
        <v>1.5784980639691457</v>
      </c>
      <c r="F17" s="147">
        <f>'4'!G17/'4'!$B17*100</f>
        <v>1.6392684648276252</v>
      </c>
      <c r="G17" s="147" t="s">
        <v>22</v>
      </c>
      <c r="H17" s="147" t="s">
        <v>22</v>
      </c>
    </row>
    <row r="18" spans="1:8" collapsed="1">
      <c r="A18" s="66">
        <v>1973</v>
      </c>
      <c r="B18" s="58">
        <f>'4'!B18/'4'!$B18*100</f>
        <v>100</v>
      </c>
      <c r="C18" s="147">
        <f>'4'!D18/'4'!$B18*100</f>
        <v>4.2962338517728842</v>
      </c>
      <c r="D18" s="147">
        <f>'4'!E18/'4'!$B18*100</f>
        <v>1.0795000408858735</v>
      </c>
      <c r="E18" s="147">
        <f>'4'!F18/'4'!$B18*100</f>
        <v>1.6369805670328981</v>
      </c>
      <c r="F18" s="147">
        <f>'4'!G18/'4'!$B18*100</f>
        <v>1.5797532438541122</v>
      </c>
      <c r="G18" s="147" t="s">
        <v>22</v>
      </c>
      <c r="H18" s="147" t="s">
        <v>22</v>
      </c>
    </row>
    <row r="19" spans="1:8" hidden="1" outlineLevel="1">
      <c r="A19" s="66">
        <v>1974</v>
      </c>
      <c r="B19" s="58">
        <f>'4'!B19/'4'!$B19*100</f>
        <v>100</v>
      </c>
      <c r="C19" s="147">
        <f>'4'!D19/'4'!$B19*100</f>
        <v>4.1931158848655938</v>
      </c>
      <c r="D19" s="147">
        <f>'4'!E19/'4'!$B19*100</f>
        <v>1.0998290829191837</v>
      </c>
      <c r="E19" s="147">
        <f>'4'!F19/'4'!$B19*100</f>
        <v>1.4954349731674426</v>
      </c>
      <c r="F19" s="147">
        <f>'4'!G19/'4'!$B19*100</f>
        <v>1.5978518287789683</v>
      </c>
      <c r="G19" s="147" t="s">
        <v>22</v>
      </c>
      <c r="H19" s="147" t="s">
        <v>22</v>
      </c>
    </row>
    <row r="20" spans="1:8" hidden="1" outlineLevel="1">
      <c r="A20" s="66">
        <v>1975</v>
      </c>
      <c r="B20" s="58">
        <f>'4'!B20/'4'!$B20*100</f>
        <v>100</v>
      </c>
      <c r="C20" s="147">
        <f>'4'!D20/'4'!$B20*100</f>
        <v>3.6655534769510036</v>
      </c>
      <c r="D20" s="147">
        <f>'4'!E20/'4'!$B20*100</f>
        <v>0.93303965270738842</v>
      </c>
      <c r="E20" s="147">
        <f>'4'!F20/'4'!$B20*100</f>
        <v>1.3468659269141163</v>
      </c>
      <c r="F20" s="147">
        <f>'4'!G20/'4'!$B20*100</f>
        <v>1.3856478973294992</v>
      </c>
      <c r="G20" s="147" t="s">
        <v>22</v>
      </c>
      <c r="H20" s="147" t="s">
        <v>22</v>
      </c>
    </row>
    <row r="21" spans="1:8" hidden="1" outlineLevel="1">
      <c r="A21" s="66">
        <v>1976</v>
      </c>
      <c r="B21" s="58">
        <f>'4'!B21/'4'!$B21*100</f>
        <v>100</v>
      </c>
      <c r="C21" s="147">
        <f>'4'!D21/'4'!$B21*100</f>
        <v>3.8048703033076565</v>
      </c>
      <c r="D21" s="147">
        <f>'4'!E21/'4'!$B21*100</f>
        <v>0.84666187621093203</v>
      </c>
      <c r="E21" s="147">
        <f>'4'!F21/'4'!$B21*100</f>
        <v>1.4586731442304175</v>
      </c>
      <c r="F21" s="147">
        <f>'4'!G21/'4'!$B21*100</f>
        <v>1.4995352828663071</v>
      </c>
      <c r="G21" s="147" t="s">
        <v>22</v>
      </c>
      <c r="H21" s="147" t="s">
        <v>22</v>
      </c>
    </row>
    <row r="22" spans="1:8" hidden="1" outlineLevel="1">
      <c r="A22" s="66">
        <v>1977</v>
      </c>
      <c r="B22" s="58">
        <f>'4'!B22/'4'!$B22*100</f>
        <v>100</v>
      </c>
      <c r="C22" s="147">
        <f>'4'!D22/'4'!$B22*100</f>
        <v>3.7779674449380232</v>
      </c>
      <c r="D22" s="147">
        <f>'4'!E22/'4'!$B22*100</f>
        <v>0.85810193102055565</v>
      </c>
      <c r="E22" s="147">
        <f>'4'!F22/'4'!$B22*100</f>
        <v>1.4960135168618973</v>
      </c>
      <c r="F22" s="147">
        <f>'4'!G22/'4'!$B22*100</f>
        <v>1.4238519970555705</v>
      </c>
      <c r="G22" s="147" t="s">
        <v>22</v>
      </c>
      <c r="H22" s="147" t="s">
        <v>22</v>
      </c>
    </row>
    <row r="23" spans="1:8" hidden="1" outlineLevel="1">
      <c r="A23" s="66">
        <v>1978</v>
      </c>
      <c r="B23" s="58">
        <f>'4'!B23/'4'!$B23*100</f>
        <v>100</v>
      </c>
      <c r="C23" s="147">
        <f>'4'!D23/'4'!$B23*100</f>
        <v>3.8978802794572776</v>
      </c>
      <c r="D23" s="147">
        <f>'4'!E23/'4'!$B23*100</f>
        <v>0.94026480852756145</v>
      </c>
      <c r="E23" s="147">
        <f>'4'!F23/'4'!$B23*100</f>
        <v>1.5435500993708646</v>
      </c>
      <c r="F23" s="147">
        <f>'4'!G23/'4'!$B23*100</f>
        <v>1.4140653715588514</v>
      </c>
      <c r="G23" s="147" t="s">
        <v>22</v>
      </c>
      <c r="H23" s="147" t="s">
        <v>22</v>
      </c>
    </row>
    <row r="24" spans="1:8" hidden="1" outlineLevel="1">
      <c r="A24" s="66">
        <v>1979</v>
      </c>
      <c r="B24" s="58">
        <f>'4'!B24/'4'!$B24*100</f>
        <v>100</v>
      </c>
      <c r="C24" s="147">
        <f>'4'!D24/'4'!$B24*100</f>
        <v>3.8915378660527611</v>
      </c>
      <c r="D24" s="147">
        <f>'4'!E24/'4'!$B24*100</f>
        <v>0.97781747037323352</v>
      </c>
      <c r="E24" s="147">
        <f>'4'!F24/'4'!$B24*100</f>
        <v>1.5291554600972477</v>
      </c>
      <c r="F24" s="147">
        <f>'4'!G24/'4'!$B24*100</f>
        <v>1.3845649355822798</v>
      </c>
      <c r="G24" s="147" t="s">
        <v>22</v>
      </c>
      <c r="H24" s="147" t="s">
        <v>22</v>
      </c>
    </row>
    <row r="25" spans="1:8" hidden="1" outlineLevel="1">
      <c r="A25" s="66">
        <v>1980</v>
      </c>
      <c r="B25" s="58">
        <f>'4'!B25/'4'!$B25*100</f>
        <v>100</v>
      </c>
      <c r="C25" s="147">
        <f>'4'!D25/'4'!$B25*100</f>
        <v>3.6859271123039168</v>
      </c>
      <c r="D25" s="147">
        <f>'4'!E25/'4'!$B25*100</f>
        <v>0.90691228455272443</v>
      </c>
      <c r="E25" s="147">
        <f>'4'!F25/'4'!$B25*100</f>
        <v>1.4114264900685431</v>
      </c>
      <c r="F25" s="147">
        <f>'4'!G25/'4'!$B25*100</f>
        <v>1.3675883376826496</v>
      </c>
      <c r="G25" s="147" t="s">
        <v>22</v>
      </c>
      <c r="H25" s="147" t="s">
        <v>22</v>
      </c>
    </row>
    <row r="26" spans="1:8" collapsed="1">
      <c r="A26" s="66">
        <v>1981</v>
      </c>
      <c r="B26" s="58">
        <f>'4'!B26/'4'!$B26*100</f>
        <v>100</v>
      </c>
      <c r="C26" s="147">
        <f>IFERROR('4'!D26/'4'!$B26*100,"..")</f>
        <v>3.3792414428545872</v>
      </c>
      <c r="D26" s="147">
        <f>IFERROR('4'!E26/'4'!$B26*100,"..")</f>
        <v>0.78092383293613021</v>
      </c>
      <c r="E26" s="147">
        <f>IFERROR('4'!F26/'4'!$B26*100,"..")</f>
        <v>1.2608288101465919</v>
      </c>
      <c r="F26" s="147">
        <f>IFERROR('4'!G26/'4'!$B26*100,"..")</f>
        <v>1.3374887997718652</v>
      </c>
      <c r="G26" s="147" t="str">
        <f>IFERROR('4'!H26/'4'!$B26*100,"..")</f>
        <v>..</v>
      </c>
      <c r="H26" s="147" t="str">
        <f>IFERROR('4'!I26/'4'!$B26*100,"..")</f>
        <v>..</v>
      </c>
    </row>
    <row r="27" spans="1:8">
      <c r="A27" s="66">
        <v>1982</v>
      </c>
      <c r="B27" s="58">
        <f>'4'!B27/'4'!$B27*100</f>
        <v>100</v>
      </c>
      <c r="C27" s="147">
        <f>IFERROR('4'!D27/'4'!$B27*100,"..")</f>
        <v>3.0441667279945941</v>
      </c>
      <c r="D27" s="147">
        <f>IFERROR('4'!E27/'4'!$B27*100,"..")</f>
        <v>0.70193194937591274</v>
      </c>
      <c r="E27" s="147">
        <f>IFERROR('4'!F27/'4'!$B27*100,"..")</f>
        <v>1.0982416610919861</v>
      </c>
      <c r="F27" s="147">
        <f>IFERROR('4'!G27/'4'!$B27*100,"..")</f>
        <v>1.2439931175266947</v>
      </c>
      <c r="G27" s="147" t="str">
        <f>IFERROR('4'!H27/'4'!$B27*100,"..")</f>
        <v>..</v>
      </c>
      <c r="H27" s="147" t="str">
        <f>IFERROR('4'!I27/'4'!$B27*100,"..")</f>
        <v>..</v>
      </c>
    </row>
    <row r="28" spans="1:8">
      <c r="A28" s="66">
        <v>1983</v>
      </c>
      <c r="B28" s="58">
        <f>'4'!B28/'4'!$B28*100</f>
        <v>100</v>
      </c>
      <c r="C28" s="147">
        <f>IFERROR('4'!D28/'4'!$B28*100,"..")</f>
        <v>3.0561791785978336</v>
      </c>
      <c r="D28" s="147">
        <f>IFERROR('4'!E28/'4'!$B28*100,"..")</f>
        <v>0.73279102776806826</v>
      </c>
      <c r="E28" s="147">
        <f>IFERROR('4'!F28/'4'!$B28*100,"..")</f>
        <v>1.1273088543906353</v>
      </c>
      <c r="F28" s="147">
        <f>IFERROR('4'!G28/'4'!$B28*100,"..")</f>
        <v>1.1960792964391298</v>
      </c>
      <c r="G28" s="147" t="str">
        <f>IFERROR('4'!H28/'4'!$B28*100,"..")</f>
        <v>..</v>
      </c>
      <c r="H28" s="147" t="str">
        <f>IFERROR('4'!I28/'4'!$B28*100,"..")</f>
        <v>..</v>
      </c>
    </row>
    <row r="29" spans="1:8">
      <c r="A29" s="66">
        <v>1984</v>
      </c>
      <c r="B29" s="58">
        <f>'4'!B29/'4'!$B29*100</f>
        <v>100</v>
      </c>
      <c r="C29" s="147">
        <f>IFERROR('4'!D29/'4'!$B29*100,"..")</f>
        <v>2.9879781229445843</v>
      </c>
      <c r="D29" s="147">
        <f>IFERROR('4'!E29/'4'!$B29*100,"..")</f>
        <v>0.7311962429348996</v>
      </c>
      <c r="E29" s="147">
        <f>IFERROR('4'!F29/'4'!$B29*100,"..")</f>
        <v>1.0820605823632234</v>
      </c>
      <c r="F29" s="147">
        <f>IFERROR('4'!G29/'4'!$B29*100,"..")</f>
        <v>1.1747212976464614</v>
      </c>
      <c r="G29" s="147" t="str">
        <f>IFERROR('4'!H29/'4'!$B29*100,"..")</f>
        <v>..</v>
      </c>
      <c r="H29" s="147" t="str">
        <f>IFERROR('4'!I29/'4'!$B29*100,"..")</f>
        <v>..</v>
      </c>
    </row>
    <row r="30" spans="1:8">
      <c r="A30" s="66">
        <v>1985</v>
      </c>
      <c r="B30" s="58">
        <f>'4'!B30/'4'!$B30*100</f>
        <v>100</v>
      </c>
      <c r="C30" s="147">
        <f>IFERROR('4'!D30/'4'!$B30*100,"..")</f>
        <v>2.847423950260231</v>
      </c>
      <c r="D30" s="147">
        <f>IFERROR('4'!E30/'4'!$B30*100,"..")</f>
        <v>0.67579782462358329</v>
      </c>
      <c r="E30" s="147">
        <f>IFERROR('4'!F30/'4'!$B30*100,"..")</f>
        <v>1.0665815515103827</v>
      </c>
      <c r="F30" s="147">
        <f>IFERROR('4'!G30/'4'!$B30*100,"..")</f>
        <v>1.1050445741262647</v>
      </c>
      <c r="G30" s="147" t="str">
        <f>IFERROR('4'!H30/'4'!$B30*100,"..")</f>
        <v>..</v>
      </c>
      <c r="H30" s="147" t="str">
        <f>IFERROR('4'!I30/'4'!$B30*100,"..")</f>
        <v>..</v>
      </c>
    </row>
    <row r="31" spans="1:8">
      <c r="A31" s="66">
        <v>1986</v>
      </c>
      <c r="B31" s="58">
        <f>'4'!B31/'4'!$B31*100</f>
        <v>100</v>
      </c>
      <c r="C31" s="147">
        <f>IFERROR('4'!D31/'4'!$B31*100,"..")</f>
        <v>2.8596923975206421</v>
      </c>
      <c r="D31" s="147">
        <f>IFERROR('4'!E31/'4'!$B31*100,"..")</f>
        <v>0.65635288567360817</v>
      </c>
      <c r="E31" s="147">
        <f>IFERROR('4'!F31/'4'!$B31*100,"..")</f>
        <v>1.0863032698073765</v>
      </c>
      <c r="F31" s="147">
        <f>IFERROR('4'!G31/'4'!$B31*100,"..")</f>
        <v>1.1170362420396578</v>
      </c>
      <c r="G31" s="147" t="str">
        <f>IFERROR('4'!H31/'4'!$B31*100,"..")</f>
        <v>..</v>
      </c>
      <c r="H31" s="147" t="str">
        <f>IFERROR('4'!I31/'4'!$B31*100,"..")</f>
        <v>..</v>
      </c>
    </row>
    <row r="32" spans="1:8">
      <c r="A32" s="66">
        <v>1987</v>
      </c>
      <c r="B32" s="58">
        <f>'4'!B32/'4'!$B32*100</f>
        <v>100</v>
      </c>
      <c r="C32" s="147">
        <f>IFERROR('4'!D32/'4'!$B32*100,"..")</f>
        <v>2.9527822462869664</v>
      </c>
      <c r="D32" s="147">
        <f>IFERROR('4'!E32/'4'!$B32*100,"..")</f>
        <v>0.68005129708628309</v>
      </c>
      <c r="E32" s="147">
        <f>IFERROR('4'!F32/'4'!$B32*100,"..")</f>
        <v>1.1437005954028447</v>
      </c>
      <c r="F32" s="147">
        <f>IFERROR('4'!G32/'4'!$B32*100,"..")</f>
        <v>1.129030353797839</v>
      </c>
      <c r="G32" s="147" t="str">
        <f>IFERROR('4'!H32/'4'!$B32*100,"..")</f>
        <v>..</v>
      </c>
      <c r="H32" s="147" t="str">
        <f>IFERROR('4'!I32/'4'!$B32*100,"..")</f>
        <v>..</v>
      </c>
    </row>
    <row r="33" spans="1:10">
      <c r="A33" s="66">
        <v>1988</v>
      </c>
      <c r="B33" s="58">
        <f>'4'!B33/'4'!$B33*100</f>
        <v>100</v>
      </c>
      <c r="C33" s="147">
        <f>IFERROR('4'!D33/'4'!$B33*100,"..")</f>
        <v>2.8176130669219566</v>
      </c>
      <c r="D33" s="147">
        <f>IFERROR('4'!E33/'4'!$B33*100,"..")</f>
        <v>0.63771292846316197</v>
      </c>
      <c r="E33" s="147">
        <f>IFERROR('4'!F33/'4'!$B33*100,"..")</f>
        <v>1.1048282911474372</v>
      </c>
      <c r="F33" s="147">
        <f>IFERROR('4'!G33/'4'!$B33*100,"..")</f>
        <v>1.0750718473113572</v>
      </c>
      <c r="G33" s="147" t="str">
        <f>IFERROR('4'!H33/'4'!$B33*100,"..")</f>
        <v>..</v>
      </c>
      <c r="H33" s="147" t="str">
        <f>IFERROR('4'!I33/'4'!$B33*100,"..")</f>
        <v>..</v>
      </c>
    </row>
    <row r="34" spans="1:10">
      <c r="A34" s="66">
        <v>1989</v>
      </c>
      <c r="B34" s="58">
        <f>'4'!B34/'4'!$B34*100</f>
        <v>100</v>
      </c>
      <c r="C34" s="147">
        <f>IFERROR('4'!D34/'4'!$B34*100,"..")</f>
        <v>2.7545293370476722</v>
      </c>
      <c r="D34" s="147">
        <f>IFERROR('4'!E34/'4'!$B34*100,"..")</f>
        <v>0.62833426176921392</v>
      </c>
      <c r="E34" s="147">
        <f>IFERROR('4'!F34/'4'!$B34*100,"..")</f>
        <v>1.0755351678747331</v>
      </c>
      <c r="F34" s="147">
        <f>IFERROR('4'!G34/'4'!$B34*100,"..")</f>
        <v>1.0506599074037248</v>
      </c>
      <c r="G34" s="147" t="str">
        <f>IFERROR('4'!H34/'4'!$B34*100,"..")</f>
        <v>..</v>
      </c>
      <c r="H34" s="147" t="str">
        <f>IFERROR('4'!I34/'4'!$B34*100,"..")</f>
        <v>..</v>
      </c>
    </row>
    <row r="35" spans="1:10">
      <c r="A35" s="66">
        <v>1990</v>
      </c>
      <c r="B35" s="58">
        <f>'4'!B35/'4'!$B35*100</f>
        <v>100</v>
      </c>
      <c r="C35" s="147">
        <f>IFERROR('4'!D35/'4'!$B35*100,"..")</f>
        <v>2.5466061875778099</v>
      </c>
      <c r="D35" s="147">
        <f>IFERROR('4'!E35/'4'!$B35*100,"..")</f>
        <v>0.56772812540236617</v>
      </c>
      <c r="E35" s="147">
        <f>IFERROR('4'!F35/'4'!$B35*100,"..")</f>
        <v>0.96974454868786064</v>
      </c>
      <c r="F35" s="147">
        <f>IFERROR('4'!G35/'4'!$B35*100,"..")</f>
        <v>1.0091335134875827</v>
      </c>
      <c r="G35" s="147" t="str">
        <f>IFERROR('4'!H35/'4'!$B35*100,"..")</f>
        <v>..</v>
      </c>
      <c r="H35" s="147" t="str">
        <f>IFERROR('4'!I35/'4'!$B35*100,"..")</f>
        <v>..</v>
      </c>
    </row>
    <row r="36" spans="1:10">
      <c r="A36" s="66">
        <v>1991</v>
      </c>
      <c r="B36" s="58">
        <f>'4'!B36/'4'!$B36*100</f>
        <v>100</v>
      </c>
      <c r="C36" s="147">
        <f>IFERROR('4'!D36/'4'!$B36*100,"..")</f>
        <v>2.4240520465452513</v>
      </c>
      <c r="D36" s="147">
        <f>IFERROR('4'!E36/'4'!$B36*100,"..")</f>
        <v>0.5734722574349983</v>
      </c>
      <c r="E36" s="147">
        <f>IFERROR('4'!F36/'4'!$B36*100,"..")</f>
        <v>0.85898770977537298</v>
      </c>
      <c r="F36" s="147">
        <f>IFERROR('4'!G36/'4'!$B36*100,"..")</f>
        <v>0.99159207933488003</v>
      </c>
      <c r="G36" s="147" t="str">
        <f>IFERROR('4'!H36/'4'!$B36*100,"..")</f>
        <v>..</v>
      </c>
      <c r="H36" s="147" t="str">
        <f>IFERROR('4'!I36/'4'!$B36*100,"..")</f>
        <v>..</v>
      </c>
    </row>
    <row r="37" spans="1:10">
      <c r="A37" s="66">
        <v>1992</v>
      </c>
      <c r="B37" s="58">
        <f>'4'!B37/'4'!$B37*100</f>
        <v>100</v>
      </c>
      <c r="C37" s="147">
        <f>IFERROR('4'!D37/'4'!$B37*100,"..")</f>
        <v>2.4339736085147834</v>
      </c>
      <c r="D37" s="147">
        <f>IFERROR('4'!E37/'4'!$B37*100,"..")</f>
        <v>0.54887635246092525</v>
      </c>
      <c r="E37" s="147">
        <f>IFERROR('4'!F37/'4'!$B37*100,"..")</f>
        <v>0.91824865574148284</v>
      </c>
      <c r="F37" s="147">
        <f>IFERROR('4'!G37/'4'!$B37*100,"..")</f>
        <v>0.96684860031237518</v>
      </c>
      <c r="G37" s="147" t="str">
        <f>IFERROR('4'!H37/'4'!$B37*100,"..")</f>
        <v>..</v>
      </c>
      <c r="H37" s="147" t="str">
        <f>IFERROR('4'!I37/'4'!$B37*100,"..")</f>
        <v>..</v>
      </c>
    </row>
    <row r="38" spans="1:10">
      <c r="A38" s="66">
        <v>1993</v>
      </c>
      <c r="B38" s="58">
        <f>'4'!B38/'4'!$B38*100</f>
        <v>100</v>
      </c>
      <c r="C38" s="147">
        <f>IFERROR('4'!D38/'4'!$B38*100,"..")</f>
        <v>2.4945101106773615</v>
      </c>
      <c r="D38" s="147">
        <f>IFERROR('4'!E38/'4'!$B38*100,"..")</f>
        <v>0.5683419127428696</v>
      </c>
      <c r="E38" s="147">
        <f>IFERROR('4'!F38/'4'!$B38*100,"..")</f>
        <v>1.0068066955725314</v>
      </c>
      <c r="F38" s="147">
        <f>IFERROR('4'!G38/'4'!$B38*100,"..")</f>
        <v>0.91936150236196035</v>
      </c>
      <c r="G38" s="147" t="str">
        <f>IFERROR('4'!H38/'4'!$B38*100,"..")</f>
        <v>..</v>
      </c>
      <c r="H38" s="147" t="str">
        <f>IFERROR('4'!I38/'4'!$B38*100,"..")</f>
        <v>..</v>
      </c>
    </row>
    <row r="39" spans="1:10">
      <c r="A39" s="66">
        <v>1994</v>
      </c>
      <c r="B39" s="58">
        <f>'4'!B39/'4'!$B39*100</f>
        <v>100</v>
      </c>
      <c r="C39" s="147">
        <f>IFERROR('4'!D39/'4'!$B39*100,"..")</f>
        <v>2.56922671185428</v>
      </c>
      <c r="D39" s="147">
        <f>IFERROR('4'!E39/'4'!$B39*100,"..")</f>
        <v>0.5790185781805901</v>
      </c>
      <c r="E39" s="147">
        <f>IFERROR('4'!F39/'4'!$B39*100,"..")</f>
        <v>1.0773361769232765</v>
      </c>
      <c r="F39" s="147">
        <f>IFERROR('4'!G39/'4'!$B39*100,"..")</f>
        <v>0.9128719567504131</v>
      </c>
      <c r="G39" s="147" t="str">
        <f>IFERROR('4'!H39/'4'!$B39*100,"..")</f>
        <v>..</v>
      </c>
      <c r="H39" s="147" t="str">
        <f>IFERROR('4'!I39/'4'!$B39*100,"..")</f>
        <v>..</v>
      </c>
    </row>
    <row r="40" spans="1:10">
      <c r="A40" s="66">
        <v>1995</v>
      </c>
      <c r="B40" s="58">
        <f>'4'!B40/'4'!$B40*100</f>
        <v>100</v>
      </c>
      <c r="C40" s="147">
        <f>IFERROR('4'!D40/'4'!$B40*100,"..")</f>
        <v>2.683873877883201</v>
      </c>
      <c r="D40" s="147">
        <f>IFERROR('4'!E40/'4'!$B40*100,"..")</f>
        <v>0.66061174065115391</v>
      </c>
      <c r="E40" s="147">
        <f>IFERROR('4'!F40/'4'!$B40*100,"..")</f>
        <v>1.0779762375509763</v>
      </c>
      <c r="F40" s="147">
        <f>IFERROR('4'!G40/'4'!$B40*100,"..")</f>
        <v>0.94528589968107068</v>
      </c>
      <c r="G40" s="147" t="str">
        <f>IFERROR('4'!H40/'4'!$B40*100,"..")</f>
        <v>..</v>
      </c>
      <c r="H40" s="147" t="str">
        <f>IFERROR('4'!I40/'4'!$B40*100,"..")</f>
        <v>..</v>
      </c>
    </row>
    <row r="41" spans="1:10">
      <c r="A41" s="66">
        <v>1996</v>
      </c>
      <c r="B41" s="58">
        <f>'4'!B41/'4'!$B41*100</f>
        <v>100</v>
      </c>
      <c r="C41" s="147">
        <f>IFERROR('4'!D41/'4'!$B41*100,"..")</f>
        <v>2.5650293094346672</v>
      </c>
      <c r="D41" s="147">
        <f>IFERROR('4'!E41/'4'!$B41*100,"..")</f>
        <v>0.5705723951554782</v>
      </c>
      <c r="E41" s="147">
        <f>IFERROR('4'!F41/'4'!$B41*100,"..")</f>
        <v>1.0972928677627967</v>
      </c>
      <c r="F41" s="147">
        <f>IFERROR('4'!G41/'4'!$B41*100,"..")</f>
        <v>0.89716404651639259</v>
      </c>
      <c r="G41" s="147" t="str">
        <f>IFERROR('4'!H41/'4'!$B41*100,"..")</f>
        <v>..</v>
      </c>
      <c r="H41" s="147" t="str">
        <f>IFERROR('4'!I41/'4'!$B41*100,"..")</f>
        <v>..</v>
      </c>
    </row>
    <row r="42" spans="1:10">
      <c r="A42" s="66">
        <v>1997</v>
      </c>
      <c r="B42" s="58">
        <f>'4'!B42/'4'!$B42*100</f>
        <v>100</v>
      </c>
      <c r="C42" s="147">
        <f>IFERROR('4'!D42/'4'!$B42*100,"..")</f>
        <v>2.5280932959438149</v>
      </c>
      <c r="D42" s="147">
        <f>IFERROR('4'!E42/'4'!$B42*100,"..")</f>
        <v>0.55089966342786045</v>
      </c>
      <c r="E42" s="147">
        <f>IFERROR('4'!F42/'4'!$B42*100,"..")</f>
        <v>1.1180454829098807</v>
      </c>
      <c r="F42" s="147">
        <f>IFERROR('4'!G42/'4'!$B42*100,"..")</f>
        <v>0.85914814960607377</v>
      </c>
      <c r="G42" s="147">
        <f>IFERROR('4'!H42/'4'!$B42*100,"..")</f>
        <v>0.58853372174607443</v>
      </c>
      <c r="H42" s="147">
        <f>IFERROR('4'!I42/'4'!$B42*100,"..")</f>
        <v>0.27061442785999923</v>
      </c>
    </row>
    <row r="43" spans="1:10">
      <c r="A43" s="66">
        <v>1998</v>
      </c>
      <c r="B43" s="58">
        <f>'4'!B43/'4'!$B43*100</f>
        <v>100</v>
      </c>
      <c r="C43" s="147">
        <f>IFERROR('4'!D43/'4'!$B43*100,"..")</f>
        <v>2.3455261719315184</v>
      </c>
      <c r="D43" s="147">
        <f>IFERROR('4'!E43/'4'!$B43*100,"..")</f>
        <v>0.50835130949474738</v>
      </c>
      <c r="E43" s="147">
        <f>IFERROR('4'!F43/'4'!$B43*100,"..")</f>
        <v>1.0482453805094885</v>
      </c>
      <c r="F43" s="147">
        <f>IFERROR('4'!G43/'4'!$B43*100,"..")</f>
        <v>0.78892948192728263</v>
      </c>
      <c r="G43" s="147">
        <f>IFERROR('4'!H43/'4'!$B43*100,"..")</f>
        <v>0.51902750191084257</v>
      </c>
      <c r="H43" s="147">
        <f>IFERROR('4'!I43/'4'!$B43*100,"..")</f>
        <v>0.26990198001644017</v>
      </c>
      <c r="J43" s="242"/>
    </row>
    <row r="44" spans="1:10">
      <c r="A44" s="66">
        <v>1999</v>
      </c>
      <c r="B44" s="58">
        <f>'4'!B44/'4'!$B44*100</f>
        <v>100</v>
      </c>
      <c r="C44" s="147">
        <f>IFERROR('4'!D44/'4'!$B44*100,"..")</f>
        <v>2.4546521337655767</v>
      </c>
      <c r="D44" s="147">
        <f>IFERROR('4'!E44/'4'!$B44*100,"..")</f>
        <v>0.53563064238952363</v>
      </c>
      <c r="E44" s="147">
        <f>IFERROR('4'!F44/'4'!$B44*100,"..")</f>
        <v>1.1166455509069422</v>
      </c>
      <c r="F44" s="147">
        <f>IFERROR('4'!G44/'4'!$B44*100,"..")</f>
        <v>0.80237594046911109</v>
      </c>
      <c r="G44" s="147">
        <f>IFERROR('4'!H44/'4'!$B44*100,"..")</f>
        <v>0.5270666359570032</v>
      </c>
      <c r="H44" s="147">
        <f>IFERROR('4'!I44/'4'!$B44*100,"..")</f>
        <v>0.27530930451210789</v>
      </c>
      <c r="J44" s="242"/>
    </row>
    <row r="45" spans="1:10">
      <c r="A45" s="66">
        <v>2000</v>
      </c>
      <c r="B45" s="58">
        <f>'4'!B45/'4'!$B45*100</f>
        <v>100</v>
      </c>
      <c r="C45" s="147">
        <f>IFERROR('4'!D45/'4'!$B45*100,"..")</f>
        <v>2.3776248386604628</v>
      </c>
      <c r="D45" s="147">
        <f>IFERROR('4'!E45/'4'!$B45*100,"..")</f>
        <v>0.49918803742796469</v>
      </c>
      <c r="E45" s="147">
        <f>IFERROR('4'!F45/'4'!$B45*100,"..")</f>
        <v>1.1042316587716763</v>
      </c>
      <c r="F45" s="147">
        <f>IFERROR('4'!G45/'4'!$B45*100,"..")</f>
        <v>0.77420514246082228</v>
      </c>
      <c r="G45" s="147">
        <f>IFERROR('4'!H45/'4'!$B45*100,"..")</f>
        <v>0.50272978540788604</v>
      </c>
      <c r="H45" s="147">
        <f>IFERROR('4'!I45/'4'!$B45*100,"..")</f>
        <v>0.27147535705293624</v>
      </c>
      <c r="J45" s="242"/>
    </row>
    <row r="46" spans="1:10">
      <c r="A46" s="66">
        <v>2001</v>
      </c>
      <c r="B46" s="58">
        <f>'4'!B46/'4'!$B46*100</f>
        <v>100</v>
      </c>
      <c r="C46" s="147">
        <f>IFERROR('4'!D46/'4'!$B46*100,"..")</f>
        <v>2.1841587470525456</v>
      </c>
      <c r="D46" s="147">
        <f>IFERROR('4'!E46/'4'!$B46*100,"..")</f>
        <v>0.44433358188084893</v>
      </c>
      <c r="E46" s="147">
        <f>IFERROR('4'!F46/'4'!$B46*100,"..")</f>
        <v>0.97191457736761611</v>
      </c>
      <c r="F46" s="147">
        <f>IFERROR('4'!G46/'4'!$B46*100,"..")</f>
        <v>0.76791058780408084</v>
      </c>
      <c r="G46" s="147">
        <f>IFERROR('4'!H46/'4'!$B46*100,"..")</f>
        <v>0.48467882100492249</v>
      </c>
      <c r="H46" s="147">
        <f>IFERROR('4'!I46/'4'!$B46*100,"..")</f>
        <v>0.2832317667991584</v>
      </c>
      <c r="J46" s="242"/>
    </row>
    <row r="47" spans="1:10">
      <c r="A47" s="66">
        <v>2002</v>
      </c>
      <c r="B47" s="58">
        <f>'4'!B47/'4'!$B47*100</f>
        <v>100</v>
      </c>
      <c r="C47" s="147">
        <f>IFERROR('4'!D47/'4'!$B47*100,"..")</f>
        <v>2.1018236597679087</v>
      </c>
      <c r="D47" s="147">
        <f>IFERROR('4'!E47/'4'!$B47*100,"..")</f>
        <v>0.44496811607138886</v>
      </c>
      <c r="E47" s="147">
        <f>IFERROR('4'!F47/'4'!$B47*100,"..")</f>
        <v>0.94298757783863218</v>
      </c>
      <c r="F47" s="147">
        <f>IFERROR('4'!G47/'4'!$B47*100,"..")</f>
        <v>0.7138679658578877</v>
      </c>
      <c r="G47" s="147">
        <f>IFERROR('4'!H47/'4'!$B47*100,"..")</f>
        <v>0.43783627415814941</v>
      </c>
      <c r="H47" s="147">
        <f>IFERROR('4'!I47/'4'!$B47*100,"..")</f>
        <v>0.27603169169973812</v>
      </c>
    </row>
    <row r="48" spans="1:10">
      <c r="A48" s="66">
        <v>2003</v>
      </c>
      <c r="B48" s="58">
        <f>'4'!B48/'4'!$B48*100</f>
        <v>100</v>
      </c>
      <c r="C48" s="147">
        <f>IFERROR('4'!D48/'4'!$B48*100,"..")</f>
        <v>2.0735270991959731</v>
      </c>
      <c r="D48" s="147">
        <f>IFERROR('4'!E48/'4'!$B48*100,"..")</f>
        <v>0.44487282037307824</v>
      </c>
      <c r="E48" s="147">
        <f>IFERROR('4'!F48/'4'!$B48*100,"..")</f>
        <v>0.91984567746305845</v>
      </c>
      <c r="F48" s="147">
        <f>IFERROR('4'!G48/'4'!$B48*100,"..")</f>
        <v>0.70880860135983648</v>
      </c>
      <c r="G48" s="147">
        <f>IFERROR('4'!H48/'4'!$B48*100,"..")</f>
        <v>0.43543102086387792</v>
      </c>
      <c r="H48" s="147">
        <f>IFERROR('4'!I48/'4'!$B48*100,"..")</f>
        <v>0.27337758049595851</v>
      </c>
    </row>
    <row r="49" spans="1:8">
      <c r="A49" s="66">
        <v>2004</v>
      </c>
      <c r="B49" s="58">
        <f>'4'!B49/'4'!$B49*100</f>
        <v>100</v>
      </c>
      <c r="C49" s="147">
        <f>IFERROR('4'!D49/'4'!$B49*100,"..")</f>
        <v>2.033364538660861</v>
      </c>
      <c r="D49" s="147">
        <f>IFERROR('4'!E49/'4'!$B49*100,"..")</f>
        <v>0.41425954131695886</v>
      </c>
      <c r="E49" s="147">
        <f>IFERROR('4'!F49/'4'!$B49*100,"..")</f>
        <v>0.90958473869006751</v>
      </c>
      <c r="F49" s="147">
        <f>IFERROR('4'!G49/'4'!$B49*100,"..")</f>
        <v>0.70952025865383461</v>
      </c>
      <c r="G49" s="147">
        <f>IFERROR('4'!H49/'4'!$B49*100,"..")</f>
        <v>0.43783284996821853</v>
      </c>
      <c r="H49" s="147">
        <f>IFERROR('4'!I49/'4'!$B49*100,"..")</f>
        <v>0.27168740868561603</v>
      </c>
    </row>
    <row r="50" spans="1:8">
      <c r="A50" s="66">
        <v>2005</v>
      </c>
      <c r="B50" s="58">
        <f>'4'!B50/'4'!$B50*100</f>
        <v>100</v>
      </c>
      <c r="C50" s="147">
        <f>IFERROR('4'!D50/'4'!$B50*100,"..")</f>
        <v>1.9598649363353351</v>
      </c>
      <c r="D50" s="147">
        <f>IFERROR('4'!E50/'4'!$B50*100,"..")</f>
        <v>0.39711145408833171</v>
      </c>
      <c r="E50" s="147">
        <f>IFERROR('4'!F50/'4'!$B50*100,"..")</f>
        <v>0.87868763935883343</v>
      </c>
      <c r="F50" s="147">
        <f>IFERROR('4'!G50/'4'!$B50*100,"..")</f>
        <v>0.68406584288817018</v>
      </c>
      <c r="G50" s="147">
        <f>IFERROR('4'!H50/'4'!$B50*100,"..")</f>
        <v>0.41311703175353104</v>
      </c>
      <c r="H50" s="147">
        <f>IFERROR('4'!I50/'4'!$B50*100,"..")</f>
        <v>0.27094881113463914</v>
      </c>
    </row>
    <row r="51" spans="1:8">
      <c r="A51" s="66">
        <v>2006</v>
      </c>
      <c r="B51" s="58">
        <f>'4'!B51/'4'!$B51*100</f>
        <v>100</v>
      </c>
      <c r="C51" s="147">
        <f>IFERROR('4'!D51/'4'!$B51*100,"..")</f>
        <v>1.8166850729159325</v>
      </c>
      <c r="D51" s="147">
        <f>IFERROR('4'!E51/'4'!$B51*100,"..")</f>
        <v>0.36652539186129612</v>
      </c>
      <c r="E51" s="147">
        <f>IFERROR('4'!F51/'4'!$B51*100,"..")</f>
        <v>0.80705411740873323</v>
      </c>
      <c r="F51" s="147">
        <f>IFERROR('4'!G51/'4'!$B51*100,"..")</f>
        <v>0.64310556364590288</v>
      </c>
      <c r="G51" s="147">
        <f>IFERROR('4'!H51/'4'!$B51*100,"..")</f>
        <v>0.38822857456697479</v>
      </c>
      <c r="H51" s="147">
        <f>IFERROR('4'!I51/'4'!$B51*100,"..")</f>
        <v>0.25487698907892808</v>
      </c>
    </row>
    <row r="52" spans="1:8">
      <c r="A52" s="66">
        <v>2007</v>
      </c>
      <c r="B52" s="58">
        <f>'4'!B52/'4'!$B52*100</f>
        <v>100</v>
      </c>
      <c r="C52" s="147">
        <f>IFERROR('4'!D52/'4'!$B52*100,"..")</f>
        <v>1.6487865703160025</v>
      </c>
      <c r="D52" s="147">
        <f>IFERROR('4'!E52/'4'!$B52*100,"..")</f>
        <v>0.34179102059333433</v>
      </c>
      <c r="E52" s="147">
        <f>IFERROR('4'!F52/'4'!$B52*100,"..")</f>
        <v>0.69445119547195089</v>
      </c>
      <c r="F52" s="147">
        <f>IFERROR('4'!G52/'4'!$B52*100,"..")</f>
        <v>0.61254435425071707</v>
      </c>
      <c r="G52" s="147">
        <f>IFERROR('4'!H52/'4'!$B52*100,"..")</f>
        <v>0.37131326387876235</v>
      </c>
      <c r="H52" s="147">
        <f>IFERROR('4'!I52/'4'!$B52*100,"..")</f>
        <v>0.24123109037195462</v>
      </c>
    </row>
    <row r="53" spans="1:8">
      <c r="A53" s="66">
        <v>2008</v>
      </c>
      <c r="B53" s="58">
        <f>'4'!B53/'4'!$B53*100</f>
        <v>100</v>
      </c>
      <c r="C53" s="147">
        <f>IFERROR('4'!D53/'4'!$B53*100,"..")</f>
        <v>1.4243736009188614</v>
      </c>
      <c r="D53" s="147">
        <f>IFERROR('4'!E53/'4'!$B53*100,"..")</f>
        <v>0.25430008585282005</v>
      </c>
      <c r="E53" s="147">
        <f>IFERROR('4'!F53/'4'!$B53*100,"..")</f>
        <v>0.60379744823892223</v>
      </c>
      <c r="F53" s="147">
        <f>IFERROR('4'!G53/'4'!$B53*100,"..")</f>
        <v>0.5662760668271194</v>
      </c>
      <c r="G53" s="147">
        <f>IFERROR('4'!H53/'4'!$B53*100,"..")</f>
        <v>0.33640377239614833</v>
      </c>
      <c r="H53" s="147">
        <f>IFERROR('4'!I53/'4'!$B53*100,"..")</f>
        <v>0.22987229443097104</v>
      </c>
    </row>
    <row r="54" spans="1:8">
      <c r="A54" s="66">
        <v>2009</v>
      </c>
      <c r="B54" s="58">
        <f>'4'!B54/'4'!$B54*100</f>
        <v>100</v>
      </c>
      <c r="C54" s="147">
        <f>IFERROR('4'!D54/'4'!$B54*100,"..")</f>
        <v>1.2699307140976379</v>
      </c>
      <c r="D54" s="147">
        <f>IFERROR('4'!E54/'4'!$B54*100,"..")</f>
        <v>0.24284049819981537</v>
      </c>
      <c r="E54" s="147">
        <f>IFERROR('4'!F54/'4'!$B54*100,"..")</f>
        <v>0.5289311536792094</v>
      </c>
      <c r="F54" s="147">
        <f>IFERROR('4'!G54/'4'!$B54*100,"..")</f>
        <v>0.49815906221861328</v>
      </c>
      <c r="G54" s="147">
        <f>IFERROR('4'!H54/'4'!$B54*100,"..")</f>
        <v>0.28981024498591046</v>
      </c>
      <c r="H54" s="147">
        <f>IFERROR('4'!I54/'4'!$B54*100,"..")</f>
        <v>0.20834881723270277</v>
      </c>
    </row>
    <row r="55" spans="1:8">
      <c r="A55" s="66">
        <v>2010</v>
      </c>
      <c r="B55" s="58">
        <f>'4'!B55/'4'!$B55*100</f>
        <v>100</v>
      </c>
      <c r="C55" s="147">
        <f>IFERROR('4'!D55/'4'!$B55*100,"..")</f>
        <v>1.2662395757648053</v>
      </c>
      <c r="D55" s="147">
        <f>IFERROR('4'!E55/'4'!$B55*100,"..")</f>
        <v>0.25521753982627177</v>
      </c>
      <c r="E55" s="147">
        <f>IFERROR('4'!F55/'4'!$B55*100,"..")</f>
        <v>0.52899943608818711</v>
      </c>
      <c r="F55" s="147">
        <f>IFERROR('4'!G55/'4'!$B55*100,"..")</f>
        <v>0.48202259985034646</v>
      </c>
      <c r="G55" s="147">
        <f>IFERROR('4'!H55/'4'!$B55*100,"..")</f>
        <v>0.27763845661674602</v>
      </c>
      <c r="H55" s="147">
        <f>IFERROR('4'!I55/'4'!$B55*100,"..")</f>
        <v>0.20438414323360049</v>
      </c>
    </row>
    <row r="56" spans="1:8">
      <c r="A56" s="66">
        <v>2011</v>
      </c>
      <c r="B56" s="58">
        <f>'4'!B56/'4'!$B56*100</f>
        <v>100</v>
      </c>
      <c r="C56" s="147">
        <f>IFERROR('4'!D56/'4'!$B56*100,"..")</f>
        <v>1.2426776006396028</v>
      </c>
      <c r="D56" s="147">
        <f>IFERROR('4'!E56/'4'!$B56*100,"..")</f>
        <v>0.26741594586756673</v>
      </c>
      <c r="E56" s="147">
        <f>IFERROR('4'!F56/'4'!$B56*100,"..")</f>
        <v>0.51751915959604922</v>
      </c>
      <c r="F56" s="147">
        <f>IFERROR('4'!G56/'4'!$B56*100,"..")</f>
        <v>0.45774249517598714</v>
      </c>
      <c r="G56" s="147">
        <f>IFERROR('4'!H56/'4'!$B56*100,"..")</f>
        <v>0.25698691092686116</v>
      </c>
      <c r="H56" s="147">
        <f>IFERROR('4'!I56/'4'!$B56*100,"..")</f>
        <v>0.20075558424912601</v>
      </c>
    </row>
    <row r="57" spans="1:8">
      <c r="A57" s="66">
        <v>2012</v>
      </c>
      <c r="B57" s="58" t="s">
        <v>22</v>
      </c>
      <c r="C57" s="58" t="str">
        <f>IFERROR('4'!D57/'4'!$B57*100,"..")</f>
        <v>..</v>
      </c>
      <c r="D57" s="58" t="str">
        <f>IFERROR('4'!E57/'4'!$B57*100,"..")</f>
        <v>..</v>
      </c>
      <c r="E57" s="58" t="str">
        <f>IFERROR('4'!F57/'4'!$B57*100,"..")</f>
        <v>..</v>
      </c>
      <c r="F57" s="58" t="str">
        <f>IFERROR('4'!G57/'4'!$B57*100,"..")</f>
        <v>..</v>
      </c>
      <c r="G57" s="58" t="str">
        <f>IFERROR('4'!H57/'4'!$B57*100,"..")</f>
        <v>..</v>
      </c>
      <c r="H57" s="58" t="str">
        <f>IFERROR('4'!I57/'4'!$B57*100,"..")</f>
        <v>..</v>
      </c>
    </row>
    <row r="58" spans="1:8">
      <c r="B58" s="56"/>
      <c r="C58" s="56"/>
      <c r="D58" s="56"/>
      <c r="E58" s="56"/>
      <c r="F58" s="56"/>
      <c r="G58" s="56"/>
      <c r="H58" s="56"/>
    </row>
    <row r="59" spans="1:8">
      <c r="A59" s="66" t="s">
        <v>23</v>
      </c>
      <c r="B59" s="56"/>
      <c r="C59" s="56"/>
      <c r="D59" s="56"/>
      <c r="E59" s="56"/>
      <c r="F59" s="56"/>
      <c r="G59" s="56"/>
      <c r="H59" s="56"/>
    </row>
    <row r="60" spans="1:8">
      <c r="A60" s="64" t="s">
        <v>1781</v>
      </c>
      <c r="B60" s="65">
        <f>((B56/B26)^(1/30)-1)*100</f>
        <v>0</v>
      </c>
      <c r="C60" s="65">
        <f t="shared" ref="C60:F60" si="0">((C56/C26)^(1/30)-1)*100</f>
        <v>-3.2796242799708164</v>
      </c>
      <c r="D60" s="65">
        <f t="shared" si="0"/>
        <v>-3.5091895624766889</v>
      </c>
      <c r="E60" s="65">
        <f t="shared" si="0"/>
        <v>-2.9246398853523758</v>
      </c>
      <c r="F60" s="65">
        <f t="shared" si="0"/>
        <v>-3.5110228453998027</v>
      </c>
      <c r="G60" s="65" t="s">
        <v>22</v>
      </c>
      <c r="H60" s="65" t="s">
        <v>22</v>
      </c>
    </row>
    <row r="61" spans="1:8">
      <c r="A61" s="64" t="s">
        <v>25</v>
      </c>
      <c r="B61" s="65">
        <f>((B34/B26)^(1/8)-1)*100</f>
        <v>0</v>
      </c>
      <c r="C61" s="65">
        <f t="shared" ref="C61:F61" si="1">((C34/C26)^(1/8)-1)*100</f>
        <v>-2.5226930038315887</v>
      </c>
      <c r="D61" s="65">
        <f t="shared" si="1"/>
        <v>-2.6809730323945624</v>
      </c>
      <c r="E61" s="65">
        <f t="shared" si="1"/>
        <v>-1.9672780189284977</v>
      </c>
      <c r="F61" s="65">
        <f t="shared" si="1"/>
        <v>-2.9721293017491823</v>
      </c>
      <c r="G61" s="65" t="s">
        <v>22</v>
      </c>
      <c r="H61" s="65" t="s">
        <v>22</v>
      </c>
    </row>
    <row r="62" spans="1:8">
      <c r="A62" s="64" t="s">
        <v>26</v>
      </c>
      <c r="B62" s="65">
        <f>((B45/B34)^(1/11)-1)*100</f>
        <v>0</v>
      </c>
      <c r="C62" s="65">
        <f t="shared" ref="C62:F62" si="2">((C45/C34)^(1/11)-1)*100</f>
        <v>-1.3287707230946855</v>
      </c>
      <c r="D62" s="65">
        <f t="shared" si="2"/>
        <v>-2.069997371362764</v>
      </c>
      <c r="E62" s="65">
        <f t="shared" si="2"/>
        <v>0.23966303747460227</v>
      </c>
      <c r="F62" s="65">
        <f t="shared" si="2"/>
        <v>-2.7376184928287861</v>
      </c>
      <c r="G62" s="65" t="s">
        <v>22</v>
      </c>
      <c r="H62" s="65" t="s">
        <v>22</v>
      </c>
    </row>
    <row r="63" spans="1:8">
      <c r="A63" s="64" t="s">
        <v>1782</v>
      </c>
      <c r="B63" s="65">
        <f>((B56/B45)^(1/11)-1)*100</f>
        <v>0</v>
      </c>
      <c r="C63" s="65">
        <f t="shared" ref="C63:H63" si="3">((C56/C45)^(1/11)-1)*100</f>
        <v>-5.7278971482641712</v>
      </c>
      <c r="D63" s="65">
        <f t="shared" si="3"/>
        <v>-5.5163530212930851</v>
      </c>
      <c r="E63" s="65">
        <f t="shared" si="3"/>
        <v>-6.6576460433653732</v>
      </c>
      <c r="F63" s="65">
        <f t="shared" si="3"/>
        <v>-4.6652175007520285</v>
      </c>
      <c r="G63" s="65">
        <f t="shared" si="3"/>
        <v>-5.9179126515637055</v>
      </c>
      <c r="H63" s="65">
        <f t="shared" si="3"/>
        <v>-2.7061919325645389</v>
      </c>
    </row>
    <row r="65" spans="1:8">
      <c r="A65" s="104" t="s">
        <v>1023</v>
      </c>
      <c r="B65" s="104"/>
      <c r="C65" s="104"/>
      <c r="D65" s="104"/>
      <c r="E65" s="104"/>
      <c r="F65" s="104"/>
      <c r="G65" s="104"/>
      <c r="H65" s="104"/>
    </row>
  </sheetData>
  <mergeCells count="9">
    <mergeCell ref="A65:H65"/>
    <mergeCell ref="A1:H1"/>
    <mergeCell ref="A2:A4"/>
    <mergeCell ref="B2:B4"/>
    <mergeCell ref="C2:H2"/>
    <mergeCell ref="C3:C4"/>
    <mergeCell ref="D3:D4"/>
    <mergeCell ref="E3:E4"/>
    <mergeCell ref="F3:H3"/>
  </mergeCells>
  <pageMargins left="0.70866141732283472" right="0.70866141732283472" top="0.74803149606299213" bottom="0.74803149606299213" header="0.31496062992125984" footer="0.31496062992125984"/>
  <pageSetup scale="68" orientation="portrait" horizontalDpi="0" verticalDpi="0" r:id="rId1"/>
</worksheet>
</file>

<file path=xl/worksheets/sheet28.xml><?xml version="1.0" encoding="utf-8"?>
<worksheet xmlns="http://schemas.openxmlformats.org/spreadsheetml/2006/main" xmlns:r="http://schemas.openxmlformats.org/officeDocument/2006/relationships">
  <sheetPr codeName="Sheet28">
    <pageSetUpPr fitToPage="1"/>
  </sheetPr>
  <dimension ref="A1:AC41"/>
  <sheetViews>
    <sheetView view="pageBreakPreview" zoomScale="85" zoomScaleNormal="100"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Col="1"/>
  <cols>
    <col min="1" max="1" width="9.140625" style="64"/>
    <col min="2" max="2" width="12.140625" style="64" customWidth="1"/>
    <col min="3" max="6" width="9.140625" style="64" customWidth="1"/>
    <col min="7" max="8" width="12.85546875" style="64" customWidth="1"/>
    <col min="9" max="10" width="10.85546875" style="64" customWidth="1"/>
    <col min="11" max="11" width="15.28515625" style="64" customWidth="1"/>
    <col min="12" max="13" width="13.7109375" style="64" customWidth="1"/>
    <col min="14" max="14" width="9.140625" style="64"/>
    <col min="15" max="15" width="9.140625" style="70"/>
    <col min="16" max="27" width="9.140625" style="64" hidden="1" customWidth="1" outlineLevel="1"/>
    <col min="28" max="28" width="0" style="64" hidden="1" customWidth="1" outlineLevel="1"/>
    <col min="29" max="29" width="9.140625" style="64" collapsed="1"/>
    <col min="30" max="16384" width="9.140625" style="64"/>
  </cols>
  <sheetData>
    <row r="1" spans="1:28">
      <c r="A1" s="108" t="s">
        <v>1053</v>
      </c>
      <c r="B1" s="108"/>
      <c r="C1" s="108"/>
      <c r="D1" s="108"/>
      <c r="E1" s="108"/>
      <c r="F1" s="108"/>
      <c r="G1" s="108"/>
      <c r="H1" s="108"/>
      <c r="I1" s="108"/>
      <c r="J1" s="108"/>
      <c r="K1" s="108"/>
      <c r="L1" s="108"/>
      <c r="M1" s="108"/>
    </row>
    <row r="2" spans="1:28" ht="15" customHeight="1">
      <c r="A2" s="96"/>
      <c r="B2" s="94" t="s">
        <v>36</v>
      </c>
      <c r="C2" s="159" t="s">
        <v>37</v>
      </c>
      <c r="D2" s="160"/>
      <c r="E2" s="160"/>
      <c r="F2" s="160"/>
      <c r="G2" s="160"/>
      <c r="H2" s="160"/>
      <c r="I2" s="160"/>
      <c r="J2" s="160"/>
      <c r="K2" s="160"/>
      <c r="L2" s="160"/>
      <c r="M2" s="161"/>
      <c r="N2" s="94" t="s">
        <v>1078</v>
      </c>
      <c r="O2" s="41"/>
      <c r="P2" s="94" t="s">
        <v>36</v>
      </c>
      <c r="Q2" s="159" t="s">
        <v>37</v>
      </c>
      <c r="R2" s="160"/>
      <c r="S2" s="160"/>
      <c r="T2" s="160"/>
      <c r="U2" s="160"/>
      <c r="V2" s="160"/>
      <c r="W2" s="160"/>
      <c r="X2" s="160"/>
      <c r="Y2" s="160"/>
      <c r="Z2" s="160"/>
      <c r="AA2" s="161"/>
      <c r="AB2" s="94" t="s">
        <v>1073</v>
      </c>
    </row>
    <row r="3" spans="1:28">
      <c r="A3" s="96"/>
      <c r="B3" s="94"/>
      <c r="C3" s="123" t="s">
        <v>78</v>
      </c>
      <c r="D3" s="94" t="s">
        <v>77</v>
      </c>
      <c r="E3" s="94"/>
      <c r="F3" s="94"/>
      <c r="G3" s="264" t="s">
        <v>67</v>
      </c>
      <c r="H3" s="264"/>
      <c r="I3" s="264"/>
      <c r="J3" s="264"/>
      <c r="K3" s="264" t="s">
        <v>71</v>
      </c>
      <c r="L3" s="264"/>
      <c r="M3" s="264"/>
      <c r="N3" s="94"/>
      <c r="O3" s="41"/>
      <c r="P3" s="94"/>
      <c r="Q3" s="123" t="s">
        <v>78</v>
      </c>
      <c r="R3" s="94" t="s">
        <v>77</v>
      </c>
      <c r="S3" s="94"/>
      <c r="T3" s="94"/>
      <c r="U3" s="264" t="s">
        <v>67</v>
      </c>
      <c r="V3" s="264"/>
      <c r="W3" s="264"/>
      <c r="X3" s="264"/>
      <c r="Y3" s="264" t="s">
        <v>71</v>
      </c>
      <c r="Z3" s="264"/>
      <c r="AA3" s="264"/>
      <c r="AB3" s="94"/>
    </row>
    <row r="4" spans="1:28" ht="102">
      <c r="A4" s="96"/>
      <c r="B4" s="94"/>
      <c r="C4" s="126"/>
      <c r="D4" s="6" t="s">
        <v>66</v>
      </c>
      <c r="E4" s="6" t="s">
        <v>76</v>
      </c>
      <c r="F4" s="72" t="s">
        <v>65</v>
      </c>
      <c r="G4" s="72" t="s">
        <v>74</v>
      </c>
      <c r="H4" s="6" t="s">
        <v>68</v>
      </c>
      <c r="I4" s="6" t="s">
        <v>69</v>
      </c>
      <c r="J4" s="6" t="s">
        <v>70</v>
      </c>
      <c r="K4" s="6" t="s">
        <v>48</v>
      </c>
      <c r="L4" s="6" t="s">
        <v>72</v>
      </c>
      <c r="M4" s="6" t="s">
        <v>73</v>
      </c>
      <c r="N4" s="94"/>
      <c r="O4" s="41"/>
      <c r="P4" s="94"/>
      <c r="Q4" s="126"/>
      <c r="R4" s="6" t="s">
        <v>66</v>
      </c>
      <c r="S4" s="6" t="s">
        <v>76</v>
      </c>
      <c r="T4" s="72" t="s">
        <v>65</v>
      </c>
      <c r="U4" s="72" t="s">
        <v>74</v>
      </c>
      <c r="V4" s="6" t="s">
        <v>68</v>
      </c>
      <c r="W4" s="6" t="s">
        <v>69</v>
      </c>
      <c r="X4" s="6" t="s">
        <v>70</v>
      </c>
      <c r="Y4" s="6" t="s">
        <v>48</v>
      </c>
      <c r="Z4" s="6" t="s">
        <v>72</v>
      </c>
      <c r="AA4" s="6" t="s">
        <v>73</v>
      </c>
      <c r="AB4" s="94"/>
    </row>
    <row r="5" spans="1:28">
      <c r="A5" s="66">
        <v>1987</v>
      </c>
      <c r="B5" s="30">
        <f>P5*52/1000</f>
        <v>22221.732</v>
      </c>
      <c r="C5" s="30">
        <f t="shared" ref="C5:N20" si="0">Q5*52/1000</f>
        <v>576.2016000000001</v>
      </c>
      <c r="D5" s="30">
        <f t="shared" si="0"/>
        <v>106.9952</v>
      </c>
      <c r="E5" s="30">
        <f t="shared" si="0"/>
        <v>103.76600000000001</v>
      </c>
      <c r="F5" s="30">
        <f t="shared" si="0"/>
        <v>3.2291999999999952</v>
      </c>
      <c r="G5" s="30">
        <f t="shared" si="0"/>
        <v>232.60640000000001</v>
      </c>
      <c r="H5" s="30">
        <f t="shared" si="0"/>
        <v>133.66080000000002</v>
      </c>
      <c r="I5" s="30">
        <f t="shared" si="0"/>
        <v>24.980799999999999</v>
      </c>
      <c r="J5" s="30">
        <f t="shared" si="0"/>
        <v>73.964799999999997</v>
      </c>
      <c r="K5" s="30">
        <f t="shared" si="0"/>
        <v>236.6</v>
      </c>
      <c r="L5" s="30">
        <f t="shared" si="0"/>
        <v>169.21319999999997</v>
      </c>
      <c r="M5" s="30">
        <f t="shared" si="0"/>
        <v>67.386800000000008</v>
      </c>
      <c r="N5" s="30">
        <f t="shared" si="0"/>
        <v>29.234400000000001</v>
      </c>
      <c r="O5" s="182"/>
      <c r="P5" s="32">
        <v>427341</v>
      </c>
      <c r="Q5" s="32">
        <f>U5+Y5+R5</f>
        <v>11080.800000000001</v>
      </c>
      <c r="R5" s="32">
        <v>2057.6</v>
      </c>
      <c r="S5" s="32">
        <v>1995.5</v>
      </c>
      <c r="T5" s="32">
        <f>R5-S5</f>
        <v>62.099999999999909</v>
      </c>
      <c r="U5" s="32">
        <v>4473.2</v>
      </c>
      <c r="V5" s="32">
        <v>2570.4</v>
      </c>
      <c r="W5" s="32">
        <v>480.4</v>
      </c>
      <c r="X5" s="32">
        <v>1422.4</v>
      </c>
      <c r="Y5" s="32">
        <v>4550</v>
      </c>
      <c r="Z5" s="32">
        <v>3254.1</v>
      </c>
      <c r="AA5" s="32">
        <v>1295.9000000000001</v>
      </c>
      <c r="AB5" s="64">
        <v>562.20000000000005</v>
      </c>
    </row>
    <row r="6" spans="1:28">
      <c r="A6" s="66">
        <v>1988</v>
      </c>
      <c r="B6" s="30">
        <f t="shared" ref="B6:B25" si="1">P6*52/1000</f>
        <v>23286.603599999999</v>
      </c>
      <c r="C6" s="30">
        <f t="shared" si="0"/>
        <v>622.41919999999993</v>
      </c>
      <c r="D6" s="30">
        <f t="shared" si="0"/>
        <v>119.76639999999999</v>
      </c>
      <c r="E6" s="30">
        <f t="shared" si="0"/>
        <v>115.00319999999999</v>
      </c>
      <c r="F6" s="30">
        <f t="shared" si="0"/>
        <v>4.763199999999995</v>
      </c>
      <c r="G6" s="30">
        <f t="shared" si="0"/>
        <v>250.9468</v>
      </c>
      <c r="H6" s="30">
        <f t="shared" si="0"/>
        <v>130.40039999999999</v>
      </c>
      <c r="I6" s="30">
        <f t="shared" si="0"/>
        <v>31.8032</v>
      </c>
      <c r="J6" s="30">
        <f t="shared" si="0"/>
        <v>88.748400000000004</v>
      </c>
      <c r="K6" s="30">
        <f t="shared" si="0"/>
        <v>251.70599999999999</v>
      </c>
      <c r="L6" s="30">
        <f t="shared" si="0"/>
        <v>187.84480000000002</v>
      </c>
      <c r="M6" s="30">
        <f t="shared" si="0"/>
        <v>63.861199999999997</v>
      </c>
      <c r="N6" s="30">
        <f t="shared" si="0"/>
        <v>28.246400000000001</v>
      </c>
      <c r="O6" s="182"/>
      <c r="P6" s="32">
        <v>447819.3</v>
      </c>
      <c r="Q6" s="32">
        <f t="shared" ref="Q6:Q25" si="2">U6+Y6+R6</f>
        <v>11969.599999999999</v>
      </c>
      <c r="R6" s="32">
        <v>2303.1999999999998</v>
      </c>
      <c r="S6" s="32">
        <v>2211.6</v>
      </c>
      <c r="T6" s="32">
        <f t="shared" ref="T6:T25" si="3">R6-S6</f>
        <v>91.599999999999909</v>
      </c>
      <c r="U6" s="32">
        <v>4825.8999999999996</v>
      </c>
      <c r="V6" s="32">
        <v>2507.6999999999998</v>
      </c>
      <c r="W6" s="32">
        <v>611.6</v>
      </c>
      <c r="X6" s="32">
        <v>1706.7</v>
      </c>
      <c r="Y6" s="32">
        <v>4840.5</v>
      </c>
      <c r="Z6" s="32">
        <v>3612.4</v>
      </c>
      <c r="AA6" s="32">
        <v>1228.0999999999999</v>
      </c>
      <c r="AB6" s="64">
        <v>543.20000000000005</v>
      </c>
    </row>
    <row r="7" spans="1:28">
      <c r="A7" s="66">
        <v>1989</v>
      </c>
      <c r="B7" s="30">
        <f t="shared" si="1"/>
        <v>24126.013599999998</v>
      </c>
      <c r="C7" s="30">
        <f t="shared" si="0"/>
        <v>656.3492</v>
      </c>
      <c r="D7" s="30">
        <f t="shared" si="0"/>
        <v>113.98399999999999</v>
      </c>
      <c r="E7" s="30">
        <f t="shared" si="0"/>
        <v>110.4324</v>
      </c>
      <c r="F7" s="30">
        <f t="shared" si="0"/>
        <v>3.5516000000000094</v>
      </c>
      <c r="G7" s="30">
        <f t="shared" si="0"/>
        <v>257.99279999999999</v>
      </c>
      <c r="H7" s="30">
        <f t="shared" si="0"/>
        <v>135.0284</v>
      </c>
      <c r="I7" s="30">
        <f t="shared" si="0"/>
        <v>32.822400000000002</v>
      </c>
      <c r="J7" s="30">
        <f t="shared" si="0"/>
        <v>90.141999999999996</v>
      </c>
      <c r="K7" s="30">
        <f t="shared" si="0"/>
        <v>284.37239999999997</v>
      </c>
      <c r="L7" s="30">
        <f t="shared" si="0"/>
        <v>207.46960000000001</v>
      </c>
      <c r="M7" s="30">
        <f t="shared" si="0"/>
        <v>76.897599999999997</v>
      </c>
      <c r="N7" s="30">
        <f t="shared" si="0"/>
        <v>35.339200000000005</v>
      </c>
      <c r="O7" s="182"/>
      <c r="P7" s="32">
        <v>463961.8</v>
      </c>
      <c r="Q7" s="32">
        <f t="shared" si="2"/>
        <v>12622.099999999999</v>
      </c>
      <c r="R7" s="32">
        <v>2192</v>
      </c>
      <c r="S7" s="32">
        <v>2123.6999999999998</v>
      </c>
      <c r="T7" s="32">
        <f t="shared" si="3"/>
        <v>68.300000000000182</v>
      </c>
      <c r="U7" s="32">
        <v>4961.3999999999996</v>
      </c>
      <c r="V7" s="32">
        <v>2596.6999999999998</v>
      </c>
      <c r="W7" s="32">
        <v>631.20000000000005</v>
      </c>
      <c r="X7" s="32">
        <v>1733.5</v>
      </c>
      <c r="Y7" s="32">
        <v>5468.7</v>
      </c>
      <c r="Z7" s="32">
        <v>3989.8</v>
      </c>
      <c r="AA7" s="32">
        <v>1478.8</v>
      </c>
      <c r="AB7" s="64">
        <v>679.6</v>
      </c>
    </row>
    <row r="8" spans="1:28">
      <c r="A8" s="66">
        <v>1990</v>
      </c>
      <c r="B8" s="30">
        <f t="shared" si="1"/>
        <v>23934.736800000002</v>
      </c>
      <c r="C8" s="30">
        <f t="shared" si="0"/>
        <v>618.73239999999998</v>
      </c>
      <c r="D8" s="30">
        <f t="shared" si="0"/>
        <v>108.3004</v>
      </c>
      <c r="E8" s="30">
        <f t="shared" si="0"/>
        <v>105.39359999999999</v>
      </c>
      <c r="F8" s="30">
        <f t="shared" si="0"/>
        <v>2.9067999999999929</v>
      </c>
      <c r="G8" s="30">
        <f t="shared" si="0"/>
        <v>242.80879999999999</v>
      </c>
      <c r="H8" s="30">
        <f t="shared" si="0"/>
        <v>122.5484</v>
      </c>
      <c r="I8" s="30">
        <f t="shared" si="0"/>
        <v>34.470799999999997</v>
      </c>
      <c r="J8" s="30">
        <f t="shared" si="0"/>
        <v>85.789599999999993</v>
      </c>
      <c r="K8" s="30">
        <f t="shared" si="0"/>
        <v>267.6232</v>
      </c>
      <c r="L8" s="30">
        <f t="shared" si="0"/>
        <v>201.32319999999999</v>
      </c>
      <c r="M8" s="30">
        <f t="shared" si="0"/>
        <v>66.3</v>
      </c>
      <c r="N8" s="30">
        <f t="shared" si="0"/>
        <v>39.254799999999996</v>
      </c>
      <c r="O8" s="182"/>
      <c r="P8" s="32">
        <v>460283.4</v>
      </c>
      <c r="Q8" s="32">
        <f t="shared" si="2"/>
        <v>11898.7</v>
      </c>
      <c r="R8" s="32">
        <v>2082.6999999999998</v>
      </c>
      <c r="S8" s="32">
        <v>2026.8</v>
      </c>
      <c r="T8" s="32">
        <f t="shared" si="3"/>
        <v>55.899999999999864</v>
      </c>
      <c r="U8" s="32">
        <v>4669.3999999999996</v>
      </c>
      <c r="V8" s="32">
        <v>2356.6999999999998</v>
      </c>
      <c r="W8" s="32">
        <v>662.9</v>
      </c>
      <c r="X8" s="32">
        <v>1649.8</v>
      </c>
      <c r="Y8" s="32">
        <v>5146.6000000000004</v>
      </c>
      <c r="Z8" s="32">
        <v>3871.6</v>
      </c>
      <c r="AA8" s="32">
        <v>1275</v>
      </c>
      <c r="AB8" s="64">
        <v>754.9</v>
      </c>
    </row>
    <row r="9" spans="1:28">
      <c r="A9" s="66">
        <v>1991</v>
      </c>
      <c r="B9" s="30">
        <f t="shared" si="1"/>
        <v>23068.094400000002</v>
      </c>
      <c r="C9" s="30">
        <f t="shared" si="0"/>
        <v>558.02760000000012</v>
      </c>
      <c r="D9" s="30">
        <f t="shared" si="0"/>
        <v>105.1232</v>
      </c>
      <c r="E9" s="30">
        <f t="shared" si="0"/>
        <v>102.7312</v>
      </c>
      <c r="F9" s="30">
        <f t="shared" si="0"/>
        <v>2.3919999999999999</v>
      </c>
      <c r="G9" s="30">
        <f t="shared" si="0"/>
        <v>207.12639999999999</v>
      </c>
      <c r="H9" s="30">
        <f t="shared" si="0"/>
        <v>112.28880000000001</v>
      </c>
      <c r="I9" s="30">
        <f t="shared" si="0"/>
        <v>27.539200000000001</v>
      </c>
      <c r="J9" s="30">
        <f t="shared" si="0"/>
        <v>67.303599999999989</v>
      </c>
      <c r="K9" s="30">
        <f t="shared" si="0"/>
        <v>245.77799999999999</v>
      </c>
      <c r="L9" s="30">
        <f t="shared" si="0"/>
        <v>185.5932</v>
      </c>
      <c r="M9" s="30">
        <f t="shared" si="0"/>
        <v>60.184800000000003</v>
      </c>
      <c r="N9" s="30">
        <f t="shared" si="0"/>
        <v>39.015599999999999</v>
      </c>
      <c r="O9" s="182"/>
      <c r="P9" s="32">
        <v>443617.2</v>
      </c>
      <c r="Q9" s="32">
        <f t="shared" si="2"/>
        <v>10731.300000000001</v>
      </c>
      <c r="R9" s="32">
        <v>2021.6</v>
      </c>
      <c r="S9" s="32">
        <v>1975.6</v>
      </c>
      <c r="T9" s="32">
        <f t="shared" si="3"/>
        <v>46</v>
      </c>
      <c r="U9" s="32">
        <v>3983.2</v>
      </c>
      <c r="V9" s="32">
        <v>2159.4</v>
      </c>
      <c r="W9" s="32">
        <v>529.6</v>
      </c>
      <c r="X9" s="32">
        <v>1294.3</v>
      </c>
      <c r="Y9" s="32">
        <v>4726.5</v>
      </c>
      <c r="Z9" s="32">
        <v>3569.1</v>
      </c>
      <c r="AA9" s="32">
        <v>1157.4000000000001</v>
      </c>
      <c r="AB9" s="64">
        <v>750.3</v>
      </c>
    </row>
    <row r="10" spans="1:28">
      <c r="A10" s="66">
        <v>1992</v>
      </c>
      <c r="B10" s="30">
        <f t="shared" si="1"/>
        <v>22478.1908</v>
      </c>
      <c r="C10" s="30">
        <f t="shared" si="0"/>
        <v>534.61720000000003</v>
      </c>
      <c r="D10" s="30">
        <f t="shared" si="0"/>
        <v>103.6568</v>
      </c>
      <c r="E10" s="30">
        <f t="shared" si="0"/>
        <v>99.725599999999986</v>
      </c>
      <c r="F10" s="30">
        <f t="shared" si="0"/>
        <v>3.9312000000000071</v>
      </c>
      <c r="G10" s="30">
        <f t="shared" si="0"/>
        <v>209.92400000000001</v>
      </c>
      <c r="H10" s="30">
        <f t="shared" si="0"/>
        <v>113.8488</v>
      </c>
      <c r="I10" s="30">
        <f t="shared" si="0"/>
        <v>31.366400000000002</v>
      </c>
      <c r="J10" s="30">
        <f t="shared" si="0"/>
        <v>64.713999999999999</v>
      </c>
      <c r="K10" s="30">
        <f t="shared" si="0"/>
        <v>221.03639999999999</v>
      </c>
      <c r="L10" s="30">
        <f t="shared" si="0"/>
        <v>168.6568</v>
      </c>
      <c r="M10" s="30">
        <f t="shared" si="0"/>
        <v>52.379599999999996</v>
      </c>
      <c r="N10" s="30">
        <f t="shared" si="0"/>
        <v>38.183599999999998</v>
      </c>
      <c r="O10" s="182"/>
      <c r="P10" s="32">
        <v>432272.9</v>
      </c>
      <c r="Q10" s="32">
        <f t="shared" si="2"/>
        <v>10281.1</v>
      </c>
      <c r="R10" s="32">
        <v>1993.4</v>
      </c>
      <c r="S10" s="32">
        <v>1917.8</v>
      </c>
      <c r="T10" s="32">
        <f t="shared" si="3"/>
        <v>75.600000000000136</v>
      </c>
      <c r="U10" s="32">
        <v>4037</v>
      </c>
      <c r="V10" s="32">
        <v>2189.4</v>
      </c>
      <c r="W10" s="32">
        <v>603.20000000000005</v>
      </c>
      <c r="X10" s="32">
        <v>1244.5</v>
      </c>
      <c r="Y10" s="32">
        <v>4250.7</v>
      </c>
      <c r="Z10" s="32">
        <v>3243.4</v>
      </c>
      <c r="AA10" s="32">
        <v>1007.3</v>
      </c>
      <c r="AB10" s="64">
        <v>734.3</v>
      </c>
    </row>
    <row r="11" spans="1:28">
      <c r="A11" s="66">
        <v>1993</v>
      </c>
      <c r="B11" s="30">
        <f t="shared" si="1"/>
        <v>22880.317199999998</v>
      </c>
      <c r="C11" s="30">
        <f t="shared" si="0"/>
        <v>574.22559999999999</v>
      </c>
      <c r="D11" s="30">
        <f t="shared" si="0"/>
        <v>108.71639999999999</v>
      </c>
      <c r="E11" s="30">
        <f t="shared" si="0"/>
        <v>105.92919999999999</v>
      </c>
      <c r="F11" s="30">
        <f t="shared" si="0"/>
        <v>2.7871999999999955</v>
      </c>
      <c r="G11" s="30">
        <f t="shared" si="0"/>
        <v>230.70320000000001</v>
      </c>
      <c r="H11" s="30">
        <f t="shared" si="0"/>
        <v>130.38999999999999</v>
      </c>
      <c r="I11" s="30">
        <f t="shared" si="0"/>
        <v>28.386800000000001</v>
      </c>
      <c r="J11" s="30">
        <f t="shared" si="0"/>
        <v>71.921199999999999</v>
      </c>
      <c r="K11" s="30">
        <f t="shared" si="0"/>
        <v>234.80600000000001</v>
      </c>
      <c r="L11" s="30">
        <f t="shared" si="0"/>
        <v>178.26119999999997</v>
      </c>
      <c r="M11" s="30">
        <f t="shared" si="0"/>
        <v>56.544800000000002</v>
      </c>
      <c r="N11" s="30">
        <f t="shared" si="0"/>
        <v>36.285599999999995</v>
      </c>
      <c r="O11" s="182"/>
      <c r="P11" s="32">
        <v>440006.1</v>
      </c>
      <c r="Q11" s="32">
        <f t="shared" si="2"/>
        <v>11042.8</v>
      </c>
      <c r="R11" s="32">
        <v>2090.6999999999998</v>
      </c>
      <c r="S11" s="32">
        <v>2037.1</v>
      </c>
      <c r="T11" s="32">
        <f t="shared" si="3"/>
        <v>53.599999999999909</v>
      </c>
      <c r="U11" s="32">
        <v>4436.6000000000004</v>
      </c>
      <c r="V11" s="32">
        <v>2507.5</v>
      </c>
      <c r="W11" s="32">
        <v>545.9</v>
      </c>
      <c r="X11" s="32">
        <v>1383.1</v>
      </c>
      <c r="Y11" s="32">
        <v>4515.5</v>
      </c>
      <c r="Z11" s="32">
        <v>3428.1</v>
      </c>
      <c r="AA11" s="32">
        <v>1087.4000000000001</v>
      </c>
      <c r="AB11" s="64">
        <v>697.8</v>
      </c>
    </row>
    <row r="12" spans="1:28">
      <c r="A12" s="66">
        <v>1994</v>
      </c>
      <c r="B12" s="30">
        <f t="shared" si="1"/>
        <v>23659.630799999999</v>
      </c>
      <c r="C12" s="30">
        <f t="shared" si="0"/>
        <v>624.18200000000002</v>
      </c>
      <c r="D12" s="30">
        <f t="shared" si="0"/>
        <v>132.2516</v>
      </c>
      <c r="E12" s="30">
        <f t="shared" si="0"/>
        <v>129.70359999999999</v>
      </c>
      <c r="F12" s="30">
        <f t="shared" si="0"/>
        <v>2.548</v>
      </c>
      <c r="G12" s="30">
        <f t="shared" si="0"/>
        <v>249.35040000000001</v>
      </c>
      <c r="H12" s="30">
        <f t="shared" si="0"/>
        <v>133.56200000000001</v>
      </c>
      <c r="I12" s="30">
        <f t="shared" si="0"/>
        <v>36.462400000000002</v>
      </c>
      <c r="J12" s="30">
        <f t="shared" si="0"/>
        <v>79.325999999999993</v>
      </c>
      <c r="K12" s="30">
        <f t="shared" si="0"/>
        <v>242.58</v>
      </c>
      <c r="L12" s="30">
        <f t="shared" si="0"/>
        <v>185.21880000000002</v>
      </c>
      <c r="M12" s="30">
        <f t="shared" si="0"/>
        <v>57.361199999999997</v>
      </c>
      <c r="N12" s="30">
        <f t="shared" si="0"/>
        <v>43.321200000000005</v>
      </c>
      <c r="O12" s="182"/>
      <c r="P12" s="32">
        <v>454992.9</v>
      </c>
      <c r="Q12" s="32">
        <f t="shared" si="2"/>
        <v>12003.5</v>
      </c>
      <c r="R12" s="32">
        <v>2543.3000000000002</v>
      </c>
      <c r="S12" s="32">
        <v>2494.3000000000002</v>
      </c>
      <c r="T12" s="32">
        <f t="shared" si="3"/>
        <v>49</v>
      </c>
      <c r="U12" s="32">
        <v>4795.2</v>
      </c>
      <c r="V12" s="32">
        <v>2568.5</v>
      </c>
      <c r="W12" s="32">
        <v>701.2</v>
      </c>
      <c r="X12" s="32">
        <v>1525.5</v>
      </c>
      <c r="Y12" s="32">
        <v>4665</v>
      </c>
      <c r="Z12" s="32">
        <v>3561.9</v>
      </c>
      <c r="AA12" s="32">
        <v>1103.0999999999999</v>
      </c>
      <c r="AB12" s="64">
        <v>833.1</v>
      </c>
    </row>
    <row r="13" spans="1:28">
      <c r="A13" s="66">
        <v>1995</v>
      </c>
      <c r="B13" s="30">
        <f t="shared" si="1"/>
        <v>23922.771599999996</v>
      </c>
      <c r="C13" s="30">
        <f t="shared" si="0"/>
        <v>648.98599999999999</v>
      </c>
      <c r="D13" s="30">
        <f t="shared" si="0"/>
        <v>149.60400000000001</v>
      </c>
      <c r="E13" s="30">
        <f t="shared" si="0"/>
        <v>146.34360000000001</v>
      </c>
      <c r="F13" s="30">
        <f t="shared" si="0"/>
        <v>3.2603999999999904</v>
      </c>
      <c r="G13" s="30">
        <f t="shared" si="0"/>
        <v>260.36399999999998</v>
      </c>
      <c r="H13" s="30">
        <f t="shared" si="0"/>
        <v>138.7516</v>
      </c>
      <c r="I13" s="30">
        <f t="shared" si="0"/>
        <v>34.080799999999996</v>
      </c>
      <c r="J13" s="30">
        <f t="shared" si="0"/>
        <v>87.52640000000001</v>
      </c>
      <c r="K13" s="30">
        <f t="shared" si="0"/>
        <v>239.018</v>
      </c>
      <c r="L13" s="30">
        <f t="shared" si="0"/>
        <v>187.12719999999999</v>
      </c>
      <c r="M13" s="30">
        <f t="shared" si="0"/>
        <v>51.890799999999999</v>
      </c>
      <c r="N13" s="30">
        <f t="shared" si="0"/>
        <v>41.781999999999996</v>
      </c>
      <c r="O13" s="182"/>
      <c r="P13" s="32">
        <v>460053.3</v>
      </c>
      <c r="Q13" s="32">
        <f t="shared" si="2"/>
        <v>12480.5</v>
      </c>
      <c r="R13" s="32">
        <v>2877</v>
      </c>
      <c r="S13" s="32">
        <v>2814.3</v>
      </c>
      <c r="T13" s="32">
        <f t="shared" si="3"/>
        <v>62.699999999999818</v>
      </c>
      <c r="U13" s="32">
        <v>5007</v>
      </c>
      <c r="V13" s="32">
        <v>2668.3</v>
      </c>
      <c r="W13" s="32">
        <v>655.4</v>
      </c>
      <c r="X13" s="32">
        <v>1683.2</v>
      </c>
      <c r="Y13" s="32">
        <v>4596.5</v>
      </c>
      <c r="Z13" s="32">
        <v>3598.6</v>
      </c>
      <c r="AA13" s="32">
        <v>997.9</v>
      </c>
      <c r="AB13" s="64">
        <v>803.5</v>
      </c>
    </row>
    <row r="14" spans="1:28">
      <c r="A14" s="66">
        <v>1996</v>
      </c>
      <c r="B14" s="30">
        <f t="shared" si="1"/>
        <v>24318.829599999997</v>
      </c>
      <c r="C14" s="30">
        <f t="shared" si="0"/>
        <v>633.8592000000001</v>
      </c>
      <c r="D14" s="30">
        <f t="shared" si="0"/>
        <v>128.5752</v>
      </c>
      <c r="E14" s="30">
        <f t="shared" si="0"/>
        <v>125.60080000000001</v>
      </c>
      <c r="F14" s="30">
        <f t="shared" si="0"/>
        <v>2.9743999999999904</v>
      </c>
      <c r="G14" s="30">
        <f t="shared" si="0"/>
        <v>270.84199999999998</v>
      </c>
      <c r="H14" s="30">
        <f t="shared" si="0"/>
        <v>142.44880000000001</v>
      </c>
      <c r="I14" s="30">
        <f t="shared" si="0"/>
        <v>40.320799999999998</v>
      </c>
      <c r="J14" s="30">
        <f t="shared" si="0"/>
        <v>88.07759999999999</v>
      </c>
      <c r="K14" s="30">
        <f t="shared" si="0"/>
        <v>234.44200000000001</v>
      </c>
      <c r="L14" s="30">
        <f t="shared" si="0"/>
        <v>183.25319999999999</v>
      </c>
      <c r="M14" s="30">
        <f t="shared" si="0"/>
        <v>51.188799999999993</v>
      </c>
      <c r="N14" s="30">
        <f t="shared" si="0"/>
        <v>39.587600000000002</v>
      </c>
      <c r="O14" s="182"/>
      <c r="P14" s="32">
        <v>467669.8</v>
      </c>
      <c r="Q14" s="32">
        <f t="shared" si="2"/>
        <v>12189.6</v>
      </c>
      <c r="R14" s="32">
        <v>2472.6</v>
      </c>
      <c r="S14" s="32">
        <v>2415.4</v>
      </c>
      <c r="T14" s="32">
        <f t="shared" si="3"/>
        <v>57.199999999999818</v>
      </c>
      <c r="U14" s="32">
        <v>5208.5</v>
      </c>
      <c r="V14" s="32">
        <v>2739.4</v>
      </c>
      <c r="W14" s="32">
        <v>775.4</v>
      </c>
      <c r="X14" s="32">
        <v>1693.8</v>
      </c>
      <c r="Y14" s="32">
        <v>4508.5</v>
      </c>
      <c r="Z14" s="32">
        <v>3524.1</v>
      </c>
      <c r="AA14" s="32">
        <v>984.4</v>
      </c>
      <c r="AB14" s="64">
        <v>761.3</v>
      </c>
    </row>
    <row r="15" spans="1:28">
      <c r="A15" s="66">
        <v>1997</v>
      </c>
      <c r="B15" s="30">
        <f t="shared" si="1"/>
        <v>24849.531199999998</v>
      </c>
      <c r="C15" s="30">
        <f t="shared" si="0"/>
        <v>617.04759999999999</v>
      </c>
      <c r="D15" s="30">
        <f t="shared" si="0"/>
        <v>117.2028</v>
      </c>
      <c r="E15" s="30">
        <f t="shared" si="0"/>
        <v>115.7988</v>
      </c>
      <c r="F15" s="30">
        <f t="shared" si="0"/>
        <v>1.4039999999999999</v>
      </c>
      <c r="G15" s="30">
        <f t="shared" si="0"/>
        <v>277.83080000000001</v>
      </c>
      <c r="H15" s="30">
        <f t="shared" si="0"/>
        <v>146.49960000000002</v>
      </c>
      <c r="I15" s="30">
        <f t="shared" si="0"/>
        <v>37.434799999999996</v>
      </c>
      <c r="J15" s="30">
        <f t="shared" si="0"/>
        <v>93.901599999999988</v>
      </c>
      <c r="K15" s="30">
        <f t="shared" si="0"/>
        <v>222.01400000000001</v>
      </c>
      <c r="L15" s="30">
        <f t="shared" si="0"/>
        <v>167.05519999999999</v>
      </c>
      <c r="M15" s="30">
        <f t="shared" si="0"/>
        <v>54.958800000000004</v>
      </c>
      <c r="N15" s="30">
        <f t="shared" si="0"/>
        <v>47.595599999999997</v>
      </c>
      <c r="O15" s="182"/>
      <c r="P15" s="32">
        <v>477875.6</v>
      </c>
      <c r="Q15" s="32">
        <f t="shared" si="2"/>
        <v>11866.3</v>
      </c>
      <c r="R15" s="32">
        <v>2253.9</v>
      </c>
      <c r="S15" s="32">
        <v>2226.9</v>
      </c>
      <c r="T15" s="32">
        <f t="shared" si="3"/>
        <v>27</v>
      </c>
      <c r="U15" s="32">
        <v>5342.9</v>
      </c>
      <c r="V15" s="32">
        <v>2817.3</v>
      </c>
      <c r="W15" s="32">
        <v>719.9</v>
      </c>
      <c r="X15" s="32">
        <v>1805.8</v>
      </c>
      <c r="Y15" s="32">
        <v>4269.5</v>
      </c>
      <c r="Z15" s="32">
        <v>3212.6</v>
      </c>
      <c r="AA15" s="32">
        <v>1056.9000000000001</v>
      </c>
      <c r="AB15" s="64">
        <v>915.3</v>
      </c>
    </row>
    <row r="16" spans="1:28">
      <c r="A16" s="66">
        <v>1998</v>
      </c>
      <c r="B16" s="30">
        <f t="shared" si="1"/>
        <v>25236.400799999999</v>
      </c>
      <c r="C16" s="30">
        <f t="shared" si="0"/>
        <v>642.81360000000006</v>
      </c>
      <c r="D16" s="30">
        <f t="shared" si="0"/>
        <v>123.58319999999999</v>
      </c>
      <c r="E16" s="30">
        <f t="shared" si="0"/>
        <v>121.79960000000001</v>
      </c>
      <c r="F16" s="30">
        <f t="shared" si="0"/>
        <v>1.7835999999999859</v>
      </c>
      <c r="G16" s="30">
        <f t="shared" si="0"/>
        <v>289.28639999999996</v>
      </c>
      <c r="H16" s="30">
        <f t="shared" si="0"/>
        <v>148.64719999999997</v>
      </c>
      <c r="I16" s="30">
        <f t="shared" si="0"/>
        <v>37.31</v>
      </c>
      <c r="J16" s="30">
        <f t="shared" si="0"/>
        <v>103.324</v>
      </c>
      <c r="K16" s="30">
        <f t="shared" si="0"/>
        <v>229.94399999999999</v>
      </c>
      <c r="L16" s="30">
        <f t="shared" si="0"/>
        <v>163.68039999999999</v>
      </c>
      <c r="M16" s="30">
        <f t="shared" si="0"/>
        <v>66.263599999999997</v>
      </c>
      <c r="N16" s="30">
        <f t="shared" si="0"/>
        <v>47.496799999999993</v>
      </c>
      <c r="O16" s="182"/>
      <c r="P16" s="32">
        <v>485315.4</v>
      </c>
      <c r="Q16" s="32">
        <f t="shared" si="2"/>
        <v>12361.800000000001</v>
      </c>
      <c r="R16" s="32">
        <v>2376.6</v>
      </c>
      <c r="S16" s="32">
        <v>2342.3000000000002</v>
      </c>
      <c r="T16" s="32">
        <f t="shared" si="3"/>
        <v>34.299999999999727</v>
      </c>
      <c r="U16" s="32">
        <v>5563.2</v>
      </c>
      <c r="V16" s="32">
        <v>2858.6</v>
      </c>
      <c r="W16" s="32">
        <v>717.5</v>
      </c>
      <c r="X16" s="32">
        <v>1987</v>
      </c>
      <c r="Y16" s="32">
        <v>4422</v>
      </c>
      <c r="Z16" s="32">
        <v>3147.7</v>
      </c>
      <c r="AA16" s="32">
        <v>1274.3</v>
      </c>
      <c r="AB16" s="64">
        <v>913.4</v>
      </c>
    </row>
    <row r="17" spans="1:28">
      <c r="A17" s="66">
        <v>1999</v>
      </c>
      <c r="B17" s="30">
        <f t="shared" si="1"/>
        <v>26097.172400000003</v>
      </c>
      <c r="C17" s="30">
        <f t="shared" si="0"/>
        <v>657.55039999999997</v>
      </c>
      <c r="D17" s="30">
        <f t="shared" si="0"/>
        <v>123.578</v>
      </c>
      <c r="E17" s="30">
        <f t="shared" si="0"/>
        <v>120.8948</v>
      </c>
      <c r="F17" s="30">
        <f t="shared" si="0"/>
        <v>2.6831999999999954</v>
      </c>
      <c r="G17" s="30">
        <f t="shared" si="0"/>
        <v>304.57960000000003</v>
      </c>
      <c r="H17" s="30">
        <f t="shared" si="0"/>
        <v>157.39880000000002</v>
      </c>
      <c r="I17" s="30">
        <f t="shared" si="0"/>
        <v>38.422799999999995</v>
      </c>
      <c r="J17" s="30">
        <f t="shared" si="0"/>
        <v>108.758</v>
      </c>
      <c r="K17" s="30">
        <f t="shared" si="0"/>
        <v>229.39279999999999</v>
      </c>
      <c r="L17" s="30">
        <f t="shared" si="0"/>
        <v>153.42599999999999</v>
      </c>
      <c r="M17" s="30">
        <f t="shared" si="0"/>
        <v>75.966800000000006</v>
      </c>
      <c r="N17" s="30">
        <f t="shared" si="0"/>
        <v>40.2896</v>
      </c>
      <c r="O17" s="182"/>
      <c r="P17" s="32">
        <v>501868.7</v>
      </c>
      <c r="Q17" s="32">
        <f t="shared" si="2"/>
        <v>12645.2</v>
      </c>
      <c r="R17" s="32">
        <v>2376.5</v>
      </c>
      <c r="S17" s="32">
        <v>2324.9</v>
      </c>
      <c r="T17" s="32">
        <f t="shared" si="3"/>
        <v>51.599999999999909</v>
      </c>
      <c r="U17" s="32">
        <v>5857.3</v>
      </c>
      <c r="V17" s="32">
        <v>3026.9</v>
      </c>
      <c r="W17" s="32">
        <v>738.9</v>
      </c>
      <c r="X17" s="32">
        <v>2091.5</v>
      </c>
      <c r="Y17" s="32">
        <v>4411.3999999999996</v>
      </c>
      <c r="Z17" s="32">
        <v>2950.5</v>
      </c>
      <c r="AA17" s="32">
        <v>1460.9</v>
      </c>
      <c r="AB17" s="64">
        <v>774.8</v>
      </c>
    </row>
    <row r="18" spans="1:28">
      <c r="A18" s="66">
        <v>2000</v>
      </c>
      <c r="B18" s="30">
        <f t="shared" si="1"/>
        <v>26927.274400000002</v>
      </c>
      <c r="C18" s="30">
        <f t="shared" si="0"/>
        <v>672.01679999999988</v>
      </c>
      <c r="D18" s="30">
        <f t="shared" si="0"/>
        <v>117.1352</v>
      </c>
      <c r="E18" s="30">
        <f t="shared" si="0"/>
        <v>115.6272</v>
      </c>
      <c r="F18" s="30">
        <f t="shared" si="0"/>
        <v>1.508</v>
      </c>
      <c r="G18" s="30">
        <f t="shared" si="0"/>
        <v>329.22239999999999</v>
      </c>
      <c r="H18" s="30">
        <f t="shared" si="0"/>
        <v>162.72880000000001</v>
      </c>
      <c r="I18" s="30">
        <f t="shared" si="0"/>
        <v>48.146799999999999</v>
      </c>
      <c r="J18" s="30">
        <f t="shared" si="0"/>
        <v>118.3468</v>
      </c>
      <c r="K18" s="30">
        <f t="shared" si="0"/>
        <v>225.6592</v>
      </c>
      <c r="L18" s="30">
        <f t="shared" si="0"/>
        <v>149.084</v>
      </c>
      <c r="M18" s="30">
        <f t="shared" si="0"/>
        <v>76.575199999999995</v>
      </c>
      <c r="N18" s="30">
        <f t="shared" si="0"/>
        <v>58.167199999999994</v>
      </c>
      <c r="O18" s="182"/>
      <c r="P18" s="32">
        <v>517832.2</v>
      </c>
      <c r="Q18" s="32">
        <f t="shared" si="2"/>
        <v>12923.4</v>
      </c>
      <c r="R18" s="32">
        <v>2252.6</v>
      </c>
      <c r="S18" s="32">
        <v>2223.6</v>
      </c>
      <c r="T18" s="32">
        <f t="shared" si="3"/>
        <v>29</v>
      </c>
      <c r="U18" s="32">
        <v>6331.2</v>
      </c>
      <c r="V18" s="32">
        <v>3129.4</v>
      </c>
      <c r="W18" s="32">
        <v>925.9</v>
      </c>
      <c r="X18" s="32">
        <v>2275.9</v>
      </c>
      <c r="Y18" s="32">
        <v>4339.6000000000004</v>
      </c>
      <c r="Z18" s="32">
        <v>2867</v>
      </c>
      <c r="AA18" s="32">
        <v>1472.6</v>
      </c>
      <c r="AB18" s="64">
        <v>1118.5999999999999</v>
      </c>
    </row>
    <row r="19" spans="1:28">
      <c r="A19" s="66">
        <v>2001</v>
      </c>
      <c r="B19" s="30">
        <f t="shared" si="1"/>
        <v>26733.0232</v>
      </c>
      <c r="C19" s="30">
        <f t="shared" si="0"/>
        <v>627.54120000000012</v>
      </c>
      <c r="D19" s="30">
        <f t="shared" si="0"/>
        <v>105.74719999999999</v>
      </c>
      <c r="E19" s="30">
        <f t="shared" si="0"/>
        <v>104.8892</v>
      </c>
      <c r="F19" s="30">
        <f t="shared" si="0"/>
        <v>0.85799999999999998</v>
      </c>
      <c r="G19" s="30">
        <f t="shared" si="0"/>
        <v>311.9948</v>
      </c>
      <c r="H19" s="30">
        <f t="shared" si="0"/>
        <v>152.88519999999997</v>
      </c>
      <c r="I19" s="30">
        <f t="shared" si="0"/>
        <v>46.904000000000003</v>
      </c>
      <c r="J19" s="30">
        <f t="shared" si="0"/>
        <v>112.21080000000001</v>
      </c>
      <c r="K19" s="30">
        <f t="shared" si="0"/>
        <v>209.79919999999998</v>
      </c>
      <c r="L19" s="30">
        <f t="shared" si="0"/>
        <v>143.35880000000003</v>
      </c>
      <c r="M19" s="30">
        <f t="shared" si="0"/>
        <v>66.440400000000011</v>
      </c>
      <c r="N19" s="30">
        <f t="shared" si="0"/>
        <v>43.763200000000005</v>
      </c>
      <c r="O19" s="182"/>
      <c r="P19" s="32">
        <v>514096.6</v>
      </c>
      <c r="Q19" s="32">
        <f t="shared" si="2"/>
        <v>12068.1</v>
      </c>
      <c r="R19" s="32">
        <v>2033.6</v>
      </c>
      <c r="S19" s="32">
        <v>2017.1</v>
      </c>
      <c r="T19" s="32">
        <f t="shared" si="3"/>
        <v>16.5</v>
      </c>
      <c r="U19" s="32">
        <v>5999.9</v>
      </c>
      <c r="V19" s="32">
        <v>2940.1</v>
      </c>
      <c r="W19" s="32">
        <v>902</v>
      </c>
      <c r="X19" s="32">
        <v>2157.9</v>
      </c>
      <c r="Y19" s="32">
        <v>4034.6</v>
      </c>
      <c r="Z19" s="32">
        <v>2756.9</v>
      </c>
      <c r="AA19" s="32">
        <v>1277.7</v>
      </c>
      <c r="AB19" s="64">
        <v>841.6</v>
      </c>
    </row>
    <row r="20" spans="1:28">
      <c r="A20" s="66">
        <v>2002</v>
      </c>
      <c r="B20" s="30">
        <f t="shared" si="1"/>
        <v>27189.5468</v>
      </c>
      <c r="C20" s="30">
        <f t="shared" si="0"/>
        <v>650.72799999999995</v>
      </c>
      <c r="D20" s="30">
        <f t="shared" si="0"/>
        <v>105.742</v>
      </c>
      <c r="E20" s="30">
        <f t="shared" si="0"/>
        <v>105.21680000000001</v>
      </c>
      <c r="F20" s="30">
        <f t="shared" si="0"/>
        <v>0.52519999999999523</v>
      </c>
      <c r="G20" s="30">
        <f t="shared" si="0"/>
        <v>339.49760000000003</v>
      </c>
      <c r="H20" s="30">
        <f t="shared" si="0"/>
        <v>160.20680000000002</v>
      </c>
      <c r="I20" s="30">
        <f t="shared" si="0"/>
        <v>48.443200000000004</v>
      </c>
      <c r="J20" s="30">
        <f t="shared" si="0"/>
        <v>130.8424</v>
      </c>
      <c r="K20" s="30">
        <f t="shared" si="0"/>
        <v>205.48839999999998</v>
      </c>
      <c r="L20" s="30">
        <f t="shared" si="0"/>
        <v>146.40600000000001</v>
      </c>
      <c r="M20" s="30">
        <f t="shared" si="0"/>
        <v>59.0824</v>
      </c>
      <c r="N20" s="30">
        <f t="shared" si="0"/>
        <v>41.033200000000008</v>
      </c>
      <c r="O20" s="182"/>
      <c r="P20" s="32">
        <v>522875.9</v>
      </c>
      <c r="Q20" s="32">
        <f t="shared" si="2"/>
        <v>12514</v>
      </c>
      <c r="R20" s="32">
        <v>2033.5</v>
      </c>
      <c r="S20" s="32">
        <v>2023.4</v>
      </c>
      <c r="T20" s="32">
        <f t="shared" si="3"/>
        <v>10.099999999999909</v>
      </c>
      <c r="U20" s="32">
        <v>6528.8</v>
      </c>
      <c r="V20" s="32">
        <v>3080.9</v>
      </c>
      <c r="W20" s="32">
        <v>931.6</v>
      </c>
      <c r="X20" s="32">
        <v>2516.1999999999998</v>
      </c>
      <c r="Y20" s="32">
        <v>3951.7</v>
      </c>
      <c r="Z20" s="32">
        <v>2815.5</v>
      </c>
      <c r="AA20" s="32">
        <v>1136.2</v>
      </c>
      <c r="AB20" s="64">
        <v>789.1</v>
      </c>
    </row>
    <row r="21" spans="1:28">
      <c r="A21" s="66">
        <v>2003</v>
      </c>
      <c r="B21" s="30">
        <f t="shared" si="1"/>
        <v>27349.01</v>
      </c>
      <c r="C21" s="30">
        <f t="shared" ref="C21:L25" si="4">Q21*52/1000</f>
        <v>673.26480000000004</v>
      </c>
      <c r="D21" s="30">
        <f t="shared" si="4"/>
        <v>115.3984</v>
      </c>
      <c r="E21" s="30">
        <f t="shared" si="4"/>
        <v>114.4988</v>
      </c>
      <c r="F21" s="30">
        <f t="shared" si="4"/>
        <v>0.89959999999998586</v>
      </c>
      <c r="G21" s="30">
        <f t="shared" si="4"/>
        <v>354.30720000000002</v>
      </c>
      <c r="H21" s="30">
        <f t="shared" si="4"/>
        <v>158.75080000000003</v>
      </c>
      <c r="I21" s="30">
        <f t="shared" si="4"/>
        <v>58.869199999999999</v>
      </c>
      <c r="J21" s="30">
        <f t="shared" si="4"/>
        <v>136.68719999999999</v>
      </c>
      <c r="K21" s="30">
        <f t="shared" si="4"/>
        <v>203.55919999999998</v>
      </c>
      <c r="L21" s="30">
        <f t="shared" si="4"/>
        <v>144.64839999999998</v>
      </c>
      <c r="M21" s="30">
        <f t="shared" ref="M21:N25" si="5">AA21*52/1000</f>
        <v>58.910800000000002</v>
      </c>
      <c r="N21" s="30">
        <f t="shared" si="5"/>
        <v>40.4664</v>
      </c>
      <c r="O21" s="182"/>
      <c r="P21" s="32">
        <v>525942.5</v>
      </c>
      <c r="Q21" s="32">
        <f t="shared" si="2"/>
        <v>12947.400000000001</v>
      </c>
      <c r="R21" s="32">
        <v>2219.1999999999998</v>
      </c>
      <c r="S21" s="32">
        <v>2201.9</v>
      </c>
      <c r="T21" s="32">
        <f t="shared" si="3"/>
        <v>17.299999999999727</v>
      </c>
      <c r="U21" s="32">
        <v>6813.6</v>
      </c>
      <c r="V21" s="32">
        <v>3052.9</v>
      </c>
      <c r="W21" s="32">
        <v>1132.0999999999999</v>
      </c>
      <c r="X21" s="32">
        <v>2628.6</v>
      </c>
      <c r="Y21" s="32">
        <v>3914.6</v>
      </c>
      <c r="Z21" s="32">
        <v>2781.7</v>
      </c>
      <c r="AA21" s="32">
        <v>1132.9000000000001</v>
      </c>
      <c r="AB21" s="64">
        <v>778.2</v>
      </c>
    </row>
    <row r="22" spans="1:28">
      <c r="A22" s="66">
        <v>2004</v>
      </c>
      <c r="B22" s="30">
        <f t="shared" si="1"/>
        <v>28108.688399999999</v>
      </c>
      <c r="C22" s="30">
        <f t="shared" si="4"/>
        <v>672.21960000000001</v>
      </c>
      <c r="D22" s="30">
        <f t="shared" si="4"/>
        <v>108.53439999999999</v>
      </c>
      <c r="E22" s="30">
        <f t="shared" si="4"/>
        <v>106.48559999999999</v>
      </c>
      <c r="F22" s="30">
        <f t="shared" si="4"/>
        <v>2.0487999999999928</v>
      </c>
      <c r="G22" s="30">
        <f t="shared" si="4"/>
        <v>361.07239999999996</v>
      </c>
      <c r="H22" s="30">
        <f t="shared" si="4"/>
        <v>163.59719999999999</v>
      </c>
      <c r="I22" s="30">
        <f t="shared" si="4"/>
        <v>57.137599999999999</v>
      </c>
      <c r="J22" s="30">
        <f t="shared" si="4"/>
        <v>140.34280000000001</v>
      </c>
      <c r="K22" s="30">
        <f t="shared" si="4"/>
        <v>202.61280000000002</v>
      </c>
      <c r="L22" s="30">
        <f t="shared" si="4"/>
        <v>134.97119999999998</v>
      </c>
      <c r="M22" s="30">
        <f t="shared" si="5"/>
        <v>67.641599999999997</v>
      </c>
      <c r="N22" s="30">
        <f t="shared" si="5"/>
        <v>39.811200000000007</v>
      </c>
      <c r="O22" s="182"/>
      <c r="P22" s="32">
        <v>540551.69999999995</v>
      </c>
      <c r="Q22" s="32">
        <f t="shared" si="2"/>
        <v>12927.3</v>
      </c>
      <c r="R22" s="32">
        <v>2087.1999999999998</v>
      </c>
      <c r="S22" s="32">
        <v>2047.8</v>
      </c>
      <c r="T22" s="32">
        <f t="shared" si="3"/>
        <v>39.399999999999864</v>
      </c>
      <c r="U22" s="32">
        <v>6943.7</v>
      </c>
      <c r="V22" s="32">
        <v>3146.1</v>
      </c>
      <c r="W22" s="32">
        <v>1098.8</v>
      </c>
      <c r="X22" s="32">
        <v>2698.9</v>
      </c>
      <c r="Y22" s="32">
        <v>3896.4</v>
      </c>
      <c r="Z22" s="32">
        <v>2595.6</v>
      </c>
      <c r="AA22" s="32">
        <v>1300.8</v>
      </c>
      <c r="AB22" s="64">
        <v>765.6</v>
      </c>
    </row>
    <row r="23" spans="1:28">
      <c r="A23" s="66">
        <v>2005</v>
      </c>
      <c r="B23" s="30">
        <f t="shared" si="1"/>
        <v>28738.034</v>
      </c>
      <c r="C23" s="30">
        <f t="shared" si="4"/>
        <v>617.27639999999997</v>
      </c>
      <c r="D23" s="30">
        <f t="shared" si="4"/>
        <v>94.343599999999995</v>
      </c>
      <c r="E23" s="30">
        <f t="shared" si="4"/>
        <v>92.580799999999996</v>
      </c>
      <c r="F23" s="30">
        <f t="shared" si="4"/>
        <v>1.7627999999999928</v>
      </c>
      <c r="G23" s="30">
        <f t="shared" si="4"/>
        <v>330.41320000000002</v>
      </c>
      <c r="H23" s="30">
        <f t="shared" si="4"/>
        <v>152.44839999999999</v>
      </c>
      <c r="I23" s="30">
        <f t="shared" si="4"/>
        <v>57.33</v>
      </c>
      <c r="J23" s="30">
        <f t="shared" si="4"/>
        <v>120.6348</v>
      </c>
      <c r="K23" s="30">
        <f t="shared" si="4"/>
        <v>192.5196</v>
      </c>
      <c r="L23" s="30">
        <f t="shared" si="4"/>
        <v>122.45480000000001</v>
      </c>
      <c r="M23" s="30">
        <f t="shared" si="5"/>
        <v>70.069999999999993</v>
      </c>
      <c r="N23" s="30">
        <f t="shared" si="5"/>
        <v>46.690799999999996</v>
      </c>
      <c r="O23" s="182"/>
      <c r="P23" s="32">
        <v>552654.5</v>
      </c>
      <c r="Q23" s="32">
        <f t="shared" si="2"/>
        <v>11870.7</v>
      </c>
      <c r="R23" s="32">
        <v>1814.3</v>
      </c>
      <c r="S23" s="32">
        <v>1780.4</v>
      </c>
      <c r="T23" s="32">
        <f t="shared" si="3"/>
        <v>33.899999999999864</v>
      </c>
      <c r="U23" s="32">
        <v>6354.1</v>
      </c>
      <c r="V23" s="32">
        <v>2931.7</v>
      </c>
      <c r="W23" s="32">
        <v>1102.5</v>
      </c>
      <c r="X23" s="32">
        <v>2319.9</v>
      </c>
      <c r="Y23" s="32">
        <v>3702.3</v>
      </c>
      <c r="Z23" s="32">
        <v>2354.9</v>
      </c>
      <c r="AA23" s="32">
        <v>1347.5</v>
      </c>
      <c r="AB23" s="64">
        <v>897.9</v>
      </c>
    </row>
    <row r="24" spans="1:28">
      <c r="A24" s="66">
        <v>2006</v>
      </c>
      <c r="B24" s="30">
        <f t="shared" si="1"/>
        <v>29078.550800000001</v>
      </c>
      <c r="C24" s="30">
        <f t="shared" si="4"/>
        <v>593.9076</v>
      </c>
      <c r="D24" s="30">
        <f t="shared" si="4"/>
        <v>86.242000000000004</v>
      </c>
      <c r="E24" s="30">
        <f t="shared" si="4"/>
        <v>85.222800000000007</v>
      </c>
      <c r="F24" s="30">
        <f t="shared" si="4"/>
        <v>1.0191999999999952</v>
      </c>
      <c r="G24" s="30">
        <f t="shared" si="4"/>
        <v>327.56360000000001</v>
      </c>
      <c r="H24" s="30">
        <f t="shared" si="4"/>
        <v>131.01919999999998</v>
      </c>
      <c r="I24" s="30">
        <f t="shared" si="4"/>
        <v>49.14</v>
      </c>
      <c r="J24" s="30">
        <f t="shared" si="4"/>
        <v>147.40439999999998</v>
      </c>
      <c r="K24" s="30">
        <f t="shared" si="4"/>
        <v>180.102</v>
      </c>
      <c r="L24" s="30">
        <f t="shared" si="4"/>
        <v>120.26560000000001</v>
      </c>
      <c r="M24" s="30">
        <f t="shared" si="5"/>
        <v>59.831199999999995</v>
      </c>
      <c r="N24" s="30">
        <f t="shared" si="5"/>
        <v>42.978000000000002</v>
      </c>
      <c r="O24" s="182"/>
      <c r="P24" s="32">
        <v>559202.9</v>
      </c>
      <c r="Q24" s="32">
        <f t="shared" si="2"/>
        <v>11421.3</v>
      </c>
      <c r="R24" s="32">
        <v>1658.5</v>
      </c>
      <c r="S24" s="32">
        <v>1638.9</v>
      </c>
      <c r="T24" s="32">
        <f t="shared" si="3"/>
        <v>19.599999999999909</v>
      </c>
      <c r="U24" s="32">
        <v>6299.3</v>
      </c>
      <c r="V24" s="32">
        <v>2519.6</v>
      </c>
      <c r="W24" s="32">
        <v>945</v>
      </c>
      <c r="X24" s="32">
        <v>2834.7</v>
      </c>
      <c r="Y24" s="32">
        <v>3463.5</v>
      </c>
      <c r="Z24" s="32">
        <v>2312.8000000000002</v>
      </c>
      <c r="AA24" s="32">
        <v>1150.5999999999999</v>
      </c>
      <c r="AB24" s="64">
        <v>826.5</v>
      </c>
    </row>
    <row r="25" spans="1:28">
      <c r="A25" s="66">
        <v>2007</v>
      </c>
      <c r="B25" s="30">
        <f t="shared" si="1"/>
        <v>29828.151600000001</v>
      </c>
      <c r="C25" s="30">
        <f t="shared" si="4"/>
        <v>538.42879999999991</v>
      </c>
      <c r="D25" s="30">
        <f t="shared" si="4"/>
        <v>83.023200000000003</v>
      </c>
      <c r="E25" s="30">
        <f t="shared" si="4"/>
        <v>81.77</v>
      </c>
      <c r="F25" s="30">
        <f t="shared" si="4"/>
        <v>1.2531999999999952</v>
      </c>
      <c r="G25" s="30">
        <f t="shared" si="4"/>
        <v>288.49079999999998</v>
      </c>
      <c r="H25" s="30">
        <f t="shared" si="4"/>
        <v>123.77560000000001</v>
      </c>
      <c r="I25" s="30">
        <f t="shared" si="4"/>
        <v>47.959600000000002</v>
      </c>
      <c r="J25" s="30">
        <f t="shared" si="4"/>
        <v>116.7556</v>
      </c>
      <c r="K25" s="30">
        <f t="shared" si="4"/>
        <v>166.91480000000001</v>
      </c>
      <c r="L25" s="30">
        <f t="shared" si="4"/>
        <v>101.25959999999999</v>
      </c>
      <c r="M25" s="30">
        <f t="shared" si="5"/>
        <v>65.650000000000006</v>
      </c>
      <c r="N25" s="30">
        <f t="shared" si="5"/>
        <v>39.535599999999995</v>
      </c>
      <c r="O25" s="182"/>
      <c r="P25" s="32">
        <v>573618.30000000005</v>
      </c>
      <c r="Q25" s="32">
        <f t="shared" si="2"/>
        <v>10354.4</v>
      </c>
      <c r="R25" s="32">
        <v>1596.6</v>
      </c>
      <c r="S25" s="32">
        <v>1572.5</v>
      </c>
      <c r="T25" s="32">
        <f t="shared" si="3"/>
        <v>24.099999999999909</v>
      </c>
      <c r="U25" s="32">
        <v>5547.9</v>
      </c>
      <c r="V25" s="32">
        <v>2380.3000000000002</v>
      </c>
      <c r="W25" s="32">
        <v>922.3</v>
      </c>
      <c r="X25" s="32">
        <v>2245.3000000000002</v>
      </c>
      <c r="Y25" s="32">
        <v>3209.9</v>
      </c>
      <c r="Z25" s="32">
        <v>1947.3</v>
      </c>
      <c r="AA25" s="32">
        <v>1262.5</v>
      </c>
      <c r="AB25" s="64">
        <v>760.3</v>
      </c>
    </row>
    <row r="26" spans="1:28">
      <c r="A26" s="66">
        <v>2008</v>
      </c>
      <c r="B26" s="30" t="s">
        <v>22</v>
      </c>
      <c r="C26" s="30" t="s">
        <v>22</v>
      </c>
      <c r="D26" s="30" t="s">
        <v>22</v>
      </c>
      <c r="E26" s="30" t="s">
        <v>22</v>
      </c>
      <c r="F26" s="30" t="s">
        <v>22</v>
      </c>
      <c r="G26" s="30" t="s">
        <v>22</v>
      </c>
      <c r="H26" s="30" t="s">
        <v>22</v>
      </c>
      <c r="I26" s="30" t="s">
        <v>22</v>
      </c>
      <c r="J26" s="30" t="s">
        <v>22</v>
      </c>
      <c r="K26" s="30" t="s">
        <v>22</v>
      </c>
      <c r="L26" s="30" t="s">
        <v>22</v>
      </c>
      <c r="M26" s="30" t="s">
        <v>22</v>
      </c>
      <c r="N26" s="30" t="s">
        <v>22</v>
      </c>
      <c r="O26" s="182"/>
      <c r="P26" s="32"/>
      <c r="Q26" s="32"/>
      <c r="R26" s="32"/>
      <c r="S26" s="32"/>
      <c r="T26" s="32"/>
      <c r="U26" s="32"/>
      <c r="V26" s="32"/>
      <c r="W26" s="32"/>
      <c r="X26" s="32"/>
      <c r="Y26" s="32"/>
      <c r="Z26" s="32"/>
      <c r="AA26" s="32"/>
    </row>
    <row r="27" spans="1:28">
      <c r="A27" s="66">
        <v>2009</v>
      </c>
      <c r="B27" s="30" t="s">
        <v>22</v>
      </c>
      <c r="C27" s="30" t="s">
        <v>22</v>
      </c>
      <c r="D27" s="30" t="s">
        <v>22</v>
      </c>
      <c r="E27" s="30" t="s">
        <v>22</v>
      </c>
      <c r="F27" s="30" t="s">
        <v>22</v>
      </c>
      <c r="G27" s="30" t="s">
        <v>22</v>
      </c>
      <c r="H27" s="30" t="s">
        <v>22</v>
      </c>
      <c r="I27" s="30" t="s">
        <v>22</v>
      </c>
      <c r="J27" s="30" t="s">
        <v>22</v>
      </c>
      <c r="K27" s="30" t="s">
        <v>22</v>
      </c>
      <c r="L27" s="30" t="s">
        <v>22</v>
      </c>
      <c r="M27" s="30" t="s">
        <v>22</v>
      </c>
      <c r="N27" s="30" t="s">
        <v>22</v>
      </c>
      <c r="O27" s="182"/>
      <c r="P27" s="32"/>
      <c r="Q27" s="32"/>
      <c r="R27" s="32"/>
      <c r="S27" s="32"/>
      <c r="T27" s="32"/>
      <c r="U27" s="32"/>
      <c r="V27" s="32"/>
      <c r="W27" s="32"/>
      <c r="X27" s="32"/>
      <c r="Y27" s="32"/>
      <c r="Z27" s="32"/>
      <c r="AA27" s="32"/>
    </row>
    <row r="28" spans="1:28">
      <c r="A28" s="66">
        <v>2010</v>
      </c>
      <c r="B28" s="30" t="s">
        <v>22</v>
      </c>
      <c r="C28" s="30" t="s">
        <v>22</v>
      </c>
      <c r="D28" s="30" t="s">
        <v>22</v>
      </c>
      <c r="E28" s="30" t="s">
        <v>22</v>
      </c>
      <c r="F28" s="30" t="s">
        <v>22</v>
      </c>
      <c r="G28" s="30" t="s">
        <v>22</v>
      </c>
      <c r="H28" s="30" t="s">
        <v>22</v>
      </c>
      <c r="I28" s="30" t="s">
        <v>22</v>
      </c>
      <c r="J28" s="30" t="s">
        <v>22</v>
      </c>
      <c r="K28" s="30" t="s">
        <v>22</v>
      </c>
      <c r="L28" s="30" t="s">
        <v>22</v>
      </c>
      <c r="M28" s="30" t="s">
        <v>22</v>
      </c>
      <c r="N28" s="30" t="s">
        <v>22</v>
      </c>
      <c r="O28" s="182"/>
      <c r="P28" s="32"/>
      <c r="Q28" s="32"/>
      <c r="R28" s="32"/>
      <c r="S28" s="32"/>
      <c r="T28" s="32"/>
      <c r="U28" s="32"/>
      <c r="V28" s="32"/>
      <c r="W28" s="32"/>
      <c r="X28" s="32"/>
      <c r="Y28" s="32"/>
      <c r="Z28" s="32"/>
      <c r="AA28" s="32"/>
    </row>
    <row r="29" spans="1:28">
      <c r="A29" s="66">
        <v>2011</v>
      </c>
      <c r="B29" s="30" t="s">
        <v>22</v>
      </c>
      <c r="C29" s="30" t="s">
        <v>22</v>
      </c>
      <c r="D29" s="30" t="s">
        <v>22</v>
      </c>
      <c r="E29" s="30" t="s">
        <v>22</v>
      </c>
      <c r="F29" s="30" t="s">
        <v>22</v>
      </c>
      <c r="G29" s="30" t="s">
        <v>22</v>
      </c>
      <c r="H29" s="30" t="s">
        <v>22</v>
      </c>
      <c r="I29" s="30" t="s">
        <v>22</v>
      </c>
      <c r="J29" s="30" t="s">
        <v>22</v>
      </c>
      <c r="K29" s="30" t="s">
        <v>22</v>
      </c>
      <c r="L29" s="30" t="s">
        <v>22</v>
      </c>
      <c r="M29" s="30" t="s">
        <v>22</v>
      </c>
      <c r="N29" s="30" t="s">
        <v>22</v>
      </c>
      <c r="O29" s="182"/>
      <c r="P29" s="32"/>
      <c r="Q29" s="32"/>
      <c r="R29" s="32"/>
      <c r="S29" s="32"/>
      <c r="T29" s="32"/>
      <c r="U29" s="32"/>
      <c r="V29" s="32"/>
      <c r="W29" s="32"/>
      <c r="X29" s="32"/>
      <c r="Y29" s="32"/>
      <c r="Z29" s="32"/>
      <c r="AA29" s="32"/>
    </row>
    <row r="30" spans="1:28">
      <c r="A30" s="66">
        <v>2012</v>
      </c>
      <c r="B30" s="30" t="s">
        <v>22</v>
      </c>
      <c r="C30" s="30" t="s">
        <v>22</v>
      </c>
      <c r="D30" s="30" t="s">
        <v>22</v>
      </c>
      <c r="E30" s="30" t="s">
        <v>22</v>
      </c>
      <c r="F30" s="30" t="s">
        <v>22</v>
      </c>
      <c r="G30" s="30" t="s">
        <v>22</v>
      </c>
      <c r="H30" s="30" t="s">
        <v>22</v>
      </c>
      <c r="I30" s="30" t="s">
        <v>22</v>
      </c>
      <c r="J30" s="30" t="s">
        <v>22</v>
      </c>
      <c r="K30" s="30" t="s">
        <v>22</v>
      </c>
      <c r="L30" s="30" t="s">
        <v>22</v>
      </c>
      <c r="M30" s="30" t="s">
        <v>22</v>
      </c>
      <c r="N30" s="30" t="s">
        <v>22</v>
      </c>
      <c r="O30" s="182"/>
      <c r="P30" s="32"/>
      <c r="Q30" s="32"/>
      <c r="R30" s="32"/>
      <c r="S30" s="32"/>
      <c r="T30" s="32"/>
      <c r="U30" s="32"/>
      <c r="V30" s="32"/>
      <c r="W30" s="32"/>
      <c r="X30" s="32"/>
      <c r="Y30" s="32"/>
      <c r="Z30" s="32"/>
      <c r="AA30" s="32"/>
    </row>
    <row r="31" spans="1:28">
      <c r="A31" s="66"/>
      <c r="B31" s="32"/>
      <c r="C31" s="32"/>
      <c r="D31" s="32"/>
      <c r="E31" s="32"/>
      <c r="F31" s="32"/>
      <c r="G31" s="32"/>
      <c r="H31" s="32"/>
      <c r="I31" s="32"/>
      <c r="J31" s="32"/>
      <c r="K31" s="32"/>
      <c r="L31" s="32"/>
      <c r="M31" s="32"/>
    </row>
    <row r="32" spans="1:28">
      <c r="A32" s="66" t="s">
        <v>23</v>
      </c>
      <c r="B32" s="56"/>
      <c r="C32" s="32"/>
      <c r="D32" s="32"/>
      <c r="E32" s="32"/>
      <c r="F32" s="32"/>
      <c r="G32" s="32"/>
      <c r="H32" s="32"/>
      <c r="I32" s="32"/>
      <c r="J32" s="32"/>
      <c r="K32" s="32"/>
      <c r="L32" s="32"/>
      <c r="M32" s="32"/>
    </row>
    <row r="33" spans="1:14">
      <c r="A33" s="64" t="s">
        <v>667</v>
      </c>
      <c r="B33" s="65">
        <f>((B25/B5)^(1/20)-1)*100</f>
        <v>1.4827954487632411</v>
      </c>
      <c r="C33" s="65">
        <f t="shared" ref="C33:M33" si="6">((C25/C5)^(1/20)-1)*100</f>
        <v>-0.33843765797733072</v>
      </c>
      <c r="D33" s="65">
        <f t="shared" si="6"/>
        <v>-1.2603101600413225</v>
      </c>
      <c r="E33" s="65">
        <f t="shared" si="6"/>
        <v>-1.184073693968446</v>
      </c>
      <c r="F33" s="65">
        <f t="shared" si="6"/>
        <v>-4.622425893077164</v>
      </c>
      <c r="G33" s="65">
        <f t="shared" si="6"/>
        <v>1.0823931527560227</v>
      </c>
      <c r="H33" s="65">
        <f t="shared" si="6"/>
        <v>-0.38343798527310513</v>
      </c>
      <c r="I33" s="65">
        <f t="shared" si="6"/>
        <v>3.3150191416176922</v>
      </c>
      <c r="J33" s="65">
        <f t="shared" si="6"/>
        <v>2.3087153971741881</v>
      </c>
      <c r="K33" s="65">
        <f t="shared" si="6"/>
        <v>-1.7293100275902917</v>
      </c>
      <c r="L33" s="65">
        <f t="shared" si="6"/>
        <v>-2.5346832684840503</v>
      </c>
      <c r="M33" s="65">
        <f t="shared" si="6"/>
        <v>-0.13047257189178207</v>
      </c>
      <c r="N33" s="65">
        <f>((N25/N5)^(1/20)-1)*100</f>
        <v>1.5207242736797744</v>
      </c>
    </row>
    <row r="34" spans="1:14">
      <c r="A34" s="64" t="s">
        <v>26</v>
      </c>
      <c r="B34" s="65">
        <f>((B18/B7)^(1/11)-1)*100</f>
        <v>1.0036304727897294</v>
      </c>
      <c r="C34" s="65">
        <f t="shared" ref="C34:M34" si="7">((C18/C7)^(1/11)-1)*100</f>
        <v>0.21468808760070068</v>
      </c>
      <c r="D34" s="65">
        <f t="shared" si="7"/>
        <v>0.24822334296732418</v>
      </c>
      <c r="E34" s="65">
        <f t="shared" si="7"/>
        <v>0.4187621287186527</v>
      </c>
      <c r="F34" s="65">
        <f t="shared" si="7"/>
        <v>-7.4919015263391842</v>
      </c>
      <c r="G34" s="65">
        <f t="shared" si="7"/>
        <v>2.2411244753733239</v>
      </c>
      <c r="H34" s="65">
        <f t="shared" si="7"/>
        <v>1.7108325241643074</v>
      </c>
      <c r="I34" s="65">
        <f t="shared" si="7"/>
        <v>3.5444936166024732</v>
      </c>
      <c r="J34" s="65">
        <f t="shared" si="7"/>
        <v>2.5057248214921835</v>
      </c>
      <c r="K34" s="65">
        <f t="shared" si="7"/>
        <v>-2.0804069083304344</v>
      </c>
      <c r="L34" s="65">
        <f t="shared" si="7"/>
        <v>-2.9596363865190267</v>
      </c>
      <c r="M34" s="65">
        <f t="shared" si="7"/>
        <v>-3.8187271603395967E-2</v>
      </c>
      <c r="N34" s="65">
        <f>((N18/N7)^(1/11)-1)*100</f>
        <v>4.6344454154208403</v>
      </c>
    </row>
    <row r="35" spans="1:14">
      <c r="A35" s="64" t="s">
        <v>588</v>
      </c>
      <c r="B35" s="65">
        <f>((B25/B18)^(1/7)-1)*100</f>
        <v>1.4723472437366381</v>
      </c>
      <c r="C35" s="65">
        <f t="shared" ref="C35:M35" si="8">((C25/C18)^(1/7)-1)*100</f>
        <v>-3.1165186830922176</v>
      </c>
      <c r="D35" s="65">
        <f t="shared" si="8"/>
        <v>-4.7983275534139729</v>
      </c>
      <c r="E35" s="65">
        <f t="shared" si="8"/>
        <v>-4.828951155259853</v>
      </c>
      <c r="F35" s="65">
        <f t="shared" si="8"/>
        <v>-2.6094078584432356</v>
      </c>
      <c r="G35" s="65">
        <f t="shared" si="8"/>
        <v>-1.8690316411540508</v>
      </c>
      <c r="H35" s="65">
        <f t="shared" si="8"/>
        <v>-3.8333751214450928</v>
      </c>
      <c r="I35" s="65">
        <f t="shared" si="8"/>
        <v>-5.5637191233370853E-2</v>
      </c>
      <c r="J35" s="65">
        <f t="shared" si="8"/>
        <v>-0.19319080318256354</v>
      </c>
      <c r="K35" s="65">
        <f t="shared" si="8"/>
        <v>-4.2162830678834418</v>
      </c>
      <c r="L35" s="65">
        <f t="shared" si="8"/>
        <v>-5.3761229158157509</v>
      </c>
      <c r="M35" s="65">
        <f t="shared" si="8"/>
        <v>-2.1750774011189189</v>
      </c>
      <c r="N35" s="65">
        <f>((N25/N18)^(1/7)-1)*100</f>
        <v>-5.3666289743669937</v>
      </c>
    </row>
    <row r="36" spans="1:14">
      <c r="A36" s="109" t="s">
        <v>27</v>
      </c>
      <c r="B36" s="147">
        <f>((B24/B18)^(1/6)-1)*100</f>
        <v>1.2892589493069595</v>
      </c>
      <c r="C36" s="147">
        <f t="shared" ref="C36:M36" si="9">((C24/C18)^(1/6)-1)*100</f>
        <v>-2.0382671551942844</v>
      </c>
      <c r="D36" s="147">
        <f t="shared" si="9"/>
        <v>-4.9748495206635486</v>
      </c>
      <c r="E36" s="147">
        <f t="shared" si="9"/>
        <v>-4.9579128474717571</v>
      </c>
      <c r="F36" s="147">
        <f t="shared" si="9"/>
        <v>-6.3208347406368155</v>
      </c>
      <c r="G36" s="147">
        <f t="shared" si="9"/>
        <v>-8.4152497507727908E-2</v>
      </c>
      <c r="H36" s="147">
        <f t="shared" si="9"/>
        <v>-3.547885379724991</v>
      </c>
      <c r="I36" s="147">
        <f t="shared" si="9"/>
        <v>0.34089121767779673</v>
      </c>
      <c r="J36" s="147">
        <f t="shared" si="9"/>
        <v>3.7271203598548297</v>
      </c>
      <c r="K36" s="147">
        <f t="shared" si="9"/>
        <v>-3.6886252771996864</v>
      </c>
      <c r="L36" s="147">
        <f t="shared" si="9"/>
        <v>-3.5167929052826841</v>
      </c>
      <c r="M36" s="147">
        <f t="shared" si="9"/>
        <v>-4.0290201469616038</v>
      </c>
      <c r="N36" s="147">
        <f>((N24/N18)^(1/6)-1)*100</f>
        <v>-4.9187957114674052</v>
      </c>
    </row>
    <row r="37" spans="1:14">
      <c r="A37" s="109" t="s">
        <v>662</v>
      </c>
      <c r="B37" s="147">
        <f>((B22/B18)^(1/4)-1)*100</f>
        <v>1.079258252284343</v>
      </c>
      <c r="C37" s="147">
        <f t="shared" ref="C37:N37" si="10">((C22/C18)^(1/4)-1)*100</f>
        <v>7.5436006142126644E-3</v>
      </c>
      <c r="D37" s="147">
        <f t="shared" si="10"/>
        <v>-1.8884817001895482</v>
      </c>
      <c r="E37" s="147">
        <f t="shared" si="10"/>
        <v>-2.0379830397042942</v>
      </c>
      <c r="F37" s="147">
        <f t="shared" si="10"/>
        <v>7.9629035603730358</v>
      </c>
      <c r="G37" s="147">
        <f t="shared" si="10"/>
        <v>2.335479549009678</v>
      </c>
      <c r="H37" s="147">
        <f t="shared" si="10"/>
        <v>0.13314600170035717</v>
      </c>
      <c r="I37" s="147">
        <f t="shared" si="10"/>
        <v>4.3731141704604681</v>
      </c>
      <c r="J37" s="147">
        <f t="shared" si="10"/>
        <v>4.3538326862734511</v>
      </c>
      <c r="K37" s="147">
        <f t="shared" si="10"/>
        <v>-2.6572842179806155</v>
      </c>
      <c r="L37" s="147">
        <f t="shared" si="10"/>
        <v>-2.4555603734649267</v>
      </c>
      <c r="M37" s="147">
        <f t="shared" si="10"/>
        <v>-3.0536566170552226</v>
      </c>
      <c r="N37" s="147">
        <f t="shared" si="10"/>
        <v>-9.0439111064419926</v>
      </c>
    </row>
    <row r="39" spans="1:14" ht="30" customHeight="1">
      <c r="A39" s="104" t="s">
        <v>1022</v>
      </c>
      <c r="B39" s="104"/>
      <c r="C39" s="104"/>
      <c r="D39" s="104"/>
      <c r="E39" s="104"/>
      <c r="F39" s="104"/>
      <c r="G39" s="104"/>
      <c r="H39" s="104"/>
      <c r="I39" s="104"/>
      <c r="J39" s="104"/>
      <c r="K39" s="104"/>
      <c r="L39" s="104"/>
      <c r="M39" s="104"/>
      <c r="N39" s="104"/>
    </row>
    <row r="40" spans="1:14" ht="15" customHeight="1">
      <c r="A40" s="104" t="s">
        <v>79</v>
      </c>
      <c r="B40" s="104"/>
      <c r="C40" s="104"/>
      <c r="D40" s="104"/>
      <c r="E40" s="104"/>
      <c r="F40" s="104"/>
      <c r="G40" s="104"/>
      <c r="H40" s="104"/>
      <c r="I40" s="104"/>
      <c r="J40" s="104"/>
      <c r="K40" s="104"/>
      <c r="L40" s="104"/>
      <c r="M40" s="104"/>
      <c r="N40" s="104"/>
    </row>
    <row r="41" spans="1:14">
      <c r="A41" s="271" t="s">
        <v>1076</v>
      </c>
      <c r="B41" s="271"/>
      <c r="C41" s="271"/>
      <c r="D41" s="271"/>
      <c r="E41" s="271"/>
      <c r="F41" s="271"/>
      <c r="G41" s="271"/>
      <c r="H41" s="271"/>
      <c r="I41" s="271"/>
      <c r="J41" s="271"/>
      <c r="K41" s="271"/>
      <c r="L41" s="271"/>
      <c r="M41" s="271"/>
      <c r="N41" s="271"/>
    </row>
  </sheetData>
  <mergeCells count="19">
    <mergeCell ref="A1:M1"/>
    <mergeCell ref="P2:P4"/>
    <mergeCell ref="Q2:AA2"/>
    <mergeCell ref="Q3:Q4"/>
    <mergeCell ref="R3:T3"/>
    <mergeCell ref="U3:X3"/>
    <mergeCell ref="Y3:AA3"/>
    <mergeCell ref="A2:A4"/>
    <mergeCell ref="B2:B4"/>
    <mergeCell ref="C2:M2"/>
    <mergeCell ref="C3:C4"/>
    <mergeCell ref="D3:F3"/>
    <mergeCell ref="G3:J3"/>
    <mergeCell ref="K3:M3"/>
    <mergeCell ref="AB2:AB4"/>
    <mergeCell ref="N2:N4"/>
    <mergeCell ref="A39:N39"/>
    <mergeCell ref="A40:N40"/>
    <mergeCell ref="A41:N41"/>
  </mergeCells>
  <pageMargins left="0.70866141732283472" right="0.70866141732283472" top="0.74803149606299213" bottom="0.74803149606299213" header="0.31496062992125984" footer="0.31496062992125984"/>
  <pageSetup scale="72" orientation="landscape" horizontalDpi="0" verticalDpi="0" r:id="rId1"/>
</worksheet>
</file>

<file path=xl/worksheets/sheet29.xml><?xml version="1.0" encoding="utf-8"?>
<worksheet xmlns="http://schemas.openxmlformats.org/spreadsheetml/2006/main" xmlns:r="http://schemas.openxmlformats.org/officeDocument/2006/relationships">
  <sheetPr codeName="Sheet29">
    <pageSetUpPr fitToPage="1"/>
  </sheetPr>
  <dimension ref="A1:Z73"/>
  <sheetViews>
    <sheetView view="pageBreakPreview" zoomScale="85" zoomScaleNormal="100" zoomScaleSheetLayoutView="85"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2.5703125" style="64" customWidth="1"/>
    <col min="2" max="2" width="13.7109375" style="64" customWidth="1"/>
    <col min="3" max="3" width="14" style="64" customWidth="1"/>
    <col min="4" max="4" width="12.7109375" style="64" customWidth="1"/>
    <col min="5" max="7" width="15.85546875" style="64" customWidth="1"/>
    <col min="8" max="8" width="14.7109375" style="64" customWidth="1"/>
    <col min="9" max="9" width="9.140625" style="64"/>
    <col min="10" max="23" width="9.140625" style="64" hidden="1" customWidth="1" outlineLevel="1"/>
    <col min="24" max="24" width="23" style="64" hidden="1" customWidth="1" outlineLevel="1"/>
    <col min="25" max="25" width="9.140625" style="64" hidden="1" customWidth="1" outlineLevel="1"/>
    <col min="26" max="26" width="9.140625" style="64" collapsed="1"/>
    <col min="27" max="16384" width="9.140625" style="64"/>
  </cols>
  <sheetData>
    <row r="1" spans="1:25">
      <c r="A1" s="140" t="s">
        <v>1966</v>
      </c>
      <c r="B1" s="140"/>
      <c r="C1" s="140"/>
      <c r="D1" s="140"/>
      <c r="E1" s="140"/>
      <c r="F1" s="140"/>
      <c r="G1" s="140"/>
      <c r="H1" s="140"/>
    </row>
    <row r="2" spans="1:25">
      <c r="A2" s="96"/>
      <c r="B2" s="94" t="s">
        <v>51</v>
      </c>
      <c r="C2" s="94" t="s">
        <v>37</v>
      </c>
      <c r="D2" s="94"/>
      <c r="E2" s="94"/>
      <c r="F2" s="94"/>
      <c r="G2" s="94"/>
      <c r="H2" s="94"/>
    </row>
    <row r="3" spans="1:25">
      <c r="A3" s="96"/>
      <c r="B3" s="94"/>
      <c r="C3" s="94" t="s">
        <v>58</v>
      </c>
      <c r="D3" s="94" t="s">
        <v>0</v>
      </c>
      <c r="E3" s="94" t="s">
        <v>1</v>
      </c>
      <c r="F3" s="94" t="s">
        <v>2</v>
      </c>
      <c r="G3" s="94"/>
      <c r="H3" s="94"/>
    </row>
    <row r="4" spans="1:25" ht="90">
      <c r="A4" s="96"/>
      <c r="B4" s="94"/>
      <c r="C4" s="94"/>
      <c r="D4" s="94"/>
      <c r="E4" s="94"/>
      <c r="F4" s="72" t="s">
        <v>517</v>
      </c>
      <c r="G4" s="72" t="s">
        <v>13</v>
      </c>
      <c r="H4" s="72" t="s">
        <v>19</v>
      </c>
      <c r="J4" s="117" t="s">
        <v>51</v>
      </c>
      <c r="K4" s="117" t="s">
        <v>0</v>
      </c>
      <c r="L4" s="117" t="s">
        <v>1</v>
      </c>
      <c r="M4" s="117" t="s">
        <v>2</v>
      </c>
      <c r="N4" s="117" t="s">
        <v>13</v>
      </c>
      <c r="O4" s="117" t="s">
        <v>19</v>
      </c>
      <c r="Q4" s="117" t="s">
        <v>0</v>
      </c>
      <c r="R4" s="117" t="s">
        <v>1</v>
      </c>
      <c r="S4" s="117" t="s">
        <v>2</v>
      </c>
      <c r="X4" s="77" t="s">
        <v>518</v>
      </c>
    </row>
    <row r="5" spans="1:25" hidden="1" outlineLevel="1">
      <c r="J5" s="64" t="s">
        <v>52</v>
      </c>
      <c r="K5" s="64" t="s">
        <v>53</v>
      </c>
      <c r="L5" s="64" t="s">
        <v>54</v>
      </c>
      <c r="M5" s="64" t="s">
        <v>55</v>
      </c>
      <c r="N5" s="64" t="s">
        <v>56</v>
      </c>
      <c r="O5" s="64" t="s">
        <v>57</v>
      </c>
      <c r="Q5" s="64" t="s">
        <v>59</v>
      </c>
      <c r="R5" s="64" t="s">
        <v>60</v>
      </c>
      <c r="S5" s="64" t="s">
        <v>61</v>
      </c>
      <c r="X5" s="64" t="s">
        <v>519</v>
      </c>
    </row>
    <row r="6" spans="1:25" collapsed="1">
      <c r="A6" s="66">
        <v>1961</v>
      </c>
      <c r="B6" s="58">
        <f>'4'!B6*1000000/'3'!B6/52</f>
        <v>39.385209428623732</v>
      </c>
      <c r="C6" s="58">
        <f>'4'!D6*1000000/'3'!C6/52</f>
        <v>43.778724291366771</v>
      </c>
      <c r="D6" s="58">
        <f>'4'!E6*1000000/'3'!D6/52</f>
        <v>50.858587923354477</v>
      </c>
      <c r="E6" s="58">
        <f>'4'!F6*1000000/'3'!E6/52</f>
        <v>43.185927272118683</v>
      </c>
      <c r="F6" s="58">
        <f>'4'!G6*1000000/'3'!F6/52</f>
        <v>39.025481262921275</v>
      </c>
      <c r="G6" s="58" t="s">
        <v>22</v>
      </c>
      <c r="H6" s="58" t="s">
        <v>22</v>
      </c>
      <c r="Q6" s="64">
        <v>203800000</v>
      </c>
      <c r="R6" s="64">
        <v>194200000</v>
      </c>
      <c r="S6" s="64">
        <v>219300000</v>
      </c>
      <c r="T6" s="242">
        <f t="shared" ref="T6:V40" si="0">Q6/Q7</f>
        <v>0.95278167367928934</v>
      </c>
      <c r="U6" s="242">
        <f t="shared" si="0"/>
        <v>0.96906187624750495</v>
      </c>
      <c r="V6" s="242">
        <f t="shared" si="0"/>
        <v>0.97164377492246345</v>
      </c>
      <c r="X6" s="64">
        <v>13345287000</v>
      </c>
      <c r="Y6" s="242">
        <f t="shared" ref="Y6:Y42" si="1">X6/X7</f>
        <v>0.96992525958115827</v>
      </c>
    </row>
    <row r="7" spans="1:25" hidden="1" outlineLevel="1">
      <c r="A7" s="66">
        <v>1962</v>
      </c>
      <c r="B7" s="58">
        <f>'4'!B7*1000000/'3'!B7/52</f>
        <v>39.407089059181217</v>
      </c>
      <c r="C7" s="58">
        <f>'4'!D7*1000000/'3'!C7/52</f>
        <v>44.105470945519542</v>
      </c>
      <c r="D7" s="58">
        <f>'4'!E7*1000000/'3'!D7/52</f>
        <v>50.975976874401184</v>
      </c>
      <c r="E7" s="58">
        <f>'4'!F7*1000000/'3'!E7/52</f>
        <v>43.486969342737254</v>
      </c>
      <c r="F7" s="58">
        <f>'4'!G7*1000000/'3'!F7/52</f>
        <v>39.408821739101512</v>
      </c>
      <c r="G7" s="58" t="s">
        <v>22</v>
      </c>
      <c r="H7" s="58" t="s">
        <v>22</v>
      </c>
      <c r="Q7" s="64">
        <v>213900000</v>
      </c>
      <c r="R7" s="64">
        <v>200400000</v>
      </c>
      <c r="S7" s="64">
        <v>225700000</v>
      </c>
      <c r="T7" s="242">
        <f t="shared" si="0"/>
        <v>1.078125</v>
      </c>
      <c r="U7" s="242">
        <f t="shared" si="0"/>
        <v>0.96253602305475505</v>
      </c>
      <c r="V7" s="242">
        <f t="shared" si="0"/>
        <v>0.99558888398764889</v>
      </c>
      <c r="X7" s="64">
        <v>13759088000</v>
      </c>
      <c r="Y7" s="242">
        <f t="shared" si="1"/>
        <v>0.98400288583694273</v>
      </c>
    </row>
    <row r="8" spans="1:25" hidden="1" outlineLevel="1">
      <c r="A8" s="66">
        <v>1963</v>
      </c>
      <c r="B8" s="58">
        <f>'4'!B8*1000000/'3'!B8/52</f>
        <v>39.084870433777212</v>
      </c>
      <c r="C8" s="58">
        <f>'4'!D8*1000000/'3'!C8/52</f>
        <v>43.420975142536363</v>
      </c>
      <c r="D8" s="58">
        <f>'4'!E8*1000000/'3'!D8/52</f>
        <v>48.714291251375194</v>
      </c>
      <c r="E8" s="58">
        <f>'4'!F8*1000000/'3'!E8/52</f>
        <v>43.696836023087776</v>
      </c>
      <c r="F8" s="58">
        <f>'4'!G8*1000000/'3'!F8/52</f>
        <v>39.257713764299474</v>
      </c>
      <c r="G8" s="58" t="s">
        <v>22</v>
      </c>
      <c r="H8" s="58" t="s">
        <v>22</v>
      </c>
      <c r="Q8" s="64">
        <v>198400000</v>
      </c>
      <c r="R8" s="64">
        <v>208200000</v>
      </c>
      <c r="S8" s="64">
        <v>226700000</v>
      </c>
      <c r="T8" s="242">
        <f t="shared" si="0"/>
        <v>0.95064686152371825</v>
      </c>
      <c r="U8" s="242">
        <f t="shared" si="0"/>
        <v>0.96837209302325578</v>
      </c>
      <c r="V8" s="242">
        <f t="shared" si="0"/>
        <v>0.94655532359081418</v>
      </c>
      <c r="X8" s="64">
        <v>13982772000</v>
      </c>
      <c r="Y8" s="242">
        <f t="shared" si="1"/>
        <v>0.96910283718959334</v>
      </c>
    </row>
    <row r="9" spans="1:25" hidden="1" outlineLevel="1">
      <c r="A9" s="66">
        <v>1964</v>
      </c>
      <c r="B9" s="58">
        <f>'4'!B9*1000000/'3'!B9/52</f>
        <v>38.912760699617834</v>
      </c>
      <c r="C9" s="58">
        <f>'4'!D9*1000000/'3'!C9/52</f>
        <v>43.936759208647914</v>
      </c>
      <c r="D9" s="58">
        <f>'4'!E9*1000000/'3'!D9/52</f>
        <v>49.78214133282799</v>
      </c>
      <c r="E9" s="58">
        <f>'4'!F9*1000000/'3'!E9/52</f>
        <v>43.91064973827865</v>
      </c>
      <c r="F9" s="58">
        <f>'4'!G9*1000000/'3'!F9/52</f>
        <v>39.691575235103173</v>
      </c>
      <c r="G9" s="58" t="s">
        <v>22</v>
      </c>
      <c r="H9" s="58" t="s">
        <v>22</v>
      </c>
      <c r="Q9" s="64">
        <v>208700000</v>
      </c>
      <c r="R9" s="64">
        <v>215000000</v>
      </c>
      <c r="S9" s="64">
        <v>239500000</v>
      </c>
      <c r="T9" s="242">
        <f t="shared" si="0"/>
        <v>0.98956851588430539</v>
      </c>
      <c r="U9" s="242">
        <f t="shared" si="0"/>
        <v>0.98488318827301879</v>
      </c>
      <c r="V9" s="242">
        <f t="shared" si="0"/>
        <v>0.98357289527720737</v>
      </c>
      <c r="X9" s="64">
        <v>14428574000</v>
      </c>
      <c r="Y9" s="242">
        <f t="shared" si="1"/>
        <v>0.97195743550866287</v>
      </c>
    </row>
    <row r="10" spans="1:25" hidden="1" outlineLevel="1">
      <c r="A10" s="66">
        <v>1965</v>
      </c>
      <c r="B10" s="58">
        <f>'4'!B10*1000000/'3'!B10/52</f>
        <v>38.601252767163189</v>
      </c>
      <c r="C10" s="58">
        <f>'4'!D10*1000000/'3'!C10/52</f>
        <v>43.570593132191917</v>
      </c>
      <c r="D10" s="58">
        <f>'4'!E10*1000000/'3'!D10/52</f>
        <v>49.424500126506601</v>
      </c>
      <c r="E10" s="58">
        <f>'4'!F10*1000000/'3'!E10/52</f>
        <v>43.883020542881951</v>
      </c>
      <c r="F10" s="58">
        <f>'4'!G10*1000000/'3'!F10/52</f>
        <v>39.072093392942435</v>
      </c>
      <c r="G10" s="58" t="s">
        <v>22</v>
      </c>
      <c r="H10" s="58" t="s">
        <v>22</v>
      </c>
      <c r="Q10" s="64">
        <v>210900000</v>
      </c>
      <c r="R10" s="64">
        <v>218300000</v>
      </c>
      <c r="S10" s="64">
        <v>243500000</v>
      </c>
      <c r="T10" s="242">
        <f t="shared" si="0"/>
        <v>0.99293785310734461</v>
      </c>
      <c r="U10" s="242">
        <f t="shared" si="0"/>
        <v>1.0027560863573726</v>
      </c>
      <c r="V10" s="242">
        <f t="shared" si="0"/>
        <v>0.93906671808715769</v>
      </c>
      <c r="X10" s="64">
        <v>14844862000</v>
      </c>
      <c r="Y10" s="242">
        <f t="shared" si="1"/>
        <v>0.95614336680241951</v>
      </c>
    </row>
    <row r="11" spans="1:25" hidden="1" outlineLevel="1">
      <c r="A11" s="66">
        <v>1966</v>
      </c>
      <c r="B11" s="58">
        <f>'4'!B11*1000000/'3'!B11/52</f>
        <v>38.314101322956049</v>
      </c>
      <c r="C11" s="58">
        <f>'4'!D11*1000000/'3'!C11/52</f>
        <v>43.004283819002467</v>
      </c>
      <c r="D11" s="58">
        <f>'4'!E11*1000000/'3'!D11/52</f>
        <v>48.699251248039168</v>
      </c>
      <c r="E11" s="58">
        <f>'4'!F11*1000000/'3'!E11/52</f>
        <v>43.141114533317676</v>
      </c>
      <c r="F11" s="58">
        <f>'4'!G11*1000000/'3'!F11/52</f>
        <v>38.906307632495221</v>
      </c>
      <c r="G11" s="58" t="s">
        <v>22</v>
      </c>
      <c r="H11" s="58" t="s">
        <v>22</v>
      </c>
      <c r="Q11" s="64">
        <v>212400000</v>
      </c>
      <c r="R11" s="64">
        <v>217700000</v>
      </c>
      <c r="S11" s="64">
        <v>259300000</v>
      </c>
      <c r="T11" s="242">
        <f t="shared" si="0"/>
        <v>1.0694864048338368</v>
      </c>
      <c r="U11" s="242">
        <f t="shared" si="0"/>
        <v>1.006472491909385</v>
      </c>
      <c r="V11" s="242">
        <f t="shared" si="0"/>
        <v>0.98406072106261855</v>
      </c>
      <c r="X11" s="64">
        <v>15525770000</v>
      </c>
      <c r="Y11" s="242">
        <f t="shared" si="1"/>
        <v>0.97545524484597212</v>
      </c>
    </row>
    <row r="12" spans="1:25" hidden="1" outlineLevel="1">
      <c r="A12" s="66">
        <v>1967</v>
      </c>
      <c r="B12" s="58">
        <f>'4'!B12*1000000/'3'!B12/52</f>
        <v>38.157270239687016</v>
      </c>
      <c r="C12" s="58">
        <f>'4'!D12*1000000/'3'!C12/52</f>
        <v>42.730388276106581</v>
      </c>
      <c r="D12" s="58">
        <f>'4'!E12*1000000/'3'!D12/52</f>
        <v>47.172141443971896</v>
      </c>
      <c r="E12" s="58">
        <f>'4'!F12*1000000/'3'!E12/52</f>
        <v>44.165143559195592</v>
      </c>
      <c r="F12" s="58">
        <f>'4'!G12*1000000/'3'!F12/52</f>
        <v>38.587594629485643</v>
      </c>
      <c r="G12" s="58" t="s">
        <v>22</v>
      </c>
      <c r="H12" s="58" t="s">
        <v>22</v>
      </c>
      <c r="Q12" s="64">
        <v>198600000</v>
      </c>
      <c r="R12" s="64">
        <v>216300000</v>
      </c>
      <c r="S12" s="64">
        <v>263500000</v>
      </c>
      <c r="T12" s="242">
        <f t="shared" si="0"/>
        <v>1.0770065075921909</v>
      </c>
      <c r="U12" s="242">
        <f t="shared" si="0"/>
        <v>1.0013888888888889</v>
      </c>
      <c r="V12" s="242">
        <f t="shared" si="0"/>
        <v>0.99584278155706729</v>
      </c>
      <c r="X12" s="64">
        <v>15916435000</v>
      </c>
      <c r="Y12" s="242">
        <f t="shared" si="1"/>
        <v>1.0008244188447648</v>
      </c>
    </row>
    <row r="13" spans="1:25" hidden="1" outlineLevel="1">
      <c r="A13" s="66">
        <v>1968</v>
      </c>
      <c r="B13" s="58">
        <f>'4'!B13*1000000/'3'!B13/52</f>
        <v>37.482697068352259</v>
      </c>
      <c r="C13" s="58">
        <f>'4'!D13*1000000/'3'!C13/52</f>
        <v>42.383531504798547</v>
      </c>
      <c r="D13" s="58">
        <f>'4'!E13*1000000/'3'!D13/52</f>
        <v>46.95185382280858</v>
      </c>
      <c r="E13" s="58">
        <f>'4'!F13*1000000/'3'!E13/52</f>
        <v>43.56393806558755</v>
      </c>
      <c r="F13" s="58">
        <f>'4'!G13*1000000/'3'!F13/52</f>
        <v>38.533304014693989</v>
      </c>
      <c r="G13" s="58" t="s">
        <v>22</v>
      </c>
      <c r="H13" s="58" t="s">
        <v>22</v>
      </c>
      <c r="Q13" s="64">
        <v>184400000</v>
      </c>
      <c r="R13" s="64">
        <v>216000000</v>
      </c>
      <c r="S13" s="64">
        <v>264600000</v>
      </c>
      <c r="T13" s="242">
        <f t="shared" si="0"/>
        <v>0.99139784946236564</v>
      </c>
      <c r="U13" s="242">
        <f t="shared" si="0"/>
        <v>0.98810612991765778</v>
      </c>
      <c r="V13" s="242">
        <f t="shared" si="0"/>
        <v>0.95939086294416243</v>
      </c>
      <c r="X13" s="64">
        <v>15903324000</v>
      </c>
      <c r="Y13" s="242">
        <f t="shared" si="1"/>
        <v>0.97980598351497539</v>
      </c>
    </row>
    <row r="14" spans="1:25" hidden="1" outlineLevel="1">
      <c r="A14" s="66">
        <v>1969</v>
      </c>
      <c r="B14" s="58">
        <f>'4'!B14*1000000/'3'!B14/52</f>
        <v>37.168799451240481</v>
      </c>
      <c r="C14" s="58">
        <f>'4'!D14*1000000/'3'!C14/52</f>
        <v>42.188574870853671</v>
      </c>
      <c r="D14" s="58">
        <f>'4'!E14*1000000/'3'!D14/52</f>
        <v>45.862450210066449</v>
      </c>
      <c r="E14" s="58">
        <f>'4'!F14*1000000/'3'!E14/52</f>
        <v>43.27130808938503</v>
      </c>
      <c r="F14" s="58">
        <f>'4'!G14*1000000/'3'!F14/52</f>
        <v>38.940531910549645</v>
      </c>
      <c r="G14" s="58" t="s">
        <v>22</v>
      </c>
      <c r="H14" s="58" t="s">
        <v>22</v>
      </c>
      <c r="Q14" s="64">
        <v>186000000</v>
      </c>
      <c r="R14" s="64">
        <v>218600000</v>
      </c>
      <c r="S14" s="64">
        <v>275800000</v>
      </c>
      <c r="T14" s="242">
        <f t="shared" si="0"/>
        <v>1.0054054054054054</v>
      </c>
      <c r="U14" s="242">
        <f t="shared" si="0"/>
        <v>1.0464337003350885</v>
      </c>
      <c r="V14" s="242">
        <f t="shared" si="0"/>
        <v>0.99819037278320666</v>
      </c>
      <c r="X14" s="64">
        <v>16231095000</v>
      </c>
      <c r="Y14" s="242">
        <f t="shared" si="1"/>
        <v>1.0016257578796341</v>
      </c>
    </row>
    <row r="15" spans="1:25" hidden="1" outlineLevel="1">
      <c r="A15" s="66">
        <v>1970</v>
      </c>
      <c r="B15" s="58">
        <f>'4'!B15*1000000/'3'!B15/52</f>
        <v>36.812472828251444</v>
      </c>
      <c r="C15" s="58">
        <f>'4'!D15*1000000/'3'!C15/52</f>
        <v>42.201686485208441</v>
      </c>
      <c r="D15" s="58">
        <f>'4'!E15*1000000/'3'!D15/52</f>
        <v>46.330287923245237</v>
      </c>
      <c r="E15" s="58">
        <f>'4'!F15*1000000/'3'!E15/52</f>
        <v>43.340892934471299</v>
      </c>
      <c r="F15" s="58">
        <f>'4'!G15*1000000/'3'!F15/52</f>
        <v>38.715310811912119</v>
      </c>
      <c r="G15" s="58" t="s">
        <v>22</v>
      </c>
      <c r="H15" s="58" t="s">
        <v>22</v>
      </c>
      <c r="Q15" s="64">
        <v>185000000</v>
      </c>
      <c r="R15" s="64">
        <v>208900000</v>
      </c>
      <c r="S15" s="64">
        <v>276300000</v>
      </c>
      <c r="T15" s="242">
        <f t="shared" si="0"/>
        <v>1.1151295961422543</v>
      </c>
      <c r="U15" s="242">
        <f t="shared" si="0"/>
        <v>0.94183949504057707</v>
      </c>
      <c r="V15" s="242">
        <f t="shared" si="0"/>
        <v>1.0146896804994492</v>
      </c>
      <c r="X15" s="64">
        <v>16204750000</v>
      </c>
      <c r="Y15" s="242">
        <f t="shared" si="1"/>
        <v>0.98786983204429724</v>
      </c>
    </row>
    <row r="16" spans="1:25" hidden="1" outlineLevel="1">
      <c r="A16" s="66">
        <v>1971</v>
      </c>
      <c r="B16" s="58">
        <f>'4'!B16*1000000/'3'!B16/52</f>
        <v>36.521802719376005</v>
      </c>
      <c r="C16" s="58">
        <f>'4'!D16*1000000/'3'!C16/52</f>
        <v>42.164399796557177</v>
      </c>
      <c r="D16" s="58">
        <f>'4'!E16*1000000/'3'!D16/52</f>
        <v>46.180215037250768</v>
      </c>
      <c r="E16" s="58">
        <f>'4'!F16*1000000/'3'!E16/52</f>
        <v>43.731415549168631</v>
      </c>
      <c r="F16" s="58">
        <f>'4'!G16*1000000/'3'!F16/52</f>
        <v>38.553837585986223</v>
      </c>
      <c r="G16" s="58" t="s">
        <v>22</v>
      </c>
      <c r="H16" s="58" t="s">
        <v>22</v>
      </c>
      <c r="Q16" s="64">
        <v>165900000</v>
      </c>
      <c r="R16" s="64">
        <v>221800000</v>
      </c>
      <c r="S16" s="64">
        <v>272300000</v>
      </c>
      <c r="T16" s="242">
        <f t="shared" si="0"/>
        <v>1.0388227927363807</v>
      </c>
      <c r="U16" s="242">
        <f t="shared" si="0"/>
        <v>0.90493676050591598</v>
      </c>
      <c r="V16" s="242">
        <f t="shared" si="0"/>
        <v>0.98730964467005078</v>
      </c>
      <c r="X16" s="64">
        <v>16403730000</v>
      </c>
      <c r="Y16" s="242">
        <f t="shared" si="1"/>
        <v>0.97913735767162036</v>
      </c>
    </row>
    <row r="17" spans="1:25" hidden="1" outlineLevel="1">
      <c r="A17" s="66">
        <v>1972</v>
      </c>
      <c r="B17" s="58">
        <f>'4'!B17*1000000/'3'!B17/52</f>
        <v>36.332473018912538</v>
      </c>
      <c r="C17" s="58">
        <f>'4'!D17*1000000/'3'!C17/52</f>
        <v>41.906225452998456</v>
      </c>
      <c r="D17" s="58">
        <f>'4'!E17*1000000/'3'!D17/52</f>
        <v>45.402282333025902</v>
      </c>
      <c r="E17" s="58">
        <f>'4'!F17*1000000/'3'!E17/52</f>
        <v>43.21484861267615</v>
      </c>
      <c r="F17" s="58">
        <f>'4'!G17*1000000/'3'!F17/52</f>
        <v>38.743178823099882</v>
      </c>
      <c r="G17" s="58" t="s">
        <v>22</v>
      </c>
      <c r="H17" s="58" t="s">
        <v>22</v>
      </c>
      <c r="Q17" s="64">
        <v>159700000</v>
      </c>
      <c r="R17" s="64">
        <v>245100000</v>
      </c>
      <c r="S17" s="64">
        <v>275800000</v>
      </c>
      <c r="T17" s="242">
        <f t="shared" si="0"/>
        <v>0.85952637244348762</v>
      </c>
      <c r="U17" s="242">
        <f t="shared" si="0"/>
        <v>0.92490566037735844</v>
      </c>
      <c r="V17" s="242">
        <f t="shared" si="0"/>
        <v>0.99530855286900033</v>
      </c>
      <c r="X17" s="64">
        <v>16753247000</v>
      </c>
      <c r="Y17" s="242">
        <f t="shared" si="1"/>
        <v>0.95917291692418571</v>
      </c>
    </row>
    <row r="18" spans="1:25" collapsed="1">
      <c r="A18" s="66">
        <v>1973</v>
      </c>
      <c r="B18" s="58">
        <f>'4'!B18*1000000/'3'!B18/52</f>
        <v>36.191339439980723</v>
      </c>
      <c r="C18" s="58">
        <f>'4'!D18*1000000/'3'!C18/52</f>
        <v>41.803243273334679</v>
      </c>
      <c r="D18" s="58">
        <f>'4'!E18*1000000/'3'!D18/52</f>
        <v>45.697733016306969</v>
      </c>
      <c r="E18" s="58">
        <f>'4'!F18*1000000/'3'!E18/52</f>
        <v>43.053864319092881</v>
      </c>
      <c r="F18" s="58">
        <f>'4'!G18*1000000/'3'!F18/52</f>
        <v>38.230814930619573</v>
      </c>
      <c r="G18" s="58" t="s">
        <v>22</v>
      </c>
      <c r="H18" s="58" t="s">
        <v>22</v>
      </c>
      <c r="Q18" s="64">
        <v>185800000</v>
      </c>
      <c r="R18" s="64">
        <v>265000000</v>
      </c>
      <c r="S18" s="64">
        <v>277100000</v>
      </c>
      <c r="T18" s="242">
        <f t="shared" si="0"/>
        <v>0.94892747701736468</v>
      </c>
      <c r="U18" s="242">
        <f t="shared" si="0"/>
        <v>1.0583067092651757</v>
      </c>
      <c r="V18" s="242">
        <f t="shared" si="0"/>
        <v>0.95584684373922046</v>
      </c>
      <c r="X18" s="64">
        <v>17466347000</v>
      </c>
      <c r="Y18" s="242">
        <f t="shared" si="1"/>
        <v>0.9667975889545708</v>
      </c>
    </row>
    <row r="19" spans="1:25" hidden="1" outlineLevel="1">
      <c r="A19" s="66">
        <v>1974</v>
      </c>
      <c r="B19" s="58">
        <f>IFERROR('4'!B19*1000000/'3'!B19/52,"..")</f>
        <v>36.02220762059973</v>
      </c>
      <c r="C19" s="58">
        <f>IFERROR('4'!D19*1000000/'3'!C19/52,"..")</f>
        <v>41.29316432124066</v>
      </c>
      <c r="D19" s="58">
        <f>IFERROR('4'!E19*1000000/'3'!D19/52,"..")</f>
        <v>44.692302327768211</v>
      </c>
      <c r="E19" s="58">
        <f>IFERROR('4'!F19*1000000/'3'!E19/52,"..")</f>
        <v>42.709239615581126</v>
      </c>
      <c r="F19" s="58">
        <f>IFERROR('4'!G19*1000000/'3'!F19/52,"..")</f>
        <v>37.901437719856034</v>
      </c>
      <c r="G19" s="58" t="str">
        <f>IFERROR('4'!H19*1000000/'3'!G19/52,"..")</f>
        <v>..</v>
      </c>
      <c r="H19" s="58" t="str">
        <f>IFERROR('4'!I19*1000000/'3'!H19/52,"..")</f>
        <v>..</v>
      </c>
      <c r="Q19" s="64">
        <v>195800000</v>
      </c>
      <c r="R19" s="64">
        <v>250400000</v>
      </c>
      <c r="S19" s="64">
        <v>289900000</v>
      </c>
      <c r="T19" s="242">
        <f t="shared" si="0"/>
        <v>1.1731575793888556</v>
      </c>
      <c r="U19" s="242">
        <f t="shared" si="0"/>
        <v>1.1050308914386584</v>
      </c>
      <c r="V19" s="242">
        <f t="shared" si="0"/>
        <v>1.1476642913697546</v>
      </c>
      <c r="X19" s="64">
        <v>18066188000</v>
      </c>
      <c r="Y19" s="242">
        <f t="shared" si="1"/>
        <v>0.99524785936620896</v>
      </c>
    </row>
    <row r="20" spans="1:25" hidden="1" outlineLevel="1">
      <c r="A20" s="66">
        <v>1975</v>
      </c>
      <c r="B20" s="58">
        <f>IFERROR('4'!B20*1000000/'3'!B20/52,"..")</f>
        <v>35.645520697944427</v>
      </c>
      <c r="C20" s="58">
        <f>IFERROR('4'!D20*1000000/'3'!C20/52,"..")</f>
        <v>39.247501887976576</v>
      </c>
      <c r="D20" s="58">
        <f>IFERROR('4'!E20*1000000/'3'!D20/52,"..")</f>
        <v>44.002217662414417</v>
      </c>
      <c r="E20" s="58">
        <f>IFERROR('4'!F20*1000000/'3'!E20/52,"..")</f>
        <v>42.149806059272727</v>
      </c>
      <c r="F20" s="58">
        <f>IFERROR('4'!G20*1000000/'3'!F20/52,"..")</f>
        <v>34.191381481152831</v>
      </c>
      <c r="G20" s="58" t="str">
        <f>IFERROR('4'!H20*1000000/'3'!G20/52,"..")</f>
        <v>..</v>
      </c>
      <c r="H20" s="58" t="str">
        <f>IFERROR('4'!I20*1000000/'3'!H20/52,"..")</f>
        <v>..</v>
      </c>
      <c r="Q20" s="64">
        <v>166900000</v>
      </c>
      <c r="R20" s="64">
        <v>226600000</v>
      </c>
      <c r="S20" s="64">
        <v>252600000</v>
      </c>
      <c r="T20" s="242">
        <f t="shared" si="0"/>
        <v>1.0922774869109948</v>
      </c>
      <c r="U20" s="242">
        <f t="shared" si="0"/>
        <v>0.91518578352180935</v>
      </c>
      <c r="V20" s="242">
        <f t="shared" si="0"/>
        <v>0.91588107324147938</v>
      </c>
      <c r="X20" s="64">
        <v>18152451000</v>
      </c>
      <c r="Y20" s="242">
        <f t="shared" si="1"/>
        <v>0.99115798961767054</v>
      </c>
    </row>
    <row r="21" spans="1:25" hidden="1" outlineLevel="1">
      <c r="A21" s="66">
        <v>1976</v>
      </c>
      <c r="B21" s="58">
        <f>IFERROR('4'!B21*1000000/'3'!B21/52,"..")</f>
        <v>35.457323155644502</v>
      </c>
      <c r="C21" s="58">
        <f>IFERROR('4'!D21*1000000/'3'!C21/52,"..")</f>
        <v>40.308360095296777</v>
      </c>
      <c r="D21" s="58">
        <f>IFERROR('4'!E21*1000000/'3'!D21/52,"..")</f>
        <v>43.430412040605887</v>
      </c>
      <c r="E21" s="58">
        <f>IFERROR('4'!F21*1000000/'3'!E21/52,"..")</f>
        <v>42.473293338279674</v>
      </c>
      <c r="F21" s="58">
        <f>IFERROR('4'!G21*1000000/'3'!F21/52,"..")</f>
        <v>36.707019430121967</v>
      </c>
      <c r="G21" s="58" t="str">
        <f>IFERROR('4'!H21*1000000/'3'!G21/52,"..")</f>
        <v>..</v>
      </c>
      <c r="H21" s="58" t="str">
        <f>IFERROR('4'!I21*1000000/'3'!H21/52,"..")</f>
        <v>..</v>
      </c>
      <c r="Q21" s="64">
        <v>152800000</v>
      </c>
      <c r="R21" s="64">
        <v>247600000</v>
      </c>
      <c r="S21" s="64">
        <v>275800000</v>
      </c>
      <c r="T21" s="242">
        <f t="shared" si="0"/>
        <v>0.97948717948717945</v>
      </c>
      <c r="U21" s="242">
        <f t="shared" si="0"/>
        <v>0.96794370602032842</v>
      </c>
      <c r="V21" s="242">
        <f t="shared" si="0"/>
        <v>1.0454890068233511</v>
      </c>
      <c r="X21" s="64">
        <v>18314387000</v>
      </c>
      <c r="Y21" s="242">
        <f t="shared" si="1"/>
        <v>0.99272196344698693</v>
      </c>
    </row>
    <row r="22" spans="1:25" hidden="1" outlineLevel="1">
      <c r="A22" s="66">
        <v>1977</v>
      </c>
      <c r="B22" s="58">
        <f>IFERROR('4'!B22*1000000/'3'!B22/52,"..")</f>
        <v>35.10111810363815</v>
      </c>
      <c r="C22" s="58">
        <f>IFERROR('4'!D22*1000000/'3'!C22/52,"..")</f>
        <v>40.408071641517139</v>
      </c>
      <c r="D22" s="58">
        <f>IFERROR('4'!E22*1000000/'3'!D22/52,"..")</f>
        <v>42.78194375120772</v>
      </c>
      <c r="E22" s="58">
        <f>IFERROR('4'!F22*1000000/'3'!E22/52,"..")</f>
        <v>42.769934905230414</v>
      </c>
      <c r="F22" s="58">
        <f>IFERROR('4'!G22*1000000/'3'!F22/52,"..")</f>
        <v>36.809210005018492</v>
      </c>
      <c r="G22" s="58" t="str">
        <f>IFERROR('4'!H22*1000000/'3'!G22/52,"..")</f>
        <v>..</v>
      </c>
      <c r="H22" s="58" t="str">
        <f>IFERROR('4'!I22*1000000/'3'!H22/52,"..")</f>
        <v>..</v>
      </c>
      <c r="Q22" s="64">
        <v>156000000</v>
      </c>
      <c r="R22" s="64">
        <v>255800000</v>
      </c>
      <c r="S22" s="64">
        <v>263800000</v>
      </c>
      <c r="T22" s="242">
        <f t="shared" si="0"/>
        <v>0.88586030664395232</v>
      </c>
      <c r="U22" s="242">
        <f t="shared" si="0"/>
        <v>0.9407870540639941</v>
      </c>
      <c r="V22" s="242">
        <f t="shared" si="0"/>
        <v>0.97739903668025196</v>
      </c>
      <c r="X22" s="64">
        <v>18448657000</v>
      </c>
      <c r="Y22" s="242">
        <f t="shared" si="1"/>
        <v>0.97068103624718438</v>
      </c>
    </row>
    <row r="23" spans="1:25" hidden="1" outlineLevel="1">
      <c r="A23" s="66">
        <v>1978</v>
      </c>
      <c r="B23" s="58">
        <f>IFERROR('4'!B23*1000000/'3'!B23/52,"..")</f>
        <v>35.162841270413622</v>
      </c>
      <c r="C23" s="58">
        <f>IFERROR('4'!D23*1000000/'3'!C23/52,"..")</f>
        <v>40.770444772594026</v>
      </c>
      <c r="D23" s="58">
        <f>IFERROR('4'!E23*1000000/'3'!D23/52,"..")</f>
        <v>43.774235749756265</v>
      </c>
      <c r="E23" s="58">
        <f>IFERROR('4'!F23*1000000/'3'!E23/52,"..")</f>
        <v>42.572159366695374</v>
      </c>
      <c r="F23" s="58">
        <f>IFERROR('4'!G23*1000000/'3'!F23/52,"..")</f>
        <v>37.178489099977426</v>
      </c>
      <c r="G23" s="58" t="str">
        <f>IFERROR('4'!H23*1000000/'3'!G23/52,"..")</f>
        <v>..</v>
      </c>
      <c r="H23" s="58" t="str">
        <f>IFERROR('4'!I23*1000000/'3'!H23/52,"..")</f>
        <v>..</v>
      </c>
      <c r="Q23" s="64">
        <v>176100000</v>
      </c>
      <c r="R23" s="64">
        <v>271900000</v>
      </c>
      <c r="S23" s="64">
        <v>269900000</v>
      </c>
      <c r="T23" s="242">
        <f t="shared" si="0"/>
        <v>0.92440944881889764</v>
      </c>
      <c r="U23" s="242">
        <f t="shared" si="0"/>
        <v>0.97037830121341895</v>
      </c>
      <c r="V23" s="242">
        <f t="shared" si="0"/>
        <v>0.98181156784285195</v>
      </c>
      <c r="X23" s="64">
        <v>19005890000</v>
      </c>
      <c r="Y23" s="242">
        <f t="shared" si="1"/>
        <v>0.96132887313809734</v>
      </c>
    </row>
    <row r="24" spans="1:25" hidden="1" outlineLevel="1">
      <c r="A24" s="66">
        <v>1979</v>
      </c>
      <c r="B24" s="58">
        <f>IFERROR('4'!B24*1000000/'3'!B24/52,"..")</f>
        <v>35.025894172934137</v>
      </c>
      <c r="C24" s="58">
        <f>IFERROR('4'!D24*1000000/'3'!C24/52,"..")</f>
        <v>40.978423239300199</v>
      </c>
      <c r="D24" s="58">
        <f>IFERROR('4'!E24*1000000/'3'!D24/52,"..")</f>
        <v>43.935932484027688</v>
      </c>
      <c r="E24" s="58">
        <f>IFERROR('4'!F24*1000000/'3'!E24/52,"..")</f>
        <v>42.728226065063694</v>
      </c>
      <c r="F24" s="58">
        <f>IFERROR('4'!G24*1000000/'3'!F24/52,"..")</f>
        <v>37.363953597294547</v>
      </c>
      <c r="G24" s="58" t="str">
        <f>IFERROR('4'!H24*1000000/'3'!G24/52,"..")</f>
        <v>..</v>
      </c>
      <c r="H24" s="58" t="str">
        <f>IFERROR('4'!I24*1000000/'3'!H24/52,"..")</f>
        <v>..</v>
      </c>
      <c r="Q24" s="64">
        <v>190500000</v>
      </c>
      <c r="R24" s="64">
        <v>280200000</v>
      </c>
      <c r="S24" s="64">
        <v>274900000</v>
      </c>
      <c r="T24" s="242">
        <f t="shared" si="0"/>
        <v>1.0618729096989967</v>
      </c>
      <c r="U24" s="242">
        <f t="shared" si="0"/>
        <v>1.067022086824067</v>
      </c>
      <c r="V24" s="242">
        <f t="shared" si="0"/>
        <v>0.9970982952484585</v>
      </c>
      <c r="X24" s="64">
        <v>19770435000</v>
      </c>
      <c r="Y24" s="242">
        <f t="shared" si="1"/>
        <v>0.98487255098047954</v>
      </c>
    </row>
    <row r="25" spans="1:25" hidden="1" outlineLevel="1">
      <c r="A25" s="66">
        <v>1980</v>
      </c>
      <c r="B25" s="58">
        <f>IFERROR('4'!B25*1000000/'3'!B25/52,"..")</f>
        <v>34.458962252135805</v>
      </c>
      <c r="C25" s="58">
        <f>IFERROR('4'!D25*1000000/'3'!C25/52,"..")</f>
        <v>40.583679617277319</v>
      </c>
      <c r="D25" s="58">
        <f>IFERROR('4'!E25*1000000/'3'!D25/52,"..")</f>
        <v>44.492134829347329</v>
      </c>
      <c r="E25" s="58">
        <f>IFERROR('4'!F25*1000000/'3'!E25/52,"..")</f>
        <v>41.684002360247447</v>
      </c>
      <c r="F25" s="58">
        <f>IFERROR('4'!G25*1000000/'3'!F25/52,"..")</f>
        <v>37.202384356523673</v>
      </c>
      <c r="G25" s="58" t="str">
        <f>IFERROR('4'!H25*1000000/'3'!G25/52,"..")</f>
        <v>..</v>
      </c>
      <c r="H25" s="58" t="str">
        <f>IFERROR('4'!I25*1000000/'3'!H25/52,"..")</f>
        <v>..</v>
      </c>
      <c r="Q25" s="64">
        <v>179400000</v>
      </c>
      <c r="R25" s="64">
        <v>262600000</v>
      </c>
      <c r="S25" s="64">
        <v>275700000</v>
      </c>
      <c r="T25" s="242">
        <f t="shared" si="0"/>
        <v>1.1275927089880577</v>
      </c>
      <c r="U25" s="242">
        <f t="shared" si="0"/>
        <v>1.0869205298013245</v>
      </c>
      <c r="V25" s="242">
        <f t="shared" si="0"/>
        <v>0.99279798343536185</v>
      </c>
      <c r="X25" s="64">
        <v>20074105000</v>
      </c>
      <c r="Y25" s="242">
        <f t="shared" si="1"/>
        <v>0.97094728486125814</v>
      </c>
    </row>
    <row r="26" spans="1:25" collapsed="1">
      <c r="A26" s="66">
        <v>1981</v>
      </c>
      <c r="B26" s="58">
        <f>IFERROR('4'!B26*1000000/'3'!B26/52,"..")</f>
        <v>34.433070137550018</v>
      </c>
      <c r="C26" s="58">
        <f>IFERROR('4'!D26*1000000/'3'!C26/52,"..")</f>
        <v>39.540227774232946</v>
      </c>
      <c r="D26" s="58">
        <f>IFERROR('4'!E26*1000000/'3'!D26/52,"..")</f>
        <v>42.79077767959992</v>
      </c>
      <c r="E26" s="58">
        <f>IFERROR('4'!F26*1000000/'3'!E26/52,"..")</f>
        <v>39.676155985101225</v>
      </c>
      <c r="F26" s="58">
        <f>IFERROR('4'!G26*1000000/'3'!F26/52,"..")</f>
        <v>37.517085804176467</v>
      </c>
      <c r="G26" s="58" t="str">
        <f>IFERROR('4'!H26*1000000/'3'!G26/52,"..")</f>
        <v>..</v>
      </c>
      <c r="H26" s="58" t="str">
        <f>IFERROR('4'!I26*1000000/'3'!H26/52,"..")</f>
        <v>..</v>
      </c>
      <c r="Q26" s="64">
        <v>159100000</v>
      </c>
      <c r="R26" s="64">
        <v>241600000</v>
      </c>
      <c r="S26" s="64">
        <v>277700000</v>
      </c>
      <c r="T26" s="242">
        <f t="shared" si="0"/>
        <v>1.1596209912536444</v>
      </c>
      <c r="U26" s="242">
        <f t="shared" si="0"/>
        <v>1.1966319960376424</v>
      </c>
      <c r="V26" s="242">
        <f t="shared" si="0"/>
        <v>1.1206618240516546</v>
      </c>
      <c r="X26" s="64">
        <v>20674763000</v>
      </c>
      <c r="Y26" s="242">
        <f t="shared" si="1"/>
        <v>1.042323192861847</v>
      </c>
    </row>
    <row r="27" spans="1:25">
      <c r="A27" s="66">
        <v>1982</v>
      </c>
      <c r="B27" s="58">
        <f>IFERROR('4'!B27*1000000/'3'!B27/52,"..")</f>
        <v>34.10869391876178</v>
      </c>
      <c r="C27" s="58">
        <f>IFERROR('4'!D27*1000000/'3'!C27/52,"..")</f>
        <v>38.866526856293483</v>
      </c>
      <c r="D27" s="58">
        <f>IFERROR('4'!E27*1000000/'3'!D27/52,"..")</f>
        <v>42.829312150591441</v>
      </c>
      <c r="E27" s="58">
        <f>IFERROR('4'!F27*1000000/'3'!E27/52,"..")</f>
        <v>39.023634907760453</v>
      </c>
      <c r="F27" s="58">
        <f>IFERROR('4'!G27*1000000/'3'!F27/52,"..")</f>
        <v>36.543620776742721</v>
      </c>
      <c r="G27" s="58" t="str">
        <f>IFERROR('4'!H27*1000000/'3'!G27/52,"..")</f>
        <v>..</v>
      </c>
      <c r="H27" s="58" t="str">
        <f>IFERROR('4'!I27*1000000/'3'!H27/52,"..")</f>
        <v>..</v>
      </c>
      <c r="Q27" s="64">
        <v>137200000</v>
      </c>
      <c r="R27" s="64">
        <v>201900000</v>
      </c>
      <c r="S27" s="64">
        <v>247800000</v>
      </c>
      <c r="T27" s="242">
        <f t="shared" si="0"/>
        <v>0.95211658570437196</v>
      </c>
      <c r="U27" s="242">
        <f t="shared" si="0"/>
        <v>0.96834532374100724</v>
      </c>
      <c r="V27" s="242">
        <f t="shared" si="0"/>
        <v>1.0337922403003754</v>
      </c>
      <c r="X27" s="64">
        <v>19835271000</v>
      </c>
      <c r="Y27" s="242">
        <f t="shared" si="1"/>
        <v>0.99397454698230747</v>
      </c>
    </row>
    <row r="28" spans="1:25">
      <c r="A28" s="66">
        <v>1983</v>
      </c>
      <c r="B28" s="58">
        <f>IFERROR('4'!B28*1000000/'3'!B28/52,"..")</f>
        <v>34.039419768292689</v>
      </c>
      <c r="C28" s="58">
        <f>IFERROR('4'!D28*1000000/'3'!C28/52,"..")</f>
        <v>38.983575471685135</v>
      </c>
      <c r="D28" s="58">
        <f>IFERROR('4'!E28*1000000/'3'!D28/52,"..")</f>
        <v>43.082700297676077</v>
      </c>
      <c r="E28" s="58">
        <f>IFERROR('4'!F28*1000000/'3'!E28/52,"..")</f>
        <v>38.895739372949286</v>
      </c>
      <c r="F28" s="58">
        <f>IFERROR('4'!G28*1000000/'3'!F28/52,"..")</f>
        <v>36.693361217547164</v>
      </c>
      <c r="G28" s="58" t="str">
        <f>IFERROR('4'!H28*1000000/'3'!G28/52,"..")</f>
        <v>..</v>
      </c>
      <c r="H28" s="58" t="str">
        <f>IFERROR('4'!I28*1000000/'3'!H28/52,"..")</f>
        <v>..</v>
      </c>
      <c r="Q28" s="64">
        <v>144100000</v>
      </c>
      <c r="R28" s="64">
        <v>208500000</v>
      </c>
      <c r="S28" s="64">
        <v>239700000</v>
      </c>
      <c r="T28" s="242">
        <f t="shared" si="0"/>
        <v>0.97694915254237291</v>
      </c>
      <c r="U28" s="242">
        <f t="shared" si="0"/>
        <v>1.0155869459327813</v>
      </c>
      <c r="V28" s="242">
        <f t="shared" si="0"/>
        <v>0.99254658385093164</v>
      </c>
      <c r="X28" s="64">
        <v>19955512000</v>
      </c>
      <c r="Y28" s="242">
        <f t="shared" si="1"/>
        <v>0.974823002477467</v>
      </c>
    </row>
    <row r="29" spans="1:25">
      <c r="A29" s="66">
        <v>1984</v>
      </c>
      <c r="B29" s="58">
        <f>IFERROR('4'!B29*1000000/'3'!B29/52,"..")</f>
        <v>34.08143410810257</v>
      </c>
      <c r="C29" s="58">
        <f>IFERROR('4'!D29*1000000/'3'!C29/52,"..")</f>
        <v>38.710899197433321</v>
      </c>
      <c r="D29" s="58">
        <f>IFERROR('4'!E29*1000000/'3'!D29/52,"..")</f>
        <v>43.494517687642968</v>
      </c>
      <c r="E29" s="58">
        <f>IFERROR('4'!F29*1000000/'3'!E29/52,"..")</f>
        <v>38.015481367121488</v>
      </c>
      <c r="F29" s="58">
        <f>IFERROR('4'!G29*1000000/'3'!F29/52,"..")</f>
        <v>36.594580088764687</v>
      </c>
      <c r="G29" s="58" t="str">
        <f>IFERROR('4'!H29*1000000/'3'!G29/52,"..")</f>
        <v>..</v>
      </c>
      <c r="H29" s="58" t="str">
        <f>IFERROR('4'!I29*1000000/'3'!H29/52,"..")</f>
        <v>..</v>
      </c>
      <c r="Q29" s="64">
        <v>147500000</v>
      </c>
      <c r="R29" s="64">
        <v>205300000</v>
      </c>
      <c r="S29" s="64">
        <v>241500000</v>
      </c>
      <c r="T29" s="242">
        <f t="shared" si="0"/>
        <v>1.0446175637393769</v>
      </c>
      <c r="U29" s="242">
        <f t="shared" si="0"/>
        <v>0.9794847328244275</v>
      </c>
      <c r="V29" s="242">
        <f t="shared" si="0"/>
        <v>1.0263493412664684</v>
      </c>
      <c r="X29" s="64">
        <v>20470908000</v>
      </c>
      <c r="Y29" s="242">
        <f t="shared" si="1"/>
        <v>0.96547306411899991</v>
      </c>
    </row>
    <row r="30" spans="1:25">
      <c r="A30" s="66">
        <v>1985</v>
      </c>
      <c r="B30" s="58">
        <f>IFERROR('4'!B30*1000000/'3'!B30/52,"..")</f>
        <v>34.233259433841049</v>
      </c>
      <c r="C30" s="58">
        <f>IFERROR('4'!D30*1000000/'3'!C30/52,"..")</f>
        <v>38.054217431964645</v>
      </c>
      <c r="D30" s="58">
        <f>IFERROR('4'!E30*1000000/'3'!D30/52,"..")</f>
        <v>42.46522059481363</v>
      </c>
      <c r="E30" s="58">
        <f>IFERROR('4'!F30*1000000/'3'!E30/52,"..")</f>
        <v>37.278568249453379</v>
      </c>
      <c r="F30" s="58">
        <f>IFERROR('4'!G30*1000000/'3'!F30/52,"..")</f>
        <v>36.27881112043741</v>
      </c>
      <c r="G30" s="58" t="str">
        <f>IFERROR('4'!H30*1000000/'3'!G30/52,"..")</f>
        <v>..</v>
      </c>
      <c r="H30" s="58" t="str">
        <f>IFERROR('4'!I30*1000000/'3'!H30/52,"..")</f>
        <v>..</v>
      </c>
      <c r="Q30" s="64">
        <v>141200000</v>
      </c>
      <c r="R30" s="64">
        <v>209600000</v>
      </c>
      <c r="S30" s="64">
        <v>235300000</v>
      </c>
      <c r="T30" s="242">
        <f t="shared" si="0"/>
        <v>1</v>
      </c>
      <c r="U30" s="242">
        <f t="shared" si="0"/>
        <v>0.95359417652411282</v>
      </c>
      <c r="V30" s="242">
        <f t="shared" si="0"/>
        <v>0.96080032666394444</v>
      </c>
      <c r="X30" s="64">
        <v>21202982000</v>
      </c>
      <c r="Y30" s="242">
        <f t="shared" si="1"/>
        <v>0.97122669200540002</v>
      </c>
    </row>
    <row r="31" spans="1:25">
      <c r="A31" s="66">
        <v>1986</v>
      </c>
      <c r="B31" s="58">
        <f>IFERROR('4'!B31*1000000/'3'!B31/52,"..")</f>
        <v>34.202034912864576</v>
      </c>
      <c r="C31" s="58">
        <f>IFERROR('4'!D31*1000000/'3'!C31/52,"..")</f>
        <v>38.300510505868949</v>
      </c>
      <c r="D31" s="58">
        <f>IFERROR('4'!E31*1000000/'3'!D31/52,"..")</f>
        <v>43.183353270305318</v>
      </c>
      <c r="E31" s="58">
        <f>IFERROR('4'!F31*1000000/'3'!E31/52,"..")</f>
        <v>37.50434958386775</v>
      </c>
      <c r="F31" s="58">
        <f>IFERROR('4'!G31*1000000/'3'!F31/52,"..")</f>
        <v>36.417518118745917</v>
      </c>
      <c r="G31" s="58" t="str">
        <f>IFERROR('4'!H31*1000000/'3'!G31/52,"..")</f>
        <v>..</v>
      </c>
      <c r="H31" s="58" t="str">
        <f>IFERROR('4'!I31*1000000/'3'!H31/52,"..")</f>
        <v>..</v>
      </c>
      <c r="Q31" s="64">
        <v>141200000</v>
      </c>
      <c r="R31" s="64">
        <v>219800000</v>
      </c>
      <c r="S31" s="64">
        <v>244900000</v>
      </c>
      <c r="T31" s="242">
        <f t="shared" si="0"/>
        <v>0.93139841688654357</v>
      </c>
      <c r="U31" s="242">
        <f t="shared" si="0"/>
        <v>0.91659716430358629</v>
      </c>
      <c r="V31" s="242">
        <f t="shared" si="0"/>
        <v>0.95477582846003894</v>
      </c>
      <c r="X31" s="64">
        <v>21831136000</v>
      </c>
      <c r="Y31" s="242">
        <f t="shared" si="1"/>
        <v>0.96502767845341919</v>
      </c>
    </row>
    <row r="32" spans="1:25">
      <c r="A32" s="66">
        <v>1987</v>
      </c>
      <c r="B32" s="58">
        <f>IFERROR('4'!B32*1000000/'3'!B32/52,"..")</f>
        <v>34.369771291765417</v>
      </c>
      <c r="C32" s="58">
        <f>IFERROR('4'!D32*1000000/'3'!C32/52,"..")</f>
        <v>38.668683842384219</v>
      </c>
      <c r="D32" s="58">
        <f>IFERROR('4'!E32*1000000/'3'!D32/52,"..")</f>
        <v>42.86247324581344</v>
      </c>
      <c r="E32" s="58">
        <f>IFERROR('4'!F32*1000000/'3'!E32/52,"..")</f>
        <v>37.519203863219651</v>
      </c>
      <c r="F32" s="58">
        <f>IFERROR('4'!G32*1000000/'3'!F32/52,"..")</f>
        <v>37.458716766608298</v>
      </c>
      <c r="G32" s="58" t="str">
        <f>IFERROR('4'!H32*1000000/'3'!G32/52,"..")</f>
        <v>..</v>
      </c>
      <c r="H32" s="58" t="str">
        <f>IFERROR('4'!I32*1000000/'3'!H32/52,"..")</f>
        <v>..</v>
      </c>
      <c r="Q32" s="64">
        <v>151600000</v>
      </c>
      <c r="R32" s="64">
        <v>239800000</v>
      </c>
      <c r="S32" s="64">
        <v>256500000</v>
      </c>
      <c r="T32" s="242">
        <f t="shared" si="0"/>
        <v>1.0250169033130494</v>
      </c>
      <c r="U32" s="242">
        <f t="shared" si="0"/>
        <v>0.99502074688796682</v>
      </c>
      <c r="V32" s="242">
        <f t="shared" si="0"/>
        <v>1.0094451003541913</v>
      </c>
      <c r="X32" s="64">
        <v>22622290000</v>
      </c>
      <c r="Y32" s="242">
        <f t="shared" si="1"/>
        <v>0.96120180041811021</v>
      </c>
    </row>
    <row r="33" spans="1:26">
      <c r="A33" s="66">
        <v>1988</v>
      </c>
      <c r="B33" s="58">
        <f>IFERROR('4'!B33*1000000/'3'!B33/52,"..")</f>
        <v>34.552914441686873</v>
      </c>
      <c r="C33" s="58">
        <f>IFERROR('4'!D33*1000000/'3'!C33/52,"..")</f>
        <v>38.185309352419225</v>
      </c>
      <c r="D33" s="58">
        <f>IFERROR('4'!E33*1000000/'3'!D33/52,"..")</f>
        <v>41.799851982318714</v>
      </c>
      <c r="E33" s="58">
        <f>IFERROR('4'!F33*1000000/'3'!E33/52,"..")</f>
        <v>37.308435647661092</v>
      </c>
      <c r="F33" s="58">
        <f>IFERROR('4'!G33*1000000/'3'!F33/52,"..")</f>
        <v>37.021105472462388</v>
      </c>
      <c r="G33" s="58" t="str">
        <f>IFERROR('4'!H33*1000000/'3'!G33/52,"..")</f>
        <v>..</v>
      </c>
      <c r="H33" s="58" t="str">
        <f>IFERROR('4'!I33*1000000/'3'!H33/52,"..")</f>
        <v>..</v>
      </c>
      <c r="Q33" s="64">
        <v>147900000</v>
      </c>
      <c r="R33" s="64">
        <v>241000000</v>
      </c>
      <c r="S33" s="64">
        <v>254100000</v>
      </c>
      <c r="T33" s="242">
        <f t="shared" si="0"/>
        <v>0.99462004034969742</v>
      </c>
      <c r="U33" s="242">
        <f t="shared" si="0"/>
        <v>1.0066833751044277</v>
      </c>
      <c r="V33" s="242">
        <f t="shared" si="0"/>
        <v>1.0027624309392265</v>
      </c>
      <c r="X33" s="64">
        <v>23535422000</v>
      </c>
      <c r="Y33" s="242">
        <f t="shared" si="1"/>
        <v>0.97999244001541974</v>
      </c>
    </row>
    <row r="34" spans="1:26">
      <c r="A34" s="66">
        <v>1989</v>
      </c>
      <c r="B34" s="58">
        <f>IFERROR('4'!B34*1000000/'3'!B34/52,"..")</f>
        <v>34.441576832832311</v>
      </c>
      <c r="C34" s="58">
        <f>IFERROR('4'!D34*1000000/'3'!C34/52,"..")</f>
        <v>38.236187656110637</v>
      </c>
      <c r="D34" s="58">
        <f>IFERROR('4'!E34*1000000/'3'!D34/52,"..")</f>
        <v>41.934606461518328</v>
      </c>
      <c r="E34" s="58">
        <f>IFERROR('4'!F34*1000000/'3'!E34/52,"..")</f>
        <v>37.066909763186274</v>
      </c>
      <c r="F34" s="58">
        <f>IFERROR('4'!G34*1000000/'3'!F34/52,"..")</f>
        <v>37.322848456706872</v>
      </c>
      <c r="G34" s="58" t="str">
        <f>IFERROR('4'!H34*1000000/'3'!G34/52,"..")</f>
        <v>..</v>
      </c>
      <c r="H34" s="58" t="str">
        <f>IFERROR('4'!I34*1000000/'3'!H34/52,"..")</f>
        <v>..</v>
      </c>
      <c r="Q34" s="64">
        <v>148700000</v>
      </c>
      <c r="R34" s="64">
        <v>239400000</v>
      </c>
      <c r="S34" s="64">
        <v>253400000</v>
      </c>
      <c r="T34" s="242">
        <f t="shared" si="0"/>
        <v>1.1080476900149032</v>
      </c>
      <c r="U34" s="242">
        <f t="shared" si="0"/>
        <v>1.1103896103896105</v>
      </c>
      <c r="V34" s="242">
        <f t="shared" si="0"/>
        <v>1.0423693953105717</v>
      </c>
      <c r="X34" s="64">
        <v>24015922000</v>
      </c>
      <c r="Y34" s="242">
        <f t="shared" si="1"/>
        <v>1.0011706764760813</v>
      </c>
    </row>
    <row r="35" spans="1:26">
      <c r="A35" s="66">
        <v>1990</v>
      </c>
      <c r="B35" s="58">
        <f>IFERROR('4'!B35*1000000/'3'!B35/52,"..")</f>
        <v>34.188753092844209</v>
      </c>
      <c r="C35" s="58">
        <f>IFERROR('4'!D35*1000000/'3'!C35/52,"..")</f>
        <v>37.35690660481503</v>
      </c>
      <c r="D35" s="58">
        <f>IFERROR('4'!E35*1000000/'3'!D35/52,"..")</f>
        <v>40.281048858742146</v>
      </c>
      <c r="E35" s="58">
        <f>IFERROR('4'!F35*1000000/'3'!E35/52,"..")</f>
        <v>35.791871815539608</v>
      </c>
      <c r="F35" s="58">
        <f>IFERROR('4'!G35*1000000/'3'!F35/52,"..")</f>
        <v>37.232014733214662</v>
      </c>
      <c r="G35" s="58" t="str">
        <f>IFERROR('4'!H35*1000000/'3'!G35/52,"..")</f>
        <v>..</v>
      </c>
      <c r="H35" s="58" t="str">
        <f>IFERROR('4'!I35*1000000/'3'!H35/52,"..")</f>
        <v>..</v>
      </c>
      <c r="Q35" s="64">
        <v>134200000</v>
      </c>
      <c r="R35" s="64">
        <v>215600000</v>
      </c>
      <c r="S35" s="64">
        <v>243100000</v>
      </c>
      <c r="T35" s="242">
        <f t="shared" si="0"/>
        <v>1.0197568389057752</v>
      </c>
      <c r="U35" s="242">
        <f t="shared" si="0"/>
        <v>1.1628910463861921</v>
      </c>
      <c r="V35" s="242">
        <f t="shared" si="0"/>
        <v>1.0482966796032773</v>
      </c>
      <c r="X35" s="64">
        <v>23987840000</v>
      </c>
      <c r="Y35" s="242">
        <f t="shared" si="1"/>
        <v>1.0300744850849262</v>
      </c>
    </row>
    <row r="36" spans="1:26">
      <c r="A36" s="66">
        <v>1991</v>
      </c>
      <c r="B36" s="58">
        <f>IFERROR('4'!B36*1000000/'3'!B36/52,"..")</f>
        <v>33.792846791854693</v>
      </c>
      <c r="C36" s="58">
        <f>IFERROR('4'!D36*1000000/'3'!C36/52,"..")</f>
        <v>37.167723935419403</v>
      </c>
      <c r="D36" s="58">
        <f>IFERROR('4'!E36*1000000/'3'!D36/52,"..")</f>
        <v>38.91993588980359</v>
      </c>
      <c r="E36" s="58">
        <f>IFERROR('4'!F36*1000000/'3'!E36/52,"..")</f>
        <v>35.470549270406678</v>
      </c>
      <c r="F36" s="58">
        <f>IFERROR('4'!G36*1000000/'3'!F36/52,"..")</f>
        <v>37.56345884135807</v>
      </c>
      <c r="G36" s="58" t="str">
        <f>IFERROR('4'!H36*1000000/'3'!G36/52,"..")</f>
        <v>..</v>
      </c>
      <c r="H36" s="58" t="str">
        <f>IFERROR('4'!I36*1000000/'3'!H36/52,"..")</f>
        <v>..</v>
      </c>
      <c r="Q36" s="64">
        <v>131600000</v>
      </c>
      <c r="R36" s="64">
        <v>185400000</v>
      </c>
      <c r="S36" s="64">
        <v>231900000</v>
      </c>
      <c r="T36" s="242">
        <f t="shared" si="0"/>
        <v>1.0570281124497991</v>
      </c>
      <c r="U36" s="242">
        <f t="shared" si="0"/>
        <v>0.94640122511485447</v>
      </c>
      <c r="V36" s="242">
        <f t="shared" si="0"/>
        <v>1.0375838926174497</v>
      </c>
      <c r="X36" s="64">
        <v>23287481000</v>
      </c>
      <c r="Y36" s="242">
        <f t="shared" si="1"/>
        <v>1.0116927668046161</v>
      </c>
    </row>
    <row r="37" spans="1:26">
      <c r="A37" s="66">
        <v>1992</v>
      </c>
      <c r="B37" s="58">
        <f>IFERROR('4'!B37*1000000/'3'!B37/52,"..")</f>
        <v>33.639476411734307</v>
      </c>
      <c r="C37" s="58">
        <f>IFERROR('4'!D37*1000000/'3'!C37/52,"..")</f>
        <v>37.667265423590067</v>
      </c>
      <c r="D37" s="58">
        <f>IFERROR('4'!E37*1000000/'3'!D37/52,"..")</f>
        <v>38.995763643091337</v>
      </c>
      <c r="E37" s="58">
        <f>IFERROR('4'!F37*1000000/'3'!E37/52,"..")</f>
        <v>36.287020753237591</v>
      </c>
      <c r="F37" s="58">
        <f>IFERROR('4'!G37*1000000/'3'!F37/52,"..")</f>
        <v>38.15916462694755</v>
      </c>
      <c r="G37" s="58" t="str">
        <f>IFERROR('4'!H37*1000000/'3'!G37/52,"..")</f>
        <v>..</v>
      </c>
      <c r="H37" s="58" t="str">
        <f>IFERROR('4'!I37*1000000/'3'!H37/52,"..")</f>
        <v>..</v>
      </c>
      <c r="Q37" s="64">
        <v>124500000</v>
      </c>
      <c r="R37" s="64">
        <v>195900000</v>
      </c>
      <c r="S37" s="64">
        <v>223500000</v>
      </c>
      <c r="T37" s="242">
        <f t="shared" si="0"/>
        <v>0.95329249617151612</v>
      </c>
      <c r="U37" s="242">
        <f t="shared" si="0"/>
        <v>0.90027573529411764</v>
      </c>
      <c r="V37" s="242">
        <f t="shared" si="0"/>
        <v>1.0380863910822109</v>
      </c>
      <c r="X37" s="64">
        <v>23018333000</v>
      </c>
      <c r="Y37" s="242">
        <f t="shared" si="1"/>
        <v>0.9871004248012577</v>
      </c>
    </row>
    <row r="38" spans="1:26">
      <c r="A38" s="66">
        <v>1993</v>
      </c>
      <c r="B38" s="58">
        <f>IFERROR('4'!B38*1000000/'3'!B38/52,"..")</f>
        <v>33.706523689813579</v>
      </c>
      <c r="C38" s="58">
        <f>IFERROR('4'!D38*1000000/'3'!C38/52,"..")</f>
        <v>38.230343044381144</v>
      </c>
      <c r="D38" s="58">
        <f>IFERROR('4'!E38*1000000/'3'!D38/52,"..")</f>
        <v>40.135832053398673</v>
      </c>
      <c r="E38" s="58">
        <f>IFERROR('4'!F38*1000000/'3'!E38/52,"..")</f>
        <v>37.507133394917474</v>
      </c>
      <c r="F38" s="58">
        <f>IFERROR('4'!G38*1000000/'3'!F38/52,"..")</f>
        <v>37.836342957957477</v>
      </c>
      <c r="G38" s="58" t="str">
        <f>IFERROR('4'!H38*1000000/'3'!G38/52,"..")</f>
        <v>..</v>
      </c>
      <c r="H38" s="58" t="str">
        <f>IFERROR('4'!I38*1000000/'3'!H38/52,"..")</f>
        <v>..</v>
      </c>
      <c r="Q38" s="64">
        <v>130600000</v>
      </c>
      <c r="R38" s="64">
        <v>217600000</v>
      </c>
      <c r="S38" s="64">
        <v>215300000</v>
      </c>
      <c r="T38" s="242">
        <f t="shared" si="0"/>
        <v>0.95467836257309946</v>
      </c>
      <c r="U38" s="242">
        <f t="shared" si="0"/>
        <v>0.90893901420217205</v>
      </c>
      <c r="V38" s="242">
        <f t="shared" si="0"/>
        <v>0.97952684258416745</v>
      </c>
      <c r="X38" s="64">
        <v>23319140000</v>
      </c>
      <c r="Y38" s="242">
        <f t="shared" si="1"/>
        <v>0.97261260470673438</v>
      </c>
    </row>
    <row r="39" spans="1:26">
      <c r="A39" s="66">
        <v>1994</v>
      </c>
      <c r="B39" s="58">
        <f>IFERROR('4'!B39*1000000/'3'!B39/52,"..")</f>
        <v>34.036154975009886</v>
      </c>
      <c r="C39" s="58">
        <f>IFERROR('4'!D39*1000000/'3'!C39/52,"..")</f>
        <v>38.920791499399414</v>
      </c>
      <c r="D39" s="58">
        <f>IFERROR('4'!E39*1000000/'3'!D39/52,"..")</f>
        <v>40.658082626518642</v>
      </c>
      <c r="E39" s="58">
        <f>IFERROR('4'!F39*1000000/'3'!E39/52,"..")</f>
        <v>38.523032807697</v>
      </c>
      <c r="F39" s="58">
        <f>IFERROR('4'!G39*1000000/'3'!F39/52,"..")</f>
        <v>38.308744141591667</v>
      </c>
      <c r="G39" s="58" t="str">
        <f>IFERROR('4'!H39*1000000/'3'!G39/52,"..")</f>
        <v>..</v>
      </c>
      <c r="H39" s="58" t="str">
        <f>IFERROR('4'!I39*1000000/'3'!H39/52,"..")</f>
        <v>..</v>
      </c>
      <c r="Q39" s="64">
        <v>136800000</v>
      </c>
      <c r="R39" s="64">
        <v>239400000</v>
      </c>
      <c r="S39" s="64">
        <v>219800000</v>
      </c>
      <c r="T39" s="242">
        <f t="shared" si="0"/>
        <v>0.86472819216182051</v>
      </c>
      <c r="U39" s="242">
        <f t="shared" si="0"/>
        <v>0.98599670510708404</v>
      </c>
      <c r="V39" s="242">
        <f t="shared" si="0"/>
        <v>0.95275249241439097</v>
      </c>
      <c r="X39" s="64">
        <v>23975774000</v>
      </c>
      <c r="Y39" s="242">
        <f t="shared" si="1"/>
        <v>0.98658249966545752</v>
      </c>
    </row>
    <row r="40" spans="1:26">
      <c r="A40" s="66">
        <v>1995</v>
      </c>
      <c r="B40" s="58">
        <f>IFERROR('4'!B40*1000000/'3'!B40/52,"..")</f>
        <v>33.937339863816426</v>
      </c>
      <c r="C40" s="58">
        <f>IFERROR('4'!D40*1000000/'3'!C40/52,"..")</f>
        <v>39.410107439668792</v>
      </c>
      <c r="D40" s="58">
        <f>IFERROR('4'!E40*1000000/'3'!D40/52,"..")</f>
        <v>41.972385958416872</v>
      </c>
      <c r="E40" s="58">
        <f>IFERROR('4'!F40*1000000/'3'!E40/52,"..")</f>
        <v>38.551195633193217</v>
      </c>
      <c r="F40" s="58">
        <f>IFERROR('4'!G40*1000000/'3'!F40/52,"..")</f>
        <v>38.717339988969613</v>
      </c>
      <c r="G40" s="58" t="str">
        <f>IFERROR('4'!H40*1000000/'3'!G40/52,"..")</f>
        <v>..</v>
      </c>
      <c r="H40" s="58" t="str">
        <f>IFERROR('4'!I40*1000000/'3'!H40/52,"..")</f>
        <v>..</v>
      </c>
      <c r="Q40" s="64">
        <v>158200000</v>
      </c>
      <c r="R40" s="64">
        <v>242800000</v>
      </c>
      <c r="S40" s="64">
        <v>230700000</v>
      </c>
      <c r="T40" s="242">
        <f t="shared" si="0"/>
        <v>1.1414141414141414</v>
      </c>
      <c r="U40" s="242">
        <f t="shared" si="0"/>
        <v>0.96848823294774633</v>
      </c>
      <c r="V40" s="242">
        <f t="shared" si="0"/>
        <v>1.0387212967131922</v>
      </c>
      <c r="X40" s="64">
        <v>24301844000</v>
      </c>
      <c r="Y40" s="242">
        <f t="shared" si="1"/>
        <v>0.98584290961747811</v>
      </c>
    </row>
    <row r="41" spans="1:26">
      <c r="A41" s="66">
        <v>1996</v>
      </c>
      <c r="B41" s="58">
        <f>IFERROR('4'!B41*1000000/'3'!B41/52,"..")</f>
        <v>34.117774473496112</v>
      </c>
      <c r="C41" s="58">
        <f>IFERROR('4'!D41*1000000/'3'!C41/52,"..")</f>
        <v>38.487914593279029</v>
      </c>
      <c r="D41" s="58">
        <f>IFERROR('4'!E41*1000000/'3'!D41/52,"..")</f>
        <v>39.587571907549915</v>
      </c>
      <c r="E41" s="58">
        <f>IFERROR('4'!F41*1000000/'3'!E41/52,"..")</f>
        <v>38.333053683668233</v>
      </c>
      <c r="F41" s="58">
        <f>IFERROR('4'!G41*1000000/'3'!F41/52,"..")</f>
        <v>37.991125748698884</v>
      </c>
      <c r="G41" s="58" t="str">
        <f>IFERROR('4'!H41*1000000/'3'!G41/52,"..")</f>
        <v>..</v>
      </c>
      <c r="H41" s="58" t="str">
        <f>IFERROR('4'!I41*1000000/'3'!H41/52,"..")</f>
        <v>..</v>
      </c>
      <c r="Q41" s="64">
        <v>138600000</v>
      </c>
      <c r="R41" s="64">
        <v>250700000</v>
      </c>
      <c r="S41" s="64">
        <v>222100000</v>
      </c>
      <c r="T41" s="242">
        <f>Q41/Q42</f>
        <v>1.0109409190371992</v>
      </c>
      <c r="U41" s="242">
        <f>R41/R42</f>
        <v>0.95796713794421096</v>
      </c>
      <c r="V41" s="242">
        <f>S41/S42</f>
        <v>1.0192748967416245</v>
      </c>
      <c r="X41" s="64">
        <v>24650828000</v>
      </c>
      <c r="Y41" s="242">
        <f t="shared" si="1"/>
        <v>0.9760847471271108</v>
      </c>
    </row>
    <row r="42" spans="1:26">
      <c r="A42" s="66">
        <v>1997</v>
      </c>
      <c r="B42" s="58">
        <f>IFERROR('4'!B42*1000000/'3'!B42/52,"..")</f>
        <v>34.234619313663089</v>
      </c>
      <c r="C42" s="58">
        <f>IFERROR('4'!D42*1000000/'3'!C42/52,"..")</f>
        <v>38.323557942712284</v>
      </c>
      <c r="D42" s="58">
        <f>IFERROR('4'!E42*1000000/'3'!D42/52,"..")</f>
        <v>40.412375373805148</v>
      </c>
      <c r="E42" s="58">
        <f>IFERROR('4'!F42*1000000/'3'!E42/52,"..")</f>
        <v>38.239523812132603</v>
      </c>
      <c r="F42" s="58">
        <f>IFERROR('4'!G42*1000000/'3'!F42/52,"..")</f>
        <v>37.197113650864097</v>
      </c>
      <c r="G42" s="58">
        <f>IFERROR('4'!H42*1000000/'3'!G42/52,"..")</f>
        <v>37.257143726297429</v>
      </c>
      <c r="H42" s="58">
        <f>IFERROR('4'!I42*1000000/'3'!H42/52,"..")</f>
        <v>37.067225415770764</v>
      </c>
      <c r="J42" s="64">
        <v>24780402000</v>
      </c>
      <c r="K42" s="64">
        <v>139790000</v>
      </c>
      <c r="L42" s="64">
        <v>261663000</v>
      </c>
      <c r="M42" s="64">
        <v>217852000</v>
      </c>
      <c r="N42" s="64">
        <v>148197000</v>
      </c>
      <c r="O42" s="64">
        <v>69656000</v>
      </c>
      <c r="Q42" s="64">
        <v>137100000</v>
      </c>
      <c r="R42" s="64">
        <v>261700000</v>
      </c>
      <c r="S42" s="64">
        <v>217900000</v>
      </c>
      <c r="T42" s="270"/>
      <c r="U42" s="270"/>
      <c r="V42" s="270"/>
      <c r="X42" s="64">
        <v>25254803000</v>
      </c>
      <c r="Y42" s="242">
        <f t="shared" si="1"/>
        <v>0.97887254476172358</v>
      </c>
    </row>
    <row r="43" spans="1:26">
      <c r="A43" s="66">
        <v>1998</v>
      </c>
      <c r="B43" s="58">
        <f>IFERROR('4'!B43*1000000/'3'!B43/52,"..")</f>
        <v>34.21634797867204</v>
      </c>
      <c r="C43" s="58">
        <f>IFERROR('4'!D43*1000000/'3'!C43/52,"..")</f>
        <v>38.393815678593825</v>
      </c>
      <c r="D43" s="58">
        <f>IFERROR('4'!E43*1000000/'3'!D43/52,"..")</f>
        <v>40.881965580908812</v>
      </c>
      <c r="E43" s="58">
        <f>IFERROR('4'!F43*1000000/'3'!E43/52,"..")</f>
        <v>38.003460089655526</v>
      </c>
      <c r="F43" s="58">
        <f>IFERROR('4'!G43*1000000/'3'!F43/52,"..")</f>
        <v>37.436603902671187</v>
      </c>
      <c r="G43" s="58">
        <f>IFERROR('4'!H43*1000000/'3'!G43/52,"..")</f>
        <v>37.454198991246919</v>
      </c>
      <c r="H43" s="58">
        <f>IFERROR('4'!I43*1000000/'3'!H43/52,"..")</f>
        <v>37.402814576727621</v>
      </c>
      <c r="J43" s="64">
        <v>25327286000</v>
      </c>
      <c r="K43" s="64">
        <v>132584000</v>
      </c>
      <c r="L43" s="64">
        <v>251816000</v>
      </c>
      <c r="M43" s="64">
        <v>205425000</v>
      </c>
      <c r="N43" s="64">
        <v>134448000</v>
      </c>
      <c r="O43" s="64">
        <v>70977000</v>
      </c>
      <c r="Q43" s="64">
        <v>129900000</v>
      </c>
      <c r="R43" s="64">
        <v>251800000</v>
      </c>
      <c r="S43" s="64">
        <v>205400000</v>
      </c>
      <c r="T43" s="270"/>
      <c r="U43" s="270"/>
      <c r="V43" s="270"/>
      <c r="X43" s="64">
        <v>25799889000</v>
      </c>
      <c r="Y43" s="242">
        <f>X43/X44</f>
        <v>0.97040328704840795</v>
      </c>
      <c r="Z43" s="242"/>
    </row>
    <row r="44" spans="1:26">
      <c r="A44" s="66">
        <v>1999</v>
      </c>
      <c r="B44" s="58">
        <f>IFERROR('4'!B44*1000000/'3'!B44/52,"..")</f>
        <v>34.186949972975917</v>
      </c>
      <c r="C44" s="58">
        <f>IFERROR('4'!D44*1000000/'3'!C44/52,"..")</f>
        <v>38.710134271870395</v>
      </c>
      <c r="D44" s="58">
        <f>IFERROR('4'!E44*1000000/'3'!D44/52,"..")</f>
        <v>41.001263719547872</v>
      </c>
      <c r="E44" s="58">
        <f>IFERROR('4'!F44*1000000/'3'!E44/52,"..")</f>
        <v>38.549931528355707</v>
      </c>
      <c r="F44" s="58">
        <f>IFERROR('4'!G44*1000000/'3'!F44/52,"..")</f>
        <v>37.527301454528555</v>
      </c>
      <c r="G44" s="58">
        <f>IFERROR('4'!H44*1000000/'3'!G44/52,"..")</f>
        <v>37.035913189651929</v>
      </c>
      <c r="H44" s="58">
        <f>IFERROR('4'!I44*1000000/'3'!H44/52,"..")</f>
        <v>38.505366229101639</v>
      </c>
      <c r="J44" s="64">
        <v>26035212000</v>
      </c>
      <c r="K44" s="64">
        <v>142486000</v>
      </c>
      <c r="L44" s="64">
        <v>276061000</v>
      </c>
      <c r="M44" s="64">
        <v>214245000</v>
      </c>
      <c r="N44" s="64">
        <v>140566000</v>
      </c>
      <c r="O44" s="64">
        <v>73679000</v>
      </c>
      <c r="Q44" s="64">
        <v>139700000</v>
      </c>
      <c r="R44" s="64">
        <v>276100000</v>
      </c>
      <c r="S44" s="64">
        <v>214200000</v>
      </c>
      <c r="T44" s="270"/>
      <c r="U44" s="270"/>
      <c r="V44" s="270"/>
      <c r="X44" s="64">
        <v>26586770000</v>
      </c>
      <c r="Y44" s="242"/>
      <c r="Z44" s="242"/>
    </row>
    <row r="45" spans="1:26">
      <c r="A45" s="66">
        <v>2000</v>
      </c>
      <c r="B45" s="58">
        <f>IFERROR('4'!B45*1000000/'3'!B45/52,"..")</f>
        <v>34.133987592136933</v>
      </c>
      <c r="C45" s="58">
        <f>IFERROR('4'!D45*1000000/'3'!C45/52,"..")</f>
        <v>38.356024559915831</v>
      </c>
      <c r="D45" s="58">
        <f>IFERROR('4'!E45*1000000/'3'!D45/52,"..")</f>
        <v>40.901198817134372</v>
      </c>
      <c r="E45" s="58">
        <f>IFERROR('4'!F45*1000000/'3'!E45/52,"..")</f>
        <v>37.992652400851213</v>
      </c>
      <c r="F45" s="58">
        <f>IFERROR('4'!G45*1000000/'3'!F45/52,"..")</f>
        <v>37.366509459532715</v>
      </c>
      <c r="G45" s="58">
        <f>IFERROR('4'!H45*1000000/'3'!G45/52,"..")</f>
        <v>37.451609304401181</v>
      </c>
      <c r="H45" s="58">
        <f>IFERROR('4'!I45*1000000/'3'!H45/52,"..")</f>
        <v>37.209934828347102</v>
      </c>
      <c r="J45" s="64">
        <v>26606054000</v>
      </c>
      <c r="K45" s="64">
        <v>135439000</v>
      </c>
      <c r="L45" s="64">
        <v>279952000</v>
      </c>
      <c r="M45" s="64">
        <v>210150000</v>
      </c>
      <c r="N45" s="64">
        <v>136241000</v>
      </c>
      <c r="O45" s="64">
        <v>73909000</v>
      </c>
      <c r="Q45" s="64">
        <v>132500000</v>
      </c>
      <c r="R45" s="64">
        <v>280000000</v>
      </c>
      <c r="S45" s="64">
        <v>210100000</v>
      </c>
      <c r="T45" s="270"/>
      <c r="U45" s="270"/>
      <c r="V45" s="270"/>
      <c r="X45" s="64">
        <v>27278313000</v>
      </c>
      <c r="Y45" s="242"/>
      <c r="Z45" s="242"/>
    </row>
    <row r="46" spans="1:26">
      <c r="A46" s="66">
        <v>2001</v>
      </c>
      <c r="B46" s="58">
        <f>IFERROR('4'!B46*1000000/'3'!B46/52,"..")</f>
        <v>33.994933878282659</v>
      </c>
      <c r="C46" s="58">
        <f>IFERROR('4'!D46*1000000/'3'!C46/52,"..")</f>
        <v>38.012776249804055</v>
      </c>
      <c r="D46" s="58">
        <f>IFERROR('4'!E46*1000000/'3'!D46/52,"..")</f>
        <v>37.816606059070232</v>
      </c>
      <c r="E46" s="58">
        <f>IFERROR('4'!F46*1000000/'3'!E46/52,"..")</f>
        <v>38.296552452352039</v>
      </c>
      <c r="F46" s="58">
        <f>IFERROR('4'!G46*1000000/'3'!F46/52,"..")</f>
        <v>37.771907277833307</v>
      </c>
      <c r="G46" s="58">
        <f>IFERROR('4'!H46*1000000/'3'!G46/52,"..")</f>
        <v>38.001634177658453</v>
      </c>
      <c r="H46" s="58">
        <f>IFERROR('4'!I46*1000000/'3'!H46/52,"..")</f>
        <v>37.385165607160751</v>
      </c>
      <c r="J46" s="64">
        <v>26791645000</v>
      </c>
      <c r="K46" s="64">
        <v>120203000</v>
      </c>
      <c r="L46" s="64">
        <v>269353000</v>
      </c>
      <c r="M46" s="64">
        <v>210007000</v>
      </c>
      <c r="N46" s="64">
        <v>130999000</v>
      </c>
      <c r="O46" s="64">
        <v>79008000</v>
      </c>
      <c r="Q46" s="64">
        <v>117500000</v>
      </c>
      <c r="R46" s="64">
        <v>269400000</v>
      </c>
      <c r="S46" s="64">
        <v>210000000</v>
      </c>
      <c r="T46" s="270"/>
      <c r="U46" s="270"/>
      <c r="V46" s="270"/>
      <c r="X46" s="64">
        <v>27284742000</v>
      </c>
      <c r="Y46" s="242"/>
      <c r="Z46" s="242"/>
    </row>
    <row r="47" spans="1:26">
      <c r="A47" s="66">
        <v>2002</v>
      </c>
      <c r="B47" s="58">
        <f>IFERROR('4'!B47*1000000/'3'!B47/52,"..")</f>
        <v>33.601469909569111</v>
      </c>
      <c r="C47" s="58">
        <f>IFERROR('4'!D47*1000000/'3'!C47/52,"..")</f>
        <v>37.712029866891818</v>
      </c>
      <c r="D47" s="58">
        <f>IFERROR('4'!E47*1000000/'3'!D47/52,"..")</f>
        <v>37.029785359406738</v>
      </c>
      <c r="E47" s="58">
        <f>IFERROR('4'!F47*1000000/'3'!E47/52,"..")</f>
        <v>38.220306404942058</v>
      </c>
      <c r="F47" s="58">
        <f>IFERROR('4'!G47*1000000/'3'!F47/52,"..")</f>
        <v>37.484026638355367</v>
      </c>
      <c r="G47" s="58">
        <f>IFERROR('4'!H47*1000000/'3'!G47/52,"..")</f>
        <v>37.507321958316801</v>
      </c>
      <c r="H47" s="58">
        <f>IFERROR('4'!I47*1000000/'3'!H47/52,"..")</f>
        <v>37.447135333546122</v>
      </c>
      <c r="J47" s="64">
        <v>27188517000</v>
      </c>
      <c r="K47" s="64">
        <v>122131000</v>
      </c>
      <c r="L47" s="64">
        <v>267738000</v>
      </c>
      <c r="M47" s="64">
        <v>206767000</v>
      </c>
      <c r="N47" s="64">
        <v>127196000</v>
      </c>
      <c r="O47" s="64">
        <v>79571000</v>
      </c>
      <c r="Q47" s="64">
        <v>119700000</v>
      </c>
      <c r="R47" s="64">
        <v>267700000</v>
      </c>
      <c r="S47" s="64">
        <v>206800000</v>
      </c>
      <c r="T47" s="270"/>
      <c r="U47" s="270"/>
      <c r="V47" s="270"/>
    </row>
    <row r="48" spans="1:26">
      <c r="A48" s="66">
        <v>2003</v>
      </c>
      <c r="B48" s="58">
        <f>IFERROR('4'!B48*1000000/'3'!B48/52,"..")</f>
        <v>33.391186169787574</v>
      </c>
      <c r="C48" s="58">
        <f>IFERROR('4'!D48*1000000/'3'!C48/52,"..")</f>
        <v>37.78552298637409</v>
      </c>
      <c r="D48" s="58">
        <f>IFERROR('4'!E48*1000000/'3'!D48/52,"..")</f>
        <v>39.086812914065334</v>
      </c>
      <c r="E48" s="58">
        <f>IFERROR('4'!F48*1000000/'3'!E48/52,"..")</f>
        <v>37.806718786283767</v>
      </c>
      <c r="F48" s="58">
        <f>IFERROR('4'!G48*1000000/'3'!F48/52,"..")</f>
        <v>36.98578102322206</v>
      </c>
      <c r="G48" s="58">
        <f>IFERROR('4'!H48*1000000/'3'!G48/52,"..")</f>
        <v>37.073309116923319</v>
      </c>
      <c r="H48" s="58">
        <f>IFERROR('4'!I48*1000000/'3'!H48/52,"..")</f>
        <v>36.847218018686483</v>
      </c>
      <c r="J48" s="64">
        <v>27599807000</v>
      </c>
      <c r="K48" s="64">
        <v>124107000</v>
      </c>
      <c r="L48" s="64">
        <v>258229000</v>
      </c>
      <c r="M48" s="64">
        <v>209960000</v>
      </c>
      <c r="N48" s="64">
        <v>128832000</v>
      </c>
      <c r="O48" s="64">
        <v>81128000</v>
      </c>
      <c r="Q48" s="64">
        <v>121700000</v>
      </c>
      <c r="R48" s="64">
        <v>258200000</v>
      </c>
      <c r="S48" s="64">
        <v>210000000</v>
      </c>
      <c r="T48" s="270"/>
      <c r="U48" s="270"/>
      <c r="V48" s="270"/>
    </row>
    <row r="49" spans="1:22">
      <c r="A49" s="66">
        <v>2004</v>
      </c>
      <c r="B49" s="58">
        <f>IFERROR('4'!B49*1000000/'3'!B49/52,"..")</f>
        <v>33.72452227640008</v>
      </c>
      <c r="C49" s="58">
        <f>IFERROR('4'!D49*1000000/'3'!C49/52,"..")</f>
        <v>38.039606443140798</v>
      </c>
      <c r="D49" s="58">
        <f>IFERROR('4'!E49*1000000/'3'!D49/52,"..")</f>
        <v>37.964363758614894</v>
      </c>
      <c r="E49" s="58">
        <f>IFERROR('4'!F49*1000000/'3'!E49/52,"..")</f>
        <v>38.050731160265016</v>
      </c>
      <c r="F49" s="58">
        <f>IFERROR('4'!G49*1000000/'3'!F49/52,"..")</f>
        <v>38.069390505174383</v>
      </c>
      <c r="G49" s="58">
        <f>IFERROR('4'!H49*1000000/'3'!G49/52,"..")</f>
        <v>38.02499770241706</v>
      </c>
      <c r="H49" s="58">
        <f>IFERROR('4'!I49*1000000/'3'!H49/52,"..")</f>
        <v>38.141149438947814</v>
      </c>
      <c r="J49" s="64">
        <v>28379090000</v>
      </c>
      <c r="K49" s="64">
        <v>121712000</v>
      </c>
      <c r="L49" s="64">
        <v>258316000</v>
      </c>
      <c r="M49" s="64">
        <v>216142000</v>
      </c>
      <c r="N49" s="64">
        <v>132260000</v>
      </c>
      <c r="O49" s="64">
        <v>83882000</v>
      </c>
      <c r="Q49" s="64">
        <v>119300000</v>
      </c>
      <c r="R49" s="64">
        <v>258300000</v>
      </c>
      <c r="S49" s="64">
        <v>216100000</v>
      </c>
      <c r="T49" s="270"/>
      <c r="U49" s="270"/>
      <c r="V49" s="270"/>
    </row>
    <row r="50" spans="1:22">
      <c r="A50" s="66">
        <v>2005</v>
      </c>
      <c r="B50" s="58">
        <f>IFERROR('4'!B50*1000000/'3'!B50/52,"..")</f>
        <v>33.447918310462171</v>
      </c>
      <c r="C50" s="58">
        <f>IFERROR('4'!D50*1000000/'3'!C50/52,"..")</f>
        <v>37.42451173548055</v>
      </c>
      <c r="D50" s="58">
        <f>IFERROR('4'!E50*1000000/'3'!D50/52,"..")</f>
        <v>37.755482843414924</v>
      </c>
      <c r="E50" s="58">
        <f>IFERROR('4'!F50*1000000/'3'!E50/52,"..")</f>
        <v>37.866929661871936</v>
      </c>
      <c r="F50" s="58">
        <f>IFERROR('4'!G50*1000000/'3'!F50/52,"..")</f>
        <v>36.687229107695316</v>
      </c>
      <c r="G50" s="58">
        <f>IFERROR('4'!H50*1000000/'3'!G50/52,"..")</f>
        <v>36.740431367659895</v>
      </c>
      <c r="H50" s="58">
        <f>IFERROR('4'!I50*1000000/'3'!H50/52,"..")</f>
        <v>36.606407257644484</v>
      </c>
      <c r="J50" s="64">
        <v>28611821000</v>
      </c>
      <c r="K50" s="64">
        <v>114523000</v>
      </c>
      <c r="L50" s="64">
        <v>258414000</v>
      </c>
      <c r="M50" s="64">
        <v>206922000</v>
      </c>
      <c r="N50" s="64">
        <v>126571000</v>
      </c>
      <c r="O50" s="64">
        <v>80351000</v>
      </c>
    </row>
    <row r="51" spans="1:22">
      <c r="A51" s="66">
        <v>2006</v>
      </c>
      <c r="B51" s="58">
        <f>IFERROR('4'!B51*1000000/'3'!B51/52,"..")</f>
        <v>33.425775867138846</v>
      </c>
      <c r="C51" s="58">
        <f>IFERROR('4'!D51*1000000/'3'!C51/52,"..")</f>
        <v>38.009975386347726</v>
      </c>
      <c r="D51" s="58">
        <f>IFERROR('4'!E51*1000000/'3'!D51/52,"..")</f>
        <v>38.861333625955595</v>
      </c>
      <c r="E51" s="58">
        <f>IFERROR('4'!F51*1000000/'3'!E51/52,"..")</f>
        <v>38.181951721098763</v>
      </c>
      <c r="F51" s="58">
        <f>IFERROR('4'!G51*1000000/'3'!F51/52,"..")</f>
        <v>37.332825986822343</v>
      </c>
      <c r="G51" s="58">
        <f>IFERROR('4'!H51*1000000/'3'!G51/52,"..")</f>
        <v>37.418784207061201</v>
      </c>
      <c r="H51" s="58">
        <f>IFERROR('4'!I51*1000000/'3'!H51/52,"..")</f>
        <v>37.202650714041127</v>
      </c>
      <c r="J51" s="64">
        <v>29125632000</v>
      </c>
      <c r="K51" s="64">
        <v>117582000</v>
      </c>
      <c r="L51" s="64">
        <v>258383000</v>
      </c>
      <c r="M51" s="64">
        <v>209886000</v>
      </c>
      <c r="N51" s="64">
        <v>128141000</v>
      </c>
      <c r="O51" s="64">
        <v>81746000</v>
      </c>
    </row>
    <row r="52" spans="1:22">
      <c r="A52" s="66">
        <v>2007</v>
      </c>
      <c r="B52" s="58">
        <f>IFERROR('4'!B52*1000000/'3'!B52/52,"..")</f>
        <v>33.42047628470047</v>
      </c>
      <c r="C52" s="58">
        <f>IFERROR('4'!D52*1000000/'3'!C52/52,"..")</f>
        <v>38.151843485704823</v>
      </c>
      <c r="D52" s="58">
        <f>IFERROR('4'!E52*1000000/'3'!D52/52,"..")</f>
        <v>39.943195266272184</v>
      </c>
      <c r="E52" s="58">
        <f>IFERROR('4'!F52*1000000/'3'!E52/52,"..")</f>
        <v>38.135665481561666</v>
      </c>
      <c r="F52" s="58">
        <f>IFERROR('4'!G52*1000000/'3'!F52/52,"..")</f>
        <v>37.237902150136051</v>
      </c>
      <c r="G52" s="58">
        <f>IFERROR('4'!H52*1000000/'3'!G52/52,"..")</f>
        <v>36.979688434980808</v>
      </c>
      <c r="H52" s="58">
        <f>IFERROR('4'!I52*1000000/'3'!H52/52,"..")</f>
        <v>37.642479405010221</v>
      </c>
    </row>
    <row r="53" spans="1:22">
      <c r="A53" s="66">
        <v>2008</v>
      </c>
      <c r="B53" s="58">
        <f>IFERROR('4'!B53*1000000/'3'!B53/52,"..")</f>
        <v>33.239249228730948</v>
      </c>
      <c r="C53" s="58">
        <f>IFERROR('4'!D53*1000000/'3'!C53/52,"..")</f>
        <v>37.344743738544516</v>
      </c>
      <c r="D53" s="58">
        <f>IFERROR('4'!E53*1000000/'3'!D53/52,"..")</f>
        <v>36.666987580629637</v>
      </c>
      <c r="E53" s="58">
        <f>IFERROR('4'!F53*1000000/'3'!E53/52,"..")</f>
        <v>37.774180747300484</v>
      </c>
      <c r="F53" s="58">
        <f>IFERROR('4'!G53*1000000/'3'!F53/52,"..")</f>
        <v>37.20258983717013</v>
      </c>
      <c r="G53" s="58">
        <f>IFERROR('4'!H53*1000000/'3'!G53/52,"..")</f>
        <v>36.39039364391477</v>
      </c>
      <c r="H53" s="58">
        <f>IFERROR('4'!I53*1000000/'3'!H53/52,"..")</f>
        <v>38.458745727116337</v>
      </c>
    </row>
    <row r="54" spans="1:22">
      <c r="A54" s="66">
        <v>2009</v>
      </c>
      <c r="B54" s="58">
        <f>IFERROR('4'!B54*1000000/'3'!B54/52,"..")</f>
        <v>32.685658196665813</v>
      </c>
      <c r="C54" s="58">
        <f>IFERROR('4'!D54*1000000/'3'!C54/52,"..")</f>
        <v>37.156582579839373</v>
      </c>
      <c r="D54" s="58">
        <f>IFERROR('4'!E54*1000000/'3'!D54/52,"..")</f>
        <v>39.365132683909977</v>
      </c>
      <c r="E54" s="58">
        <f>IFERROR('4'!F54*1000000/'3'!E54/52,"..")</f>
        <v>37.04202664396351</v>
      </c>
      <c r="F54" s="58">
        <f>IFERROR('4'!G54*1000000/'3'!F54/52,"..")</f>
        <v>36.283392866126682</v>
      </c>
      <c r="G54" s="58">
        <f>IFERROR('4'!H54*1000000/'3'!G54/52,"..")</f>
        <v>36.34938099404819</v>
      </c>
      <c r="H54" s="58">
        <f>IFERROR('4'!I54*1000000/'3'!H54/52,"..")</f>
        <v>36.192001727799578</v>
      </c>
    </row>
    <row r="55" spans="1:22">
      <c r="A55" s="66">
        <v>2010</v>
      </c>
      <c r="B55" s="58">
        <f>IFERROR('4'!B55*1000000/'3'!B55/52,"..")</f>
        <v>32.728342169168812</v>
      </c>
      <c r="C55" s="58">
        <f>IFERROR('4'!D55*1000000/'3'!C55/52,"..")</f>
        <v>37.823195359713324</v>
      </c>
      <c r="D55" s="58">
        <f>IFERROR('4'!E55*1000000/'3'!D55/52,"..")</f>
        <v>39.296411091282884</v>
      </c>
      <c r="E55" s="58">
        <f>IFERROR('4'!F55*1000000/'3'!E55/52,"..")</f>
        <v>37.667163754120274</v>
      </c>
      <c r="F55" s="58">
        <f>IFERROR('4'!G55*1000000/'3'!F55/52,"..")</f>
        <v>37.253083994657032</v>
      </c>
      <c r="G55" s="58">
        <f>IFERROR('4'!H55*1000000/'3'!G55/52,"..")</f>
        <v>38.009650180940895</v>
      </c>
      <c r="H55" s="58">
        <f>IFERROR('4'!I55*1000000/'3'!H55/52,"..")</f>
        <v>36.272328140975517</v>
      </c>
    </row>
    <row r="56" spans="1:22">
      <c r="A56" s="66">
        <v>2011</v>
      </c>
      <c r="B56" s="58">
        <f>IFERROR('4'!B56*1000000/'3'!B56/52,"..")</f>
        <v>32.684665406453291</v>
      </c>
      <c r="C56" s="58">
        <f>IFERROR('4'!D56*1000000/'3'!C56/52,"..")</f>
        <v>38.317631945187877</v>
      </c>
      <c r="D56" s="58">
        <f>IFERROR('4'!E56*1000000/'3'!D56/52,"..")</f>
        <v>41.803569564763592</v>
      </c>
      <c r="E56" s="58">
        <f>IFERROR('4'!F56*1000000/'3'!E56/52,"..")</f>
        <v>37.669854785093598</v>
      </c>
      <c r="F56" s="58">
        <f>IFERROR('4'!G56*1000000/'3'!F56/52,"..")</f>
        <v>37.227815245604319</v>
      </c>
      <c r="G56" s="58">
        <f>IFERROR('4'!H56*1000000/'3'!G56/52,"..")</f>
        <v>37.63051894724493</v>
      </c>
      <c r="H56" s="58">
        <f>IFERROR('4'!I56*1000000/'3'!H56/52,"..")</f>
        <v>36.72472335539976</v>
      </c>
    </row>
    <row r="57" spans="1:22">
      <c r="A57" s="66">
        <v>2012</v>
      </c>
      <c r="B57" s="58" t="str">
        <f>IFERROR('4'!B57*1000000/'3'!B57/52,"..")</f>
        <v>..</v>
      </c>
      <c r="C57" s="58" t="str">
        <f>IFERROR('4'!D57*1000000/'3'!C57/52,"..")</f>
        <v>..</v>
      </c>
      <c r="D57" s="58" t="str">
        <f>IFERROR('4'!E57*1000000/'3'!D57/52,"..")</f>
        <v>..</v>
      </c>
      <c r="E57" s="58" t="str">
        <f>IFERROR('4'!F57*1000000/'3'!E57/52,"..")</f>
        <v>..</v>
      </c>
      <c r="F57" s="58" t="str">
        <f>IFERROR('4'!G57*1000000/'3'!F57/52,"..")</f>
        <v>..</v>
      </c>
      <c r="G57" s="58" t="str">
        <f>IFERROR('4'!H57*1000000/'3'!G57/52,"..")</f>
        <v>..</v>
      </c>
      <c r="H57" s="58" t="str">
        <f>IFERROR('4'!I57*1000000/'3'!H57/52,"..")</f>
        <v>..</v>
      </c>
    </row>
    <row r="58" spans="1:22">
      <c r="B58" s="58"/>
      <c r="C58" s="56"/>
      <c r="D58" s="56"/>
      <c r="E58" s="56"/>
      <c r="F58" s="56"/>
      <c r="G58" s="56"/>
      <c r="H58" s="56"/>
    </row>
    <row r="59" spans="1:22">
      <c r="A59" s="66" t="s">
        <v>23</v>
      </c>
      <c r="B59" s="56"/>
      <c r="C59" s="56"/>
      <c r="D59" s="56"/>
      <c r="E59" s="56"/>
      <c r="F59" s="56"/>
      <c r="G59" s="56"/>
      <c r="H59" s="56"/>
    </row>
    <row r="60" spans="1:22">
      <c r="A60" s="64" t="s">
        <v>2122</v>
      </c>
      <c r="B60" s="147">
        <f>((B56/B6)^(1/50)-1)*100</f>
        <v>-0.37227399681433182</v>
      </c>
      <c r="C60" s="147">
        <f t="shared" ref="C60:F60" si="2">((C56/C6)^(1/50)-1)*100</f>
        <v>-0.26612086542510127</v>
      </c>
      <c r="D60" s="147">
        <f t="shared" si="2"/>
        <v>-0.39136668344261771</v>
      </c>
      <c r="E60" s="147">
        <f t="shared" si="2"/>
        <v>-0.27293588651277068</v>
      </c>
      <c r="F60" s="147">
        <f t="shared" si="2"/>
        <v>-9.4272725247912526E-2</v>
      </c>
      <c r="G60" s="57" t="s">
        <v>22</v>
      </c>
      <c r="H60" s="57" t="s">
        <v>22</v>
      </c>
    </row>
    <row r="61" spans="1:22">
      <c r="A61" s="64" t="s">
        <v>1095</v>
      </c>
      <c r="B61" s="147">
        <f>((B26/B6)^(1/20)-1)*100</f>
        <v>-0.66961257053405054</v>
      </c>
      <c r="C61" s="147">
        <f>((C26/C6)^(1/20)-1)*100</f>
        <v>-0.50785291563414381</v>
      </c>
      <c r="D61" s="147">
        <f>((D26/D6)^(1/20)-1)*100</f>
        <v>-0.85991336701350951</v>
      </c>
      <c r="E61" s="147">
        <f>((E26/E6)^(1/20)-1)*100</f>
        <v>-0.42292455573229581</v>
      </c>
      <c r="F61" s="147">
        <f>((F26/F6)^(1/20)-1)*100</f>
        <v>-0.19689764095978113</v>
      </c>
      <c r="G61" s="57" t="s">
        <v>22</v>
      </c>
      <c r="H61" s="57" t="s">
        <v>22</v>
      </c>
    </row>
    <row r="62" spans="1:22">
      <c r="A62" s="64" t="s">
        <v>1031</v>
      </c>
      <c r="B62" s="147">
        <f>((B18/B6)^(1/12)-1)*100</f>
        <v>-0.70227661796810059</v>
      </c>
      <c r="C62" s="147">
        <f>((C18/C6)^(1/12)-1)*100</f>
        <v>-0.38404420507284209</v>
      </c>
      <c r="D62" s="147">
        <f>((D18/D6)^(1/12)-1)*100</f>
        <v>-0.88770562553153187</v>
      </c>
      <c r="E62" s="147">
        <f>((E18/E6)^(1/12)-1)*100</f>
        <v>-2.5519195255518934E-2</v>
      </c>
      <c r="F62" s="147">
        <f>((F18/F6)^(1/12)-1)*100</f>
        <v>-0.17129424442823282</v>
      </c>
      <c r="G62" s="57" t="s">
        <v>22</v>
      </c>
      <c r="H62" s="57" t="s">
        <v>22</v>
      </c>
    </row>
    <row r="63" spans="1:22">
      <c r="A63" s="64" t="s">
        <v>1032</v>
      </c>
      <c r="B63" s="147">
        <f>((B26/B18)^(1/8)-1)*100</f>
        <v>-0.62059635166866745</v>
      </c>
      <c r="C63" s="147">
        <f>((C26/C18)^(1/8)-1)*100</f>
        <v>-0.69327752201865378</v>
      </c>
      <c r="D63" s="147">
        <f>((D26/D18)^(1/8)-1)*100</f>
        <v>-0.81821036615788989</v>
      </c>
      <c r="E63" s="147">
        <f>((E26/E18)^(1/8)-1)*100</f>
        <v>-1.0160725972533591</v>
      </c>
      <c r="F63" s="147">
        <f>((F26/F18)^(1/8)-1)*100</f>
        <v>-0.23529042393216626</v>
      </c>
      <c r="G63" s="57" t="s">
        <v>22</v>
      </c>
      <c r="H63" s="57" t="s">
        <v>22</v>
      </c>
    </row>
    <row r="64" spans="1:22">
      <c r="A64" s="64" t="s">
        <v>1781</v>
      </c>
      <c r="B64" s="65">
        <f>((B56/B26)^(1/30)-1)*100</f>
        <v>-0.17355396627886099</v>
      </c>
      <c r="C64" s="65">
        <f t="shared" ref="C64:F64" si="3">((C56/C26)^(1/30)-1)*100</f>
        <v>-0.10463996074767667</v>
      </c>
      <c r="D64" s="65">
        <f t="shared" si="3"/>
        <v>-7.777264946253748E-2</v>
      </c>
      <c r="E64" s="65">
        <f t="shared" si="3"/>
        <v>-0.17281794942491935</v>
      </c>
      <c r="F64" s="65">
        <f t="shared" si="3"/>
        <v>-2.579749562895417E-2</v>
      </c>
      <c r="G64" s="57" t="s">
        <v>22</v>
      </c>
      <c r="H64" s="57" t="s">
        <v>22</v>
      </c>
    </row>
    <row r="65" spans="1:8">
      <c r="A65" s="64" t="s">
        <v>25</v>
      </c>
      <c r="B65" s="65">
        <f>((B34/B26)^(1/8)-1)*100</f>
        <v>3.0877931988193552E-3</v>
      </c>
      <c r="C65" s="65">
        <f>((C34/C26)^(1/8)-1)*100</f>
        <v>-0.41832495207990705</v>
      </c>
      <c r="D65" s="65">
        <f>((D34/D26)^(1/8)-1)*100</f>
        <v>-0.25232099270747765</v>
      </c>
      <c r="E65" s="65">
        <f>((E34/E26)^(1/8)-1)*100</f>
        <v>-0.84671687453414801</v>
      </c>
      <c r="F65" s="65">
        <f>((F34/F26)^(1/8)-1)*100</f>
        <v>-6.4863359423372735E-2</v>
      </c>
      <c r="G65" s="57" t="s">
        <v>22</v>
      </c>
      <c r="H65" s="57" t="s">
        <v>22</v>
      </c>
    </row>
    <row r="66" spans="1:8">
      <c r="A66" s="64" t="s">
        <v>26</v>
      </c>
      <c r="B66" s="65">
        <f>((B45/B34)^(1/11)-1)*100</f>
        <v>-8.1520135585455566E-2</v>
      </c>
      <c r="C66" s="65">
        <f>((C45/C34)^(1/11)-1)*100</f>
        <v>2.8451515568428398E-2</v>
      </c>
      <c r="D66" s="65">
        <f>((D45/D34)^(1/11)-1)*100</f>
        <v>-0.22657966853444345</v>
      </c>
      <c r="E66" s="65">
        <f>((E45/E34)^(1/11)-1)*100</f>
        <v>0.22450738373254175</v>
      </c>
      <c r="F66" s="65">
        <f>((F45/F34)^(1/11)-1)*100</f>
        <v>1.0629073747225881E-2</v>
      </c>
      <c r="G66" s="57" t="s">
        <v>22</v>
      </c>
      <c r="H66" s="57" t="s">
        <v>22</v>
      </c>
    </row>
    <row r="67" spans="1:8">
      <c r="A67" s="64" t="s">
        <v>1782</v>
      </c>
      <c r="B67" s="65">
        <f>((B56/B42)^(1/14)-1)*100</f>
        <v>-0.33039137834420806</v>
      </c>
      <c r="C67" s="65">
        <f t="shared" ref="C67:H67" si="4">((C56/C42)^(1/14)-1)*100</f>
        <v>-1.104584104560935E-3</v>
      </c>
      <c r="D67" s="65">
        <f t="shared" si="4"/>
        <v>0.24204726954326627</v>
      </c>
      <c r="E67" s="65">
        <f t="shared" si="4"/>
        <v>-0.10715304093878997</v>
      </c>
      <c r="F67" s="65">
        <f t="shared" si="4"/>
        <v>5.8932828775226653E-3</v>
      </c>
      <c r="G67" s="65">
        <f t="shared" si="4"/>
        <v>7.1251736067301508E-2</v>
      </c>
      <c r="H67" s="65">
        <f t="shared" si="4"/>
        <v>-6.6285007763811077E-2</v>
      </c>
    </row>
    <row r="68" spans="1:8">
      <c r="B68" s="65"/>
      <c r="C68" s="65"/>
      <c r="D68" s="65"/>
      <c r="E68" s="65"/>
      <c r="F68" s="65"/>
      <c r="G68" s="65"/>
      <c r="H68" s="65"/>
    </row>
    <row r="69" spans="1:8">
      <c r="A69" s="64" t="s">
        <v>802</v>
      </c>
      <c r="B69" s="65">
        <f>((B51/B31)^(1/20)-1)*100</f>
        <v>-0.11472318146101834</v>
      </c>
      <c r="C69" s="65">
        <f>((C51/C31)^(1/20)-1)*100</f>
        <v>-3.8065702117828781E-2</v>
      </c>
      <c r="D69" s="65">
        <f>((D51/D31)^(1/20)-1)*100</f>
        <v>-0.52588892664610087</v>
      </c>
      <c r="E69" s="65">
        <f>((E51/E31)^(1/20)-1)*100</f>
        <v>8.9570194045696105E-2</v>
      </c>
      <c r="F69" s="65">
        <f>((F51/F31)^(1/20)-1)*100</f>
        <v>0.12419239009062721</v>
      </c>
      <c r="G69" s="57" t="s">
        <v>22</v>
      </c>
      <c r="H69" s="57" t="s">
        <v>22</v>
      </c>
    </row>
    <row r="71" spans="1:8">
      <c r="A71" s="104" t="s">
        <v>1364</v>
      </c>
      <c r="B71" s="104"/>
      <c r="C71" s="104"/>
      <c r="D71" s="104"/>
      <c r="E71" s="104"/>
      <c r="F71" s="104"/>
      <c r="G71" s="104"/>
      <c r="H71" s="104"/>
    </row>
    <row r="72" spans="1:8">
      <c r="A72" s="131" t="s">
        <v>1365</v>
      </c>
      <c r="B72" s="131"/>
      <c r="C72" s="131"/>
      <c r="D72" s="131"/>
      <c r="E72" s="131"/>
      <c r="F72" s="131"/>
      <c r="G72" s="131"/>
      <c r="H72" s="131"/>
    </row>
    <row r="73" spans="1:8">
      <c r="A73" s="104"/>
      <c r="B73" s="104"/>
      <c r="C73" s="104"/>
      <c r="D73" s="104"/>
      <c r="E73" s="104"/>
      <c r="F73" s="104"/>
      <c r="G73" s="104"/>
      <c r="H73" s="104"/>
    </row>
  </sheetData>
  <mergeCells count="11">
    <mergeCell ref="A73:H73"/>
    <mergeCell ref="A71:H71"/>
    <mergeCell ref="A72:H72"/>
    <mergeCell ref="A1:H1"/>
    <mergeCell ref="A2:A4"/>
    <mergeCell ref="B2:B4"/>
    <mergeCell ref="C2:H2"/>
    <mergeCell ref="C3:C4"/>
    <mergeCell ref="D3:D4"/>
    <mergeCell ref="E3:E4"/>
    <mergeCell ref="F3:H3"/>
  </mergeCells>
  <pageMargins left="0.70866141732283472" right="0.70866141732283472" top="0.74803149606299213" bottom="0.74803149606299213" header="0.31496062992125984" footer="0.31496062992125984"/>
  <pageSetup scale="71" orientation="portrait" horizontalDpi="0" verticalDpi="0" r:id="rId1"/>
</worksheet>
</file>

<file path=xl/worksheets/sheet3.xml><?xml version="1.0" encoding="utf-8"?>
<worksheet xmlns="http://schemas.openxmlformats.org/spreadsheetml/2006/main" xmlns:r="http://schemas.openxmlformats.org/officeDocument/2006/relationships">
  <dimension ref="A1:AY58"/>
  <sheetViews>
    <sheetView view="pageBreakPreview" zoomScale="70" zoomScaleNormal="85" zoomScaleSheetLayoutView="70" workbookViewId="0">
      <pane xSplit="1" ySplit="6" topLeftCell="B7" activePane="bottomRight" state="frozen"/>
      <selection activeCell="AC38" sqref="AC38"/>
      <selection pane="topRight" activeCell="AC38" sqref="AC38"/>
      <selection pane="bottomLeft" activeCell="AC38" sqref="AC38"/>
      <selection pane="bottomRight" activeCell="E19" sqref="E19"/>
    </sheetView>
  </sheetViews>
  <sheetFormatPr defaultRowHeight="15" outlineLevelRow="1" outlineLevelCol="1"/>
  <cols>
    <col min="1" max="1" width="12.5703125" style="64" customWidth="1"/>
    <col min="2" max="2" width="12.28515625" style="64" bestFit="1" customWidth="1"/>
    <col min="3" max="3" width="19.42578125" style="64" customWidth="1"/>
    <col min="4" max="4" width="12.5703125" style="64" customWidth="1"/>
    <col min="5" max="6" width="11.28515625" style="64" customWidth="1"/>
    <col min="7" max="12" width="15.140625" style="64" customWidth="1"/>
    <col min="13" max="13" width="9.140625" style="64"/>
    <col min="14" max="16" width="17.7109375" style="64" customWidth="1"/>
    <col min="17" max="18" width="9.140625" style="64"/>
    <col min="19" max="21" width="13.5703125" style="64" customWidth="1"/>
    <col min="22" max="25" width="17.140625" style="64" customWidth="1"/>
    <col min="26" max="26" width="9.140625" style="64"/>
    <col min="27" max="27" width="9.140625" style="64" hidden="1" customWidth="1" outlineLevel="1"/>
    <col min="28" max="29" width="9.5703125" style="64" hidden="1" customWidth="1" outlineLevel="1"/>
    <col min="30" max="50" width="9.140625" style="64" hidden="1" customWidth="1" outlineLevel="1"/>
    <col min="51" max="51" width="9.140625" style="64" collapsed="1"/>
    <col min="52" max="16384" width="9.140625" style="64"/>
  </cols>
  <sheetData>
    <row r="1" spans="1:50">
      <c r="A1" s="108" t="s">
        <v>1825</v>
      </c>
      <c r="B1" s="108"/>
      <c r="C1" s="108"/>
      <c r="D1" s="108"/>
      <c r="E1" s="108"/>
      <c r="F1" s="108"/>
      <c r="G1" s="108"/>
      <c r="H1" s="108"/>
      <c r="I1" s="108"/>
      <c r="J1" s="108"/>
      <c r="K1" s="108"/>
      <c r="L1" s="108"/>
      <c r="M1" s="108"/>
      <c r="N1" s="108"/>
      <c r="O1" s="108"/>
      <c r="P1" s="108"/>
      <c r="Q1" s="108"/>
      <c r="R1" s="108"/>
      <c r="S1" s="108"/>
      <c r="T1" s="108"/>
      <c r="U1" s="108"/>
      <c r="V1" s="108"/>
      <c r="W1" s="108"/>
      <c r="X1" s="108"/>
      <c r="Y1" s="108"/>
    </row>
    <row r="2" spans="1:50" ht="15" customHeight="1">
      <c r="A2" s="96"/>
      <c r="B2" s="94" t="s">
        <v>7</v>
      </c>
      <c r="C2" s="123" t="s">
        <v>938</v>
      </c>
      <c r="D2" s="127" t="s">
        <v>37</v>
      </c>
      <c r="E2" s="128"/>
      <c r="F2" s="128"/>
      <c r="G2" s="128"/>
      <c r="H2" s="128"/>
      <c r="I2" s="128"/>
      <c r="J2" s="128"/>
      <c r="K2" s="128"/>
      <c r="L2" s="128"/>
      <c r="M2" s="128"/>
      <c r="N2" s="128"/>
      <c r="O2" s="128"/>
      <c r="P2" s="128"/>
      <c r="Q2" s="128"/>
      <c r="R2" s="128"/>
      <c r="S2" s="128"/>
      <c r="T2" s="128"/>
      <c r="U2" s="128"/>
      <c r="V2" s="128"/>
      <c r="W2" s="128"/>
      <c r="X2" s="128"/>
      <c r="Y2" s="129"/>
      <c r="AA2" s="96"/>
      <c r="AB2" s="94" t="s">
        <v>7</v>
      </c>
      <c r="AC2" s="72"/>
      <c r="AD2" s="112" t="s">
        <v>37</v>
      </c>
      <c r="AE2" s="112"/>
      <c r="AF2" s="112"/>
      <c r="AG2" s="112"/>
      <c r="AH2" s="112"/>
      <c r="AI2" s="112"/>
      <c r="AJ2" s="112"/>
      <c r="AK2" s="112"/>
      <c r="AL2" s="112"/>
      <c r="AM2" s="112"/>
      <c r="AN2" s="112"/>
      <c r="AO2" s="112"/>
      <c r="AP2" s="112"/>
      <c r="AQ2" s="112"/>
      <c r="AR2" s="112"/>
      <c r="AS2" s="112"/>
      <c r="AT2" s="112"/>
      <c r="AU2" s="112"/>
      <c r="AV2" s="112"/>
      <c r="AW2" s="112"/>
      <c r="AX2" s="112"/>
    </row>
    <row r="3" spans="1:50" ht="15" customHeight="1">
      <c r="A3" s="96"/>
      <c r="B3" s="94"/>
      <c r="C3" s="125"/>
      <c r="D3" s="123" t="s">
        <v>78</v>
      </c>
      <c r="E3" s="94" t="s">
        <v>0</v>
      </c>
      <c r="F3" s="112" t="s">
        <v>1</v>
      </c>
      <c r="G3" s="112"/>
      <c r="H3" s="112"/>
      <c r="I3" s="112"/>
      <c r="J3" s="112"/>
      <c r="K3" s="112"/>
      <c r="L3" s="112"/>
      <c r="M3" s="112"/>
      <c r="N3" s="112"/>
      <c r="O3" s="112" t="s">
        <v>2</v>
      </c>
      <c r="P3" s="112"/>
      <c r="Q3" s="112"/>
      <c r="R3" s="112"/>
      <c r="S3" s="112"/>
      <c r="T3" s="112"/>
      <c r="U3" s="112"/>
      <c r="V3" s="112"/>
      <c r="W3" s="112"/>
      <c r="X3" s="112"/>
      <c r="Y3" s="112"/>
      <c r="AA3" s="96"/>
      <c r="AB3" s="94"/>
      <c r="AC3" s="72"/>
      <c r="AD3" s="94" t="s">
        <v>0</v>
      </c>
      <c r="AE3" s="112" t="s">
        <v>1</v>
      </c>
      <c r="AF3" s="112"/>
      <c r="AG3" s="112"/>
      <c r="AH3" s="112"/>
      <c r="AI3" s="112"/>
      <c r="AJ3" s="112"/>
      <c r="AK3" s="112"/>
      <c r="AL3" s="112"/>
      <c r="AM3" s="112"/>
      <c r="AN3" s="112" t="s">
        <v>2</v>
      </c>
      <c r="AO3" s="112"/>
      <c r="AP3" s="112"/>
      <c r="AQ3" s="112"/>
      <c r="AR3" s="112"/>
      <c r="AS3" s="112"/>
      <c r="AT3" s="112"/>
      <c r="AU3" s="112"/>
      <c r="AV3" s="112"/>
      <c r="AW3" s="112"/>
      <c r="AX3" s="112"/>
    </row>
    <row r="4" spans="1:50" ht="31.5" customHeight="1">
      <c r="A4" s="96"/>
      <c r="B4" s="94"/>
      <c r="C4" s="125"/>
      <c r="D4" s="125"/>
      <c r="E4" s="94"/>
      <c r="F4" s="94" t="s">
        <v>560</v>
      </c>
      <c r="G4" s="97" t="s">
        <v>8</v>
      </c>
      <c r="H4" s="97" t="s">
        <v>9</v>
      </c>
      <c r="I4" s="97"/>
      <c r="J4" s="97"/>
      <c r="K4" s="97"/>
      <c r="L4" s="98" t="s">
        <v>11</v>
      </c>
      <c r="M4" s="100"/>
      <c r="N4" s="99"/>
      <c r="O4" s="94" t="s">
        <v>517</v>
      </c>
      <c r="P4" s="103" t="s">
        <v>13</v>
      </c>
      <c r="Q4" s="103"/>
      <c r="R4" s="103"/>
      <c r="S4" s="103"/>
      <c r="T4" s="103"/>
      <c r="U4" s="103"/>
      <c r="V4" s="97" t="s">
        <v>19</v>
      </c>
      <c r="W4" s="97"/>
      <c r="X4" s="97"/>
      <c r="Y4" s="97"/>
      <c r="AA4" s="96"/>
      <c r="AB4" s="94"/>
      <c r="AC4" s="72"/>
      <c r="AD4" s="94"/>
      <c r="AE4" s="94" t="s">
        <v>560</v>
      </c>
      <c r="AF4" s="97" t="s">
        <v>8</v>
      </c>
      <c r="AG4" s="97" t="s">
        <v>9</v>
      </c>
      <c r="AH4" s="97"/>
      <c r="AI4" s="97"/>
      <c r="AJ4" s="97"/>
      <c r="AK4" s="98" t="s">
        <v>11</v>
      </c>
      <c r="AL4" s="100"/>
      <c r="AM4" s="99"/>
      <c r="AN4" s="94" t="s">
        <v>517</v>
      </c>
      <c r="AO4" s="103" t="s">
        <v>13</v>
      </c>
      <c r="AP4" s="103"/>
      <c r="AQ4" s="103"/>
      <c r="AR4" s="103"/>
      <c r="AS4" s="103"/>
      <c r="AT4" s="103"/>
      <c r="AU4" s="97" t="s">
        <v>19</v>
      </c>
      <c r="AV4" s="97"/>
      <c r="AW4" s="97"/>
      <c r="AX4" s="97"/>
    </row>
    <row r="5" spans="1:50" ht="150" customHeight="1">
      <c r="A5" s="96"/>
      <c r="B5" s="94"/>
      <c r="C5" s="126"/>
      <c r="D5" s="126"/>
      <c r="E5" s="94"/>
      <c r="F5" s="94"/>
      <c r="G5" s="97"/>
      <c r="H5" s="73" t="s">
        <v>558</v>
      </c>
      <c r="I5" s="73" t="s">
        <v>554</v>
      </c>
      <c r="J5" s="73" t="s">
        <v>10</v>
      </c>
      <c r="K5" s="73" t="s">
        <v>555</v>
      </c>
      <c r="L5" s="73" t="s">
        <v>559</v>
      </c>
      <c r="M5" s="73" t="s">
        <v>12</v>
      </c>
      <c r="N5" s="73" t="s">
        <v>556</v>
      </c>
      <c r="O5" s="94"/>
      <c r="P5" s="73" t="s">
        <v>561</v>
      </c>
      <c r="Q5" s="73" t="s">
        <v>14</v>
      </c>
      <c r="R5" s="73" t="s">
        <v>15</v>
      </c>
      <c r="S5" s="73" t="s">
        <v>16</v>
      </c>
      <c r="T5" s="73" t="s">
        <v>17</v>
      </c>
      <c r="U5" s="73" t="s">
        <v>18</v>
      </c>
      <c r="V5" s="73" t="s">
        <v>562</v>
      </c>
      <c r="W5" s="73" t="s">
        <v>20</v>
      </c>
      <c r="X5" s="73" t="s">
        <v>21</v>
      </c>
      <c r="Y5" s="73" t="s">
        <v>557</v>
      </c>
      <c r="AA5" s="96"/>
      <c r="AB5" s="94"/>
      <c r="AC5" s="72" t="s">
        <v>938</v>
      </c>
      <c r="AD5" s="94"/>
      <c r="AE5" s="94"/>
      <c r="AF5" s="97"/>
      <c r="AG5" s="73" t="s">
        <v>558</v>
      </c>
      <c r="AH5" s="73" t="s">
        <v>554</v>
      </c>
      <c r="AI5" s="73" t="s">
        <v>10</v>
      </c>
      <c r="AJ5" s="73" t="s">
        <v>555</v>
      </c>
      <c r="AK5" s="73" t="s">
        <v>559</v>
      </c>
      <c r="AL5" s="73" t="s">
        <v>12</v>
      </c>
      <c r="AM5" s="73" t="s">
        <v>556</v>
      </c>
      <c r="AN5" s="94"/>
      <c r="AO5" s="73" t="s">
        <v>561</v>
      </c>
      <c r="AP5" s="73" t="s">
        <v>14</v>
      </c>
      <c r="AQ5" s="73" t="s">
        <v>15</v>
      </c>
      <c r="AR5" s="73" t="s">
        <v>16</v>
      </c>
      <c r="AS5" s="73" t="s">
        <v>17</v>
      </c>
      <c r="AT5" s="73" t="s">
        <v>18</v>
      </c>
      <c r="AU5" s="73" t="s">
        <v>562</v>
      </c>
      <c r="AV5" s="73" t="s">
        <v>20</v>
      </c>
      <c r="AW5" s="73" t="s">
        <v>21</v>
      </c>
      <c r="AX5" s="73" t="s">
        <v>557</v>
      </c>
    </row>
    <row r="6" spans="1:50" hidden="1" outlineLevel="1"/>
    <row r="7" spans="1:50" collapsed="1">
      <c r="A7" s="66">
        <v>1997</v>
      </c>
      <c r="B7" s="56">
        <f t="shared" ref="B7:B15" si="0">B8*(1/AB24)</f>
        <v>1068720.6399443471</v>
      </c>
      <c r="C7" s="56">
        <f t="shared" ref="C7:C15" si="1">C8*(1/AC24)</f>
        <v>155386.37299556658</v>
      </c>
      <c r="D7" s="56">
        <f>E7+F7+O7</f>
        <v>20065.123135136026</v>
      </c>
      <c r="E7" s="56">
        <f t="shared" ref="E7:E16" si="2">E8*(1/AD24)</f>
        <v>3970.2185863874352</v>
      </c>
      <c r="F7" s="56">
        <f t="shared" ref="F7:F16" si="3">F8*(1/AE24)</f>
        <v>6972.8238872878646</v>
      </c>
      <c r="G7" s="56">
        <f t="shared" ref="G7:G16" si="4">G8*(1/AF24)</f>
        <v>3544.1631216765709</v>
      </c>
      <c r="H7" s="56">
        <f t="shared" ref="H7:H15" si="5">H8*(1/AG24)</f>
        <v>1261.0776906628655</v>
      </c>
      <c r="I7" s="56">
        <v>603</v>
      </c>
      <c r="J7" s="56">
        <v>191</v>
      </c>
      <c r="K7" s="56">
        <v>876</v>
      </c>
      <c r="L7" s="56">
        <f t="shared" ref="L7:L16" si="6">L8*(1/AK24)</f>
        <v>2048.966688438928</v>
      </c>
      <c r="M7" s="56">
        <v>1128</v>
      </c>
      <c r="N7" s="56">
        <v>734</v>
      </c>
      <c r="O7" s="56">
        <f t="shared" ref="O7:O16" si="7">O8*(1/AN24)</f>
        <v>9122.0806614607263</v>
      </c>
      <c r="P7" s="56">
        <f t="shared" ref="P7:P16" si="8">P8*(1/AO24)</f>
        <v>5532.1111537969009</v>
      </c>
      <c r="Q7" s="56">
        <v>1465</v>
      </c>
      <c r="R7" s="56">
        <v>5024</v>
      </c>
      <c r="S7" s="56">
        <v>1840</v>
      </c>
      <c r="T7" s="56">
        <v>3184</v>
      </c>
      <c r="U7" s="56">
        <v>942</v>
      </c>
      <c r="V7" s="56">
        <f t="shared" ref="V7:V16" si="9">V8*(1/AU24)</f>
        <v>3535.0839936608559</v>
      </c>
      <c r="W7" s="56">
        <v>1858</v>
      </c>
      <c r="X7" s="56">
        <v>651</v>
      </c>
      <c r="Y7" s="56">
        <v>750</v>
      </c>
      <c r="AA7" s="66">
        <v>1997</v>
      </c>
      <c r="AB7" s="56">
        <v>888158</v>
      </c>
      <c r="AC7" s="56">
        <v>151330</v>
      </c>
      <c r="AD7" s="56">
        <v>5047</v>
      </c>
      <c r="AE7" s="56">
        <v>9047</v>
      </c>
      <c r="AF7" s="56">
        <v>5499</v>
      </c>
      <c r="AG7" s="56">
        <v>1666</v>
      </c>
      <c r="AH7" s="56">
        <v>603</v>
      </c>
      <c r="AI7" s="56">
        <v>191</v>
      </c>
      <c r="AJ7" s="56">
        <v>876</v>
      </c>
      <c r="AK7" s="56">
        <v>1854</v>
      </c>
      <c r="AL7" s="56">
        <v>1128</v>
      </c>
      <c r="AM7" s="56">
        <v>734</v>
      </c>
      <c r="AN7" s="56">
        <v>10709</v>
      </c>
      <c r="AO7" s="56">
        <v>7424</v>
      </c>
      <c r="AP7" s="56">
        <v>1465</v>
      </c>
      <c r="AQ7" s="56">
        <v>5024</v>
      </c>
      <c r="AR7" s="56">
        <v>1840</v>
      </c>
      <c r="AS7" s="56">
        <v>3184</v>
      </c>
      <c r="AT7" s="56">
        <v>942</v>
      </c>
      <c r="AU7" s="56">
        <v>3230</v>
      </c>
      <c r="AV7" s="56">
        <v>1858</v>
      </c>
      <c r="AW7" s="56">
        <v>651</v>
      </c>
      <c r="AX7" s="56">
        <v>750</v>
      </c>
    </row>
    <row r="8" spans="1:50">
      <c r="A8" s="66">
        <v>1998</v>
      </c>
      <c r="B8" s="56">
        <f t="shared" si="0"/>
        <v>1110145.4503392586</v>
      </c>
      <c r="C8" s="56">
        <f t="shared" si="1"/>
        <v>163076.11427200743</v>
      </c>
      <c r="D8" s="56">
        <f t="shared" ref="D8:D22" si="10">E8+F8+O8</f>
        <v>20244.362415806263</v>
      </c>
      <c r="E8" s="56">
        <f t="shared" si="2"/>
        <v>4026.8573298429324</v>
      </c>
      <c r="F8" s="56">
        <f t="shared" si="3"/>
        <v>7329.6733909702207</v>
      </c>
      <c r="G8" s="56">
        <f t="shared" si="4"/>
        <v>3753.6290272130113</v>
      </c>
      <c r="H8" s="56">
        <f t="shared" si="5"/>
        <v>1328.4461867426944</v>
      </c>
      <c r="I8" s="56">
        <v>584</v>
      </c>
      <c r="J8" s="56">
        <v>209</v>
      </c>
      <c r="K8" s="56">
        <v>962</v>
      </c>
      <c r="L8" s="56">
        <f t="shared" si="6"/>
        <v>2090.9627694317433</v>
      </c>
      <c r="M8" s="56">
        <v>1173</v>
      </c>
      <c r="N8" s="56">
        <v>724</v>
      </c>
      <c r="O8" s="56">
        <f t="shared" si="7"/>
        <v>8887.8316949931104</v>
      </c>
      <c r="P8" s="56">
        <f t="shared" si="8"/>
        <v>5275.7741067998468</v>
      </c>
      <c r="Q8" s="56">
        <v>1491</v>
      </c>
      <c r="R8" s="56">
        <v>4691</v>
      </c>
      <c r="S8" s="56">
        <v>1776</v>
      </c>
      <c r="T8" s="56">
        <v>2928</v>
      </c>
      <c r="U8" s="56">
        <v>907</v>
      </c>
      <c r="V8" s="56">
        <f t="shared" si="9"/>
        <v>3689.4019017432647</v>
      </c>
      <c r="W8" s="56">
        <v>1797</v>
      </c>
      <c r="X8" s="56">
        <v>739</v>
      </c>
      <c r="Y8" s="56">
        <v>844</v>
      </c>
      <c r="AA8" s="66">
        <v>1998</v>
      </c>
      <c r="AB8" s="56">
        <v>922584</v>
      </c>
      <c r="AC8" s="56">
        <v>158819</v>
      </c>
      <c r="AD8" s="56">
        <v>5119</v>
      </c>
      <c r="AE8" s="56">
        <v>9510</v>
      </c>
      <c r="AF8" s="56">
        <v>5824</v>
      </c>
      <c r="AG8" s="56">
        <v>1755</v>
      </c>
      <c r="AH8" s="56">
        <v>584</v>
      </c>
      <c r="AI8" s="56">
        <v>209</v>
      </c>
      <c r="AJ8" s="56">
        <v>962</v>
      </c>
      <c r="AK8" s="56">
        <v>1892</v>
      </c>
      <c r="AL8" s="56">
        <v>1173</v>
      </c>
      <c r="AM8" s="56">
        <v>724</v>
      </c>
      <c r="AN8" s="56">
        <v>10434</v>
      </c>
      <c r="AO8" s="56">
        <v>7080</v>
      </c>
      <c r="AP8" s="56">
        <v>1491</v>
      </c>
      <c r="AQ8" s="56">
        <v>4691</v>
      </c>
      <c r="AR8" s="56">
        <v>1776</v>
      </c>
      <c r="AS8" s="56">
        <v>2928</v>
      </c>
      <c r="AT8" s="56">
        <v>907</v>
      </c>
      <c r="AU8" s="56">
        <v>3371</v>
      </c>
      <c r="AV8" s="56">
        <v>1797</v>
      </c>
      <c r="AW8" s="56">
        <v>739</v>
      </c>
      <c r="AX8" s="56">
        <v>844</v>
      </c>
    </row>
    <row r="9" spans="1:50">
      <c r="A9" s="66">
        <v>1999</v>
      </c>
      <c r="B9" s="56">
        <f t="shared" si="0"/>
        <v>1172501.6665559183</v>
      </c>
      <c r="C9" s="56">
        <f t="shared" si="1"/>
        <v>176531.36459734873</v>
      </c>
      <c r="D9" s="56">
        <f t="shared" si="10"/>
        <v>21816.397038359013</v>
      </c>
      <c r="E9" s="56">
        <f t="shared" si="2"/>
        <v>4170.8141361256548</v>
      </c>
      <c r="F9" s="56">
        <f t="shared" si="3"/>
        <v>7876.1232788984944</v>
      </c>
      <c r="G9" s="56">
        <f t="shared" si="4"/>
        <v>3835.4818579918665</v>
      </c>
      <c r="H9" s="56">
        <f t="shared" si="5"/>
        <v>1540.3920171062011</v>
      </c>
      <c r="I9" s="56">
        <v>681</v>
      </c>
      <c r="J9" s="56">
        <v>206</v>
      </c>
      <c r="K9" s="56">
        <v>1135</v>
      </c>
      <c r="L9" s="56">
        <f t="shared" si="6"/>
        <v>2421.4056172436308</v>
      </c>
      <c r="M9" s="56">
        <v>1414</v>
      </c>
      <c r="N9" s="56">
        <v>778</v>
      </c>
      <c r="O9" s="56">
        <f t="shared" si="7"/>
        <v>9769.4596233348639</v>
      </c>
      <c r="P9" s="56">
        <f t="shared" si="8"/>
        <v>5995.6043027276219</v>
      </c>
      <c r="Q9" s="56">
        <v>1773</v>
      </c>
      <c r="R9" s="56">
        <v>5187</v>
      </c>
      <c r="S9" s="56">
        <v>1835</v>
      </c>
      <c r="T9" s="56">
        <v>3341</v>
      </c>
      <c r="U9" s="56">
        <v>1106</v>
      </c>
      <c r="V9" s="56">
        <f t="shared" si="9"/>
        <v>3668.6072900158479</v>
      </c>
      <c r="W9" s="56">
        <v>1690</v>
      </c>
      <c r="X9" s="56">
        <v>804</v>
      </c>
      <c r="Y9" s="56">
        <v>858</v>
      </c>
      <c r="AA9" s="66">
        <v>1999</v>
      </c>
      <c r="AB9" s="56">
        <v>974405</v>
      </c>
      <c r="AC9" s="56">
        <v>171923</v>
      </c>
      <c r="AD9" s="56">
        <v>5302</v>
      </c>
      <c r="AE9" s="56">
        <v>10219</v>
      </c>
      <c r="AF9" s="56">
        <v>5951</v>
      </c>
      <c r="AG9" s="56">
        <v>2035</v>
      </c>
      <c r="AH9" s="56">
        <v>681</v>
      </c>
      <c r="AI9" s="56">
        <v>206</v>
      </c>
      <c r="AJ9" s="56">
        <v>1135</v>
      </c>
      <c r="AK9" s="56">
        <v>2191</v>
      </c>
      <c r="AL9" s="56">
        <v>1414</v>
      </c>
      <c r="AM9" s="56">
        <v>778</v>
      </c>
      <c r="AN9" s="56">
        <v>11469</v>
      </c>
      <c r="AO9" s="56">
        <v>8046</v>
      </c>
      <c r="AP9" s="56">
        <v>1773</v>
      </c>
      <c r="AQ9" s="56">
        <v>5187</v>
      </c>
      <c r="AR9" s="56">
        <v>1835</v>
      </c>
      <c r="AS9" s="56">
        <v>3341</v>
      </c>
      <c r="AT9" s="56">
        <v>1106</v>
      </c>
      <c r="AU9" s="56">
        <v>3352</v>
      </c>
      <c r="AV9" s="56">
        <v>1690</v>
      </c>
      <c r="AW9" s="56">
        <v>804</v>
      </c>
      <c r="AX9" s="56">
        <v>858</v>
      </c>
    </row>
    <row r="10" spans="1:50">
      <c r="A10" s="66">
        <v>2000</v>
      </c>
      <c r="B10" s="56">
        <f t="shared" si="0"/>
        <v>1234877.1355747133</v>
      </c>
      <c r="C10" s="56">
        <f t="shared" si="1"/>
        <v>193989.10010035953</v>
      </c>
      <c r="D10" s="56">
        <f t="shared" si="10"/>
        <v>23296.528190029567</v>
      </c>
      <c r="E10" s="56">
        <f t="shared" si="2"/>
        <v>4430.4083769633517</v>
      </c>
      <c r="F10" s="56">
        <f t="shared" si="3"/>
        <v>8735.4908741594609</v>
      </c>
      <c r="G10" s="56">
        <f t="shared" si="4"/>
        <v>4213.8095089146063</v>
      </c>
      <c r="H10" s="56">
        <f t="shared" si="5"/>
        <v>1648.6357804704207</v>
      </c>
      <c r="I10" s="56">
        <v>780</v>
      </c>
      <c r="J10" s="56">
        <v>226</v>
      </c>
      <c r="K10" s="56">
        <v>1173</v>
      </c>
      <c r="L10" s="56">
        <f t="shared" si="6"/>
        <v>2892.2037883736111</v>
      </c>
      <c r="M10" s="56">
        <v>1692</v>
      </c>
      <c r="N10" s="56">
        <v>925</v>
      </c>
      <c r="O10" s="56">
        <f t="shared" si="7"/>
        <v>10130.628938906752</v>
      </c>
      <c r="P10" s="56">
        <f t="shared" si="8"/>
        <v>6362.2258932001541</v>
      </c>
      <c r="Q10" s="56">
        <v>1847</v>
      </c>
      <c r="R10" s="56">
        <v>5658</v>
      </c>
      <c r="S10" s="56">
        <v>2125</v>
      </c>
      <c r="T10" s="56">
        <v>3534</v>
      </c>
      <c r="U10" s="56">
        <v>1040</v>
      </c>
      <c r="V10" s="56">
        <f t="shared" si="9"/>
        <v>3528.5172741679876</v>
      </c>
      <c r="W10" s="56">
        <v>1620</v>
      </c>
      <c r="X10" s="56">
        <v>778</v>
      </c>
      <c r="Y10" s="56">
        <v>827</v>
      </c>
      <c r="AA10" s="66">
        <v>2000</v>
      </c>
      <c r="AB10" s="56">
        <v>1026242</v>
      </c>
      <c r="AC10" s="56">
        <v>188925</v>
      </c>
      <c r="AD10" s="56">
        <v>5632</v>
      </c>
      <c r="AE10" s="56">
        <v>11334</v>
      </c>
      <c r="AF10" s="56">
        <v>6538</v>
      </c>
      <c r="AG10" s="56">
        <v>2178</v>
      </c>
      <c r="AH10" s="56">
        <v>780</v>
      </c>
      <c r="AI10" s="56">
        <v>226</v>
      </c>
      <c r="AJ10" s="56">
        <v>1173</v>
      </c>
      <c r="AK10" s="56">
        <v>2617</v>
      </c>
      <c r="AL10" s="56">
        <v>1692</v>
      </c>
      <c r="AM10" s="56">
        <v>925</v>
      </c>
      <c r="AN10" s="56">
        <v>11893</v>
      </c>
      <c r="AO10" s="56">
        <v>8538</v>
      </c>
      <c r="AP10" s="56">
        <v>1847</v>
      </c>
      <c r="AQ10" s="56">
        <v>5658</v>
      </c>
      <c r="AR10" s="56">
        <v>2125</v>
      </c>
      <c r="AS10" s="56">
        <v>3534</v>
      </c>
      <c r="AT10" s="56">
        <v>1040</v>
      </c>
      <c r="AU10" s="56">
        <v>3224</v>
      </c>
      <c r="AV10" s="56">
        <v>1620</v>
      </c>
      <c r="AW10" s="56">
        <v>778</v>
      </c>
      <c r="AX10" s="56">
        <v>827</v>
      </c>
    </row>
    <row r="11" spans="1:50">
      <c r="A11" s="66">
        <v>2001</v>
      </c>
      <c r="B11" s="56">
        <f t="shared" si="0"/>
        <v>1252566.8508368873</v>
      </c>
      <c r="C11" s="56">
        <f t="shared" si="1"/>
        <v>185937.92352824405</v>
      </c>
      <c r="D11" s="56">
        <f t="shared" si="10"/>
        <v>22437.159828833588</v>
      </c>
      <c r="E11" s="56">
        <f t="shared" si="2"/>
        <v>4465.0209424083778</v>
      </c>
      <c r="F11" s="56">
        <f t="shared" si="3"/>
        <v>8350.8949727825802</v>
      </c>
      <c r="G11" s="56">
        <f t="shared" si="4"/>
        <v>3878.6640600563023</v>
      </c>
      <c r="H11" s="56">
        <f t="shared" si="5"/>
        <v>1644.0940841054885</v>
      </c>
      <c r="I11" s="56">
        <v>772</v>
      </c>
      <c r="J11" s="56">
        <v>259</v>
      </c>
      <c r="K11" s="56">
        <v>1144</v>
      </c>
      <c r="L11" s="56">
        <f t="shared" si="6"/>
        <v>2920.9379490529059</v>
      </c>
      <c r="M11" s="56">
        <v>1742</v>
      </c>
      <c r="N11" s="56">
        <v>901</v>
      </c>
      <c r="O11" s="56">
        <f t="shared" si="7"/>
        <v>9621.2439136426274</v>
      </c>
      <c r="P11" s="56">
        <f t="shared" si="8"/>
        <v>5765.3480599308496</v>
      </c>
      <c r="Q11" s="56">
        <v>1757</v>
      </c>
      <c r="R11" s="56">
        <v>4989</v>
      </c>
      <c r="S11" s="56">
        <v>1875</v>
      </c>
      <c r="T11" s="56">
        <v>3116</v>
      </c>
      <c r="U11" s="56">
        <v>1009</v>
      </c>
      <c r="V11" s="56">
        <f t="shared" si="9"/>
        <v>3892.9702060221871</v>
      </c>
      <c r="W11" s="56">
        <v>1724</v>
      </c>
      <c r="X11" s="56">
        <v>1009</v>
      </c>
      <c r="Y11" s="56">
        <v>826</v>
      </c>
      <c r="AA11" s="66">
        <v>2001</v>
      </c>
      <c r="AB11" s="56">
        <v>1040943</v>
      </c>
      <c r="AC11" s="56">
        <v>181084</v>
      </c>
      <c r="AD11" s="56">
        <v>5676</v>
      </c>
      <c r="AE11" s="56">
        <v>10835</v>
      </c>
      <c r="AF11" s="56">
        <v>6018</v>
      </c>
      <c r="AG11" s="56">
        <v>2172</v>
      </c>
      <c r="AH11" s="56">
        <v>772</v>
      </c>
      <c r="AI11" s="56">
        <v>259</v>
      </c>
      <c r="AJ11" s="56">
        <v>1144</v>
      </c>
      <c r="AK11" s="56">
        <v>2643</v>
      </c>
      <c r="AL11" s="56">
        <v>1742</v>
      </c>
      <c r="AM11" s="56">
        <v>901</v>
      </c>
      <c r="AN11" s="56">
        <v>11295</v>
      </c>
      <c r="AO11" s="56">
        <v>7737</v>
      </c>
      <c r="AP11" s="56">
        <v>1757</v>
      </c>
      <c r="AQ11" s="56">
        <v>4989</v>
      </c>
      <c r="AR11" s="56">
        <v>1875</v>
      </c>
      <c r="AS11" s="56">
        <v>3116</v>
      </c>
      <c r="AT11" s="56">
        <v>1009</v>
      </c>
      <c r="AU11" s="56">
        <v>3557</v>
      </c>
      <c r="AV11" s="56">
        <v>1724</v>
      </c>
      <c r="AW11" s="56">
        <v>1009</v>
      </c>
      <c r="AX11" s="56">
        <v>826</v>
      </c>
    </row>
    <row r="12" spans="1:50">
      <c r="A12" s="66">
        <v>2002</v>
      </c>
      <c r="B12" s="56">
        <f t="shared" si="0"/>
        <v>1286045.067150349</v>
      </c>
      <c r="C12" s="56">
        <f t="shared" si="1"/>
        <v>187634.20508635332</v>
      </c>
      <c r="D12" s="56">
        <f t="shared" si="10"/>
        <v>24052.18911682002</v>
      </c>
      <c r="E12" s="56">
        <f t="shared" si="2"/>
        <v>4635.7238219895298</v>
      </c>
      <c r="F12" s="56">
        <f t="shared" si="3"/>
        <v>9309.6871597822592</v>
      </c>
      <c r="G12" s="56">
        <f t="shared" si="4"/>
        <v>4300.8184235220515</v>
      </c>
      <c r="H12" s="56">
        <f t="shared" si="5"/>
        <v>1890.8595866001428</v>
      </c>
      <c r="I12" s="56">
        <v>880</v>
      </c>
      <c r="J12" s="56">
        <v>354</v>
      </c>
      <c r="K12" s="56">
        <v>1264</v>
      </c>
      <c r="L12" s="56">
        <f t="shared" si="6"/>
        <v>3213.8053559764853</v>
      </c>
      <c r="M12" s="56">
        <v>1990</v>
      </c>
      <c r="N12" s="56">
        <v>919</v>
      </c>
      <c r="O12" s="56">
        <f t="shared" si="7"/>
        <v>10106.778135048231</v>
      </c>
      <c r="P12" s="56">
        <f t="shared" si="8"/>
        <v>6046.2755794595987</v>
      </c>
      <c r="Q12" s="56">
        <v>1798</v>
      </c>
      <c r="R12" s="56">
        <v>5390</v>
      </c>
      <c r="S12" s="56">
        <v>2014</v>
      </c>
      <c r="T12" s="56">
        <v>3376</v>
      </c>
      <c r="U12" s="56">
        <v>926</v>
      </c>
      <c r="V12" s="56">
        <f t="shared" si="9"/>
        <v>4105.2941362916008</v>
      </c>
      <c r="W12" s="56">
        <v>1720</v>
      </c>
      <c r="X12" s="56">
        <v>1115</v>
      </c>
      <c r="Y12" s="56">
        <v>916</v>
      </c>
      <c r="AA12" s="66">
        <v>2002</v>
      </c>
      <c r="AB12" s="56">
        <v>1068765</v>
      </c>
      <c r="AC12" s="56">
        <v>182736</v>
      </c>
      <c r="AD12" s="56">
        <v>5893</v>
      </c>
      <c r="AE12" s="56">
        <v>12079</v>
      </c>
      <c r="AF12" s="56">
        <v>6673</v>
      </c>
      <c r="AG12" s="56">
        <v>2498</v>
      </c>
      <c r="AH12" s="56">
        <v>880</v>
      </c>
      <c r="AI12" s="56">
        <v>354</v>
      </c>
      <c r="AJ12" s="56">
        <v>1264</v>
      </c>
      <c r="AK12" s="56">
        <v>2908</v>
      </c>
      <c r="AL12" s="56">
        <v>1990</v>
      </c>
      <c r="AM12" s="56">
        <v>919</v>
      </c>
      <c r="AN12" s="56">
        <v>11865</v>
      </c>
      <c r="AO12" s="56">
        <v>8114</v>
      </c>
      <c r="AP12" s="56">
        <v>1798</v>
      </c>
      <c r="AQ12" s="56">
        <v>5390</v>
      </c>
      <c r="AR12" s="56">
        <v>2014</v>
      </c>
      <c r="AS12" s="56">
        <v>3376</v>
      </c>
      <c r="AT12" s="56">
        <v>926</v>
      </c>
      <c r="AU12" s="56">
        <v>3751</v>
      </c>
      <c r="AV12" s="56">
        <v>1720</v>
      </c>
      <c r="AW12" s="56">
        <v>1115</v>
      </c>
      <c r="AX12" s="56">
        <v>916</v>
      </c>
    </row>
    <row r="13" spans="1:50">
      <c r="A13" s="66">
        <v>2003</v>
      </c>
      <c r="B13" s="56">
        <f t="shared" si="0"/>
        <v>1313255.2930685545</v>
      </c>
      <c r="C13" s="56">
        <f t="shared" si="1"/>
        <v>186210.02680481729</v>
      </c>
      <c r="D13" s="56">
        <f t="shared" si="10"/>
        <v>24100.672013671709</v>
      </c>
      <c r="E13" s="56">
        <f t="shared" si="2"/>
        <v>4527.952879581153</v>
      </c>
      <c r="F13" s="56">
        <f t="shared" si="3"/>
        <v>9427.6093499839881</v>
      </c>
      <c r="G13" s="56">
        <f t="shared" si="4"/>
        <v>4258.28073193619</v>
      </c>
      <c r="H13" s="56">
        <f t="shared" si="5"/>
        <v>1989.2630078403424</v>
      </c>
      <c r="I13" s="56">
        <v>817</v>
      </c>
      <c r="J13" s="56">
        <v>400</v>
      </c>
      <c r="K13" s="56">
        <v>1399</v>
      </c>
      <c r="L13" s="56">
        <f t="shared" si="6"/>
        <v>3282.3252775963419</v>
      </c>
      <c r="M13" s="56">
        <v>1994</v>
      </c>
      <c r="N13" s="56">
        <v>975</v>
      </c>
      <c r="O13" s="56">
        <f t="shared" si="7"/>
        <v>10145.109784106568</v>
      </c>
      <c r="P13" s="56">
        <f t="shared" si="8"/>
        <v>6006.036624407735</v>
      </c>
      <c r="Q13" s="56">
        <v>1696</v>
      </c>
      <c r="R13" s="56">
        <v>5521</v>
      </c>
      <c r="S13" s="56">
        <v>2631</v>
      </c>
      <c r="T13" s="56">
        <v>2860</v>
      </c>
      <c r="U13" s="56">
        <v>856</v>
      </c>
      <c r="V13" s="56">
        <f t="shared" si="9"/>
        <v>4208.172741679874</v>
      </c>
      <c r="W13" s="56">
        <v>1781</v>
      </c>
      <c r="X13" s="56">
        <v>1133</v>
      </c>
      <c r="Y13" s="56">
        <v>931</v>
      </c>
      <c r="AA13" s="66">
        <v>2003</v>
      </c>
      <c r="AB13" s="56">
        <v>1091378</v>
      </c>
      <c r="AC13" s="56">
        <v>181349</v>
      </c>
      <c r="AD13" s="56">
        <v>5756</v>
      </c>
      <c r="AE13" s="56">
        <v>12232</v>
      </c>
      <c r="AF13" s="56">
        <v>6607</v>
      </c>
      <c r="AG13" s="56">
        <v>2628</v>
      </c>
      <c r="AH13" s="56">
        <v>817</v>
      </c>
      <c r="AI13" s="56">
        <v>400</v>
      </c>
      <c r="AJ13" s="56">
        <v>1399</v>
      </c>
      <c r="AK13" s="56">
        <v>2970</v>
      </c>
      <c r="AL13" s="56">
        <v>1994</v>
      </c>
      <c r="AM13" s="56">
        <v>975</v>
      </c>
      <c r="AN13" s="56">
        <v>11910</v>
      </c>
      <c r="AO13" s="56">
        <v>8060</v>
      </c>
      <c r="AP13" s="56">
        <v>1696</v>
      </c>
      <c r="AQ13" s="56">
        <v>5521</v>
      </c>
      <c r="AR13" s="56">
        <v>2631</v>
      </c>
      <c r="AS13" s="56">
        <v>2860</v>
      </c>
      <c r="AT13" s="56">
        <v>856</v>
      </c>
      <c r="AU13" s="56">
        <v>3845</v>
      </c>
      <c r="AV13" s="56">
        <v>1781</v>
      </c>
      <c r="AW13" s="56">
        <v>1133</v>
      </c>
      <c r="AX13" s="56">
        <v>931</v>
      </c>
    </row>
    <row r="14" spans="1:50">
      <c r="A14" s="66">
        <v>2004</v>
      </c>
      <c r="B14" s="56">
        <f t="shared" si="0"/>
        <v>1353711.4468560214</v>
      </c>
      <c r="C14" s="56">
        <f t="shared" si="1"/>
        <v>189767.90549661426</v>
      </c>
      <c r="D14" s="56">
        <f t="shared" si="10"/>
        <v>24946.056545430642</v>
      </c>
      <c r="E14" s="56">
        <f t="shared" si="2"/>
        <v>4831.599476439791</v>
      </c>
      <c r="F14" s="56">
        <f t="shared" si="3"/>
        <v>9856.9077809798273</v>
      </c>
      <c r="G14" s="56">
        <f t="shared" si="4"/>
        <v>4359.4688770722551</v>
      </c>
      <c r="H14" s="56">
        <f t="shared" si="5"/>
        <v>2105.0762651461155</v>
      </c>
      <c r="I14" s="56">
        <v>834</v>
      </c>
      <c r="J14" s="56">
        <v>422</v>
      </c>
      <c r="K14" s="56">
        <v>1502</v>
      </c>
      <c r="L14" s="56">
        <f t="shared" si="6"/>
        <v>3528.7759634225995</v>
      </c>
      <c r="M14" s="56">
        <v>2177</v>
      </c>
      <c r="N14" s="56">
        <v>1017</v>
      </c>
      <c r="O14" s="56">
        <f t="shared" si="7"/>
        <v>10257.549288011023</v>
      </c>
      <c r="P14" s="56">
        <f t="shared" si="8"/>
        <v>6188.6022538097077</v>
      </c>
      <c r="Q14" s="56">
        <v>1834</v>
      </c>
      <c r="R14" s="56">
        <v>5624</v>
      </c>
      <c r="S14" s="56">
        <v>2819</v>
      </c>
      <c r="T14" s="56">
        <v>2765</v>
      </c>
      <c r="U14" s="56">
        <v>844</v>
      </c>
      <c r="V14" s="56">
        <f t="shared" si="9"/>
        <v>4108.577496038035</v>
      </c>
      <c r="W14" s="56">
        <v>1751</v>
      </c>
      <c r="X14" s="56">
        <v>1090</v>
      </c>
      <c r="Y14" s="56">
        <v>912</v>
      </c>
      <c r="AA14" s="66">
        <v>2004</v>
      </c>
      <c r="AB14" s="56">
        <v>1124999</v>
      </c>
      <c r="AC14" s="56">
        <v>184814</v>
      </c>
      <c r="AD14" s="56">
        <v>6142</v>
      </c>
      <c r="AE14" s="56">
        <v>12789</v>
      </c>
      <c r="AF14" s="56">
        <v>6764</v>
      </c>
      <c r="AG14" s="56">
        <v>2781</v>
      </c>
      <c r="AH14" s="56">
        <v>834</v>
      </c>
      <c r="AI14" s="56">
        <v>422</v>
      </c>
      <c r="AJ14" s="56">
        <v>1502</v>
      </c>
      <c r="AK14" s="56">
        <v>3193</v>
      </c>
      <c r="AL14" s="56">
        <v>2177</v>
      </c>
      <c r="AM14" s="56">
        <v>1017</v>
      </c>
      <c r="AN14" s="56">
        <v>12042</v>
      </c>
      <c r="AO14" s="56">
        <v>8305</v>
      </c>
      <c r="AP14" s="56">
        <v>1834</v>
      </c>
      <c r="AQ14" s="56">
        <v>5624</v>
      </c>
      <c r="AR14" s="56">
        <v>2819</v>
      </c>
      <c r="AS14" s="56">
        <v>2765</v>
      </c>
      <c r="AT14" s="56">
        <v>844</v>
      </c>
      <c r="AU14" s="56">
        <v>3754</v>
      </c>
      <c r="AV14" s="56">
        <v>1751</v>
      </c>
      <c r="AW14" s="56">
        <v>1090</v>
      </c>
      <c r="AX14" s="56">
        <v>912</v>
      </c>
    </row>
    <row r="15" spans="1:50">
      <c r="A15" s="66">
        <v>2005</v>
      </c>
      <c r="B15" s="56">
        <f t="shared" si="0"/>
        <v>1394239.7986514966</v>
      </c>
      <c r="C15" s="56">
        <f t="shared" si="1"/>
        <v>192937.65196748791</v>
      </c>
      <c r="D15" s="56">
        <f t="shared" si="10"/>
        <v>25733.285329570164</v>
      </c>
      <c r="E15" s="56">
        <f t="shared" si="2"/>
        <v>4859.1321989528806</v>
      </c>
      <c r="F15" s="56">
        <f t="shared" si="3"/>
        <v>10554.421389689402</v>
      </c>
      <c r="G15" s="56">
        <f t="shared" si="4"/>
        <v>4860.2535189239916</v>
      </c>
      <c r="H15" s="56">
        <f t="shared" si="5"/>
        <v>2359.4112615823237</v>
      </c>
      <c r="I15" s="56">
        <v>969</v>
      </c>
      <c r="J15" s="56">
        <v>436</v>
      </c>
      <c r="K15" s="56">
        <v>1688</v>
      </c>
      <c r="L15" s="56">
        <f t="shared" si="6"/>
        <v>3313.26975832789</v>
      </c>
      <c r="M15" s="56">
        <v>1986</v>
      </c>
      <c r="N15" s="56">
        <v>1006</v>
      </c>
      <c r="O15" s="56">
        <f t="shared" si="7"/>
        <v>10319.731740927882</v>
      </c>
      <c r="P15" s="56">
        <f t="shared" si="8"/>
        <v>6338.3805865027534</v>
      </c>
      <c r="Q15" s="56">
        <v>1812</v>
      </c>
      <c r="R15" s="56">
        <v>5886</v>
      </c>
      <c r="S15" s="56">
        <v>2834</v>
      </c>
      <c r="T15" s="56">
        <v>3002</v>
      </c>
      <c r="U15" s="56">
        <v>822</v>
      </c>
      <c r="V15" s="56">
        <f t="shared" si="9"/>
        <v>3999.1321711568939</v>
      </c>
      <c r="W15" s="56">
        <v>1644</v>
      </c>
      <c r="X15" s="56">
        <v>1114</v>
      </c>
      <c r="Y15" s="56">
        <v>895</v>
      </c>
      <c r="AA15" s="66">
        <v>2005</v>
      </c>
      <c r="AB15" s="56">
        <v>1158680</v>
      </c>
      <c r="AC15" s="56">
        <v>187901</v>
      </c>
      <c r="AD15" s="56">
        <v>6177</v>
      </c>
      <c r="AE15" s="56">
        <v>13694</v>
      </c>
      <c r="AF15" s="56">
        <v>7541</v>
      </c>
      <c r="AG15" s="56">
        <v>3117</v>
      </c>
      <c r="AH15" s="56">
        <v>969</v>
      </c>
      <c r="AI15" s="56">
        <v>436</v>
      </c>
      <c r="AJ15" s="56">
        <v>1688</v>
      </c>
      <c r="AK15" s="56">
        <v>2998</v>
      </c>
      <c r="AL15" s="56">
        <v>1986</v>
      </c>
      <c r="AM15" s="56">
        <v>1006</v>
      </c>
      <c r="AN15" s="56">
        <v>12115</v>
      </c>
      <c r="AO15" s="56">
        <v>8506</v>
      </c>
      <c r="AP15" s="56">
        <v>1812</v>
      </c>
      <c r="AQ15" s="56">
        <v>5886</v>
      </c>
      <c r="AR15" s="56">
        <v>2834</v>
      </c>
      <c r="AS15" s="56">
        <v>3002</v>
      </c>
      <c r="AT15" s="56">
        <v>822</v>
      </c>
      <c r="AU15" s="56">
        <v>3654</v>
      </c>
      <c r="AV15" s="56">
        <v>1644</v>
      </c>
      <c r="AW15" s="56">
        <v>1114</v>
      </c>
      <c r="AX15" s="56">
        <v>895</v>
      </c>
    </row>
    <row r="16" spans="1:50">
      <c r="A16" s="66">
        <v>2006</v>
      </c>
      <c r="B16" s="56">
        <f>B17*(1/AB33)</f>
        <v>1433615.3889191055</v>
      </c>
      <c r="C16" s="56">
        <f>C17*(1/AC33)</f>
        <v>190500.01733131878</v>
      </c>
      <c r="D16" s="56">
        <f t="shared" si="10"/>
        <v>24403.089741242198</v>
      </c>
      <c r="E16" s="56">
        <f t="shared" si="2"/>
        <v>4638.0837696335084</v>
      </c>
      <c r="F16" s="56">
        <f t="shared" si="3"/>
        <v>10490.450528338137</v>
      </c>
      <c r="G16" s="56">
        <f t="shared" si="4"/>
        <v>4712.6606193306225</v>
      </c>
      <c r="H16" s="56">
        <f>H17*(1/AG33)</f>
        <v>2358.6543121881682</v>
      </c>
      <c r="I16" s="56">
        <v>921</v>
      </c>
      <c r="J16" s="56">
        <v>451</v>
      </c>
      <c r="K16" s="56">
        <v>1708</v>
      </c>
      <c r="L16" s="56">
        <f t="shared" si="6"/>
        <v>3412.7341606792943</v>
      </c>
      <c r="M16" s="56">
        <v>2036</v>
      </c>
      <c r="N16" s="56">
        <v>1045</v>
      </c>
      <c r="O16" s="56">
        <f t="shared" si="7"/>
        <v>9274.5554432705558</v>
      </c>
      <c r="P16" s="56">
        <f t="shared" si="8"/>
        <v>5659.5345114611346</v>
      </c>
      <c r="Q16" s="56">
        <v>1696</v>
      </c>
      <c r="R16" s="56">
        <v>5109</v>
      </c>
      <c r="S16" s="56">
        <v>2330</v>
      </c>
      <c r="T16" s="56">
        <v>2714</v>
      </c>
      <c r="U16" s="56">
        <v>790</v>
      </c>
      <c r="V16" s="56">
        <f t="shared" si="9"/>
        <v>3637.9625990491281</v>
      </c>
      <c r="W16" s="56">
        <v>1544</v>
      </c>
      <c r="X16" s="56">
        <v>942</v>
      </c>
      <c r="Y16" s="56">
        <v>844</v>
      </c>
      <c r="AA16" s="66">
        <v>2006</v>
      </c>
      <c r="AB16" s="56">
        <v>1191403</v>
      </c>
      <c r="AC16" s="56">
        <v>185527</v>
      </c>
      <c r="AD16" s="56">
        <v>5896</v>
      </c>
      <c r="AE16" s="56">
        <v>13611</v>
      </c>
      <c r="AF16" s="56">
        <v>7312</v>
      </c>
      <c r="AG16" s="56">
        <v>3116</v>
      </c>
      <c r="AH16" s="56">
        <v>921</v>
      </c>
      <c r="AI16" s="56">
        <v>451</v>
      </c>
      <c r="AJ16" s="56">
        <v>1708</v>
      </c>
      <c r="AK16" s="56">
        <v>3088</v>
      </c>
      <c r="AL16" s="56">
        <v>2036</v>
      </c>
      <c r="AM16" s="56">
        <v>1045</v>
      </c>
      <c r="AN16" s="56">
        <v>10888</v>
      </c>
      <c r="AO16" s="56">
        <v>7595</v>
      </c>
      <c r="AP16" s="56">
        <v>1696</v>
      </c>
      <c r="AQ16" s="56">
        <v>5109</v>
      </c>
      <c r="AR16" s="56">
        <v>2330</v>
      </c>
      <c r="AS16" s="56">
        <v>2714</v>
      </c>
      <c r="AT16" s="56">
        <v>790</v>
      </c>
      <c r="AU16" s="56">
        <v>3324</v>
      </c>
      <c r="AV16" s="56">
        <v>1544</v>
      </c>
      <c r="AW16" s="56">
        <v>942</v>
      </c>
      <c r="AX16" s="56">
        <v>844</v>
      </c>
    </row>
    <row r="17" spans="1:50">
      <c r="A17" s="66">
        <v>2007</v>
      </c>
      <c r="B17" s="56">
        <f t="shared" ref="B17:B22" si="11">AB42</f>
        <v>1466800</v>
      </c>
      <c r="C17" s="56">
        <v>186209</v>
      </c>
      <c r="D17" s="56">
        <f t="shared" si="10"/>
        <v>23107</v>
      </c>
      <c r="E17" s="56">
        <f t="shared" ref="E17:H17" si="12">AD42</f>
        <v>4207</v>
      </c>
      <c r="F17" s="56">
        <f t="shared" si="12"/>
        <v>9628</v>
      </c>
      <c r="G17" s="56">
        <f t="shared" si="12"/>
        <v>4121</v>
      </c>
      <c r="H17" s="56">
        <f t="shared" si="12"/>
        <v>2124</v>
      </c>
      <c r="I17" s="56">
        <v>794</v>
      </c>
      <c r="J17" s="56">
        <v>436</v>
      </c>
      <c r="K17" s="56">
        <v>1528</v>
      </c>
      <c r="L17" s="56">
        <f>AK42</f>
        <v>3384</v>
      </c>
      <c r="M17" s="56">
        <v>2022</v>
      </c>
      <c r="N17" s="56">
        <v>1034</v>
      </c>
      <c r="O17" s="56">
        <f>AN42</f>
        <v>9272</v>
      </c>
      <c r="P17" s="56">
        <f>AO42</f>
        <v>5819</v>
      </c>
      <c r="Q17" s="56">
        <v>1775</v>
      </c>
      <c r="R17" s="56">
        <v>5261</v>
      </c>
      <c r="S17" s="56">
        <v>2538</v>
      </c>
      <c r="T17" s="56">
        <v>2675</v>
      </c>
      <c r="U17" s="56">
        <v>764</v>
      </c>
      <c r="V17" s="56">
        <f>AU42</f>
        <v>3453</v>
      </c>
      <c r="W17" s="56">
        <v>1491</v>
      </c>
      <c r="X17" s="56">
        <v>855</v>
      </c>
      <c r="Y17" s="56">
        <v>816</v>
      </c>
      <c r="AA17" s="66">
        <v>2007</v>
      </c>
      <c r="AB17" s="56">
        <v>1218981</v>
      </c>
      <c r="AC17" s="56">
        <v>181348</v>
      </c>
      <c r="AD17" s="56">
        <v>5348</v>
      </c>
      <c r="AE17" s="56">
        <v>12492</v>
      </c>
      <c r="AF17" s="56">
        <v>6394</v>
      </c>
      <c r="AG17" s="56">
        <v>2806</v>
      </c>
      <c r="AH17" s="56">
        <v>794</v>
      </c>
      <c r="AI17" s="56">
        <v>436</v>
      </c>
      <c r="AJ17" s="56">
        <v>1528</v>
      </c>
      <c r="AK17" s="56">
        <v>3062</v>
      </c>
      <c r="AL17" s="56">
        <v>2022</v>
      </c>
      <c r="AM17" s="56">
        <v>1034</v>
      </c>
      <c r="AN17" s="56">
        <v>10885</v>
      </c>
      <c r="AO17" s="56">
        <v>7809</v>
      </c>
      <c r="AP17" s="56">
        <v>1775</v>
      </c>
      <c r="AQ17" s="56">
        <v>5261</v>
      </c>
      <c r="AR17" s="56">
        <v>2538</v>
      </c>
      <c r="AS17" s="56">
        <v>2675</v>
      </c>
      <c r="AT17" s="56">
        <v>764</v>
      </c>
      <c r="AU17" s="56">
        <v>3155</v>
      </c>
      <c r="AV17" s="56">
        <v>1491</v>
      </c>
      <c r="AW17" s="56">
        <v>855</v>
      </c>
      <c r="AX17" s="56">
        <v>816</v>
      </c>
    </row>
    <row r="18" spans="1:50">
      <c r="A18" s="66">
        <v>2008</v>
      </c>
      <c r="B18" s="56">
        <f t="shared" si="11"/>
        <v>1482333</v>
      </c>
      <c r="C18" s="56">
        <v>176685</v>
      </c>
      <c r="D18" s="56">
        <f t="shared" si="10"/>
        <v>21223</v>
      </c>
      <c r="E18" s="56">
        <f t="shared" ref="E18:E22" si="13">AD43</f>
        <v>3944</v>
      </c>
      <c r="F18" s="56">
        <f t="shared" ref="F18:F22" si="14">AE43</f>
        <v>8649</v>
      </c>
      <c r="G18" s="56">
        <f t="shared" ref="G18:G22" si="15">AF43</f>
        <v>3676</v>
      </c>
      <c r="H18" s="56">
        <f t="shared" ref="H18:H22" si="16">AG43</f>
        <v>1831</v>
      </c>
      <c r="I18" s="56">
        <v>706</v>
      </c>
      <c r="J18" s="56">
        <v>403</v>
      </c>
      <c r="K18" s="56">
        <v>1047</v>
      </c>
      <c r="L18" s="56">
        <f t="shared" ref="L18:L22" si="17">AK43</f>
        <v>3138</v>
      </c>
      <c r="M18" s="56">
        <v>1934</v>
      </c>
      <c r="N18" s="56">
        <v>952</v>
      </c>
      <c r="O18" s="56">
        <f t="shared" ref="O18:P18" si="18">AN43</f>
        <v>8630</v>
      </c>
      <c r="P18" s="56">
        <f t="shared" si="18"/>
        <v>5354</v>
      </c>
      <c r="Q18" s="56">
        <v>1575</v>
      </c>
      <c r="R18" s="56">
        <v>4670</v>
      </c>
      <c r="S18" s="56">
        <v>2367</v>
      </c>
      <c r="T18" s="56">
        <v>2272</v>
      </c>
      <c r="U18" s="56">
        <v>798</v>
      </c>
      <c r="V18" s="56">
        <f t="shared" ref="V18:V22" si="19">AU43</f>
        <v>3276</v>
      </c>
      <c r="W18" s="56">
        <v>1377</v>
      </c>
      <c r="X18" s="56">
        <v>819</v>
      </c>
      <c r="Y18" s="56">
        <v>815</v>
      </c>
      <c r="AA18" s="66">
        <v>2008</v>
      </c>
      <c r="AB18" s="56">
        <v>1229787</v>
      </c>
      <c r="AC18" s="56">
        <v>171785</v>
      </c>
      <c r="AD18" s="56">
        <v>4876</v>
      </c>
      <c r="AE18" s="56">
        <v>11166</v>
      </c>
      <c r="AF18" s="56">
        <v>5686</v>
      </c>
      <c r="AG18" s="56">
        <v>2285</v>
      </c>
      <c r="AH18" s="56">
        <v>706</v>
      </c>
      <c r="AI18" s="56">
        <v>403</v>
      </c>
      <c r="AJ18" s="56">
        <v>1047</v>
      </c>
      <c r="AK18" s="56">
        <v>2886</v>
      </c>
      <c r="AL18" s="56">
        <v>1934</v>
      </c>
      <c r="AM18" s="56">
        <v>952</v>
      </c>
      <c r="AN18" s="56">
        <v>10000</v>
      </c>
      <c r="AO18" s="56">
        <v>7045</v>
      </c>
      <c r="AP18" s="56">
        <v>1575</v>
      </c>
      <c r="AQ18" s="56">
        <v>4670</v>
      </c>
      <c r="AR18" s="56">
        <v>2367</v>
      </c>
      <c r="AS18" s="56">
        <v>2272</v>
      </c>
      <c r="AT18" s="56">
        <v>798</v>
      </c>
      <c r="AU18" s="56">
        <v>2994</v>
      </c>
      <c r="AV18" s="56">
        <v>1377</v>
      </c>
      <c r="AW18" s="56">
        <v>819</v>
      </c>
      <c r="AX18" s="56">
        <v>815</v>
      </c>
    </row>
    <row r="19" spans="1:50">
      <c r="A19" s="66">
        <v>2009</v>
      </c>
      <c r="B19" s="56">
        <f t="shared" si="11"/>
        <v>1437361</v>
      </c>
      <c r="C19" s="56">
        <v>153170</v>
      </c>
      <c r="D19" s="56">
        <f t="shared" si="10"/>
        <v>17242</v>
      </c>
      <c r="E19" s="56">
        <f t="shared" si="13"/>
        <v>3029</v>
      </c>
      <c r="F19" s="56">
        <f t="shared" si="14"/>
        <v>7130</v>
      </c>
      <c r="G19" s="56">
        <f t="shared" si="15"/>
        <v>2956</v>
      </c>
      <c r="H19" s="56">
        <f t="shared" si="16"/>
        <v>1611</v>
      </c>
      <c r="I19" s="56">
        <v>550</v>
      </c>
      <c r="J19" s="56">
        <v>344</v>
      </c>
      <c r="K19" s="56">
        <v>1010</v>
      </c>
      <c r="L19" s="56">
        <f t="shared" si="17"/>
        <v>2559</v>
      </c>
      <c r="M19" s="56">
        <v>1619</v>
      </c>
      <c r="N19" s="56">
        <v>755</v>
      </c>
      <c r="O19" s="56">
        <f t="shared" ref="O19:P19" si="20">AN44</f>
        <v>7083</v>
      </c>
      <c r="P19" s="56">
        <f t="shared" si="20"/>
        <v>4026</v>
      </c>
      <c r="Q19" s="56">
        <v>1331</v>
      </c>
      <c r="R19" s="56">
        <v>3832</v>
      </c>
      <c r="S19" s="56">
        <v>2069</v>
      </c>
      <c r="T19" s="56">
        <v>1756</v>
      </c>
      <c r="U19" s="56">
        <v>649</v>
      </c>
      <c r="V19" s="56">
        <f t="shared" si="19"/>
        <v>3097</v>
      </c>
      <c r="W19" s="56">
        <v>1335</v>
      </c>
      <c r="X19" s="56">
        <v>901</v>
      </c>
      <c r="Y19" s="56">
        <v>737</v>
      </c>
      <c r="AA19" s="66">
        <v>2009</v>
      </c>
      <c r="AB19" s="56">
        <v>1193211</v>
      </c>
      <c r="AC19" s="56">
        <v>150431</v>
      </c>
      <c r="AD19" s="56">
        <v>4014</v>
      </c>
      <c r="AE19" s="56">
        <v>9334</v>
      </c>
      <c r="AF19" s="56">
        <v>4767</v>
      </c>
      <c r="AG19" s="56">
        <v>1982</v>
      </c>
      <c r="AH19" s="56">
        <v>550</v>
      </c>
      <c r="AI19" s="56">
        <v>344</v>
      </c>
      <c r="AJ19" s="56">
        <v>1010</v>
      </c>
      <c r="AK19" s="56">
        <v>2364</v>
      </c>
      <c r="AL19" s="56">
        <v>1619</v>
      </c>
      <c r="AM19" s="56">
        <v>755</v>
      </c>
      <c r="AN19" s="56">
        <v>8871</v>
      </c>
      <c r="AO19" s="56">
        <v>5826</v>
      </c>
      <c r="AP19" s="56">
        <v>1331</v>
      </c>
      <c r="AQ19" s="56">
        <v>3832</v>
      </c>
      <c r="AR19" s="56">
        <v>2069</v>
      </c>
      <c r="AS19" s="56">
        <v>1756</v>
      </c>
      <c r="AT19" s="56">
        <v>649</v>
      </c>
      <c r="AU19" s="56">
        <v>2968</v>
      </c>
      <c r="AV19" s="56">
        <v>1335</v>
      </c>
      <c r="AW19" s="56">
        <v>901</v>
      </c>
      <c r="AX19" s="56">
        <v>737</v>
      </c>
    </row>
    <row r="20" spans="1:50">
      <c r="A20" s="66">
        <v>2010</v>
      </c>
      <c r="B20" s="56">
        <f t="shared" si="11"/>
        <v>1486815</v>
      </c>
      <c r="C20" s="56">
        <v>162056</v>
      </c>
      <c r="D20" s="56">
        <f t="shared" si="10"/>
        <v>18526</v>
      </c>
      <c r="E20" s="56">
        <f t="shared" si="13"/>
        <v>3526</v>
      </c>
      <c r="F20" s="56">
        <f t="shared" si="14"/>
        <v>7843</v>
      </c>
      <c r="G20" s="56">
        <f t="shared" si="15"/>
        <v>3397</v>
      </c>
      <c r="H20" s="56">
        <f t="shared" si="16"/>
        <v>1823</v>
      </c>
      <c r="I20" s="56">
        <v>553</v>
      </c>
      <c r="J20" s="56">
        <v>440</v>
      </c>
      <c r="K20" s="56">
        <v>1107</v>
      </c>
      <c r="L20" s="56">
        <f t="shared" si="17"/>
        <v>2668</v>
      </c>
      <c r="M20" s="56">
        <v>1634</v>
      </c>
      <c r="N20" s="56">
        <v>823</v>
      </c>
      <c r="O20" s="56">
        <f t="shared" ref="O20:P20" si="21">AN45</f>
        <v>7157</v>
      </c>
      <c r="P20" s="56">
        <f t="shared" si="21"/>
        <v>4097</v>
      </c>
      <c r="Q20" s="56">
        <v>1449</v>
      </c>
      <c r="R20" s="56">
        <v>3782</v>
      </c>
      <c r="S20" s="56">
        <v>1899</v>
      </c>
      <c r="T20" s="56">
        <v>1856</v>
      </c>
      <c r="U20" s="56">
        <v>685</v>
      </c>
      <c r="V20" s="56">
        <f t="shared" si="19"/>
        <v>3083</v>
      </c>
      <c r="W20" s="56">
        <v>1368</v>
      </c>
      <c r="X20" s="56">
        <v>880</v>
      </c>
      <c r="Y20" s="56">
        <v>693</v>
      </c>
      <c r="AA20" s="66">
        <v>2010</v>
      </c>
      <c r="AB20" s="56">
        <v>1233930</v>
      </c>
      <c r="AC20" s="56">
        <v>158326</v>
      </c>
      <c r="AD20" s="56">
        <v>4737</v>
      </c>
      <c r="AE20" s="56">
        <v>10285</v>
      </c>
      <c r="AF20" s="56">
        <v>5480</v>
      </c>
      <c r="AG20" s="56">
        <v>2235</v>
      </c>
      <c r="AH20" s="56">
        <v>553</v>
      </c>
      <c r="AI20" s="56">
        <v>440</v>
      </c>
      <c r="AJ20" s="56">
        <v>1107</v>
      </c>
      <c r="AK20" s="56">
        <v>2461</v>
      </c>
      <c r="AL20" s="56">
        <v>1634</v>
      </c>
      <c r="AM20" s="56">
        <v>823</v>
      </c>
      <c r="AN20" s="56">
        <v>8978</v>
      </c>
      <c r="AO20" s="56">
        <v>5969</v>
      </c>
      <c r="AP20" s="56">
        <v>1449</v>
      </c>
      <c r="AQ20" s="56">
        <v>3782</v>
      </c>
      <c r="AR20" s="56">
        <v>1899</v>
      </c>
      <c r="AS20" s="56">
        <v>1856</v>
      </c>
      <c r="AT20" s="56">
        <v>685</v>
      </c>
      <c r="AU20" s="56">
        <v>2951</v>
      </c>
      <c r="AV20" s="56">
        <v>1368</v>
      </c>
      <c r="AW20" s="56">
        <v>880</v>
      </c>
      <c r="AX20" s="56">
        <v>693</v>
      </c>
    </row>
    <row r="21" spans="1:50">
      <c r="A21" s="66">
        <v>2011</v>
      </c>
      <c r="B21" s="56">
        <f>AB46</f>
        <v>1525279</v>
      </c>
      <c r="C21" s="56">
        <v>166131</v>
      </c>
      <c r="D21" s="56">
        <f t="shared" si="10"/>
        <v>18722</v>
      </c>
      <c r="E21" s="56">
        <f t="shared" si="13"/>
        <v>3847</v>
      </c>
      <c r="F21" s="56">
        <f t="shared" si="14"/>
        <v>7908</v>
      </c>
      <c r="G21" s="56">
        <f t="shared" si="15"/>
        <v>3448</v>
      </c>
      <c r="H21" s="56">
        <f t="shared" si="16"/>
        <v>1769</v>
      </c>
      <c r="I21" s="56">
        <v>629</v>
      </c>
      <c r="J21" s="56">
        <v>412</v>
      </c>
      <c r="K21" s="56">
        <v>1002</v>
      </c>
      <c r="L21" s="56">
        <f t="shared" si="17"/>
        <v>2731</v>
      </c>
      <c r="M21" s="56">
        <v>1536</v>
      </c>
      <c r="N21" s="56">
        <v>931</v>
      </c>
      <c r="O21" s="56">
        <f t="shared" ref="O21:P21" si="22">AN46</f>
        <v>6967</v>
      </c>
      <c r="P21" s="56">
        <f t="shared" si="22"/>
        <v>3931</v>
      </c>
      <c r="Q21" s="56">
        <v>1433</v>
      </c>
      <c r="R21" s="56">
        <v>3567</v>
      </c>
      <c r="S21" s="56">
        <v>1785</v>
      </c>
      <c r="T21" s="56">
        <v>1755</v>
      </c>
      <c r="U21" s="56">
        <v>676</v>
      </c>
      <c r="V21" s="56">
        <f t="shared" si="19"/>
        <v>3079</v>
      </c>
      <c r="W21" s="56">
        <v>1353</v>
      </c>
      <c r="X21" s="56">
        <v>916</v>
      </c>
      <c r="Y21" s="56">
        <v>663</v>
      </c>
      <c r="AA21" s="66">
        <v>2011</v>
      </c>
      <c r="AB21" s="56">
        <v>1266590</v>
      </c>
      <c r="AC21" s="56">
        <v>162143</v>
      </c>
      <c r="AD21" s="56">
        <v>5195</v>
      </c>
      <c r="AE21" s="56">
        <v>10373</v>
      </c>
      <c r="AF21" s="56">
        <v>5560</v>
      </c>
      <c r="AG21" s="56">
        <v>2185</v>
      </c>
      <c r="AH21" s="56">
        <v>629</v>
      </c>
      <c r="AI21" s="56">
        <v>412</v>
      </c>
      <c r="AJ21" s="56">
        <v>1002</v>
      </c>
      <c r="AK21" s="56">
        <v>2505</v>
      </c>
      <c r="AL21" s="56">
        <v>1536</v>
      </c>
      <c r="AM21" s="56">
        <v>931</v>
      </c>
      <c r="AN21" s="56">
        <v>8770</v>
      </c>
      <c r="AO21" s="56">
        <v>5743</v>
      </c>
      <c r="AP21" s="56">
        <v>1433</v>
      </c>
      <c r="AQ21" s="56">
        <v>3567</v>
      </c>
      <c r="AR21" s="56">
        <v>1785</v>
      </c>
      <c r="AS21" s="56">
        <v>1755</v>
      </c>
      <c r="AT21" s="56">
        <v>676</v>
      </c>
      <c r="AU21" s="56">
        <v>2947</v>
      </c>
      <c r="AV21" s="56">
        <v>1353</v>
      </c>
      <c r="AW21" s="56">
        <v>916</v>
      </c>
      <c r="AX21" s="56">
        <v>663</v>
      </c>
    </row>
    <row r="22" spans="1:50">
      <c r="A22" s="66">
        <v>2012</v>
      </c>
      <c r="B22" s="56">
        <f t="shared" si="11"/>
        <v>1552161</v>
      </c>
      <c r="C22" s="56">
        <v>169199</v>
      </c>
      <c r="D22" s="56">
        <f t="shared" si="10"/>
        <v>18600</v>
      </c>
      <c r="E22" s="56">
        <f t="shared" si="13"/>
        <v>3746</v>
      </c>
      <c r="F22" s="56">
        <f t="shared" si="14"/>
        <v>8214</v>
      </c>
      <c r="G22" s="56">
        <f t="shared" si="15"/>
        <v>3579</v>
      </c>
      <c r="H22" s="56">
        <f t="shared" si="16"/>
        <v>1858</v>
      </c>
      <c r="L22" s="56">
        <f t="shared" si="17"/>
        <v>2822</v>
      </c>
      <c r="O22" s="56">
        <f t="shared" ref="O22:P22" si="23">AN47</f>
        <v>6640</v>
      </c>
      <c r="P22" s="56">
        <f t="shared" si="23"/>
        <v>3584</v>
      </c>
      <c r="V22" s="56">
        <f t="shared" si="19"/>
        <v>3125</v>
      </c>
      <c r="AA22" s="270"/>
    </row>
    <row r="23" spans="1:50">
      <c r="A23" s="66"/>
      <c r="B23" s="57"/>
      <c r="C23" s="57"/>
      <c r="D23" s="57"/>
      <c r="E23" s="57"/>
      <c r="V23" s="56"/>
      <c r="AA23" s="289" t="s">
        <v>1826</v>
      </c>
    </row>
    <row r="24" spans="1:50">
      <c r="A24" s="132" t="s">
        <v>23</v>
      </c>
      <c r="AA24" s="290" t="s">
        <v>1837</v>
      </c>
      <c r="AB24" s="291">
        <f>(AB8/AB7)</f>
        <v>1.0387611213320151</v>
      </c>
      <c r="AC24" s="291">
        <f t="shared" ref="AC24" si="24">(AC8/AC7)</f>
        <v>1.0494878741822506</v>
      </c>
      <c r="AD24" s="291">
        <f t="shared" ref="AD24:AX24" si="25">(AD8/AD7)</f>
        <v>1.0142659005349712</v>
      </c>
      <c r="AE24" s="291">
        <f t="shared" si="25"/>
        <v>1.0511771858074499</v>
      </c>
      <c r="AF24" s="291">
        <f t="shared" si="25"/>
        <v>1.0591016548463357</v>
      </c>
      <c r="AG24" s="291">
        <f t="shared" si="25"/>
        <v>1.053421368547419</v>
      </c>
      <c r="AH24" s="291">
        <f t="shared" si="25"/>
        <v>0.96849087893864017</v>
      </c>
      <c r="AI24" s="291">
        <f t="shared" si="25"/>
        <v>1.0942408376963351</v>
      </c>
      <c r="AJ24" s="291">
        <f t="shared" si="25"/>
        <v>1.0981735159817352</v>
      </c>
      <c r="AK24" s="291">
        <f t="shared" si="25"/>
        <v>1.0204962243797195</v>
      </c>
      <c r="AL24" s="291">
        <f t="shared" si="25"/>
        <v>1.0398936170212767</v>
      </c>
      <c r="AM24" s="291">
        <f t="shared" si="25"/>
        <v>0.98637602179836514</v>
      </c>
      <c r="AN24" s="291">
        <f t="shared" si="25"/>
        <v>0.97432066486133162</v>
      </c>
      <c r="AO24" s="291">
        <f t="shared" si="25"/>
        <v>0.95366379310344829</v>
      </c>
      <c r="AP24" s="291">
        <f t="shared" si="25"/>
        <v>1.0177474402730375</v>
      </c>
      <c r="AQ24" s="291">
        <f t="shared" si="25"/>
        <v>0.93371815286624205</v>
      </c>
      <c r="AR24" s="291">
        <f t="shared" si="25"/>
        <v>0.9652173913043478</v>
      </c>
      <c r="AS24" s="291">
        <f t="shared" si="25"/>
        <v>0.91959798994974873</v>
      </c>
      <c r="AT24" s="291">
        <f t="shared" si="25"/>
        <v>0.96284501061571126</v>
      </c>
      <c r="AU24" s="291">
        <f t="shared" si="25"/>
        <v>1.0436532507739937</v>
      </c>
      <c r="AV24" s="291">
        <f t="shared" si="25"/>
        <v>0.96716899892357377</v>
      </c>
      <c r="AW24" s="291">
        <f t="shared" si="25"/>
        <v>1.1351766513056836</v>
      </c>
      <c r="AX24" s="291">
        <f t="shared" si="25"/>
        <v>1.1253333333333333</v>
      </c>
    </row>
    <row r="25" spans="1:50">
      <c r="A25" s="130" t="s">
        <v>2115</v>
      </c>
      <c r="B25" s="67">
        <f>((B22/B7)^(1/15)-1)*100</f>
        <v>2.5191125318271501</v>
      </c>
      <c r="C25" s="67"/>
      <c r="D25" s="67">
        <f>((D22/D7)^(1/15)-1)*100</f>
        <v>-0.50420167980131936</v>
      </c>
      <c r="E25" s="67">
        <f>((E22/E7)^(1/15)-1)*100</f>
        <v>-0.3868003176263457</v>
      </c>
      <c r="F25" s="67">
        <f>((F22/F7)^(1/15)-1)*100</f>
        <v>1.0981170193575807</v>
      </c>
      <c r="G25" s="67">
        <f>((G22/G7)^(1/15)-1)*100</f>
        <v>6.5230416049755213E-2</v>
      </c>
      <c r="H25" s="67">
        <f>((H22/H7)^(1/15)-1)*100</f>
        <v>2.6172230176522593</v>
      </c>
      <c r="I25" s="67" t="s">
        <v>22</v>
      </c>
      <c r="J25" s="67" t="s">
        <v>22</v>
      </c>
      <c r="K25" s="67" t="s">
        <v>22</v>
      </c>
      <c r="L25" s="67">
        <f>((L22/L7)^(1/15)-1)*100</f>
        <v>2.1570023681097394</v>
      </c>
      <c r="M25" s="67" t="s">
        <v>22</v>
      </c>
      <c r="N25" s="67" t="s">
        <v>22</v>
      </c>
      <c r="O25" s="67">
        <f>((O22/O7)^(1/15)-1)*100</f>
        <v>-2.0949835440565168</v>
      </c>
      <c r="P25" s="67">
        <f>((P22/P7)^(1/15)-1)*100</f>
        <v>-2.8524601882960687</v>
      </c>
      <c r="Q25" s="67" t="s">
        <v>22</v>
      </c>
      <c r="R25" s="67" t="s">
        <v>22</v>
      </c>
      <c r="S25" s="67" t="s">
        <v>22</v>
      </c>
      <c r="T25" s="67" t="s">
        <v>22</v>
      </c>
      <c r="U25" s="67" t="s">
        <v>22</v>
      </c>
      <c r="V25" s="67">
        <f>((V22/V7)^(1/15)-1)*100</f>
        <v>-0.81864917609022481</v>
      </c>
      <c r="W25" s="67" t="s">
        <v>22</v>
      </c>
      <c r="X25" s="67" t="s">
        <v>22</v>
      </c>
      <c r="Y25" s="67" t="s">
        <v>22</v>
      </c>
      <c r="AA25" s="290" t="s">
        <v>1827</v>
      </c>
      <c r="AB25" s="291">
        <f t="shared" ref="AB25:AB35" si="26">(AB9/AB8)</f>
        <v>1.0561694111322113</v>
      </c>
      <c r="AC25" s="291">
        <f t="shared" ref="AC25:AX25" si="27">(AC9/AC8)</f>
        <v>1.0825090197016729</v>
      </c>
      <c r="AD25" s="291">
        <f t="shared" si="27"/>
        <v>1.0357491697597188</v>
      </c>
      <c r="AE25" s="291">
        <f t="shared" si="27"/>
        <v>1.0745531019978969</v>
      </c>
      <c r="AF25" s="291">
        <f t="shared" si="27"/>
        <v>1.0218063186813187</v>
      </c>
      <c r="AG25" s="291">
        <f t="shared" si="27"/>
        <v>1.1595441595441596</v>
      </c>
      <c r="AH25" s="291">
        <f t="shared" si="27"/>
        <v>1.1660958904109588</v>
      </c>
      <c r="AI25" s="291">
        <f t="shared" si="27"/>
        <v>0.9856459330143541</v>
      </c>
      <c r="AJ25" s="291">
        <f t="shared" si="27"/>
        <v>1.1798336798336799</v>
      </c>
      <c r="AK25" s="291">
        <f t="shared" si="27"/>
        <v>1.1580338266384778</v>
      </c>
      <c r="AL25" s="291">
        <f t="shared" si="27"/>
        <v>1.2054560954816709</v>
      </c>
      <c r="AM25" s="291">
        <f t="shared" si="27"/>
        <v>1.0745856353591161</v>
      </c>
      <c r="AN25" s="291">
        <f t="shared" si="27"/>
        <v>1.0991949396204714</v>
      </c>
      <c r="AO25" s="291">
        <f t="shared" si="27"/>
        <v>1.1364406779661016</v>
      </c>
      <c r="AP25" s="291">
        <f t="shared" si="27"/>
        <v>1.1891348088531186</v>
      </c>
      <c r="AQ25" s="291">
        <f t="shared" si="27"/>
        <v>1.105734384992539</v>
      </c>
      <c r="AR25" s="291">
        <f t="shared" si="27"/>
        <v>1.0332207207207207</v>
      </c>
      <c r="AS25" s="291">
        <f t="shared" si="27"/>
        <v>1.1410519125683061</v>
      </c>
      <c r="AT25" s="291">
        <f t="shared" si="27"/>
        <v>1.2194046306504962</v>
      </c>
      <c r="AU25" s="291">
        <f t="shared" si="27"/>
        <v>0.99436369029961436</v>
      </c>
      <c r="AV25" s="291">
        <f t="shared" si="27"/>
        <v>0.94045631608235947</v>
      </c>
      <c r="AW25" s="291">
        <f t="shared" si="27"/>
        <v>1.0879566982408659</v>
      </c>
      <c r="AX25" s="291">
        <f t="shared" si="27"/>
        <v>1.0165876777251184</v>
      </c>
    </row>
    <row r="26" spans="1:50">
      <c r="A26" s="64" t="s">
        <v>663</v>
      </c>
      <c r="B26" s="65">
        <f>((B10/B7)^(1/3)-1)*100</f>
        <v>4.9348753263834144</v>
      </c>
      <c r="C26" s="65"/>
      <c r="D26" s="65">
        <f>((D10/D7)^(1/3)-1)*100</f>
        <v>5.1033257162550694</v>
      </c>
      <c r="E26" s="65">
        <f t="shared" ref="E26:Y26" si="28">((E10/E7)^(1/3)-1)*100</f>
        <v>3.7233290315456413</v>
      </c>
      <c r="F26" s="65">
        <f t="shared" si="28"/>
        <v>7.8018480399869139</v>
      </c>
      <c r="G26" s="65">
        <f t="shared" si="28"/>
        <v>5.9384787263468963</v>
      </c>
      <c r="H26" s="65">
        <f t="shared" si="28"/>
        <v>9.3438327377682651</v>
      </c>
      <c r="I26" s="65">
        <f t="shared" si="28"/>
        <v>8.9579934734813627</v>
      </c>
      <c r="J26" s="65">
        <f t="shared" si="28"/>
        <v>5.7689900130873939</v>
      </c>
      <c r="K26" s="65">
        <f t="shared" si="28"/>
        <v>10.221073192237862</v>
      </c>
      <c r="L26" s="65">
        <f t="shared" si="28"/>
        <v>12.175495769070377</v>
      </c>
      <c r="M26" s="65">
        <f t="shared" si="28"/>
        <v>14.471424255333186</v>
      </c>
      <c r="N26" s="65">
        <f t="shared" si="28"/>
        <v>8.0144580452915051</v>
      </c>
      <c r="O26" s="65">
        <f t="shared" si="28"/>
        <v>3.5573273456029009</v>
      </c>
      <c r="P26" s="65">
        <f t="shared" si="28"/>
        <v>4.7705914884410117</v>
      </c>
      <c r="Q26" s="65">
        <f t="shared" si="28"/>
        <v>8.0296801497747197</v>
      </c>
      <c r="R26" s="65">
        <f t="shared" si="28"/>
        <v>4.0409807528169361</v>
      </c>
      <c r="S26" s="65">
        <f t="shared" si="28"/>
        <v>4.9172834368672147</v>
      </c>
      <c r="T26" s="65">
        <f t="shared" si="28"/>
        <v>3.5375367940069458</v>
      </c>
      <c r="U26" s="65">
        <f t="shared" si="28"/>
        <v>3.3540450996330629</v>
      </c>
      <c r="V26" s="65">
        <f t="shared" si="28"/>
        <v>-6.195788451039963E-2</v>
      </c>
      <c r="W26" s="65">
        <f t="shared" si="28"/>
        <v>-4.4663359093443873</v>
      </c>
      <c r="X26" s="65">
        <f t="shared" si="28"/>
        <v>6.1205607440001364</v>
      </c>
      <c r="Y26" s="65">
        <f t="shared" si="28"/>
        <v>3.3113608039275988</v>
      </c>
      <c r="AA26" s="290" t="s">
        <v>1828</v>
      </c>
      <c r="AB26" s="291">
        <f t="shared" si="26"/>
        <v>1.0531986186441982</v>
      </c>
      <c r="AC26" s="291">
        <f t="shared" ref="AC26:AX26" si="29">(AC10/AC9)</f>
        <v>1.0988931091244336</v>
      </c>
      <c r="AD26" s="291">
        <f t="shared" si="29"/>
        <v>1.0622406639004149</v>
      </c>
      <c r="AE26" s="291">
        <f t="shared" si="29"/>
        <v>1.1091104804775418</v>
      </c>
      <c r="AF26" s="291">
        <f t="shared" si="29"/>
        <v>1.0986388842211392</v>
      </c>
      <c r="AG26" s="291">
        <f t="shared" si="29"/>
        <v>1.0702702702702702</v>
      </c>
      <c r="AH26" s="291">
        <f t="shared" si="29"/>
        <v>1.1453744493392071</v>
      </c>
      <c r="AI26" s="291">
        <f t="shared" si="29"/>
        <v>1.0970873786407767</v>
      </c>
      <c r="AJ26" s="291">
        <f t="shared" si="29"/>
        <v>1.0334801762114538</v>
      </c>
      <c r="AK26" s="291">
        <f t="shared" si="29"/>
        <v>1.1944317663167503</v>
      </c>
      <c r="AL26" s="291">
        <f t="shared" si="29"/>
        <v>1.1966053748231966</v>
      </c>
      <c r="AM26" s="291">
        <f t="shared" si="29"/>
        <v>1.1889460154241644</v>
      </c>
      <c r="AN26" s="291">
        <f t="shared" si="29"/>
        <v>1.0369692213793704</v>
      </c>
      <c r="AO26" s="291">
        <f t="shared" si="29"/>
        <v>1.0611483967188666</v>
      </c>
      <c r="AP26" s="291">
        <f t="shared" si="29"/>
        <v>1.041737168640722</v>
      </c>
      <c r="AQ26" s="291">
        <f t="shared" si="29"/>
        <v>1.0908039329091961</v>
      </c>
      <c r="AR26" s="291">
        <f t="shared" si="29"/>
        <v>1.1580381471389645</v>
      </c>
      <c r="AS26" s="291">
        <f t="shared" si="29"/>
        <v>1.0577671355881473</v>
      </c>
      <c r="AT26" s="291">
        <f t="shared" si="29"/>
        <v>0.94032549728752257</v>
      </c>
      <c r="AU26" s="291">
        <f t="shared" si="29"/>
        <v>0.96181384248210022</v>
      </c>
      <c r="AV26" s="291">
        <f t="shared" si="29"/>
        <v>0.95857988165680474</v>
      </c>
      <c r="AW26" s="291">
        <f t="shared" si="29"/>
        <v>0.96766169154228854</v>
      </c>
      <c r="AX26" s="291">
        <f t="shared" si="29"/>
        <v>0.96386946386946382</v>
      </c>
    </row>
    <row r="27" spans="1:50">
      <c r="A27" s="64" t="s">
        <v>2116</v>
      </c>
      <c r="B27" s="65">
        <f>((B20/B10)^(1/10)-1)*100</f>
        <v>1.8739905528843748</v>
      </c>
      <c r="C27" s="65"/>
      <c r="D27" s="65">
        <f>((D20/D10)^(1/10)-1)*100</f>
        <v>-2.2652411909826586</v>
      </c>
      <c r="E27" s="65">
        <f t="shared" ref="E27:Y27" si="30">((E20/E10)^(1/10)-1)*100</f>
        <v>-2.2574073025262154</v>
      </c>
      <c r="F27" s="65">
        <f t="shared" si="30"/>
        <v>-1.0719405669888604</v>
      </c>
      <c r="G27" s="65">
        <f t="shared" si="30"/>
        <v>-2.1316954395769527</v>
      </c>
      <c r="H27" s="65">
        <f t="shared" si="30"/>
        <v>1.0104241515403123</v>
      </c>
      <c r="I27" s="65">
        <f t="shared" si="30"/>
        <v>-3.3808855138265703</v>
      </c>
      <c r="J27" s="65">
        <f t="shared" si="30"/>
        <v>6.8893469539311969</v>
      </c>
      <c r="K27" s="65">
        <f t="shared" si="30"/>
        <v>-0.57743555458045215</v>
      </c>
      <c r="L27" s="65">
        <f t="shared" si="30"/>
        <v>-0.80364972932090994</v>
      </c>
      <c r="M27" s="65">
        <f t="shared" si="30"/>
        <v>-0.34819503768611648</v>
      </c>
      <c r="N27" s="65">
        <f t="shared" si="30"/>
        <v>-1.1615763683883173</v>
      </c>
      <c r="O27" s="65">
        <f t="shared" si="30"/>
        <v>-3.4150496547340481</v>
      </c>
      <c r="P27" s="65">
        <f t="shared" si="30"/>
        <v>-4.3057841769716054</v>
      </c>
      <c r="Q27" s="65">
        <f t="shared" si="30"/>
        <v>-2.3976781873395359</v>
      </c>
      <c r="R27" s="65">
        <f t="shared" si="30"/>
        <v>-3.948122539441079</v>
      </c>
      <c r="S27" s="65">
        <f t="shared" si="30"/>
        <v>-1.118145466051168</v>
      </c>
      <c r="T27" s="65">
        <f t="shared" si="30"/>
        <v>-6.2370759357267547</v>
      </c>
      <c r="U27" s="65">
        <f t="shared" si="30"/>
        <v>-4.0895953681963633</v>
      </c>
      <c r="V27" s="65">
        <f t="shared" si="30"/>
        <v>-1.3406777556643656</v>
      </c>
      <c r="W27" s="65">
        <f t="shared" si="30"/>
        <v>-1.6765501142637196</v>
      </c>
      <c r="X27" s="65">
        <f t="shared" si="30"/>
        <v>1.2395736428674642</v>
      </c>
      <c r="Y27" s="65">
        <f t="shared" si="30"/>
        <v>-1.7522139744173271</v>
      </c>
      <c r="AA27" s="290" t="s">
        <v>1829</v>
      </c>
      <c r="AB27" s="291">
        <f t="shared" si="26"/>
        <v>1.0143250812186599</v>
      </c>
      <c r="AC27" s="291">
        <f t="shared" ref="AC27:AX27" si="31">(AC11/AC10)</f>
        <v>0.95849675797274048</v>
      </c>
      <c r="AD27" s="291">
        <f t="shared" si="31"/>
        <v>1.0078125</v>
      </c>
      <c r="AE27" s="291">
        <f t="shared" si="31"/>
        <v>0.95597317804835014</v>
      </c>
      <c r="AF27" s="291">
        <f t="shared" si="31"/>
        <v>0.92046497399816463</v>
      </c>
      <c r="AG27" s="291">
        <f t="shared" si="31"/>
        <v>0.99724517906336085</v>
      </c>
      <c r="AH27" s="291">
        <f t="shared" si="31"/>
        <v>0.98974358974358978</v>
      </c>
      <c r="AI27" s="291">
        <f t="shared" si="31"/>
        <v>1.1460176991150441</v>
      </c>
      <c r="AJ27" s="291">
        <f t="shared" si="31"/>
        <v>0.97527706734867858</v>
      </c>
      <c r="AK27" s="291">
        <f t="shared" si="31"/>
        <v>1.0099350401222775</v>
      </c>
      <c r="AL27" s="291">
        <f t="shared" si="31"/>
        <v>1.0295508274231679</v>
      </c>
      <c r="AM27" s="291">
        <f t="shared" si="31"/>
        <v>0.9740540540540541</v>
      </c>
      <c r="AN27" s="291">
        <f t="shared" si="31"/>
        <v>0.94971832170184145</v>
      </c>
      <c r="AO27" s="291">
        <f t="shared" si="31"/>
        <v>0.90618411806043575</v>
      </c>
      <c r="AP27" s="291">
        <f t="shared" si="31"/>
        <v>0.95127233351380613</v>
      </c>
      <c r="AQ27" s="291">
        <f t="shared" si="31"/>
        <v>0.88176033934252385</v>
      </c>
      <c r="AR27" s="291">
        <f t="shared" si="31"/>
        <v>0.88235294117647056</v>
      </c>
      <c r="AS27" s="291">
        <f t="shared" si="31"/>
        <v>0.88172043010752688</v>
      </c>
      <c r="AT27" s="291">
        <f t="shared" si="31"/>
        <v>0.97019230769230769</v>
      </c>
      <c r="AU27" s="291">
        <f t="shared" si="31"/>
        <v>1.1032878411910669</v>
      </c>
      <c r="AV27" s="291">
        <f t="shared" si="31"/>
        <v>1.0641975308641975</v>
      </c>
      <c r="AW27" s="291">
        <f t="shared" si="31"/>
        <v>1.2969151670951158</v>
      </c>
      <c r="AX27" s="291">
        <f t="shared" si="31"/>
        <v>0.99879081015719473</v>
      </c>
    </row>
    <row r="28" spans="1:50">
      <c r="B28" s="65"/>
      <c r="C28" s="65"/>
      <c r="D28" s="65"/>
      <c r="E28" s="65"/>
      <c r="F28" s="65"/>
      <c r="G28" s="65"/>
      <c r="H28" s="65"/>
      <c r="I28" s="65"/>
      <c r="J28" s="65"/>
      <c r="K28" s="65"/>
      <c r="L28" s="65"/>
      <c r="M28" s="65"/>
      <c r="N28" s="65"/>
      <c r="O28" s="65"/>
      <c r="P28" s="65"/>
      <c r="Q28" s="65"/>
      <c r="R28" s="65"/>
      <c r="S28" s="65"/>
      <c r="T28" s="65"/>
      <c r="U28" s="65"/>
      <c r="V28" s="65"/>
      <c r="W28" s="65"/>
      <c r="X28" s="65"/>
      <c r="Y28" s="65"/>
      <c r="AA28" s="290" t="s">
        <v>1830</v>
      </c>
      <c r="AB28" s="291">
        <f t="shared" si="26"/>
        <v>1.0267276882595877</v>
      </c>
      <c r="AC28" s="291">
        <f t="shared" ref="AC28:AX28" si="32">(AC12/AC11)</f>
        <v>1.0091228380199244</v>
      </c>
      <c r="AD28" s="291">
        <f t="shared" si="32"/>
        <v>1.038231148696265</v>
      </c>
      <c r="AE28" s="291">
        <f t="shared" si="32"/>
        <v>1.1148131056760497</v>
      </c>
      <c r="AF28" s="291">
        <f t="shared" si="32"/>
        <v>1.1088401462279827</v>
      </c>
      <c r="AG28" s="291">
        <f t="shared" si="32"/>
        <v>1.1500920810313076</v>
      </c>
      <c r="AH28" s="291">
        <f t="shared" si="32"/>
        <v>1.1398963730569949</v>
      </c>
      <c r="AI28" s="291">
        <f t="shared" si="32"/>
        <v>1.3667953667953667</v>
      </c>
      <c r="AJ28" s="291">
        <f t="shared" si="32"/>
        <v>1.1048951048951048</v>
      </c>
      <c r="AK28" s="291">
        <f t="shared" si="32"/>
        <v>1.100264850548619</v>
      </c>
      <c r="AL28" s="291">
        <f t="shared" si="32"/>
        <v>1.1423650975889781</v>
      </c>
      <c r="AM28" s="291">
        <f t="shared" si="32"/>
        <v>1.0199778024417314</v>
      </c>
      <c r="AN28" s="291">
        <f t="shared" si="32"/>
        <v>1.0504648074369189</v>
      </c>
      <c r="AO28" s="291">
        <f t="shared" si="32"/>
        <v>1.0487268967299987</v>
      </c>
      <c r="AP28" s="291">
        <f t="shared" si="32"/>
        <v>1.0233352305065453</v>
      </c>
      <c r="AQ28" s="291">
        <f t="shared" si="32"/>
        <v>1.0803768290238525</v>
      </c>
      <c r="AR28" s="291">
        <f t="shared" si="32"/>
        <v>1.0741333333333334</v>
      </c>
      <c r="AS28" s="291">
        <f t="shared" si="32"/>
        <v>1.0834403080872914</v>
      </c>
      <c r="AT28" s="291">
        <f t="shared" si="32"/>
        <v>0.9177403369672944</v>
      </c>
      <c r="AU28" s="291">
        <f t="shared" si="32"/>
        <v>1.0545403429856621</v>
      </c>
      <c r="AV28" s="291">
        <f t="shared" si="32"/>
        <v>0.99767981438515085</v>
      </c>
      <c r="AW28" s="291">
        <f t="shared" si="32"/>
        <v>1.1050545094152626</v>
      </c>
      <c r="AX28" s="291">
        <f t="shared" si="32"/>
        <v>1.1089588377723971</v>
      </c>
    </row>
    <row r="29" spans="1:50">
      <c r="A29" s="137" t="s">
        <v>1864</v>
      </c>
      <c r="B29" s="137"/>
      <c r="C29" s="137"/>
      <c r="D29" s="137"/>
      <c r="E29" s="137"/>
      <c r="F29" s="137"/>
      <c r="G29" s="137"/>
      <c r="H29" s="137"/>
      <c r="I29" s="137"/>
      <c r="J29" s="137"/>
      <c r="K29" s="137"/>
      <c r="L29" s="137"/>
      <c r="M29" s="137"/>
      <c r="N29" s="137"/>
      <c r="O29" s="137"/>
      <c r="P29" s="137"/>
      <c r="Q29" s="137"/>
      <c r="R29" s="137"/>
      <c r="S29" s="137"/>
      <c r="T29" s="137"/>
      <c r="U29" s="137"/>
      <c r="V29" s="137"/>
      <c r="W29" s="137"/>
      <c r="X29" s="137"/>
      <c r="Y29" s="137"/>
      <c r="AA29" s="290" t="s">
        <v>1831</v>
      </c>
      <c r="AB29" s="291">
        <f t="shared" si="26"/>
        <v>1.0211580656177925</v>
      </c>
      <c r="AC29" s="291">
        <f t="shared" ref="AC29:AX29" si="33">(AC13/AC12)</f>
        <v>0.99240981525260485</v>
      </c>
      <c r="AD29" s="291">
        <f t="shared" si="33"/>
        <v>0.97675207873748515</v>
      </c>
      <c r="AE29" s="291">
        <f t="shared" si="33"/>
        <v>1.0126666114744598</v>
      </c>
      <c r="AF29" s="291">
        <f t="shared" si="33"/>
        <v>0.99010939607372994</v>
      </c>
      <c r="AG29" s="291">
        <f t="shared" si="33"/>
        <v>1.0520416333066454</v>
      </c>
      <c r="AH29" s="291">
        <f t="shared" si="33"/>
        <v>0.92840909090909096</v>
      </c>
      <c r="AI29" s="291">
        <f t="shared" si="33"/>
        <v>1.1299435028248588</v>
      </c>
      <c r="AJ29" s="291">
        <f t="shared" si="33"/>
        <v>1.1068037974683544</v>
      </c>
      <c r="AK29" s="291">
        <f t="shared" si="33"/>
        <v>1.0213204951856947</v>
      </c>
      <c r="AL29" s="291">
        <f t="shared" si="33"/>
        <v>1.0020100502512563</v>
      </c>
      <c r="AM29" s="291">
        <f t="shared" si="33"/>
        <v>1.0609357997823721</v>
      </c>
      <c r="AN29" s="291">
        <f t="shared" si="33"/>
        <v>1.0037926675094817</v>
      </c>
      <c r="AO29" s="291">
        <f t="shared" si="33"/>
        <v>0.99334483608577762</v>
      </c>
      <c r="AP29" s="291">
        <f t="shared" si="33"/>
        <v>0.94327030033370407</v>
      </c>
      <c r="AQ29" s="291">
        <f t="shared" si="33"/>
        <v>1.02430426716141</v>
      </c>
      <c r="AR29" s="291">
        <f t="shared" si="33"/>
        <v>1.3063555114200596</v>
      </c>
      <c r="AS29" s="291">
        <f t="shared" si="33"/>
        <v>0.84715639810426535</v>
      </c>
      <c r="AT29" s="291">
        <f t="shared" si="33"/>
        <v>0.9244060475161987</v>
      </c>
      <c r="AU29" s="291">
        <f t="shared" si="33"/>
        <v>1.0250599840042656</v>
      </c>
      <c r="AV29" s="291">
        <f t="shared" si="33"/>
        <v>1.0354651162790698</v>
      </c>
      <c r="AW29" s="291">
        <f t="shared" si="33"/>
        <v>1.0161434977578476</v>
      </c>
      <c r="AX29" s="291">
        <f t="shared" si="33"/>
        <v>1.0163755458515285</v>
      </c>
    </row>
    <row r="30" spans="1:50">
      <c r="A30" s="137"/>
      <c r="B30" s="137"/>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AA30" s="59" t="s">
        <v>1832</v>
      </c>
      <c r="AB30" s="291">
        <f t="shared" si="26"/>
        <v>1.0308060085506581</v>
      </c>
      <c r="AC30" s="291">
        <f t="shared" ref="AC30:AX30" si="34">(AC14/AC13)</f>
        <v>1.0191068051105878</v>
      </c>
      <c r="AD30" s="291">
        <f t="shared" si="34"/>
        <v>1.0670604586518415</v>
      </c>
      <c r="AE30" s="291">
        <f t="shared" si="34"/>
        <v>1.0455362982341401</v>
      </c>
      <c r="AF30" s="291">
        <f t="shared" si="34"/>
        <v>1.0237626759497502</v>
      </c>
      <c r="AG30" s="291">
        <f t="shared" si="34"/>
        <v>1.0582191780821917</v>
      </c>
      <c r="AH30" s="291">
        <f t="shared" si="34"/>
        <v>1.0208078335373316</v>
      </c>
      <c r="AI30" s="291">
        <f t="shared" si="34"/>
        <v>1.0549999999999999</v>
      </c>
      <c r="AJ30" s="291">
        <f t="shared" si="34"/>
        <v>1.0736240171551108</v>
      </c>
      <c r="AK30" s="291">
        <f t="shared" si="34"/>
        <v>1.0750841750841751</v>
      </c>
      <c r="AL30" s="291">
        <f t="shared" si="34"/>
        <v>1.0917753259779337</v>
      </c>
      <c r="AM30" s="291">
        <f t="shared" si="34"/>
        <v>1.043076923076923</v>
      </c>
      <c r="AN30" s="291">
        <f t="shared" si="34"/>
        <v>1.0110831234256927</v>
      </c>
      <c r="AO30" s="291">
        <f t="shared" si="34"/>
        <v>1.0303970223325063</v>
      </c>
      <c r="AP30" s="291">
        <f t="shared" si="34"/>
        <v>1.0813679245283019</v>
      </c>
      <c r="AQ30" s="291">
        <f t="shared" si="34"/>
        <v>1.0186560405723601</v>
      </c>
      <c r="AR30" s="291">
        <f t="shared" si="34"/>
        <v>1.0714557202584569</v>
      </c>
      <c r="AS30" s="291">
        <f t="shared" si="34"/>
        <v>0.96678321678321677</v>
      </c>
      <c r="AT30" s="291">
        <f t="shared" si="34"/>
        <v>0.98598130841121501</v>
      </c>
      <c r="AU30" s="291">
        <f t="shared" si="34"/>
        <v>0.97633289986996097</v>
      </c>
      <c r="AV30" s="291">
        <f t="shared" si="34"/>
        <v>0.98315553060078609</v>
      </c>
      <c r="AW30" s="291">
        <f t="shared" si="34"/>
        <v>0.9620476610767873</v>
      </c>
      <c r="AX30" s="291">
        <f t="shared" si="34"/>
        <v>0.97959183673469385</v>
      </c>
    </row>
    <row r="31" spans="1:50">
      <c r="A31" s="137" t="s">
        <v>193</v>
      </c>
      <c r="B31" s="137"/>
      <c r="C31" s="137"/>
      <c r="D31" s="137"/>
      <c r="E31" s="137"/>
      <c r="F31" s="137"/>
      <c r="G31" s="137"/>
      <c r="H31" s="137"/>
      <c r="I31" s="137"/>
      <c r="J31" s="137"/>
      <c r="K31" s="137"/>
      <c r="L31" s="137"/>
      <c r="M31" s="137"/>
      <c r="N31" s="137"/>
      <c r="O31" s="137"/>
      <c r="P31" s="137"/>
      <c r="Q31" s="137"/>
      <c r="R31" s="137"/>
      <c r="S31" s="137"/>
      <c r="T31" s="137"/>
      <c r="U31" s="137"/>
      <c r="V31" s="137"/>
      <c r="W31" s="137"/>
      <c r="X31" s="137"/>
      <c r="Y31" s="137"/>
      <c r="AA31" s="59" t="s">
        <v>1833</v>
      </c>
      <c r="AB31" s="291">
        <f t="shared" si="26"/>
        <v>1.0299386932788386</v>
      </c>
      <c r="AC31" s="291">
        <f t="shared" ref="AC31:AX31" si="35">(AC15/AC14)</f>
        <v>1.0167032800545412</v>
      </c>
      <c r="AD31" s="291">
        <f t="shared" si="35"/>
        <v>1.0056984695538913</v>
      </c>
      <c r="AE31" s="291">
        <f t="shared" si="35"/>
        <v>1.0707639377590117</v>
      </c>
      <c r="AF31" s="291">
        <f t="shared" si="35"/>
        <v>1.1148728562980486</v>
      </c>
      <c r="AG31" s="291">
        <f t="shared" si="35"/>
        <v>1.1208198489751888</v>
      </c>
      <c r="AH31" s="291">
        <f t="shared" si="35"/>
        <v>1.1618705035971224</v>
      </c>
      <c r="AI31" s="291">
        <f t="shared" si="35"/>
        <v>1.033175355450237</v>
      </c>
      <c r="AJ31" s="291">
        <f t="shared" si="35"/>
        <v>1.1238348868175765</v>
      </c>
      <c r="AK31" s="291">
        <f t="shared" si="35"/>
        <v>0.93892890698402753</v>
      </c>
      <c r="AL31" s="291">
        <f t="shared" si="35"/>
        <v>0.91226458429030777</v>
      </c>
      <c r="AM31" s="291">
        <f t="shared" si="35"/>
        <v>0.98918387413962638</v>
      </c>
      <c r="AN31" s="291">
        <f t="shared" si="35"/>
        <v>1.0060621159275869</v>
      </c>
      <c r="AO31" s="291">
        <f t="shared" si="35"/>
        <v>1.0242022877784467</v>
      </c>
      <c r="AP31" s="291">
        <f t="shared" si="35"/>
        <v>0.98800436205016362</v>
      </c>
      <c r="AQ31" s="291">
        <f t="shared" si="35"/>
        <v>1.0465860597439545</v>
      </c>
      <c r="AR31" s="291">
        <f t="shared" si="35"/>
        <v>1.005321035828308</v>
      </c>
      <c r="AS31" s="291">
        <f t="shared" si="35"/>
        <v>1.0857142857142856</v>
      </c>
      <c r="AT31" s="291">
        <f t="shared" si="35"/>
        <v>0.97393364928909953</v>
      </c>
      <c r="AU31" s="291">
        <f t="shared" si="35"/>
        <v>0.97336174746936599</v>
      </c>
      <c r="AV31" s="291">
        <f t="shared" si="35"/>
        <v>0.9388920616790406</v>
      </c>
      <c r="AW31" s="291">
        <f t="shared" si="35"/>
        <v>1.0220183486238532</v>
      </c>
      <c r="AX31" s="291">
        <f t="shared" si="35"/>
        <v>0.98135964912280704</v>
      </c>
    </row>
    <row r="32" spans="1:50">
      <c r="A32" s="232" t="s">
        <v>1020</v>
      </c>
      <c r="B32" s="232"/>
      <c r="C32" s="232"/>
      <c r="D32" s="232"/>
      <c r="E32" s="232"/>
      <c r="F32" s="232"/>
      <c r="G32" s="232"/>
      <c r="H32" s="232"/>
      <c r="I32" s="232"/>
      <c r="J32" s="232"/>
      <c r="K32" s="232"/>
      <c r="L32" s="232"/>
      <c r="M32" s="232"/>
      <c r="N32" s="232"/>
      <c r="O32" s="232"/>
      <c r="P32" s="232"/>
      <c r="Q32" s="232"/>
      <c r="R32" s="232"/>
      <c r="S32" s="232"/>
      <c r="T32" s="232"/>
      <c r="U32" s="232"/>
      <c r="V32" s="232"/>
      <c r="W32" s="232"/>
      <c r="X32" s="232"/>
      <c r="Y32" s="232"/>
      <c r="Z32" s="130"/>
      <c r="AA32" s="59" t="s">
        <v>1834</v>
      </c>
      <c r="AB32" s="291">
        <f t="shared" si="26"/>
        <v>1.0282416197742259</v>
      </c>
      <c r="AC32" s="291">
        <f t="shared" ref="AC32" si="36">(AC16/AC15)</f>
        <v>0.98736568725020091</v>
      </c>
      <c r="AD32" s="291">
        <f t="shared" ref="AD32:AX32" si="37">(AD16/AD15)</f>
        <v>0.95450866116237654</v>
      </c>
      <c r="AE32" s="291">
        <f t="shared" si="37"/>
        <v>0.99393895136556154</v>
      </c>
      <c r="AF32" s="291">
        <f t="shared" si="37"/>
        <v>0.96963267471157666</v>
      </c>
      <c r="AG32" s="291">
        <f t="shared" si="37"/>
        <v>0.99967917869746548</v>
      </c>
      <c r="AH32" s="291">
        <f t="shared" si="37"/>
        <v>0.9504643962848297</v>
      </c>
      <c r="AI32" s="291">
        <f t="shared" si="37"/>
        <v>1.0344036697247707</v>
      </c>
      <c r="AJ32" s="291">
        <f t="shared" si="37"/>
        <v>1.0118483412322274</v>
      </c>
      <c r="AK32" s="291">
        <f t="shared" si="37"/>
        <v>1.0300200133422281</v>
      </c>
      <c r="AL32" s="291">
        <f t="shared" si="37"/>
        <v>1.0251762336354482</v>
      </c>
      <c r="AM32" s="291">
        <f t="shared" si="37"/>
        <v>1.0387673956262427</v>
      </c>
      <c r="AN32" s="291">
        <f t="shared" si="37"/>
        <v>0.89872059430458107</v>
      </c>
      <c r="AO32" s="291">
        <f t="shared" si="37"/>
        <v>0.89289913002586407</v>
      </c>
      <c r="AP32" s="291">
        <f t="shared" si="37"/>
        <v>0.9359823399558499</v>
      </c>
      <c r="AQ32" s="291">
        <f t="shared" si="37"/>
        <v>0.86799184505606519</v>
      </c>
      <c r="AR32" s="291">
        <f t="shared" si="37"/>
        <v>0.82215949188426252</v>
      </c>
      <c r="AS32" s="291">
        <f t="shared" si="37"/>
        <v>0.90406395736175882</v>
      </c>
      <c r="AT32" s="291">
        <f t="shared" si="37"/>
        <v>0.96107055961070564</v>
      </c>
      <c r="AU32" s="291">
        <f t="shared" si="37"/>
        <v>0.909688013136289</v>
      </c>
      <c r="AV32" s="291">
        <f t="shared" si="37"/>
        <v>0.93917274939172746</v>
      </c>
      <c r="AW32" s="291">
        <f t="shared" si="37"/>
        <v>0.84560143626570916</v>
      </c>
      <c r="AX32" s="291">
        <f t="shared" si="37"/>
        <v>0.94301675977653632</v>
      </c>
    </row>
    <row r="33" spans="1:50" ht="30" customHeight="1">
      <c r="A33" s="104" t="s">
        <v>1019</v>
      </c>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AA33" s="59" t="s">
        <v>1839</v>
      </c>
      <c r="AB33" s="291">
        <f t="shared" si="26"/>
        <v>1.0231474992089158</v>
      </c>
      <c r="AC33" s="291">
        <f t="shared" ref="AC33" si="38">(AC17/AC16)</f>
        <v>0.97747497668802918</v>
      </c>
      <c r="AD33" s="291">
        <f t="shared" ref="AD33:AX33" si="39">(AD17/AD16)</f>
        <v>0.90705563093622799</v>
      </c>
      <c r="AE33" s="291">
        <f t="shared" si="39"/>
        <v>0.91778708397619568</v>
      </c>
      <c r="AF33" s="291">
        <f t="shared" si="39"/>
        <v>0.87445295404814005</v>
      </c>
      <c r="AG33" s="291">
        <f t="shared" si="39"/>
        <v>0.90051347881899868</v>
      </c>
      <c r="AH33" s="291">
        <f t="shared" si="39"/>
        <v>0.8621064060803475</v>
      </c>
      <c r="AI33" s="291">
        <f t="shared" si="39"/>
        <v>0.96674057649667411</v>
      </c>
      <c r="AJ33" s="291">
        <f t="shared" si="39"/>
        <v>0.8946135831381733</v>
      </c>
      <c r="AK33" s="291">
        <f t="shared" si="39"/>
        <v>0.99158031088082899</v>
      </c>
      <c r="AL33" s="291">
        <f t="shared" si="39"/>
        <v>0.99312377210216107</v>
      </c>
      <c r="AM33" s="291">
        <f t="shared" si="39"/>
        <v>0.98947368421052628</v>
      </c>
      <c r="AN33" s="291">
        <f t="shared" si="39"/>
        <v>0.99972446730345332</v>
      </c>
      <c r="AO33" s="291">
        <f t="shared" si="39"/>
        <v>1.0281764318630677</v>
      </c>
      <c r="AP33" s="291">
        <f t="shared" si="39"/>
        <v>1.0465801886792452</v>
      </c>
      <c r="AQ33" s="291">
        <f t="shared" si="39"/>
        <v>1.0297514190643962</v>
      </c>
      <c r="AR33" s="291">
        <f t="shared" si="39"/>
        <v>1.0892703862660944</v>
      </c>
      <c r="AS33" s="291">
        <f t="shared" si="39"/>
        <v>0.98563006632277084</v>
      </c>
      <c r="AT33" s="291">
        <f t="shared" si="39"/>
        <v>0.96708860759493676</v>
      </c>
      <c r="AU33" s="291">
        <f t="shared" si="39"/>
        <v>0.94915764139590852</v>
      </c>
      <c r="AV33" s="291">
        <f t="shared" si="39"/>
        <v>0.96567357512953367</v>
      </c>
      <c r="AW33" s="291">
        <f t="shared" si="39"/>
        <v>0.90764331210191085</v>
      </c>
      <c r="AX33" s="291">
        <f t="shared" si="39"/>
        <v>0.96682464454976302</v>
      </c>
    </row>
    <row r="34" spans="1:50">
      <c r="A34" s="137" t="s">
        <v>2078</v>
      </c>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AA34" s="59" t="s">
        <v>1835</v>
      </c>
      <c r="AB34" s="291">
        <f t="shared" si="26"/>
        <v>1.008864781321448</v>
      </c>
      <c r="AC34" s="291">
        <f t="shared" ref="AC34" si="40">(AC18/AC17)</f>
        <v>0.94726713280543484</v>
      </c>
      <c r="AD34" s="291">
        <f t="shared" ref="AD34:AX34" si="41">(AD18/AD17)</f>
        <v>0.91174270755422593</v>
      </c>
      <c r="AE34" s="291">
        <f t="shared" si="41"/>
        <v>0.89385206532180594</v>
      </c>
      <c r="AF34" s="291">
        <f t="shared" si="41"/>
        <v>0.88927119174225833</v>
      </c>
      <c r="AG34" s="291">
        <f t="shared" si="41"/>
        <v>0.81432644333570925</v>
      </c>
      <c r="AH34" s="291">
        <f t="shared" si="41"/>
        <v>0.88916876574307302</v>
      </c>
      <c r="AI34" s="291">
        <f t="shared" si="41"/>
        <v>0.92431192660550454</v>
      </c>
      <c r="AJ34" s="291">
        <f t="shared" si="41"/>
        <v>0.68520942408376961</v>
      </c>
      <c r="AK34" s="291">
        <f t="shared" si="41"/>
        <v>0.94252122795558457</v>
      </c>
      <c r="AL34" s="291">
        <f t="shared" si="41"/>
        <v>0.95647873392680516</v>
      </c>
      <c r="AM34" s="291">
        <f t="shared" si="41"/>
        <v>0.92069632495164411</v>
      </c>
      <c r="AN34" s="291">
        <f t="shared" si="41"/>
        <v>0.91869545245751039</v>
      </c>
      <c r="AO34" s="291">
        <f t="shared" si="41"/>
        <v>0.90216416954795753</v>
      </c>
      <c r="AP34" s="291">
        <f t="shared" si="41"/>
        <v>0.88732394366197187</v>
      </c>
      <c r="AQ34" s="291">
        <f t="shared" si="41"/>
        <v>0.88766394221630873</v>
      </c>
      <c r="AR34" s="291">
        <f t="shared" si="41"/>
        <v>0.93262411347517726</v>
      </c>
      <c r="AS34" s="291">
        <f t="shared" si="41"/>
        <v>0.84934579439252333</v>
      </c>
      <c r="AT34" s="291">
        <f t="shared" si="41"/>
        <v>1.044502617801047</v>
      </c>
      <c r="AU34" s="291">
        <f t="shared" si="41"/>
        <v>0.94896988906497626</v>
      </c>
      <c r="AV34" s="291">
        <f t="shared" si="41"/>
        <v>0.92354124748490951</v>
      </c>
      <c r="AW34" s="291">
        <f t="shared" si="41"/>
        <v>0.95789473684210524</v>
      </c>
      <c r="AX34" s="291">
        <f t="shared" si="41"/>
        <v>0.99877450980392157</v>
      </c>
    </row>
    <row r="35" spans="1:50">
      <c r="AA35" s="59" t="s">
        <v>1836</v>
      </c>
      <c r="AB35" s="291">
        <f t="shared" si="26"/>
        <v>0.97025826423600181</v>
      </c>
      <c r="AC35" s="291">
        <f t="shared" ref="AC35:AX35" si="42">(AC19/AC18)</f>
        <v>0.87569345402683585</v>
      </c>
      <c r="AD35" s="291">
        <f t="shared" si="42"/>
        <v>0.82321575061525842</v>
      </c>
      <c r="AE35" s="291">
        <f t="shared" si="42"/>
        <v>0.83593050331363061</v>
      </c>
      <c r="AF35" s="291">
        <f t="shared" si="42"/>
        <v>0.83837495603236023</v>
      </c>
      <c r="AG35" s="291">
        <f t="shared" si="42"/>
        <v>0.86739606126914659</v>
      </c>
      <c r="AH35" s="291">
        <f t="shared" si="42"/>
        <v>0.77903682719546741</v>
      </c>
      <c r="AI35" s="291">
        <f t="shared" si="42"/>
        <v>0.85359801488833742</v>
      </c>
      <c r="AJ35" s="291">
        <f t="shared" si="42"/>
        <v>0.96466093600764091</v>
      </c>
      <c r="AK35" s="291">
        <f t="shared" si="42"/>
        <v>0.81912681912681917</v>
      </c>
      <c r="AL35" s="291">
        <f t="shared" si="42"/>
        <v>0.83712512926577043</v>
      </c>
      <c r="AM35" s="291">
        <f t="shared" si="42"/>
        <v>0.79306722689075626</v>
      </c>
      <c r="AN35" s="291">
        <f t="shared" si="42"/>
        <v>0.8871</v>
      </c>
      <c r="AO35" s="291">
        <f t="shared" si="42"/>
        <v>0.82696948190205821</v>
      </c>
      <c r="AP35" s="291">
        <f t="shared" si="42"/>
        <v>0.8450793650793651</v>
      </c>
      <c r="AQ35" s="291">
        <f t="shared" si="42"/>
        <v>0.82055674518201283</v>
      </c>
      <c r="AR35" s="291">
        <f t="shared" si="42"/>
        <v>0.87410223912125051</v>
      </c>
      <c r="AS35" s="291">
        <f t="shared" si="42"/>
        <v>0.772887323943662</v>
      </c>
      <c r="AT35" s="291">
        <f t="shared" si="42"/>
        <v>0.81328320802005016</v>
      </c>
      <c r="AU35" s="291">
        <f t="shared" si="42"/>
        <v>0.99131596526386101</v>
      </c>
      <c r="AV35" s="291">
        <f t="shared" si="42"/>
        <v>0.9694989106753813</v>
      </c>
      <c r="AW35" s="291">
        <f t="shared" si="42"/>
        <v>1.1001221001221002</v>
      </c>
      <c r="AX35" s="291">
        <f t="shared" si="42"/>
        <v>0.90429447852760736</v>
      </c>
    </row>
    <row r="37" spans="1:50">
      <c r="AA37" s="59" t="s">
        <v>1838</v>
      </c>
    </row>
    <row r="38" spans="1:50">
      <c r="AB38" s="94" t="s">
        <v>7</v>
      </c>
      <c r="AC38" s="72"/>
      <c r="AD38" s="112" t="s">
        <v>37</v>
      </c>
      <c r="AE38" s="112"/>
      <c r="AF38" s="112"/>
      <c r="AG38" s="112"/>
      <c r="AH38" s="112"/>
      <c r="AI38" s="112"/>
      <c r="AJ38" s="112"/>
      <c r="AK38" s="112"/>
      <c r="AL38" s="112"/>
      <c r="AM38" s="112"/>
      <c r="AN38" s="112"/>
      <c r="AO38" s="112"/>
      <c r="AP38" s="112"/>
      <c r="AQ38" s="112"/>
      <c r="AR38" s="112"/>
      <c r="AS38" s="112"/>
      <c r="AT38" s="112"/>
      <c r="AU38" s="112"/>
      <c r="AV38" s="112"/>
      <c r="AW38" s="112"/>
      <c r="AX38" s="112"/>
    </row>
    <row r="39" spans="1:50">
      <c r="AB39" s="94"/>
      <c r="AC39" s="72"/>
      <c r="AD39" s="94" t="s">
        <v>0</v>
      </c>
      <c r="AE39" s="112" t="s">
        <v>1</v>
      </c>
      <c r="AF39" s="112"/>
      <c r="AG39" s="112"/>
      <c r="AH39" s="112"/>
      <c r="AI39" s="112"/>
      <c r="AJ39" s="112"/>
      <c r="AK39" s="112"/>
      <c r="AL39" s="112"/>
      <c r="AM39" s="112"/>
      <c r="AN39" s="112" t="s">
        <v>2</v>
      </c>
      <c r="AO39" s="112"/>
      <c r="AP39" s="112"/>
      <c r="AQ39" s="112"/>
      <c r="AR39" s="112"/>
      <c r="AS39" s="112"/>
      <c r="AT39" s="112"/>
      <c r="AU39" s="112"/>
      <c r="AV39" s="112"/>
      <c r="AW39" s="112"/>
      <c r="AX39" s="112"/>
    </row>
    <row r="40" spans="1:50">
      <c r="AB40" s="94"/>
      <c r="AC40" s="72"/>
      <c r="AD40" s="94"/>
      <c r="AE40" s="94" t="s">
        <v>560</v>
      </c>
      <c r="AF40" s="97" t="s">
        <v>8</v>
      </c>
      <c r="AG40" s="97" t="s">
        <v>9</v>
      </c>
      <c r="AH40" s="97"/>
      <c r="AI40" s="97"/>
      <c r="AJ40" s="97"/>
      <c r="AK40" s="98" t="s">
        <v>11</v>
      </c>
      <c r="AL40" s="100"/>
      <c r="AM40" s="99"/>
      <c r="AN40" s="94" t="s">
        <v>517</v>
      </c>
      <c r="AO40" s="103" t="s">
        <v>13</v>
      </c>
      <c r="AP40" s="103"/>
      <c r="AQ40" s="103"/>
      <c r="AR40" s="103"/>
      <c r="AS40" s="103"/>
      <c r="AT40" s="103"/>
      <c r="AU40" s="97" t="s">
        <v>19</v>
      </c>
      <c r="AV40" s="97"/>
      <c r="AW40" s="97"/>
      <c r="AX40" s="97"/>
    </row>
    <row r="41" spans="1:50" ht="150">
      <c r="N41" s="64" t="s">
        <v>1784</v>
      </c>
      <c r="O41" s="64" t="s">
        <v>2033</v>
      </c>
      <c r="P41" s="64" t="s">
        <v>2163</v>
      </c>
      <c r="AB41" s="94"/>
      <c r="AC41" s="72"/>
      <c r="AD41" s="94"/>
      <c r="AE41" s="94"/>
      <c r="AF41" s="97"/>
      <c r="AG41" s="73" t="s">
        <v>558</v>
      </c>
      <c r="AH41" s="73" t="s">
        <v>554</v>
      </c>
      <c r="AI41" s="73" t="s">
        <v>10</v>
      </c>
      <c r="AJ41" s="73" t="s">
        <v>555</v>
      </c>
      <c r="AK41" s="73" t="s">
        <v>559</v>
      </c>
      <c r="AL41" s="73" t="s">
        <v>12</v>
      </c>
      <c r="AM41" s="73" t="s">
        <v>556</v>
      </c>
      <c r="AN41" s="94"/>
      <c r="AO41" s="73" t="s">
        <v>561</v>
      </c>
      <c r="AP41" s="73" t="s">
        <v>14</v>
      </c>
      <c r="AQ41" s="73" t="s">
        <v>15</v>
      </c>
      <c r="AR41" s="73" t="s">
        <v>16</v>
      </c>
      <c r="AS41" s="73" t="s">
        <v>17</v>
      </c>
      <c r="AT41" s="73" t="s">
        <v>18</v>
      </c>
      <c r="AU41" s="73" t="s">
        <v>562</v>
      </c>
      <c r="AV41" s="73" t="s">
        <v>20</v>
      </c>
      <c r="AW41" s="73" t="s">
        <v>21</v>
      </c>
      <c r="AX41" s="73" t="s">
        <v>557</v>
      </c>
    </row>
    <row r="42" spans="1:50">
      <c r="O42" s="64" t="s">
        <v>7</v>
      </c>
      <c r="P42" s="64" t="s">
        <v>2160</v>
      </c>
      <c r="AA42" s="66">
        <v>2007</v>
      </c>
      <c r="AB42" s="51">
        <v>1466800</v>
      </c>
      <c r="AC42" s="51"/>
      <c r="AD42" s="51">
        <v>4207</v>
      </c>
      <c r="AE42" s="51">
        <v>9628</v>
      </c>
      <c r="AF42" s="51">
        <v>4121</v>
      </c>
      <c r="AG42" s="51">
        <v>2124</v>
      </c>
      <c r="AK42" s="51">
        <v>3384</v>
      </c>
      <c r="AN42" s="51">
        <v>9272</v>
      </c>
      <c r="AO42" s="51">
        <v>5819</v>
      </c>
      <c r="AU42" s="51">
        <v>3453</v>
      </c>
    </row>
    <row r="43" spans="1:50">
      <c r="N43" s="64">
        <v>1997</v>
      </c>
      <c r="O43" s="64">
        <v>888158</v>
      </c>
      <c r="P43" s="64">
        <v>151330</v>
      </c>
      <c r="AA43" s="66">
        <v>2008</v>
      </c>
      <c r="AB43" s="51">
        <v>1482333</v>
      </c>
      <c r="AC43" s="51"/>
      <c r="AD43" s="51">
        <v>3944</v>
      </c>
      <c r="AE43" s="51">
        <v>8649</v>
      </c>
      <c r="AF43" s="51">
        <v>3676</v>
      </c>
      <c r="AG43" s="51">
        <v>1831</v>
      </c>
      <c r="AK43" s="51">
        <v>3138</v>
      </c>
      <c r="AN43" s="51">
        <v>8630</v>
      </c>
      <c r="AO43" s="51">
        <v>5354</v>
      </c>
      <c r="AU43" s="51">
        <v>3276</v>
      </c>
    </row>
    <row r="44" spans="1:50">
      <c r="N44" s="64">
        <v>1998</v>
      </c>
      <c r="O44" s="64">
        <v>922584</v>
      </c>
      <c r="P44" s="64">
        <v>158819</v>
      </c>
      <c r="AA44" s="66">
        <v>2009</v>
      </c>
      <c r="AB44" s="51">
        <v>1437361</v>
      </c>
      <c r="AC44" s="51"/>
      <c r="AD44" s="51">
        <v>3029</v>
      </c>
      <c r="AE44" s="51">
        <v>7130</v>
      </c>
      <c r="AF44" s="51">
        <v>2956</v>
      </c>
      <c r="AG44" s="51">
        <v>1611</v>
      </c>
      <c r="AK44" s="51">
        <v>2559</v>
      </c>
      <c r="AN44" s="51">
        <v>7083</v>
      </c>
      <c r="AO44" s="51">
        <v>4026</v>
      </c>
      <c r="AU44" s="51">
        <v>3097</v>
      </c>
    </row>
    <row r="45" spans="1:50">
      <c r="N45" s="64">
        <v>1999</v>
      </c>
      <c r="O45" s="64">
        <v>974405</v>
      </c>
      <c r="P45" s="64">
        <v>171923</v>
      </c>
      <c r="AA45" s="66">
        <v>2010</v>
      </c>
      <c r="AB45" s="51">
        <v>1486815</v>
      </c>
      <c r="AC45" s="51"/>
      <c r="AD45" s="51">
        <v>3526</v>
      </c>
      <c r="AE45" s="51">
        <v>7843</v>
      </c>
      <c r="AF45" s="51">
        <v>3397</v>
      </c>
      <c r="AG45" s="51">
        <v>1823</v>
      </c>
      <c r="AK45" s="51">
        <v>2668</v>
      </c>
      <c r="AN45" s="51">
        <v>7157</v>
      </c>
      <c r="AO45" s="51">
        <v>4097</v>
      </c>
      <c r="AU45" s="51">
        <v>3083</v>
      </c>
    </row>
    <row r="46" spans="1:50">
      <c r="N46" s="64">
        <v>2000</v>
      </c>
      <c r="O46" s="64">
        <v>1026242</v>
      </c>
      <c r="P46" s="64">
        <v>188925</v>
      </c>
      <c r="AA46" s="66">
        <v>2011</v>
      </c>
      <c r="AB46" s="51">
        <v>1525279</v>
      </c>
      <c r="AC46" s="51"/>
      <c r="AD46" s="51">
        <v>3847</v>
      </c>
      <c r="AE46" s="51">
        <v>7908</v>
      </c>
      <c r="AF46" s="51">
        <v>3448</v>
      </c>
      <c r="AG46" s="51">
        <v>1769</v>
      </c>
      <c r="AK46" s="51">
        <v>2731</v>
      </c>
      <c r="AN46" s="51">
        <v>6967</v>
      </c>
      <c r="AO46" s="51">
        <v>3931</v>
      </c>
      <c r="AU46" s="51">
        <v>3079</v>
      </c>
    </row>
    <row r="47" spans="1:50">
      <c r="N47" s="64">
        <v>2001</v>
      </c>
      <c r="O47" s="64">
        <v>1040943</v>
      </c>
      <c r="P47" s="64">
        <v>181084</v>
      </c>
      <c r="AA47" s="66">
        <v>2012</v>
      </c>
      <c r="AB47" s="51">
        <v>1552161</v>
      </c>
      <c r="AC47" s="51"/>
      <c r="AD47" s="51">
        <v>3746</v>
      </c>
      <c r="AE47" s="51">
        <v>8214</v>
      </c>
      <c r="AF47" s="51">
        <v>3579</v>
      </c>
      <c r="AG47" s="51">
        <v>1858</v>
      </c>
      <c r="AK47" s="51">
        <v>2822</v>
      </c>
      <c r="AN47" s="51">
        <v>6640</v>
      </c>
      <c r="AO47" s="51">
        <v>3584</v>
      </c>
      <c r="AU47" s="51">
        <v>3125</v>
      </c>
    </row>
    <row r="48" spans="1:50">
      <c r="N48" s="64">
        <v>2002</v>
      </c>
      <c r="O48" s="64">
        <v>1068765</v>
      </c>
      <c r="P48" s="64">
        <v>182736</v>
      </c>
    </row>
    <row r="49" spans="14:40">
      <c r="N49" s="64">
        <v>2003</v>
      </c>
      <c r="O49" s="64">
        <v>1091378</v>
      </c>
      <c r="P49" s="64">
        <v>181349</v>
      </c>
      <c r="AE49" s="51"/>
      <c r="AF49" s="51"/>
      <c r="AG49" s="51"/>
      <c r="AH49" s="51"/>
      <c r="AI49" s="51"/>
      <c r="AJ49" s="51"/>
      <c r="AK49" s="51"/>
      <c r="AL49" s="51"/>
      <c r="AM49" s="51"/>
      <c r="AN49" s="51"/>
    </row>
    <row r="50" spans="14:40">
      <c r="N50" s="64">
        <v>2004</v>
      </c>
      <c r="O50" s="64">
        <v>1124999</v>
      </c>
      <c r="P50" s="64">
        <v>184814</v>
      </c>
      <c r="AE50" s="51"/>
      <c r="AF50" s="51"/>
      <c r="AG50" s="51"/>
      <c r="AH50" s="51"/>
      <c r="AI50" s="51"/>
      <c r="AJ50" s="51"/>
      <c r="AK50" s="51"/>
      <c r="AL50" s="51"/>
      <c r="AM50" s="51"/>
      <c r="AN50" s="51"/>
    </row>
    <row r="51" spans="14:40">
      <c r="N51" s="64">
        <v>2005</v>
      </c>
      <c r="O51" s="64">
        <v>1158680</v>
      </c>
      <c r="P51" s="64">
        <v>187901</v>
      </c>
      <c r="AE51" s="51"/>
      <c r="AF51" s="51"/>
      <c r="AG51" s="51"/>
      <c r="AH51" s="51"/>
      <c r="AI51" s="51"/>
      <c r="AJ51" s="51"/>
      <c r="AK51" s="51"/>
      <c r="AL51" s="51"/>
      <c r="AM51" s="51"/>
      <c r="AN51" s="51"/>
    </row>
    <row r="52" spans="14:40">
      <c r="N52" s="64">
        <v>2006</v>
      </c>
      <c r="O52" s="64">
        <v>1191403</v>
      </c>
      <c r="P52" s="64">
        <v>185527</v>
      </c>
      <c r="AE52" s="51"/>
      <c r="AF52" s="51"/>
      <c r="AG52" s="51"/>
      <c r="AH52" s="51"/>
      <c r="AI52" s="51"/>
      <c r="AJ52" s="51"/>
      <c r="AK52" s="51"/>
      <c r="AL52" s="51"/>
      <c r="AM52" s="51"/>
      <c r="AN52" s="51"/>
    </row>
    <row r="53" spans="14:40">
      <c r="N53" s="64">
        <v>2007</v>
      </c>
      <c r="O53" s="64">
        <v>1218981</v>
      </c>
      <c r="P53" s="64">
        <v>181348</v>
      </c>
      <c r="AE53" s="51"/>
      <c r="AF53" s="51"/>
      <c r="AG53" s="51"/>
      <c r="AH53" s="51"/>
      <c r="AI53" s="51"/>
      <c r="AJ53" s="51"/>
      <c r="AK53" s="51"/>
      <c r="AL53" s="51"/>
      <c r="AM53" s="51"/>
      <c r="AN53" s="51"/>
    </row>
    <row r="54" spans="14:40">
      <c r="N54" s="64">
        <v>2008</v>
      </c>
      <c r="O54" s="64">
        <v>1229787</v>
      </c>
      <c r="P54" s="64">
        <v>171785</v>
      </c>
      <c r="AE54" s="51"/>
      <c r="AF54" s="51"/>
      <c r="AG54" s="51"/>
      <c r="AH54" s="51"/>
      <c r="AI54" s="51"/>
      <c r="AJ54" s="51"/>
      <c r="AK54" s="51"/>
      <c r="AL54" s="51"/>
      <c r="AM54" s="51"/>
      <c r="AN54" s="51"/>
    </row>
    <row r="55" spans="14:40">
      <c r="N55" s="64">
        <v>2009</v>
      </c>
      <c r="O55" s="64">
        <v>1193211</v>
      </c>
      <c r="P55" s="64">
        <v>150431</v>
      </c>
      <c r="AE55" s="51"/>
      <c r="AF55" s="51"/>
      <c r="AG55" s="51"/>
      <c r="AH55" s="51"/>
      <c r="AI55" s="51"/>
      <c r="AJ55" s="51"/>
      <c r="AK55" s="51"/>
      <c r="AL55" s="51"/>
      <c r="AM55" s="51"/>
      <c r="AN55" s="51"/>
    </row>
    <row r="56" spans="14:40">
      <c r="N56" s="64">
        <v>2010</v>
      </c>
      <c r="O56" s="64">
        <v>1233930</v>
      </c>
      <c r="P56" s="64">
        <v>158326</v>
      </c>
    </row>
    <row r="57" spans="14:40">
      <c r="N57" s="64">
        <v>2011</v>
      </c>
      <c r="O57" s="64">
        <v>1266590</v>
      </c>
      <c r="P57" s="64">
        <v>162143</v>
      </c>
    </row>
    <row r="58" spans="14:40">
      <c r="N58" s="64">
        <v>2012</v>
      </c>
      <c r="O58" s="64">
        <v>1285965</v>
      </c>
      <c r="P58" s="64">
        <v>165936</v>
      </c>
    </row>
  </sheetData>
  <mergeCells count="47">
    <mergeCell ref="AU4:AX4"/>
    <mergeCell ref="A31:Y31"/>
    <mergeCell ref="A32:Y32"/>
    <mergeCell ref="AB2:AB5"/>
    <mergeCell ref="AD2:AX2"/>
    <mergeCell ref="AD3:AD5"/>
    <mergeCell ref="AE3:AM3"/>
    <mergeCell ref="AN3:AX3"/>
    <mergeCell ref="AE4:AE5"/>
    <mergeCell ref="AG4:AJ4"/>
    <mergeCell ref="AK4:AM4"/>
    <mergeCell ref="AN4:AN5"/>
    <mergeCell ref="AO4:AT4"/>
    <mergeCell ref="C2:C5"/>
    <mergeCell ref="D2:Y2"/>
    <mergeCell ref="A1:Y1"/>
    <mergeCell ref="A29:Y29"/>
    <mergeCell ref="A30:Y30"/>
    <mergeCell ref="O4:O5"/>
    <mergeCell ref="AF4:AF5"/>
    <mergeCell ref="A2:A5"/>
    <mergeCell ref="P4:U4"/>
    <mergeCell ref="V4:Y4"/>
    <mergeCell ref="B2:B5"/>
    <mergeCell ref="E3:E5"/>
    <mergeCell ref="F3:N3"/>
    <mergeCell ref="O3:Y3"/>
    <mergeCell ref="F4:F5"/>
    <mergeCell ref="G4:G5"/>
    <mergeCell ref="H4:K4"/>
    <mergeCell ref="L4:N4"/>
    <mergeCell ref="A33:Y33"/>
    <mergeCell ref="AA2:AA5"/>
    <mergeCell ref="A34:Y34"/>
    <mergeCell ref="AE40:AE41"/>
    <mergeCell ref="AB38:AB41"/>
    <mergeCell ref="AD38:AX38"/>
    <mergeCell ref="AD39:AD41"/>
    <mergeCell ref="AE39:AM39"/>
    <mergeCell ref="AN39:AX39"/>
    <mergeCell ref="AF40:AF41"/>
    <mergeCell ref="AG40:AJ40"/>
    <mergeCell ref="AK40:AM40"/>
    <mergeCell ref="AN40:AN41"/>
    <mergeCell ref="AO40:AT40"/>
    <mergeCell ref="AU40:AX40"/>
    <mergeCell ref="D3:D5"/>
  </mergeCells>
  <pageMargins left="0.7" right="0.7" top="0.75" bottom="0.75" header="0.3" footer="0.3"/>
  <pageSetup scale="34" orientation="landscape" horizontalDpi="0" verticalDpi="0" r:id="rId1"/>
</worksheet>
</file>

<file path=xl/worksheets/sheet30.xml><?xml version="1.0" encoding="utf-8"?>
<worksheet xmlns="http://schemas.openxmlformats.org/spreadsheetml/2006/main" xmlns:r="http://schemas.openxmlformats.org/officeDocument/2006/relationships">
  <sheetPr codeName="Sheet30"/>
  <dimension ref="A1:K36"/>
  <sheetViews>
    <sheetView view="pageBreakPreview" zoomScale="85" zoomScaleNormal="100" zoomScaleSheetLayoutView="85" workbookViewId="0">
      <selection activeCell="AC38" sqref="AC38"/>
    </sheetView>
  </sheetViews>
  <sheetFormatPr defaultRowHeight="15" outlineLevelRow="1"/>
  <cols>
    <col min="1" max="1" width="10.28515625" style="64" customWidth="1"/>
    <col min="2" max="11" width="13" style="64" customWidth="1"/>
    <col min="12" max="16384" width="9.140625" style="64"/>
  </cols>
  <sheetData>
    <row r="1" spans="1:11">
      <c r="A1" s="66" t="s">
        <v>1968</v>
      </c>
    </row>
    <row r="2" spans="1:11">
      <c r="A2" s="66"/>
      <c r="B2" s="94" t="s">
        <v>1381</v>
      </c>
      <c r="C2" s="111" t="s">
        <v>63</v>
      </c>
      <c r="D2" s="111"/>
      <c r="E2" s="111" t="s">
        <v>670</v>
      </c>
      <c r="F2" s="111"/>
      <c r="G2" s="111"/>
      <c r="H2" s="111"/>
      <c r="I2" s="111" t="s">
        <v>671</v>
      </c>
      <c r="J2" s="111"/>
      <c r="K2" s="94" t="s">
        <v>1383</v>
      </c>
    </row>
    <row r="3" spans="1:11" ht="105">
      <c r="B3" s="94"/>
      <c r="C3" s="72" t="s">
        <v>1449</v>
      </c>
      <c r="D3" s="72" t="s">
        <v>1382</v>
      </c>
      <c r="E3" s="72" t="s">
        <v>1171</v>
      </c>
      <c r="F3" s="72" t="s">
        <v>1172</v>
      </c>
      <c r="G3" s="72" t="s">
        <v>1173</v>
      </c>
      <c r="H3" s="72" t="s">
        <v>1174</v>
      </c>
      <c r="I3" s="72" t="s">
        <v>1183</v>
      </c>
      <c r="J3" s="72" t="s">
        <v>1384</v>
      </c>
      <c r="K3" s="94"/>
    </row>
    <row r="4" spans="1:11" ht="15" hidden="1" customHeight="1" outlineLevel="1">
      <c r="B4" s="135" t="s">
        <v>1385</v>
      </c>
      <c r="C4" s="135" t="s">
        <v>1386</v>
      </c>
      <c r="D4" s="135" t="s">
        <v>1387</v>
      </c>
      <c r="E4" s="135" t="s">
        <v>1391</v>
      </c>
      <c r="F4" s="135" t="s">
        <v>1392</v>
      </c>
      <c r="G4" s="135" t="s">
        <v>1393</v>
      </c>
      <c r="H4" s="135" t="s">
        <v>1394</v>
      </c>
      <c r="I4" s="135" t="s">
        <v>1389</v>
      </c>
      <c r="J4" s="135" t="s">
        <v>1390</v>
      </c>
      <c r="K4" s="135" t="s">
        <v>1388</v>
      </c>
    </row>
    <row r="5" spans="1:11" collapsed="1">
      <c r="A5" s="66">
        <v>1991</v>
      </c>
      <c r="B5" s="31">
        <v>31</v>
      </c>
      <c r="C5" s="31">
        <v>38.4</v>
      </c>
      <c r="D5" s="31">
        <v>38.5</v>
      </c>
      <c r="E5" s="31">
        <v>37.200000000000003</v>
      </c>
      <c r="F5" s="31">
        <v>37.1</v>
      </c>
      <c r="G5" s="31">
        <v>37.700000000000003</v>
      </c>
      <c r="H5" s="31">
        <v>37</v>
      </c>
      <c r="I5" s="31">
        <v>39.799999999999997</v>
      </c>
      <c r="J5" s="31">
        <v>40.1</v>
      </c>
      <c r="K5" s="31">
        <v>31.8</v>
      </c>
    </row>
    <row r="6" spans="1:11">
      <c r="A6" s="66">
        <v>1992</v>
      </c>
      <c r="B6" s="31">
        <v>30.8</v>
      </c>
      <c r="C6" s="31">
        <v>38.700000000000003</v>
      </c>
      <c r="D6" s="31">
        <v>38.799999999999997</v>
      </c>
      <c r="E6" s="31">
        <v>37.9</v>
      </c>
      <c r="F6" s="31">
        <v>37.9</v>
      </c>
      <c r="G6" s="31">
        <v>38.4</v>
      </c>
      <c r="H6" s="31">
        <v>37.5</v>
      </c>
      <c r="I6" s="31">
        <v>40.200000000000003</v>
      </c>
      <c r="J6" s="31">
        <v>40.5</v>
      </c>
      <c r="K6" s="31">
        <v>31</v>
      </c>
    </row>
    <row r="7" spans="1:11">
      <c r="A7" s="66">
        <v>1993</v>
      </c>
      <c r="B7" s="31">
        <v>30.9</v>
      </c>
      <c r="C7" s="31">
        <v>39.4</v>
      </c>
      <c r="D7" s="31">
        <v>39.5</v>
      </c>
      <c r="E7" s="31">
        <v>38.1</v>
      </c>
      <c r="F7" s="31">
        <v>38.4</v>
      </c>
      <c r="G7" s="31">
        <v>38.5</v>
      </c>
      <c r="H7" s="31">
        <v>37.200000000000003</v>
      </c>
      <c r="I7" s="31">
        <v>40.200000000000003</v>
      </c>
      <c r="J7" s="31">
        <v>40.6</v>
      </c>
      <c r="K7" s="31">
        <v>34.200000000000003</v>
      </c>
    </row>
    <row r="8" spans="1:11">
      <c r="A8" s="66">
        <v>1994</v>
      </c>
      <c r="B8" s="31">
        <v>31.2</v>
      </c>
      <c r="C8" s="31">
        <v>38.5</v>
      </c>
      <c r="D8" s="31">
        <v>38.700000000000003</v>
      </c>
      <c r="E8" s="31">
        <v>38.1</v>
      </c>
      <c r="F8" s="31">
        <v>38.1</v>
      </c>
      <c r="G8" s="31">
        <v>38.700000000000003</v>
      </c>
      <c r="H8" s="31">
        <v>37.799999999999997</v>
      </c>
      <c r="I8" s="31">
        <v>40.5</v>
      </c>
      <c r="J8" s="31">
        <v>41.1</v>
      </c>
      <c r="K8" s="31">
        <v>34</v>
      </c>
    </row>
    <row r="9" spans="1:11">
      <c r="A9" s="66">
        <v>1995</v>
      </c>
      <c r="B9" s="31">
        <v>30.9</v>
      </c>
      <c r="C9" s="31">
        <v>40.1</v>
      </c>
      <c r="D9" s="31">
        <v>40.200000000000003</v>
      </c>
      <c r="E9" s="31">
        <v>37.700000000000003</v>
      </c>
      <c r="F9" s="31">
        <v>38.1</v>
      </c>
      <c r="G9" s="31">
        <v>37.799999999999997</v>
      </c>
      <c r="H9" s="31">
        <v>36.9</v>
      </c>
      <c r="I9" s="31">
        <v>40.5</v>
      </c>
      <c r="J9" s="31">
        <v>41.1</v>
      </c>
      <c r="K9" s="31">
        <v>34.799999999999997</v>
      </c>
    </row>
    <row r="10" spans="1:11">
      <c r="A10" s="66">
        <v>1996</v>
      </c>
      <c r="B10" s="31">
        <v>30.9</v>
      </c>
      <c r="C10" s="31">
        <v>40</v>
      </c>
      <c r="D10" s="31">
        <v>40.1</v>
      </c>
      <c r="E10" s="31">
        <v>38.1</v>
      </c>
      <c r="F10" s="31">
        <v>38.5</v>
      </c>
      <c r="G10" s="31">
        <v>38.200000000000003</v>
      </c>
      <c r="H10" s="31">
        <v>37.5</v>
      </c>
      <c r="I10" s="31">
        <v>40.4</v>
      </c>
      <c r="J10" s="31">
        <v>41.1</v>
      </c>
      <c r="K10" s="31">
        <v>36.6</v>
      </c>
    </row>
    <row r="11" spans="1:11">
      <c r="A11" s="66">
        <v>1997</v>
      </c>
      <c r="B11" s="31">
        <v>31.5</v>
      </c>
      <c r="C11" s="31">
        <v>40.5</v>
      </c>
      <c r="D11" s="31">
        <v>40.6</v>
      </c>
      <c r="E11" s="31">
        <v>38.4</v>
      </c>
      <c r="F11" s="31">
        <v>38.299999999999997</v>
      </c>
      <c r="G11" s="31">
        <v>38.700000000000003</v>
      </c>
      <c r="H11" s="31">
        <v>38.4</v>
      </c>
      <c r="I11" s="31">
        <v>40.6</v>
      </c>
      <c r="J11" s="31">
        <v>41.2</v>
      </c>
      <c r="K11" s="31">
        <v>37.799999999999997</v>
      </c>
    </row>
    <row r="12" spans="1:11">
      <c r="A12" s="66">
        <v>1998</v>
      </c>
      <c r="B12" s="31">
        <v>31.4</v>
      </c>
      <c r="C12" s="31">
        <v>39.5</v>
      </c>
      <c r="D12" s="31">
        <v>39.6</v>
      </c>
      <c r="E12" s="31">
        <v>38.700000000000003</v>
      </c>
      <c r="F12" s="31">
        <v>39</v>
      </c>
      <c r="G12" s="31">
        <v>39.5</v>
      </c>
      <c r="H12" s="31">
        <v>37.700000000000003</v>
      </c>
      <c r="I12" s="31">
        <v>39.9</v>
      </c>
      <c r="J12" s="31">
        <v>40.4</v>
      </c>
      <c r="K12" s="31">
        <v>38.200000000000003</v>
      </c>
    </row>
    <row r="13" spans="1:11">
      <c r="A13" s="66">
        <v>1999</v>
      </c>
      <c r="B13" s="31">
        <v>31.6</v>
      </c>
      <c r="C13" s="31">
        <v>39.9</v>
      </c>
      <c r="D13" s="31">
        <v>40.1</v>
      </c>
      <c r="E13" s="31">
        <v>39.299999999999997</v>
      </c>
      <c r="F13" s="31">
        <v>39.6</v>
      </c>
      <c r="G13" s="31">
        <v>39.799999999999997</v>
      </c>
      <c r="H13" s="31">
        <v>38.5</v>
      </c>
      <c r="I13" s="31">
        <v>39.9</v>
      </c>
      <c r="J13" s="31">
        <v>40.200000000000003</v>
      </c>
      <c r="K13" s="31">
        <v>39.200000000000003</v>
      </c>
    </row>
    <row r="14" spans="1:11">
      <c r="A14" s="66">
        <v>2000</v>
      </c>
      <c r="B14" s="31">
        <v>31.6</v>
      </c>
      <c r="C14" s="31">
        <v>38.799999999999997</v>
      </c>
      <c r="D14" s="31">
        <v>38.799999999999997</v>
      </c>
      <c r="E14" s="31">
        <v>40.1</v>
      </c>
      <c r="F14" s="31">
        <v>40.799999999999997</v>
      </c>
      <c r="G14" s="31">
        <v>39.9</v>
      </c>
      <c r="H14" s="31">
        <v>39.1</v>
      </c>
      <c r="I14" s="31">
        <v>39.700000000000003</v>
      </c>
      <c r="J14" s="31">
        <v>40.200000000000003</v>
      </c>
      <c r="K14" s="31">
        <v>38.799999999999997</v>
      </c>
    </row>
    <row r="15" spans="1:11">
      <c r="A15" s="66">
        <v>2001</v>
      </c>
      <c r="B15" s="31">
        <v>31.1</v>
      </c>
      <c r="C15" s="31">
        <v>38.299999999999997</v>
      </c>
      <c r="D15" s="31">
        <v>38.299999999999997</v>
      </c>
      <c r="E15" s="31">
        <v>38.299999999999997</v>
      </c>
      <c r="F15" s="31">
        <v>38.200000000000003</v>
      </c>
      <c r="G15" s="31">
        <v>38.299999999999997</v>
      </c>
      <c r="H15" s="31">
        <v>38.5</v>
      </c>
      <c r="I15" s="31">
        <v>39.4</v>
      </c>
      <c r="J15" s="31">
        <v>39.700000000000003</v>
      </c>
      <c r="K15" s="31">
        <v>38</v>
      </c>
    </row>
    <row r="16" spans="1:11">
      <c r="A16" s="66">
        <v>2002</v>
      </c>
      <c r="B16" s="31">
        <v>30.8</v>
      </c>
      <c r="C16" s="31">
        <v>37.799999999999997</v>
      </c>
      <c r="D16" s="31">
        <v>37.700000000000003</v>
      </c>
      <c r="E16" s="31">
        <v>38.299999999999997</v>
      </c>
      <c r="F16" s="31">
        <v>38.299999999999997</v>
      </c>
      <c r="G16" s="31">
        <v>38.6</v>
      </c>
      <c r="H16" s="31">
        <v>38.200000000000003</v>
      </c>
      <c r="I16" s="31">
        <v>39.6</v>
      </c>
      <c r="J16" s="31">
        <v>40</v>
      </c>
      <c r="K16" s="31">
        <v>36.700000000000003</v>
      </c>
    </row>
    <row r="17" spans="1:11">
      <c r="A17" s="66">
        <v>2003</v>
      </c>
      <c r="B17" s="31">
        <v>31</v>
      </c>
      <c r="C17" s="31">
        <v>37.799999999999997</v>
      </c>
      <c r="D17" s="31">
        <v>37.5</v>
      </c>
      <c r="E17" s="31">
        <v>37.4</v>
      </c>
      <c r="F17" s="31">
        <v>37.200000000000003</v>
      </c>
      <c r="G17" s="31">
        <v>37.200000000000003</v>
      </c>
      <c r="H17" s="31">
        <v>37.9</v>
      </c>
      <c r="I17" s="31">
        <v>38.799999999999997</v>
      </c>
      <c r="J17" s="31">
        <v>39</v>
      </c>
      <c r="K17" s="31">
        <v>37.799999999999997</v>
      </c>
    </row>
    <row r="18" spans="1:11">
      <c r="A18" s="66">
        <v>2004</v>
      </c>
      <c r="B18" s="31">
        <v>30.9</v>
      </c>
      <c r="C18" s="31">
        <v>37.799999999999997</v>
      </c>
      <c r="D18" s="31">
        <v>37.5</v>
      </c>
      <c r="E18" s="31">
        <v>37.700000000000003</v>
      </c>
      <c r="F18" s="31">
        <v>37.6</v>
      </c>
      <c r="G18" s="31">
        <v>37.700000000000003</v>
      </c>
      <c r="H18" s="31">
        <v>37.700000000000003</v>
      </c>
      <c r="I18" s="31">
        <v>39</v>
      </c>
      <c r="J18" s="31">
        <v>39.200000000000003</v>
      </c>
      <c r="K18" s="31">
        <v>35.700000000000003</v>
      </c>
    </row>
    <row r="19" spans="1:11">
      <c r="A19" s="66">
        <v>2005</v>
      </c>
      <c r="B19" s="31">
        <v>30.8</v>
      </c>
      <c r="C19" s="31">
        <v>39.1</v>
      </c>
      <c r="D19" s="31">
        <v>38.6</v>
      </c>
      <c r="E19" s="31">
        <v>38.1</v>
      </c>
      <c r="F19" s="31">
        <v>38.700000000000003</v>
      </c>
      <c r="G19" s="31">
        <v>38.1</v>
      </c>
      <c r="H19" s="31">
        <v>37.299999999999997</v>
      </c>
      <c r="I19" s="31">
        <v>38.4</v>
      </c>
      <c r="J19" s="31">
        <v>38.700000000000003</v>
      </c>
      <c r="K19" s="31">
        <v>38.1</v>
      </c>
    </row>
    <row r="20" spans="1:11">
      <c r="A20" s="66">
        <v>2006</v>
      </c>
      <c r="B20" s="31">
        <v>30.8</v>
      </c>
      <c r="C20" s="31">
        <v>39.799999999999997</v>
      </c>
      <c r="D20" s="31">
        <v>39.299999999999997</v>
      </c>
      <c r="E20" s="31">
        <v>36.799999999999997</v>
      </c>
      <c r="F20" s="31">
        <v>36.700000000000003</v>
      </c>
      <c r="G20" s="31">
        <v>36.5</v>
      </c>
      <c r="H20" s="31">
        <v>37.200000000000003</v>
      </c>
      <c r="I20" s="31">
        <v>38.799999999999997</v>
      </c>
      <c r="J20" s="31">
        <v>39.1</v>
      </c>
      <c r="K20" s="31">
        <v>37.700000000000003</v>
      </c>
    </row>
    <row r="21" spans="1:11">
      <c r="A21" s="66">
        <v>2007</v>
      </c>
      <c r="B21" s="31">
        <v>30.4</v>
      </c>
      <c r="C21" s="31">
        <v>40</v>
      </c>
      <c r="D21" s="31">
        <v>39.5</v>
      </c>
      <c r="E21" s="31">
        <v>38</v>
      </c>
      <c r="F21" s="31">
        <v>37.4</v>
      </c>
      <c r="G21" s="31">
        <v>37.700000000000003</v>
      </c>
      <c r="H21" s="31">
        <v>38.6</v>
      </c>
      <c r="I21" s="31">
        <v>38.299999999999997</v>
      </c>
      <c r="J21" s="31">
        <v>38.700000000000003</v>
      </c>
      <c r="K21" s="31">
        <v>37.9</v>
      </c>
    </row>
    <row r="22" spans="1:11">
      <c r="A22" s="66">
        <v>2008</v>
      </c>
      <c r="B22" s="31">
        <v>30.4</v>
      </c>
      <c r="C22" s="31">
        <v>40.5</v>
      </c>
      <c r="D22" s="31">
        <v>40.4</v>
      </c>
      <c r="E22" s="31">
        <v>37</v>
      </c>
      <c r="F22" s="31">
        <v>36.700000000000003</v>
      </c>
      <c r="G22" s="31">
        <v>36.299999999999997</v>
      </c>
      <c r="H22" s="31">
        <v>37.6</v>
      </c>
      <c r="I22" s="31">
        <v>37.299999999999997</v>
      </c>
      <c r="J22" s="31">
        <v>37.6</v>
      </c>
      <c r="K22" s="31">
        <v>37.4</v>
      </c>
    </row>
    <row r="23" spans="1:11">
      <c r="A23" s="66">
        <v>2009</v>
      </c>
      <c r="B23" s="31">
        <v>30.1</v>
      </c>
      <c r="C23" s="31" t="s">
        <v>1811</v>
      </c>
      <c r="D23" s="31" t="s">
        <v>1811</v>
      </c>
      <c r="E23" s="31">
        <v>36</v>
      </c>
      <c r="F23" s="31">
        <v>36.200000000000003</v>
      </c>
      <c r="G23" s="31">
        <v>35.9</v>
      </c>
      <c r="H23" s="31">
        <v>35.799999999999997</v>
      </c>
      <c r="I23" s="31" t="s">
        <v>1811</v>
      </c>
      <c r="J23" s="31" t="s">
        <v>1811</v>
      </c>
      <c r="K23" s="31">
        <v>32.4</v>
      </c>
    </row>
    <row r="24" spans="1:11">
      <c r="A24" s="66">
        <v>2010</v>
      </c>
      <c r="B24" s="31">
        <v>30.3</v>
      </c>
      <c r="C24" s="31">
        <v>37.799999999999997</v>
      </c>
      <c r="D24" s="31">
        <v>37.700000000000003</v>
      </c>
      <c r="E24" s="31">
        <v>36</v>
      </c>
      <c r="F24" s="31">
        <v>36.700000000000003</v>
      </c>
      <c r="G24" s="31">
        <v>36.799999999999997</v>
      </c>
      <c r="H24" s="31">
        <v>35</v>
      </c>
      <c r="I24" s="31">
        <v>39.200000000000003</v>
      </c>
      <c r="J24" s="31">
        <v>40.1</v>
      </c>
      <c r="K24" s="31">
        <v>33.9</v>
      </c>
    </row>
    <row r="25" spans="1:11">
      <c r="A25" s="66">
        <v>2011</v>
      </c>
      <c r="B25" s="31">
        <v>30.5</v>
      </c>
      <c r="C25" s="31">
        <v>40.5</v>
      </c>
      <c r="D25" s="31">
        <v>40.799999999999997</v>
      </c>
      <c r="E25" s="31">
        <v>37</v>
      </c>
      <c r="F25" s="31" t="s">
        <v>1811</v>
      </c>
      <c r="G25" s="31">
        <v>37.700000000000003</v>
      </c>
      <c r="H25" s="31">
        <v>35.9</v>
      </c>
      <c r="I25" s="31">
        <v>39</v>
      </c>
      <c r="J25" s="31">
        <v>40.299999999999997</v>
      </c>
      <c r="K25" s="31">
        <v>34.9</v>
      </c>
    </row>
    <row r="26" spans="1:11">
      <c r="A26" s="66">
        <v>2012</v>
      </c>
      <c r="B26" s="57">
        <v>30.7</v>
      </c>
      <c r="C26" s="57" t="s">
        <v>1811</v>
      </c>
      <c r="D26" s="57" t="s">
        <v>1811</v>
      </c>
      <c r="E26" s="57">
        <v>37.700000000000003</v>
      </c>
      <c r="F26" s="57">
        <v>38.700000000000003</v>
      </c>
      <c r="G26" s="57">
        <v>38.1</v>
      </c>
      <c r="H26" s="57">
        <v>36.6</v>
      </c>
      <c r="I26" s="57">
        <v>39.799999999999997</v>
      </c>
      <c r="J26" s="57">
        <v>41.3</v>
      </c>
      <c r="K26" s="57">
        <v>36.799999999999997</v>
      </c>
    </row>
    <row r="28" spans="1:11">
      <c r="A28" s="66" t="s">
        <v>793</v>
      </c>
    </row>
    <row r="29" spans="1:11">
      <c r="A29" s="64" t="s">
        <v>2123</v>
      </c>
      <c r="B29" s="67">
        <f>IFERROR(((B26/B5)^(1/21)-1)*100,"n.a.")</f>
        <v>-4.6296660225464414E-2</v>
      </c>
      <c r="C29" s="67" t="str">
        <f t="shared" ref="C29:K29" si="0">IFERROR(((C26/C5)^(1/21)-1)*100,"n.a.")</f>
        <v>n.a.</v>
      </c>
      <c r="D29" s="67" t="str">
        <f t="shared" si="0"/>
        <v>n.a.</v>
      </c>
      <c r="E29" s="67">
        <f t="shared" si="0"/>
        <v>6.3597991975661294E-2</v>
      </c>
      <c r="F29" s="67">
        <f t="shared" si="0"/>
        <v>0.20126240631059833</v>
      </c>
      <c r="G29" s="67">
        <f t="shared" si="0"/>
        <v>5.0270668032403876E-2</v>
      </c>
      <c r="H29" s="67">
        <f t="shared" si="0"/>
        <v>-5.1746950630127131E-2</v>
      </c>
      <c r="I29" s="67">
        <f t="shared" si="0"/>
        <v>0</v>
      </c>
      <c r="J29" s="67">
        <f t="shared" si="0"/>
        <v>0.1405089340726029</v>
      </c>
      <c r="K29" s="67">
        <f t="shared" si="0"/>
        <v>0.69781179802406168</v>
      </c>
    </row>
    <row r="30" spans="1:11">
      <c r="A30" s="64" t="s">
        <v>1395</v>
      </c>
      <c r="B30" s="67">
        <f>((B14/B5)^(1/9)-1)*100</f>
        <v>0.21322607202174382</v>
      </c>
      <c r="C30" s="67">
        <f t="shared" ref="C30:K30" si="1">((C14/C5)^(1/9)-1)*100</f>
        <v>0.11520839211287548</v>
      </c>
      <c r="D30" s="67">
        <f t="shared" si="1"/>
        <v>8.6281704993695918E-2</v>
      </c>
      <c r="E30" s="67">
        <f t="shared" si="1"/>
        <v>0.83757231797412235</v>
      </c>
      <c r="F30" s="67">
        <f t="shared" si="1"/>
        <v>1.0618773407369053</v>
      </c>
      <c r="G30" s="67">
        <f t="shared" si="1"/>
        <v>0.63217014096437207</v>
      </c>
      <c r="H30" s="67">
        <f t="shared" si="1"/>
        <v>0.61526898869210811</v>
      </c>
      <c r="I30" s="67">
        <f t="shared" si="1"/>
        <v>-2.7948589178916627E-2</v>
      </c>
      <c r="J30" s="67">
        <f t="shared" si="1"/>
        <v>2.7677844191464906E-2</v>
      </c>
      <c r="K30" s="67">
        <f t="shared" si="1"/>
        <v>2.2352143152365889</v>
      </c>
    </row>
    <row r="31" spans="1:11">
      <c r="A31" s="64" t="s">
        <v>2028</v>
      </c>
      <c r="B31" s="67">
        <f>IFERROR(((B26/B14)^(1/12)-1)*100,"n.a.")</f>
        <v>-0.24049755678038354</v>
      </c>
      <c r="C31" s="67" t="str">
        <f t="shared" ref="C31:K31" si="2">IFERROR(((C26/C14)^(1/12)-1)*100,"n.a.")</f>
        <v>n.a.</v>
      </c>
      <c r="D31" s="67" t="str">
        <f t="shared" si="2"/>
        <v>n.a.</v>
      </c>
      <c r="E31" s="67">
        <f t="shared" si="2"/>
        <v>-0.51298173044995732</v>
      </c>
      <c r="F31" s="67">
        <f t="shared" si="2"/>
        <v>-0.43938587477371227</v>
      </c>
      <c r="G31" s="67">
        <f t="shared" si="2"/>
        <v>-0.38394472154245074</v>
      </c>
      <c r="H31" s="67">
        <f t="shared" si="2"/>
        <v>-0.54910542935895368</v>
      </c>
      <c r="I31" s="67">
        <f t="shared" si="2"/>
        <v>2.0966569321689832E-2</v>
      </c>
      <c r="J31" s="67">
        <f t="shared" si="2"/>
        <v>0.22521576675256227</v>
      </c>
      <c r="K31" s="67">
        <f t="shared" si="2"/>
        <v>-0.44004894691918039</v>
      </c>
    </row>
    <row r="32" spans="1:11">
      <c r="A32" s="64" t="s">
        <v>27</v>
      </c>
      <c r="B32" s="67">
        <f>((B20/B14)^(1/6)-1)*100</f>
        <v>-0.42646190114185023</v>
      </c>
      <c r="C32" s="67">
        <f t="shared" ref="C32:K32" si="3">((C20/C14)^(1/6)-1)*100</f>
        <v>0.42501171821962558</v>
      </c>
      <c r="D32" s="67">
        <f t="shared" si="3"/>
        <v>0.21363240698193398</v>
      </c>
      <c r="E32" s="67">
        <f t="shared" si="3"/>
        <v>-1.4211136334445928</v>
      </c>
      <c r="F32" s="67">
        <f t="shared" si="3"/>
        <v>-1.7496023309654607</v>
      </c>
      <c r="G32" s="67">
        <f t="shared" si="3"/>
        <v>-1.4734381342656699</v>
      </c>
      <c r="H32" s="67">
        <f t="shared" si="3"/>
        <v>-0.82679155020969342</v>
      </c>
      <c r="I32" s="67">
        <f t="shared" si="3"/>
        <v>-0.38145296381026927</v>
      </c>
      <c r="J32" s="67">
        <f t="shared" si="3"/>
        <v>-0.46134134700284157</v>
      </c>
      <c r="K32" s="67">
        <f t="shared" si="3"/>
        <v>-0.4781888885706187</v>
      </c>
    </row>
    <row r="33" spans="1:11">
      <c r="A33" s="64" t="s">
        <v>662</v>
      </c>
      <c r="B33" s="67">
        <f>((B18/B14)^(1/4)-1)*100</f>
        <v>-0.5584582092966639</v>
      </c>
      <c r="C33" s="67">
        <f t="shared" ref="C33:K33" si="4">((C18/C14)^(1/4)-1)*100</f>
        <v>-0.65065262906509602</v>
      </c>
      <c r="D33" s="67">
        <f t="shared" si="4"/>
        <v>-0.84836375280950005</v>
      </c>
      <c r="E33" s="67">
        <f t="shared" si="4"/>
        <v>-1.5310641828039651</v>
      </c>
      <c r="F33" s="67">
        <f t="shared" si="4"/>
        <v>-2.0212441397800429</v>
      </c>
      <c r="G33" s="67">
        <f t="shared" si="4"/>
        <v>-1.4079007953614386</v>
      </c>
      <c r="H33" s="67">
        <f t="shared" si="4"/>
        <v>-0.90741720699819561</v>
      </c>
      <c r="I33" s="67">
        <f t="shared" si="4"/>
        <v>-0.44375104171623381</v>
      </c>
      <c r="J33" s="67">
        <f t="shared" si="4"/>
        <v>-0.62777741229506079</v>
      </c>
      <c r="K33" s="67">
        <f t="shared" si="4"/>
        <v>-2.0602203399721963</v>
      </c>
    </row>
    <row r="35" spans="1:11">
      <c r="A35" s="269" t="s">
        <v>1396</v>
      </c>
      <c r="B35" s="269"/>
      <c r="C35" s="269"/>
      <c r="D35" s="269"/>
      <c r="E35" s="269"/>
      <c r="F35" s="269"/>
      <c r="G35" s="269"/>
      <c r="H35" s="269"/>
      <c r="I35" s="269"/>
      <c r="J35" s="269"/>
      <c r="K35" s="269"/>
    </row>
    <row r="36" spans="1:11">
      <c r="A36" s="64" t="s">
        <v>1967</v>
      </c>
    </row>
  </sheetData>
  <mergeCells count="5">
    <mergeCell ref="C2:D2"/>
    <mergeCell ref="K2:K3"/>
    <mergeCell ref="B2:B3"/>
    <mergeCell ref="E2:H2"/>
    <mergeCell ref="I2:J2"/>
  </mergeCells>
  <pageMargins left="0.7" right="0.7" top="0.75" bottom="0.75" header="0.3" footer="0.3"/>
  <pageSetup scale="85" orientation="landscape" horizontalDpi="0" verticalDpi="0" r:id="rId1"/>
</worksheet>
</file>

<file path=xl/worksheets/sheet31.xml><?xml version="1.0" encoding="utf-8"?>
<worksheet xmlns="http://schemas.openxmlformats.org/spreadsheetml/2006/main" xmlns:r="http://schemas.openxmlformats.org/officeDocument/2006/relationships">
  <sheetPr codeName="Sheet31"/>
  <dimension ref="A1:L36"/>
  <sheetViews>
    <sheetView view="pageBreakPreview" zoomScale="85" zoomScaleNormal="100"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1" style="64" customWidth="1"/>
    <col min="2" max="12" width="13.7109375" style="64" customWidth="1"/>
    <col min="13" max="16384" width="9.140625" style="64"/>
  </cols>
  <sheetData>
    <row r="1" spans="1:12">
      <c r="A1" s="66" t="s">
        <v>1969</v>
      </c>
    </row>
    <row r="2" spans="1:12">
      <c r="A2" s="66"/>
      <c r="B2" s="94" t="s">
        <v>1381</v>
      </c>
      <c r="C2" s="94" t="s">
        <v>1410</v>
      </c>
      <c r="D2" s="94"/>
      <c r="E2" s="94"/>
      <c r="F2" s="94"/>
      <c r="G2" s="94" t="s">
        <v>670</v>
      </c>
      <c r="H2" s="94"/>
      <c r="I2" s="94"/>
      <c r="J2" s="94"/>
      <c r="K2" s="112" t="s">
        <v>1448</v>
      </c>
      <c r="L2" s="112"/>
    </row>
    <row r="3" spans="1:12" ht="105">
      <c r="B3" s="94"/>
      <c r="C3" s="72" t="s">
        <v>1447</v>
      </c>
      <c r="D3" s="72" t="s">
        <v>750</v>
      </c>
      <c r="E3" s="72" t="s">
        <v>1382</v>
      </c>
      <c r="F3" s="72" t="s">
        <v>1383</v>
      </c>
      <c r="G3" s="72" t="s">
        <v>1171</v>
      </c>
      <c r="H3" s="72" t="s">
        <v>1172</v>
      </c>
      <c r="I3" s="72" t="s">
        <v>1173</v>
      </c>
      <c r="J3" s="72" t="s">
        <v>1174</v>
      </c>
      <c r="K3" s="72" t="s">
        <v>1183</v>
      </c>
      <c r="L3" s="72" t="s">
        <v>1054</v>
      </c>
    </row>
    <row r="4" spans="1:12" ht="15" hidden="1" customHeight="1" outlineLevel="1">
      <c r="B4" s="64" t="s">
        <v>1435</v>
      </c>
      <c r="C4" s="64" t="s">
        <v>1436</v>
      </c>
      <c r="D4" s="64" t="s">
        <v>1437</v>
      </c>
      <c r="E4" s="64" t="s">
        <v>1438</v>
      </c>
      <c r="F4" s="64" t="s">
        <v>1439</v>
      </c>
      <c r="G4" s="64" t="s">
        <v>1442</v>
      </c>
      <c r="H4" s="64" t="s">
        <v>1443</v>
      </c>
      <c r="I4" s="64" t="s">
        <v>1444</v>
      </c>
      <c r="J4" s="64" t="s">
        <v>1445</v>
      </c>
      <c r="K4" s="64" t="s">
        <v>1440</v>
      </c>
      <c r="L4" s="64" t="s">
        <v>1441</v>
      </c>
    </row>
    <row r="5" spans="1:12" collapsed="1">
      <c r="A5" s="66">
        <v>1991</v>
      </c>
      <c r="B5" s="31">
        <v>36.700000000000003</v>
      </c>
      <c r="C5" s="31">
        <v>39.799999999999997</v>
      </c>
      <c r="D5" s="31">
        <v>39.299999999999997</v>
      </c>
      <c r="E5" s="31">
        <v>39.6</v>
      </c>
      <c r="F5" s="31">
        <v>40.799999999999997</v>
      </c>
      <c r="G5" s="31">
        <v>39.5</v>
      </c>
      <c r="H5" s="31">
        <v>39.6</v>
      </c>
      <c r="I5" s="31">
        <v>39.4</v>
      </c>
      <c r="J5" s="31">
        <v>39.4</v>
      </c>
      <c r="K5" s="31">
        <v>37.5</v>
      </c>
      <c r="L5" s="31">
        <v>37.6</v>
      </c>
    </row>
    <row r="6" spans="1:12">
      <c r="A6" s="66">
        <v>1992</v>
      </c>
      <c r="B6" s="31">
        <v>36.700000000000003</v>
      </c>
      <c r="C6" s="31">
        <v>40.1</v>
      </c>
      <c r="D6" s="31">
        <v>39.799999999999997</v>
      </c>
      <c r="E6" s="31">
        <v>40.1</v>
      </c>
      <c r="F6" s="31">
        <v>40.9</v>
      </c>
      <c r="G6" s="31">
        <v>39.5</v>
      </c>
      <c r="H6" s="31">
        <v>39.5</v>
      </c>
      <c r="I6" s="31">
        <v>39.6</v>
      </c>
      <c r="J6" s="31">
        <v>39.4</v>
      </c>
      <c r="K6" s="31">
        <v>37.700000000000003</v>
      </c>
      <c r="L6" s="31">
        <v>37.799999999999997</v>
      </c>
    </row>
    <row r="7" spans="1:12">
      <c r="A7" s="66">
        <v>1993</v>
      </c>
      <c r="B7" s="31">
        <v>36.700000000000003</v>
      </c>
      <c r="C7" s="31">
        <v>40.200000000000003</v>
      </c>
      <c r="D7" s="31">
        <v>39.5</v>
      </c>
      <c r="E7" s="31">
        <v>39.799999999999997</v>
      </c>
      <c r="F7" s="31">
        <v>41.6</v>
      </c>
      <c r="G7" s="31">
        <v>39.4</v>
      </c>
      <c r="H7" s="31">
        <v>39.5</v>
      </c>
      <c r="I7" s="31">
        <v>39.4</v>
      </c>
      <c r="J7" s="31">
        <v>39.1</v>
      </c>
      <c r="K7" s="31">
        <v>37.700000000000003</v>
      </c>
      <c r="L7" s="31">
        <v>37.799999999999997</v>
      </c>
    </row>
    <row r="8" spans="1:12">
      <c r="A8" s="66">
        <v>1994</v>
      </c>
      <c r="B8" s="31">
        <v>36.700000000000003</v>
      </c>
      <c r="C8" s="31">
        <v>39.4</v>
      </c>
      <c r="D8" s="31">
        <v>38.299999999999997</v>
      </c>
      <c r="E8" s="31">
        <v>38.6</v>
      </c>
      <c r="F8" s="31">
        <v>41.5</v>
      </c>
      <c r="G8" s="31">
        <v>39.200000000000003</v>
      </c>
      <c r="H8" s="31">
        <v>39.200000000000003</v>
      </c>
      <c r="I8" s="31">
        <v>39.6</v>
      </c>
      <c r="J8" s="31">
        <v>39.1</v>
      </c>
      <c r="K8" s="31">
        <v>37.700000000000003</v>
      </c>
      <c r="L8" s="31">
        <v>38</v>
      </c>
    </row>
    <row r="9" spans="1:12">
      <c r="A9" s="66">
        <v>1995</v>
      </c>
      <c r="B9" s="31">
        <v>36.5</v>
      </c>
      <c r="C9" s="31">
        <v>40.299999999999997</v>
      </c>
      <c r="D9" s="31">
        <v>39.6</v>
      </c>
      <c r="E9" s="31">
        <v>40.1</v>
      </c>
      <c r="F9" s="31">
        <v>41.6</v>
      </c>
      <c r="G9" s="31">
        <v>38.9</v>
      </c>
      <c r="H9" s="31">
        <v>39.200000000000003</v>
      </c>
      <c r="I9" s="31">
        <v>39.200000000000003</v>
      </c>
      <c r="J9" s="31">
        <v>38.299999999999997</v>
      </c>
      <c r="K9" s="31">
        <v>37.799999999999997</v>
      </c>
      <c r="L9" s="31">
        <v>38.200000000000003</v>
      </c>
    </row>
    <row r="10" spans="1:12">
      <c r="A10" s="66">
        <v>1996</v>
      </c>
      <c r="B10" s="31">
        <v>36.700000000000003</v>
      </c>
      <c r="C10" s="31">
        <v>40.9</v>
      </c>
      <c r="D10" s="31">
        <v>40.200000000000003</v>
      </c>
      <c r="E10" s="31">
        <v>40.6</v>
      </c>
      <c r="F10" s="31">
        <v>42.2</v>
      </c>
      <c r="G10" s="31">
        <v>39.299999999999997</v>
      </c>
      <c r="H10" s="31">
        <v>39.4</v>
      </c>
      <c r="I10" s="31">
        <v>39.6</v>
      </c>
      <c r="J10" s="31">
        <v>38.700000000000003</v>
      </c>
      <c r="K10" s="31">
        <v>38.4</v>
      </c>
      <c r="L10" s="31">
        <v>38.700000000000003</v>
      </c>
    </row>
    <row r="11" spans="1:12">
      <c r="A11" s="66">
        <v>1997</v>
      </c>
      <c r="B11" s="31">
        <v>36.700000000000003</v>
      </c>
      <c r="C11" s="31">
        <v>41</v>
      </c>
      <c r="D11" s="31">
        <v>40.4</v>
      </c>
      <c r="E11" s="31">
        <v>40.799999999999997</v>
      </c>
      <c r="F11" s="31">
        <v>42.2</v>
      </c>
      <c r="G11" s="31">
        <v>39</v>
      </c>
      <c r="H11" s="31">
        <v>39.299999999999997</v>
      </c>
      <c r="I11" s="31">
        <v>39.299999999999997</v>
      </c>
      <c r="J11" s="31">
        <v>38.299999999999997</v>
      </c>
      <c r="K11" s="31">
        <v>38.6</v>
      </c>
      <c r="L11" s="31">
        <v>38.6</v>
      </c>
    </row>
    <row r="12" spans="1:12">
      <c r="A12" s="66">
        <v>1998</v>
      </c>
      <c r="B12" s="31">
        <v>36.700000000000003</v>
      </c>
      <c r="C12" s="31">
        <v>40.5</v>
      </c>
      <c r="D12" s="31">
        <v>40</v>
      </c>
      <c r="E12" s="31">
        <v>40.299999999999997</v>
      </c>
      <c r="F12" s="31">
        <v>41.5</v>
      </c>
      <c r="G12" s="31">
        <v>39.700000000000003</v>
      </c>
      <c r="H12" s="31">
        <v>40.200000000000003</v>
      </c>
      <c r="I12" s="31">
        <v>39.9</v>
      </c>
      <c r="J12" s="31">
        <v>38.6</v>
      </c>
      <c r="K12" s="31">
        <v>38.1</v>
      </c>
      <c r="L12" s="31">
        <v>38.4</v>
      </c>
    </row>
    <row r="13" spans="1:12">
      <c r="A13" s="66">
        <v>1999</v>
      </c>
      <c r="B13" s="31">
        <v>36.700000000000003</v>
      </c>
      <c r="C13" s="31">
        <v>39.4</v>
      </c>
      <c r="D13" s="31">
        <v>38.5</v>
      </c>
      <c r="E13" s="31">
        <v>38.6</v>
      </c>
      <c r="F13" s="31">
        <v>40.6</v>
      </c>
      <c r="G13" s="31">
        <v>40.700000000000003</v>
      </c>
      <c r="H13" s="31">
        <v>41</v>
      </c>
      <c r="I13" s="31">
        <v>40.9</v>
      </c>
      <c r="J13" s="31">
        <v>40</v>
      </c>
      <c r="K13" s="31">
        <v>38.9</v>
      </c>
      <c r="L13" s="31">
        <v>39.200000000000003</v>
      </c>
    </row>
    <row r="14" spans="1:12">
      <c r="A14" s="66">
        <v>2000</v>
      </c>
      <c r="B14" s="31">
        <v>37.299999999999997</v>
      </c>
      <c r="C14" s="31">
        <v>39.1</v>
      </c>
      <c r="D14" s="31">
        <v>39.1</v>
      </c>
      <c r="E14" s="31">
        <v>39.5</v>
      </c>
      <c r="F14" s="31">
        <v>39</v>
      </c>
      <c r="G14" s="31">
        <v>40.299999999999997</v>
      </c>
      <c r="H14" s="31">
        <v>41</v>
      </c>
      <c r="I14" s="31">
        <v>39.9</v>
      </c>
      <c r="J14" s="31">
        <v>39.299999999999997</v>
      </c>
      <c r="K14" s="31">
        <v>38.1</v>
      </c>
      <c r="L14" s="31">
        <v>38.4</v>
      </c>
    </row>
    <row r="15" spans="1:12">
      <c r="A15" s="66">
        <v>2001</v>
      </c>
      <c r="B15" s="31">
        <v>37.5</v>
      </c>
      <c r="C15" s="31">
        <v>29.7</v>
      </c>
      <c r="D15" s="31">
        <v>38.1</v>
      </c>
      <c r="E15" s="31">
        <v>38</v>
      </c>
      <c r="F15" s="31">
        <v>22.1</v>
      </c>
      <c r="G15" s="31">
        <v>37.9</v>
      </c>
      <c r="H15" s="31">
        <v>38.6</v>
      </c>
      <c r="I15" s="31">
        <v>39.1</v>
      </c>
      <c r="J15" s="31">
        <v>36.299999999999997</v>
      </c>
      <c r="K15" s="31">
        <v>39.299999999999997</v>
      </c>
      <c r="L15" s="31">
        <v>39.6</v>
      </c>
    </row>
    <row r="16" spans="1:12">
      <c r="A16" s="66">
        <v>2002</v>
      </c>
      <c r="B16" s="31">
        <v>37.4</v>
      </c>
      <c r="C16" s="31">
        <v>31.7</v>
      </c>
      <c r="D16" s="31">
        <v>37.1</v>
      </c>
      <c r="E16" s="31">
        <v>37.1</v>
      </c>
      <c r="F16" s="31">
        <v>27.7</v>
      </c>
      <c r="G16" s="31">
        <v>39.799999999999997</v>
      </c>
      <c r="H16" s="31">
        <v>40.799999999999997</v>
      </c>
      <c r="I16" s="31">
        <v>40.1</v>
      </c>
      <c r="J16" s="31">
        <v>38.4</v>
      </c>
      <c r="K16" s="31">
        <v>39.200000000000003</v>
      </c>
      <c r="L16" s="31">
        <v>39.9</v>
      </c>
    </row>
    <row r="17" spans="1:12">
      <c r="A17" s="66">
        <v>2003</v>
      </c>
      <c r="B17" s="31">
        <v>37.5</v>
      </c>
      <c r="C17" s="31">
        <v>40.9</v>
      </c>
      <c r="D17" s="31">
        <v>38.1</v>
      </c>
      <c r="E17" s="31">
        <v>38.1</v>
      </c>
      <c r="F17" s="31">
        <v>44.6</v>
      </c>
      <c r="G17" s="31">
        <v>39.5</v>
      </c>
      <c r="H17" s="31">
        <v>40.6</v>
      </c>
      <c r="I17" s="31">
        <v>39.799999999999997</v>
      </c>
      <c r="J17" s="31">
        <v>38.200000000000003</v>
      </c>
      <c r="K17" s="31">
        <v>39</v>
      </c>
      <c r="L17" s="31">
        <v>39.299999999999997</v>
      </c>
    </row>
    <row r="18" spans="1:12">
      <c r="A18" s="66">
        <v>2004</v>
      </c>
      <c r="B18" s="31">
        <v>37.700000000000003</v>
      </c>
      <c r="C18" s="31">
        <v>42</v>
      </c>
      <c r="D18" s="31">
        <v>38.4</v>
      </c>
      <c r="E18" s="31">
        <v>38.200000000000003</v>
      </c>
      <c r="F18" s="31">
        <v>48.2</v>
      </c>
      <c r="G18" s="31">
        <v>39.5</v>
      </c>
      <c r="H18" s="31">
        <v>39.9</v>
      </c>
      <c r="I18" s="31">
        <v>41.8</v>
      </c>
      <c r="J18" s="31">
        <v>38.1</v>
      </c>
      <c r="K18" s="31">
        <v>39.799999999999997</v>
      </c>
      <c r="L18" s="31">
        <v>40.4</v>
      </c>
    </row>
    <row r="19" spans="1:12">
      <c r="A19" s="66">
        <v>2005</v>
      </c>
      <c r="B19" s="31">
        <v>37.9</v>
      </c>
      <c r="C19" s="31">
        <v>41.3</v>
      </c>
      <c r="D19" s="31">
        <v>36.6</v>
      </c>
      <c r="E19" s="31">
        <v>35.799999999999997</v>
      </c>
      <c r="F19" s="31">
        <v>48.6</v>
      </c>
      <c r="G19" s="31">
        <v>42.3</v>
      </c>
      <c r="H19" s="31">
        <v>42.9</v>
      </c>
      <c r="I19" s="31">
        <v>48</v>
      </c>
      <c r="J19" s="31">
        <v>39.1</v>
      </c>
      <c r="K19" s="31">
        <v>40.299999999999997</v>
      </c>
      <c r="L19" s="31">
        <v>41.2</v>
      </c>
    </row>
    <row r="20" spans="1:12">
      <c r="A20" s="66">
        <v>2006</v>
      </c>
      <c r="B20" s="31">
        <v>37.6</v>
      </c>
      <c r="C20" s="31">
        <v>40.700000000000003</v>
      </c>
      <c r="D20" s="31">
        <v>35</v>
      </c>
      <c r="E20" s="31">
        <v>34.299999999999997</v>
      </c>
      <c r="F20" s="31">
        <v>50.8</v>
      </c>
      <c r="G20" s="31">
        <v>40.799999999999997</v>
      </c>
      <c r="H20" s="31">
        <v>41.4</v>
      </c>
      <c r="I20" s="31">
        <v>45.2</v>
      </c>
      <c r="J20" s="31">
        <v>38.200000000000003</v>
      </c>
      <c r="K20" s="31">
        <v>39.6</v>
      </c>
      <c r="L20" s="31">
        <v>40.4</v>
      </c>
    </row>
    <row r="21" spans="1:12">
      <c r="A21" s="66">
        <v>2007</v>
      </c>
      <c r="B21" s="31">
        <v>37.6</v>
      </c>
      <c r="C21" s="31">
        <v>40.9</v>
      </c>
      <c r="D21" s="31">
        <v>34.6</v>
      </c>
      <c r="E21" s="31">
        <v>34</v>
      </c>
      <c r="F21" s="31">
        <v>54.1</v>
      </c>
      <c r="G21" s="31">
        <v>41.1</v>
      </c>
      <c r="H21" s="31">
        <v>41.8</v>
      </c>
      <c r="I21" s="31">
        <v>46.3</v>
      </c>
      <c r="J21" s="31">
        <v>38.5</v>
      </c>
      <c r="K21" s="31">
        <v>40.299999999999997</v>
      </c>
      <c r="L21" s="31">
        <v>41.1</v>
      </c>
    </row>
    <row r="22" spans="1:12">
      <c r="A22" s="66">
        <v>2008</v>
      </c>
      <c r="B22" s="31">
        <v>37.6</v>
      </c>
      <c r="C22" s="31">
        <v>43.6</v>
      </c>
      <c r="D22" s="31">
        <v>39.6</v>
      </c>
      <c r="E22" s="31">
        <v>39.4</v>
      </c>
      <c r="F22" s="31">
        <v>51.4</v>
      </c>
      <c r="G22" s="31">
        <v>41.8</v>
      </c>
      <c r="H22" s="31">
        <v>43.3</v>
      </c>
      <c r="I22" s="31">
        <v>45.4</v>
      </c>
      <c r="J22" s="31">
        <v>39.1</v>
      </c>
      <c r="K22" s="31">
        <v>39.799999999999997</v>
      </c>
      <c r="L22" s="31">
        <v>41</v>
      </c>
    </row>
    <row r="23" spans="1:12">
      <c r="A23" s="66">
        <v>2009</v>
      </c>
      <c r="B23" s="31">
        <v>36.9</v>
      </c>
      <c r="C23" s="31" t="s">
        <v>1811</v>
      </c>
      <c r="D23" s="31" t="s">
        <v>1811</v>
      </c>
      <c r="E23" s="31" t="s">
        <v>1811</v>
      </c>
      <c r="F23" s="31">
        <v>36.200000000000003</v>
      </c>
      <c r="G23" s="31">
        <v>39.5</v>
      </c>
      <c r="H23" s="31">
        <v>39.799999999999997</v>
      </c>
      <c r="I23" s="31">
        <v>39.6</v>
      </c>
      <c r="J23" s="31">
        <v>38.799999999999997</v>
      </c>
      <c r="K23" s="31" t="s">
        <v>1811</v>
      </c>
      <c r="L23" s="31" t="s">
        <v>1811</v>
      </c>
    </row>
    <row r="24" spans="1:12">
      <c r="A24" s="66">
        <v>2010</v>
      </c>
      <c r="B24" s="31">
        <v>37</v>
      </c>
      <c r="C24" s="31">
        <v>38.4</v>
      </c>
      <c r="D24" s="31">
        <v>39</v>
      </c>
      <c r="E24" s="31">
        <v>39</v>
      </c>
      <c r="F24" s="31">
        <v>37.5</v>
      </c>
      <c r="G24" s="31">
        <v>39.700000000000003</v>
      </c>
      <c r="H24" s="31">
        <v>39.700000000000003</v>
      </c>
      <c r="I24" s="31">
        <v>39.799999999999997</v>
      </c>
      <c r="J24" s="31">
        <v>39.5</v>
      </c>
      <c r="K24" s="31">
        <v>38.9</v>
      </c>
      <c r="L24" s="31">
        <v>39.200000000000003</v>
      </c>
    </row>
    <row r="25" spans="1:12">
      <c r="A25" s="66">
        <v>2011</v>
      </c>
      <c r="B25" s="31">
        <v>36.9</v>
      </c>
      <c r="C25" s="31">
        <v>38.6</v>
      </c>
      <c r="D25" s="31">
        <v>40.5</v>
      </c>
      <c r="E25" s="31">
        <v>41.2</v>
      </c>
      <c r="F25" s="31">
        <v>34.6</v>
      </c>
      <c r="G25" s="31">
        <v>40</v>
      </c>
      <c r="H25" s="31" t="s">
        <v>1811</v>
      </c>
      <c r="I25" s="31">
        <v>40.200000000000003</v>
      </c>
      <c r="J25" s="31">
        <v>39.700000000000003</v>
      </c>
      <c r="K25" s="31">
        <v>40.1</v>
      </c>
      <c r="L25" s="31">
        <v>40.200000000000003</v>
      </c>
    </row>
    <row r="26" spans="1:12">
      <c r="A26" s="66">
        <v>2012</v>
      </c>
      <c r="B26" s="31">
        <v>36.9</v>
      </c>
      <c r="C26" s="31">
        <v>39</v>
      </c>
      <c r="D26" s="31" t="s">
        <v>1811</v>
      </c>
      <c r="E26" s="31" t="s">
        <v>1811</v>
      </c>
      <c r="F26" s="31">
        <v>38</v>
      </c>
      <c r="G26" s="31">
        <v>39.299999999999997</v>
      </c>
      <c r="H26" s="31">
        <v>39.799999999999997</v>
      </c>
      <c r="I26" s="31">
        <v>39.5</v>
      </c>
      <c r="J26" s="31">
        <v>38.9</v>
      </c>
      <c r="K26" s="31">
        <v>39.700000000000003</v>
      </c>
      <c r="L26" s="31">
        <v>39.9</v>
      </c>
    </row>
    <row r="28" spans="1:12">
      <c r="A28" s="66" t="s">
        <v>793</v>
      </c>
    </row>
    <row r="29" spans="1:12">
      <c r="A29" s="64" t="s">
        <v>2123</v>
      </c>
      <c r="B29" s="67">
        <f>IFERROR(((B26/B5)^(1/21)-1)*100,"n.a.")</f>
        <v>2.5883330041476249E-2</v>
      </c>
      <c r="C29" s="67">
        <f t="shared" ref="C29:L29" si="0">IFERROR(((C26/C5)^(1/21)-1)*100,"n.a.")</f>
        <v>-9.6645012219187532E-2</v>
      </c>
      <c r="D29" s="67" t="str">
        <f t="shared" si="0"/>
        <v>n.a.</v>
      </c>
      <c r="E29" s="67" t="str">
        <f t="shared" si="0"/>
        <v>n.a.</v>
      </c>
      <c r="F29" s="67">
        <f t="shared" si="0"/>
        <v>-0.33797956689295416</v>
      </c>
      <c r="G29" s="67">
        <f t="shared" si="0"/>
        <v>-2.4169236064008892E-2</v>
      </c>
      <c r="H29" s="67">
        <f t="shared" si="0"/>
        <v>2.3992373090298003E-2</v>
      </c>
      <c r="I29" s="67">
        <f t="shared" si="0"/>
        <v>1.2071469510810395E-2</v>
      </c>
      <c r="J29" s="67">
        <f t="shared" si="0"/>
        <v>-6.079848964969381E-2</v>
      </c>
      <c r="K29" s="67">
        <f t="shared" si="0"/>
        <v>0.27184623700715616</v>
      </c>
      <c r="L29" s="67">
        <f t="shared" si="0"/>
        <v>0.28312515626891521</v>
      </c>
    </row>
    <row r="30" spans="1:12">
      <c r="A30" s="64" t="s">
        <v>1395</v>
      </c>
      <c r="B30" s="67">
        <f>((B14/B5)^(1/9)-1)*100</f>
        <v>0.18034655791321352</v>
      </c>
      <c r="C30" s="67">
        <f t="shared" ref="C30:L30" si="1">((C14/C5)^(1/9)-1)*100</f>
        <v>-0.19696626967431463</v>
      </c>
      <c r="D30" s="67">
        <f t="shared" si="1"/>
        <v>-5.6673399935136537E-2</v>
      </c>
      <c r="E30" s="67">
        <f t="shared" si="1"/>
        <v>-2.8089902418604318E-2</v>
      </c>
      <c r="F30" s="67">
        <f t="shared" si="1"/>
        <v>-0.50008356745633309</v>
      </c>
      <c r="G30" s="67">
        <f t="shared" si="1"/>
        <v>0.22303498765945395</v>
      </c>
      <c r="H30" s="67">
        <f t="shared" si="1"/>
        <v>0.38677882665936192</v>
      </c>
      <c r="I30" s="67">
        <f t="shared" si="1"/>
        <v>0.14021496040492742</v>
      </c>
      <c r="J30" s="67">
        <f t="shared" si="1"/>
        <v>-2.8232651932902364E-2</v>
      </c>
      <c r="K30" s="67">
        <f t="shared" si="1"/>
        <v>0.17652617050718522</v>
      </c>
      <c r="L30" s="67">
        <f t="shared" si="1"/>
        <v>0.23420059100356383</v>
      </c>
    </row>
    <row r="31" spans="1:12">
      <c r="A31" s="64" t="s">
        <v>2028</v>
      </c>
      <c r="B31" s="67">
        <f>IFERROR(((B26/B14)^(1/12)-1)*100,"n.a.")</f>
        <v>-8.9807778680939254E-2</v>
      </c>
      <c r="C31" s="67">
        <f t="shared" ref="C31:L31" si="2">IFERROR(((C26/C14)^(1/12)-1)*100,"n.a.")</f>
        <v>-2.1337896994144678E-2</v>
      </c>
      <c r="D31" s="67" t="str">
        <f t="shared" si="2"/>
        <v>n.a.</v>
      </c>
      <c r="E31" s="67" t="str">
        <f t="shared" si="2"/>
        <v>n.a.</v>
      </c>
      <c r="F31" s="67">
        <f t="shared" si="2"/>
        <v>-0.2162282758206957</v>
      </c>
      <c r="G31" s="67">
        <f t="shared" si="2"/>
        <v>-0.20917218009748328</v>
      </c>
      <c r="H31" s="67">
        <f t="shared" si="2"/>
        <v>-0.24723681853752177</v>
      </c>
      <c r="I31" s="67">
        <f t="shared" si="2"/>
        <v>-8.3928526865917341E-2</v>
      </c>
      <c r="J31" s="67">
        <f t="shared" si="2"/>
        <v>-8.521590602984519E-2</v>
      </c>
      <c r="K31" s="67">
        <f t="shared" si="2"/>
        <v>0.34339580341100628</v>
      </c>
      <c r="L31" s="67">
        <f t="shared" si="2"/>
        <v>0.31983425096397955</v>
      </c>
    </row>
    <row r="32" spans="1:12">
      <c r="A32" s="64" t="s">
        <v>27</v>
      </c>
      <c r="B32" s="67">
        <f>((B20/B14)^(1/6)-1)*100</f>
        <v>0.13360122946721731</v>
      </c>
      <c r="C32" s="67">
        <f t="shared" ref="C32:L32" si="3">((C20/C14)^(1/6)-1)*100</f>
        <v>0.67066605065781992</v>
      </c>
      <c r="D32" s="67">
        <f t="shared" si="3"/>
        <v>-1.8293014819682263</v>
      </c>
      <c r="E32" s="67">
        <f t="shared" si="3"/>
        <v>-2.3251310057479269</v>
      </c>
      <c r="F32" s="67">
        <f t="shared" si="3"/>
        <v>4.5040650585981723</v>
      </c>
      <c r="G32" s="67">
        <f t="shared" si="3"/>
        <v>0.20572152458635529</v>
      </c>
      <c r="H32" s="67">
        <f t="shared" si="3"/>
        <v>0.16194455758091753</v>
      </c>
      <c r="I32" s="67">
        <f t="shared" si="3"/>
        <v>2.1004343997905739</v>
      </c>
      <c r="J32" s="67">
        <f t="shared" si="3"/>
        <v>-0.47203246283141764</v>
      </c>
      <c r="K32" s="67">
        <f t="shared" si="3"/>
        <v>0.6456560320527549</v>
      </c>
      <c r="L32" s="67">
        <f t="shared" si="3"/>
        <v>0.84979586132831741</v>
      </c>
    </row>
    <row r="33" spans="1:12">
      <c r="A33" s="64" t="s">
        <v>662</v>
      </c>
      <c r="B33" s="67">
        <f>((B18/B14)^(1/4)-1)*100</f>
        <v>0.26702507367217798</v>
      </c>
      <c r="C33" s="67">
        <f t="shared" ref="C33:L33" si="4">((C18/C14)^(1/4)-1)*100</f>
        <v>1.8047714467357867</v>
      </c>
      <c r="D33" s="67">
        <f t="shared" si="4"/>
        <v>-0.45060689193525683</v>
      </c>
      <c r="E33" s="67">
        <f t="shared" si="4"/>
        <v>-0.83313890728548001</v>
      </c>
      <c r="F33" s="67">
        <f t="shared" si="4"/>
        <v>5.4376233001218521</v>
      </c>
      <c r="G33" s="67">
        <f t="shared" si="4"/>
        <v>-0.50001566506444606</v>
      </c>
      <c r="H33" s="67">
        <f t="shared" si="4"/>
        <v>-0.67758752305999703</v>
      </c>
      <c r="I33" s="67">
        <f t="shared" si="4"/>
        <v>1.1697895341449271</v>
      </c>
      <c r="J33" s="67">
        <f t="shared" si="4"/>
        <v>-0.77225856060084697</v>
      </c>
      <c r="K33" s="67">
        <f t="shared" si="4"/>
        <v>1.0972923256205025</v>
      </c>
      <c r="L33" s="67">
        <f t="shared" si="4"/>
        <v>1.277398042419331</v>
      </c>
    </row>
    <row r="35" spans="1:12">
      <c r="A35" s="269" t="s">
        <v>1446</v>
      </c>
      <c r="B35" s="269"/>
      <c r="C35" s="269"/>
      <c r="D35" s="269"/>
      <c r="E35" s="269"/>
      <c r="F35" s="269"/>
      <c r="G35" s="269"/>
      <c r="H35" s="269"/>
      <c r="I35" s="269"/>
      <c r="K35" s="269"/>
      <c r="L35" s="269"/>
    </row>
    <row r="36" spans="1:12">
      <c r="A36" s="64" t="s">
        <v>1812</v>
      </c>
    </row>
  </sheetData>
  <mergeCells count="4">
    <mergeCell ref="C2:F2"/>
    <mergeCell ref="G2:J2"/>
    <mergeCell ref="K2:L2"/>
    <mergeCell ref="B2:B3"/>
  </mergeCells>
  <pageMargins left="0.7" right="0.7" top="0.75" bottom="0.75" header="0.3" footer="0.3"/>
  <pageSetup scale="76" orientation="landscape" horizontalDpi="0" verticalDpi="0" r:id="rId1"/>
</worksheet>
</file>

<file path=xl/worksheets/sheet32.xml><?xml version="1.0" encoding="utf-8"?>
<worksheet xmlns="http://schemas.openxmlformats.org/spreadsheetml/2006/main" xmlns:r="http://schemas.openxmlformats.org/officeDocument/2006/relationships">
  <sheetPr codeName="Sheet32"/>
  <dimension ref="A1:J35"/>
  <sheetViews>
    <sheetView view="pageBreakPreview" zoomScale="85" zoomScaleNormal="100"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10.7109375" style="64" customWidth="1"/>
    <col min="2" max="2" width="15.5703125" style="64" customWidth="1"/>
    <col min="3" max="3" width="18.28515625" style="64" customWidth="1"/>
    <col min="4" max="4" width="16" style="64" customWidth="1"/>
    <col min="5" max="7" width="16.7109375" style="64" customWidth="1"/>
    <col min="8" max="10" width="15.28515625" style="64" customWidth="1"/>
    <col min="11" max="16384" width="9.140625" style="64"/>
  </cols>
  <sheetData>
    <row r="1" spans="1:10">
      <c r="A1" s="66" t="s">
        <v>1970</v>
      </c>
    </row>
    <row r="2" spans="1:10">
      <c r="B2" s="111" t="s">
        <v>1453</v>
      </c>
      <c r="C2" s="111"/>
      <c r="D2" s="111"/>
      <c r="E2" s="111" t="s">
        <v>1413</v>
      </c>
      <c r="F2" s="111"/>
      <c r="G2" s="111"/>
      <c r="H2" s="111" t="s">
        <v>1454</v>
      </c>
      <c r="I2" s="111"/>
      <c r="J2" s="111"/>
    </row>
    <row r="3" spans="1:10">
      <c r="B3" s="266" t="s">
        <v>2079</v>
      </c>
      <c r="C3" s="267"/>
      <c r="D3" s="268"/>
      <c r="E3" s="266" t="s">
        <v>2080</v>
      </c>
      <c r="F3" s="267"/>
      <c r="G3" s="268"/>
      <c r="H3" s="266" t="s">
        <v>2082</v>
      </c>
      <c r="I3" s="267"/>
      <c r="J3" s="268"/>
    </row>
    <row r="4" spans="1:10" ht="30">
      <c r="B4" s="72" t="s">
        <v>63</v>
      </c>
      <c r="C4" s="72" t="s">
        <v>670</v>
      </c>
      <c r="D4" s="72" t="s">
        <v>671</v>
      </c>
      <c r="E4" s="72" t="s">
        <v>63</v>
      </c>
      <c r="F4" s="72" t="s">
        <v>670</v>
      </c>
      <c r="G4" s="72" t="s">
        <v>671</v>
      </c>
      <c r="H4" s="72" t="s">
        <v>63</v>
      </c>
      <c r="I4" s="72" t="s">
        <v>670</v>
      </c>
      <c r="J4" s="72" t="s">
        <v>671</v>
      </c>
    </row>
    <row r="5" spans="1:10">
      <c r="A5" s="66">
        <v>1991</v>
      </c>
      <c r="B5" s="56">
        <f>'4f'!D5*'3d'!G6*52</f>
        <v>29072253.599999998</v>
      </c>
      <c r="C5" s="56">
        <f>'4f'!G5*52*'3e'!F6</f>
        <v>39730522</v>
      </c>
      <c r="D5" s="56">
        <f>'4f'!K5*52*'3f'!E6</f>
        <v>59703150</v>
      </c>
      <c r="E5" s="56">
        <f>'4e'!C5*52*'3d'!K6</f>
        <v>53476300.799999997</v>
      </c>
      <c r="F5" s="56">
        <f>'4e'!E5*52*'3e'!J6</f>
        <v>143422219.20000002</v>
      </c>
      <c r="G5" s="56">
        <f>'4e'!I5*52*'3f'!G6</f>
        <v>185916307.19999999</v>
      </c>
      <c r="H5" s="30">
        <f>B5+E5</f>
        <v>82548554.399999991</v>
      </c>
      <c r="I5" s="30">
        <f t="shared" ref="I5:J5" si="0">C5+F5</f>
        <v>183152741.20000002</v>
      </c>
      <c r="J5" s="30">
        <f t="shared" si="0"/>
        <v>245619457.19999999</v>
      </c>
    </row>
    <row r="6" spans="1:10">
      <c r="A6" s="66">
        <v>1992</v>
      </c>
      <c r="B6" s="56">
        <f>'4f'!D6*'3d'!G7*52</f>
        <v>29092367.199999999</v>
      </c>
      <c r="C6" s="56">
        <f>'4f'!G6*52*'3e'!F7</f>
        <v>34776274</v>
      </c>
      <c r="D6" s="56">
        <f>'4f'!K6*52*'3f'!E7</f>
        <v>55853756.400000006</v>
      </c>
      <c r="E6" s="56">
        <f>'4e'!C6*52*'3d'!K7</f>
        <v>52483392</v>
      </c>
      <c r="F6" s="56">
        <f>'4e'!E6*52*'3e'!J7</f>
        <v>144059567.59999999</v>
      </c>
      <c r="G6" s="56">
        <f>'4e'!I6*52*'3f'!G7</f>
        <v>171178675.20000002</v>
      </c>
      <c r="H6" s="30">
        <f>B6+E6</f>
        <v>81575759.200000003</v>
      </c>
      <c r="I6" s="30">
        <f t="shared" ref="I6:I26" si="1">C6+F6</f>
        <v>178835841.59999999</v>
      </c>
      <c r="J6" s="30">
        <f t="shared" ref="J6:J26" si="2">D6+G6</f>
        <v>227032431.60000002</v>
      </c>
    </row>
    <row r="7" spans="1:10">
      <c r="A7" s="66">
        <v>1993</v>
      </c>
      <c r="B7" s="56">
        <f>'4f'!D7*'3d'!G8*52</f>
        <v>29678246</v>
      </c>
      <c r="C7" s="56">
        <f>'4f'!G7*52*'3e'!F8</f>
        <v>33788809.599999994</v>
      </c>
      <c r="D7" s="56">
        <f>'4f'!K7*52*'3f'!E8</f>
        <v>54424624.800000004</v>
      </c>
      <c r="E7" s="56">
        <f>'4e'!C7*52*'3d'!K8</f>
        <v>56696442.399999991</v>
      </c>
      <c r="F7" s="56">
        <f>'4e'!E7*52*'3e'!J8</f>
        <v>152441452.80000001</v>
      </c>
      <c r="G7" s="56">
        <f>'4e'!I7*52*'3f'!G8</f>
        <v>164027416.80000001</v>
      </c>
      <c r="H7" s="30">
        <f t="shared" ref="H7:H24" si="3">B7+E7</f>
        <v>86374688.399999991</v>
      </c>
      <c r="I7" s="30">
        <f t="shared" si="1"/>
        <v>186230262.40000001</v>
      </c>
      <c r="J7" s="30">
        <f t="shared" si="2"/>
        <v>218452041.60000002</v>
      </c>
    </row>
    <row r="8" spans="1:10">
      <c r="A8" s="66">
        <v>1994</v>
      </c>
      <c r="B8" s="56">
        <f>'4f'!D8*'3d'!G9*52</f>
        <v>24136200.399999999</v>
      </c>
      <c r="C8" s="56">
        <f>'4f'!G8*52*'3e'!F9</f>
        <v>40021945.600000001</v>
      </c>
      <c r="D8" s="56">
        <f>'4f'!K8*52*'3f'!E9</f>
        <v>53201335.200000003</v>
      </c>
      <c r="E8" s="56">
        <f>'4e'!C8*52*'3d'!K9</f>
        <v>56394338</v>
      </c>
      <c r="F8" s="56">
        <f>'4e'!E8*52*'3e'!J9</f>
        <v>168720973.20000002</v>
      </c>
      <c r="G8" s="56">
        <f>'4e'!I8*52*'3f'!G9</f>
        <v>160500366</v>
      </c>
      <c r="H8" s="30">
        <f t="shared" si="3"/>
        <v>80530538.400000006</v>
      </c>
      <c r="I8" s="30">
        <f t="shared" si="1"/>
        <v>208742918.80000001</v>
      </c>
      <c r="J8" s="30">
        <f t="shared" si="2"/>
        <v>213701701.19999999</v>
      </c>
    </row>
    <row r="9" spans="1:10">
      <c r="A9" s="66">
        <v>1995</v>
      </c>
      <c r="B9" s="56">
        <f>'4f'!D9*'3d'!G10*52</f>
        <v>24698044.800000001</v>
      </c>
      <c r="C9" s="56">
        <f>'4f'!G9*52*'3e'!F10</f>
        <v>38965196.399999999</v>
      </c>
      <c r="D9" s="56">
        <f>'4f'!K9*52*'3f'!E10</f>
        <v>52807809.599999994</v>
      </c>
      <c r="E9" s="56">
        <f>'4e'!C9*52*'3d'!K10</f>
        <v>63638218.800000012</v>
      </c>
      <c r="F9" s="56">
        <f>'4e'!E9*52*'3e'!J10</f>
        <v>164257995.20000002</v>
      </c>
      <c r="G9" s="56">
        <f>'4e'!I9*52*'3f'!G10</f>
        <v>161359614</v>
      </c>
      <c r="H9" s="30">
        <f t="shared" si="3"/>
        <v>88336263.600000009</v>
      </c>
      <c r="I9" s="30">
        <f t="shared" si="1"/>
        <v>203223191.60000002</v>
      </c>
      <c r="J9" s="30">
        <f t="shared" si="2"/>
        <v>214167423.59999999</v>
      </c>
    </row>
    <row r="10" spans="1:10">
      <c r="A10" s="66">
        <v>1996</v>
      </c>
      <c r="B10" s="56">
        <f>'4f'!D10*'3d'!G11*52</f>
        <v>26015028.000000004</v>
      </c>
      <c r="C10" s="56">
        <f>'4f'!G10*52*'3e'!F11</f>
        <v>46156749.600000001</v>
      </c>
      <c r="D10" s="56">
        <f>'4f'!K10*52*'3f'!E11</f>
        <v>52282214.399999999</v>
      </c>
      <c r="E10" s="56">
        <f>'4e'!C10*52*'3d'!K11</f>
        <v>58803680</v>
      </c>
      <c r="F10" s="56">
        <f>'4e'!E10*52*'3e'!J11</f>
        <v>175645267.20000002</v>
      </c>
      <c r="G10" s="56">
        <f>'4e'!I10*52*'3f'!G11</f>
        <v>158396118.39999998</v>
      </c>
      <c r="H10" s="30">
        <f t="shared" si="3"/>
        <v>84818708</v>
      </c>
      <c r="I10" s="30">
        <f t="shared" si="1"/>
        <v>221802016.80000001</v>
      </c>
      <c r="J10" s="30">
        <f t="shared" si="2"/>
        <v>210678332.79999998</v>
      </c>
    </row>
    <row r="11" spans="1:10">
      <c r="A11" s="66">
        <v>1997</v>
      </c>
      <c r="B11" s="56">
        <f>'4f'!D11*'3d'!G12*52</f>
        <v>25528921.599999998</v>
      </c>
      <c r="C11" s="56">
        <f>'4f'!G11*52*'3e'!F12</f>
        <v>49353408</v>
      </c>
      <c r="D11" s="56">
        <f>'4f'!K11*52*'3f'!E12</f>
        <v>51671349.600000001</v>
      </c>
      <c r="E11" s="56">
        <f>'4e'!C11*52*'3d'!K12</f>
        <v>63205272</v>
      </c>
      <c r="F11" s="56">
        <f>'4e'!E11*52*'3e'!J12</f>
        <v>190656460.79999998</v>
      </c>
      <c r="G11" s="56">
        <f>'4e'!I11*52*'3f'!G12</f>
        <v>159874842.40000001</v>
      </c>
      <c r="H11" s="30">
        <f t="shared" si="3"/>
        <v>88734193.599999994</v>
      </c>
      <c r="I11" s="30">
        <f t="shared" si="1"/>
        <v>240009868.79999998</v>
      </c>
      <c r="J11" s="30">
        <f t="shared" si="2"/>
        <v>211546192</v>
      </c>
    </row>
    <row r="12" spans="1:10">
      <c r="A12" s="66">
        <v>1998</v>
      </c>
      <c r="B12" s="56">
        <f>'4f'!D12*'3d'!G13*52</f>
        <v>22278880</v>
      </c>
      <c r="C12" s="56">
        <f>'4f'!G12*52*'3e'!F13</f>
        <v>39291725.200000003</v>
      </c>
      <c r="D12" s="56">
        <f>'4f'!K12*52*'3f'!E13</f>
        <v>51875740.800000004</v>
      </c>
      <c r="E12" s="56">
        <f>'4e'!C12*52*'3d'!K13</f>
        <v>56733534</v>
      </c>
      <c r="F12" s="56">
        <f>'4e'!E12*52*'3e'!J13</f>
        <v>204508137.60000002</v>
      </c>
      <c r="G12" s="56">
        <f>'4e'!I12*52*'3f'!G13</f>
        <v>151856686.79999998</v>
      </c>
      <c r="H12" s="30">
        <f t="shared" si="3"/>
        <v>79012414</v>
      </c>
      <c r="I12" s="30">
        <f t="shared" si="1"/>
        <v>243799862.80000001</v>
      </c>
      <c r="J12" s="30">
        <f t="shared" si="2"/>
        <v>203732427.59999999</v>
      </c>
    </row>
    <row r="13" spans="1:10">
      <c r="A13" s="66">
        <v>1999</v>
      </c>
      <c r="B13" s="56">
        <f>'4f'!D13*'3d'!G14*52</f>
        <v>17141124</v>
      </c>
      <c r="C13" s="56">
        <f>'4f'!G13*52*'3e'!F14</f>
        <v>42353396.800000004</v>
      </c>
      <c r="D13" s="56">
        <f>'4f'!K13*52*'3f'!E14</f>
        <v>48545177.199999996</v>
      </c>
      <c r="E13" s="56">
        <f>'4e'!C13*52*'3d'!K14</f>
        <v>52969643.999999993</v>
      </c>
      <c r="F13" s="56">
        <f>'4e'!E13*52*'3e'!J14</f>
        <v>221144086.79999998</v>
      </c>
      <c r="G13" s="56">
        <f>'4e'!I13*52*'3f'!G14</f>
        <v>158035441.19999999</v>
      </c>
      <c r="H13" s="30">
        <f t="shared" si="3"/>
        <v>70110768</v>
      </c>
      <c r="I13" s="30">
        <f t="shared" si="1"/>
        <v>263497483.59999999</v>
      </c>
      <c r="J13" s="30">
        <f t="shared" si="2"/>
        <v>206580618.39999998</v>
      </c>
    </row>
    <row r="14" spans="1:10">
      <c r="A14" s="66">
        <v>2000</v>
      </c>
      <c r="B14" s="56">
        <f>'4f'!D14*'3d'!G15*52</f>
        <v>20443826</v>
      </c>
      <c r="C14" s="56">
        <f>'4f'!G14*52*'3e'!F15</f>
        <v>39380515.199999996</v>
      </c>
      <c r="D14" s="56">
        <f>'4f'!K14*52*'3f'!E15</f>
        <v>51756868.800000004</v>
      </c>
      <c r="E14" s="56">
        <f>'4e'!C14*52*'3d'!K15</f>
        <v>53656054.399999999</v>
      </c>
      <c r="F14" s="56">
        <f>'4e'!E14*52*'3e'!J15</f>
        <v>228029131.20000002</v>
      </c>
      <c r="G14" s="56">
        <f>'4e'!I14*52*'3f'!G15</f>
        <v>167606571.59999999</v>
      </c>
      <c r="H14" s="30">
        <f t="shared" si="3"/>
        <v>74099880.400000006</v>
      </c>
      <c r="I14" s="30">
        <f t="shared" si="1"/>
        <v>267409646.40000001</v>
      </c>
      <c r="J14" s="30">
        <f t="shared" si="2"/>
        <v>219363440.40000001</v>
      </c>
    </row>
    <row r="15" spans="1:10">
      <c r="A15" s="66">
        <v>2001</v>
      </c>
      <c r="B15" s="56">
        <f>'4f'!D15*'3d'!G16*52</f>
        <v>19863511.200000003</v>
      </c>
      <c r="C15" s="56">
        <f>'4f'!G15*52*'3e'!F16</f>
        <v>39155854.399999999</v>
      </c>
      <c r="D15" s="56">
        <f>'4f'!K15*52*'3f'!E16</f>
        <v>58649276.399999999</v>
      </c>
      <c r="E15" s="56">
        <f>'4e'!C15*52*'3d'!K16</f>
        <v>56499700.399999999</v>
      </c>
      <c r="F15" s="56">
        <f>'4e'!E15*52*'3e'!J16</f>
        <v>205903557.59999999</v>
      </c>
      <c r="G15" s="56">
        <f>'4e'!I15*52*'3f'!G16</f>
        <v>147952043.19999999</v>
      </c>
      <c r="H15" s="30">
        <f t="shared" si="3"/>
        <v>76363211.599999994</v>
      </c>
      <c r="I15" s="30">
        <f t="shared" si="1"/>
        <v>245059412</v>
      </c>
      <c r="J15" s="30">
        <f t="shared" si="2"/>
        <v>206601319.59999999</v>
      </c>
    </row>
    <row r="16" spans="1:10">
      <c r="A16" s="66">
        <v>2002</v>
      </c>
      <c r="B16" s="56">
        <f>'4f'!D16*'3d'!G17*52</f>
        <v>17067632.400000002</v>
      </c>
      <c r="C16" s="56">
        <f>'4f'!G16*52*'3e'!F17</f>
        <v>38219303.199999996</v>
      </c>
      <c r="D16" s="56">
        <f>'4f'!K16*52*'3f'!E17</f>
        <v>48405884.800000004</v>
      </c>
      <c r="E16" s="56">
        <f>'4e'!C16*52*'3d'!K17</f>
        <v>57843676.799999997</v>
      </c>
      <c r="F16" s="56">
        <f>'4e'!E16*52*'3e'!J17</f>
        <v>219484278</v>
      </c>
      <c r="G16" s="56">
        <f>'4e'!I16*52*'3f'!G17</f>
        <v>141903590.40000001</v>
      </c>
      <c r="H16" s="30">
        <f t="shared" si="3"/>
        <v>74911309.200000003</v>
      </c>
      <c r="I16" s="30">
        <f t="shared" si="1"/>
        <v>257703581.19999999</v>
      </c>
      <c r="J16" s="30">
        <f t="shared" si="2"/>
        <v>190309475.20000002</v>
      </c>
    </row>
    <row r="17" spans="1:10">
      <c r="A17" s="66">
        <v>2003</v>
      </c>
      <c r="B17" s="56">
        <f>'4f'!D17*'3d'!G18*52</f>
        <v>17155210.800000001</v>
      </c>
      <c r="C17" s="56">
        <f>'4f'!G17*52*'3e'!F18</f>
        <v>40420666</v>
      </c>
      <c r="D17" s="56">
        <f>'4f'!K17*52*'3f'!E18</f>
        <v>41969460</v>
      </c>
      <c r="E17" s="56">
        <f>'4e'!C17*52*'3d'!K18</f>
        <v>52332134.399999999</v>
      </c>
      <c r="F17" s="56">
        <f>'4e'!E17*52*'3e'!J18</f>
        <v>207006456.79999998</v>
      </c>
      <c r="G17" s="56">
        <f>'4e'!I17*52*'3f'!G18</f>
        <v>150032771.19999999</v>
      </c>
      <c r="H17" s="30">
        <f t="shared" si="3"/>
        <v>69487345.200000003</v>
      </c>
      <c r="I17" s="30">
        <f t="shared" si="1"/>
        <v>247427122.79999998</v>
      </c>
      <c r="J17" s="30">
        <f t="shared" si="2"/>
        <v>192002231.19999999</v>
      </c>
    </row>
    <row r="18" spans="1:10">
      <c r="A18" s="66">
        <v>2004</v>
      </c>
      <c r="B18" s="56">
        <f>'4f'!D18*'3d'!G19*52</f>
        <v>17072640</v>
      </c>
      <c r="C18" s="56">
        <f>'4f'!G18*52*'3e'!F19</f>
        <v>50764610</v>
      </c>
      <c r="D18" s="56">
        <f>'4f'!K18*52*'3f'!E19</f>
        <v>41458227.199999996</v>
      </c>
      <c r="E18" s="56">
        <f>'4e'!C18*52*'3d'!K19</f>
        <v>53206826.399999999</v>
      </c>
      <c r="F18" s="56">
        <f>'4e'!E18*52*'3e'!J19</f>
        <v>213238589.20000002</v>
      </c>
      <c r="G18" s="56">
        <f>'4e'!I18*52*'3f'!G19</f>
        <v>144355068</v>
      </c>
      <c r="H18" s="30">
        <f t="shared" si="3"/>
        <v>70279466.400000006</v>
      </c>
      <c r="I18" s="30">
        <f t="shared" si="1"/>
        <v>264003199.20000002</v>
      </c>
      <c r="J18" s="30">
        <f t="shared" si="2"/>
        <v>185813295.19999999</v>
      </c>
    </row>
    <row r="19" spans="1:10">
      <c r="A19" s="66">
        <v>2005</v>
      </c>
      <c r="B19" s="56">
        <f>'4f'!D19*'3d'!G20*52</f>
        <v>13170144</v>
      </c>
      <c r="C19" s="56">
        <f>'4f'!G19*52*'3e'!F20</f>
        <v>59002070.399999999</v>
      </c>
      <c r="D19" s="56">
        <f>'4f'!K19*52*'3f'!E20</f>
        <v>51122162</v>
      </c>
      <c r="E19" s="56">
        <f>'4e'!C19*52*'3d'!K20</f>
        <v>56622586.800000004</v>
      </c>
      <c r="F19" s="56">
        <f>'4e'!E19*52*'3e'!J20</f>
        <v>211241487.59999999</v>
      </c>
      <c r="G19" s="56">
        <f>'4e'!I19*52*'3f'!G20</f>
        <v>124488499.2</v>
      </c>
      <c r="H19" s="30">
        <f t="shared" si="3"/>
        <v>69792730.800000012</v>
      </c>
      <c r="I19" s="30">
        <f t="shared" si="1"/>
        <v>270243558</v>
      </c>
      <c r="J19" s="30">
        <f t="shared" si="2"/>
        <v>175610661.19999999</v>
      </c>
    </row>
    <row r="20" spans="1:10">
      <c r="A20" s="66">
        <v>2006</v>
      </c>
      <c r="B20" s="56">
        <f>'4f'!D20*'3d'!G21*52</f>
        <v>14629160</v>
      </c>
      <c r="C20" s="56">
        <f>'4f'!G20*52*'3e'!F21</f>
        <v>56956473.599999994</v>
      </c>
      <c r="D20" s="56">
        <f>'4f'!K20*52*'3f'!E21</f>
        <v>51782702.400000006</v>
      </c>
      <c r="E20" s="56">
        <f>'4e'!C20*52*'3d'!K21</f>
        <v>51326080</v>
      </c>
      <c r="F20" s="56">
        <f>'4e'!E20*52*'3e'!J21</f>
        <v>192157971.19999999</v>
      </c>
      <c r="G20" s="56">
        <f>'4e'!I20*52*'3f'!G21</f>
        <v>114995129.59999999</v>
      </c>
      <c r="H20" s="30">
        <f t="shared" si="3"/>
        <v>65955240</v>
      </c>
      <c r="I20" s="30">
        <f t="shared" si="1"/>
        <v>249114444.79999998</v>
      </c>
      <c r="J20" s="30">
        <f t="shared" si="2"/>
        <v>166777832</v>
      </c>
    </row>
    <row r="21" spans="1:10">
      <c r="A21" s="66">
        <v>2007</v>
      </c>
      <c r="B21" s="56">
        <f>'4f'!D21*'3d'!G22*52</f>
        <v>13180939.200000001</v>
      </c>
      <c r="C21" s="56">
        <f>'4f'!G21*52*'3e'!F22</f>
        <v>35456148.000000007</v>
      </c>
      <c r="D21" s="56">
        <f>'4f'!K21*52*'3f'!E22</f>
        <v>50218958.399999999</v>
      </c>
      <c r="E21" s="56">
        <f>'4e'!C21*52*'3d'!K22</f>
        <v>50716640</v>
      </c>
      <c r="F21" s="56">
        <f>'4e'!E21*52*'3e'!J22</f>
        <v>206571040</v>
      </c>
      <c r="G21" s="56">
        <f>'4e'!I21*52*'3f'!G22</f>
        <v>107753526.39999999</v>
      </c>
      <c r="H21" s="30">
        <f t="shared" si="3"/>
        <v>63897579.200000003</v>
      </c>
      <c r="I21" s="30">
        <f t="shared" si="1"/>
        <v>242027188</v>
      </c>
      <c r="J21" s="30">
        <f t="shared" si="2"/>
        <v>157972484.79999998</v>
      </c>
    </row>
    <row r="22" spans="1:10">
      <c r="A22" s="66">
        <v>2008</v>
      </c>
      <c r="B22" s="56">
        <f>'4f'!D22*'3d'!G23*52</f>
        <v>12138984</v>
      </c>
      <c r="C22" s="56">
        <f>'4f'!G22*52*'3e'!F23</f>
        <v>48145240</v>
      </c>
      <c r="D22" s="56">
        <f>'4f'!K22*52*'3f'!E23</f>
        <v>38660128</v>
      </c>
      <c r="E22" s="56">
        <f>'4e'!C22*52*'3d'!K23</f>
        <v>46500480</v>
      </c>
      <c r="F22" s="56">
        <f>'4e'!E22*52*'3e'!J23</f>
        <v>164271120</v>
      </c>
      <c r="G22" s="56">
        <f>'4e'!I22*52*'3f'!G23</f>
        <v>103202236.8</v>
      </c>
      <c r="H22" s="30">
        <f t="shared" si="3"/>
        <v>58639464</v>
      </c>
      <c r="I22" s="30">
        <f t="shared" si="1"/>
        <v>212416360</v>
      </c>
      <c r="J22" s="30">
        <f t="shared" si="2"/>
        <v>141862364.80000001</v>
      </c>
    </row>
    <row r="23" spans="1:10">
      <c r="A23" s="66">
        <v>2009</v>
      </c>
      <c r="B23" s="56" t="s">
        <v>22</v>
      </c>
      <c r="C23" s="56">
        <f>'4f'!G23*52*'3e'!F24</f>
        <v>35150102</v>
      </c>
      <c r="D23" s="56" t="s">
        <v>22</v>
      </c>
      <c r="E23" s="56" t="s">
        <v>22</v>
      </c>
      <c r="F23" s="56">
        <f>'4e'!E23*52*'3e'!J24</f>
        <v>124328880</v>
      </c>
      <c r="G23" s="56" t="s">
        <v>22</v>
      </c>
      <c r="H23" s="30" t="s">
        <v>22</v>
      </c>
      <c r="I23" s="30">
        <f t="shared" si="1"/>
        <v>159478982</v>
      </c>
      <c r="J23" s="30" t="s">
        <v>22</v>
      </c>
    </row>
    <row r="24" spans="1:10">
      <c r="A24" s="66">
        <v>2010</v>
      </c>
      <c r="B24" s="56">
        <f>'4f'!D24*'3d'!G25*52</f>
        <v>8795436</v>
      </c>
      <c r="C24" s="56">
        <f>'4f'!G24*52*'3e'!F25</f>
        <v>29580787.600000001</v>
      </c>
      <c r="D24" s="56">
        <f>'4f'!K24*52*'3f'!E25</f>
        <v>46473830</v>
      </c>
      <c r="E24" s="56">
        <f>'4e'!C24*52*'3d'!K25</f>
        <v>34830432</v>
      </c>
      <c r="F24" s="56">
        <f>'4e'!E24*52*'3e'!J25</f>
        <v>128714976</v>
      </c>
      <c r="G24" s="56">
        <f>'4e'!I24*52*'3f'!G25</f>
        <v>79228531.200000003</v>
      </c>
      <c r="H24" s="30">
        <f t="shared" si="3"/>
        <v>43625868</v>
      </c>
      <c r="I24" s="30">
        <f t="shared" si="1"/>
        <v>158295763.59999999</v>
      </c>
      <c r="J24" s="30">
        <f t="shared" si="2"/>
        <v>125702361.2</v>
      </c>
    </row>
    <row r="25" spans="1:10">
      <c r="A25" s="66">
        <v>2011</v>
      </c>
      <c r="B25" s="56">
        <f>'4f'!D25*'3d'!G26*52</f>
        <v>8977878</v>
      </c>
      <c r="C25" s="56">
        <f>'4f'!G25*52*'3e'!F26</f>
        <v>25956320</v>
      </c>
      <c r="D25" s="56">
        <f>'4f'!K25*52*'3f'!E26</f>
        <v>44971508.400000006</v>
      </c>
      <c r="E25" s="56">
        <f>'4e'!C25*52*'3d'!K26</f>
        <v>40323582</v>
      </c>
      <c r="F25" s="56">
        <f>'4e'!E25*52*'3e'!J26</f>
        <v>135695872</v>
      </c>
      <c r="G25" s="56">
        <f>'4e'!I25*52*'3f'!G26</f>
        <v>77617644</v>
      </c>
      <c r="H25" s="30">
        <f>B25+E25</f>
        <v>49301460</v>
      </c>
      <c r="I25" s="30">
        <f t="shared" si="1"/>
        <v>161652192</v>
      </c>
      <c r="J25" s="30">
        <f t="shared" si="2"/>
        <v>122589152.40000001</v>
      </c>
    </row>
    <row r="26" spans="1:10">
      <c r="A26" s="66">
        <v>2012</v>
      </c>
      <c r="B26" s="56" t="s">
        <v>22</v>
      </c>
      <c r="C26" s="56">
        <f>'4f'!G26*52*'3e'!F27</f>
        <v>29928522</v>
      </c>
      <c r="D26" s="56">
        <f>'4f'!K26*52*'3f'!E27</f>
        <v>40338376</v>
      </c>
      <c r="E26" s="56" t="s">
        <v>22</v>
      </c>
      <c r="F26" s="56">
        <f>'4e'!E26*52*'3e'!J27</f>
        <v>136483048</v>
      </c>
      <c r="G26" s="56">
        <f>'4e'!I26*52*'3f'!G27</f>
        <v>75269282.399999991</v>
      </c>
      <c r="H26" s="30" t="s">
        <v>22</v>
      </c>
      <c r="I26" s="30">
        <f t="shared" si="1"/>
        <v>166411570</v>
      </c>
      <c r="J26" s="30">
        <f t="shared" si="2"/>
        <v>115607658.39999999</v>
      </c>
    </row>
    <row r="27" spans="1:10">
      <c r="A27" s="66"/>
      <c r="B27" s="56"/>
      <c r="C27" s="56"/>
      <c r="D27" s="56"/>
      <c r="E27" s="56"/>
      <c r="F27" s="56"/>
      <c r="G27" s="56"/>
      <c r="H27" s="30"/>
      <c r="I27" s="30"/>
      <c r="J27" s="30"/>
    </row>
    <row r="28" spans="1:10">
      <c r="A28" s="66" t="s">
        <v>793</v>
      </c>
    </row>
    <row r="29" spans="1:10">
      <c r="A29" s="64" t="s">
        <v>2123</v>
      </c>
      <c r="B29" s="67" t="str">
        <f>IFERROR(((B26/B5)^(1/21)-1)*100,"n.a.")</f>
        <v>n.a.</v>
      </c>
      <c r="C29" s="67">
        <f t="shared" ref="C29:J29" si="4">IFERROR(((C26/C5)^(1/21)-1)*100,"n.a.")</f>
        <v>-1.3400252562033921</v>
      </c>
      <c r="D29" s="67">
        <f t="shared" si="4"/>
        <v>-1.8497333043103859</v>
      </c>
      <c r="E29" s="67" t="str">
        <f t="shared" si="4"/>
        <v>n.a.</v>
      </c>
      <c r="F29" s="67">
        <f t="shared" si="4"/>
        <v>-0.23587587621377581</v>
      </c>
      <c r="G29" s="67">
        <f t="shared" si="4"/>
        <v>-4.2144463471705524</v>
      </c>
      <c r="H29" s="67" t="str">
        <f t="shared" si="4"/>
        <v>n.a.</v>
      </c>
      <c r="I29" s="67">
        <f t="shared" si="4"/>
        <v>-0.45541885118765002</v>
      </c>
      <c r="J29" s="67">
        <f t="shared" si="4"/>
        <v>-3.5248592531198275</v>
      </c>
    </row>
    <row r="30" spans="1:10">
      <c r="A30" s="64" t="s">
        <v>1395</v>
      </c>
      <c r="B30" s="67">
        <f>((B14/B5)^(1/9)-1)*100</f>
        <v>-3.836718410923845</v>
      </c>
      <c r="C30" s="67">
        <f t="shared" ref="C30:J30" si="5">((C14/C5)^(1/9)-1)*100</f>
        <v>-9.8268934624690107E-2</v>
      </c>
      <c r="D30" s="67">
        <f t="shared" si="5"/>
        <v>-1.5744475786088619</v>
      </c>
      <c r="E30" s="67">
        <f t="shared" si="5"/>
        <v>3.7292869892646685E-2</v>
      </c>
      <c r="F30" s="67">
        <f t="shared" si="5"/>
        <v>5.287030518982494</v>
      </c>
      <c r="G30" s="67">
        <f t="shared" si="5"/>
        <v>-1.1453592846102367</v>
      </c>
      <c r="H30" s="67">
        <f t="shared" si="5"/>
        <v>-1.1925294389049657</v>
      </c>
      <c r="I30" s="67">
        <f t="shared" si="5"/>
        <v>4.2947932255486432</v>
      </c>
      <c r="J30" s="67">
        <f t="shared" si="5"/>
        <v>-1.2482935512623472</v>
      </c>
    </row>
    <row r="31" spans="1:10">
      <c r="A31" s="64" t="s">
        <v>2028</v>
      </c>
      <c r="B31" s="67" t="str">
        <f>IFERROR(((B26/B14)^(1/12)-1)*100,"n.a.")</f>
        <v>n.a.</v>
      </c>
      <c r="C31" s="67">
        <f t="shared" ref="C31:J31" si="6">IFERROR(((C26/C14)^(1/12)-1)*100,"n.a.")</f>
        <v>-2.2612029064816852</v>
      </c>
      <c r="D31" s="67">
        <f t="shared" si="6"/>
        <v>-2.0556922045181891</v>
      </c>
      <c r="E31" s="67" t="str">
        <f t="shared" si="6"/>
        <v>n.a.</v>
      </c>
      <c r="F31" s="67">
        <f t="shared" si="6"/>
        <v>-4.1870897659628152</v>
      </c>
      <c r="G31" s="67">
        <f t="shared" si="6"/>
        <v>-6.453567950513861</v>
      </c>
      <c r="H31" s="67" t="str">
        <f t="shared" si="6"/>
        <v>n.a.</v>
      </c>
      <c r="I31" s="67">
        <f t="shared" si="6"/>
        <v>-3.8755493819962683</v>
      </c>
      <c r="J31" s="67">
        <f t="shared" si="6"/>
        <v>-5.1977751410871909</v>
      </c>
    </row>
    <row r="32" spans="1:10">
      <c r="A32" s="64" t="s">
        <v>27</v>
      </c>
      <c r="B32" s="67">
        <f>((B20/B14)^(1/6)-1)*100</f>
        <v>-5.4250321536900685</v>
      </c>
      <c r="C32" s="67">
        <f t="shared" ref="C32:J32" si="7">((C20/C14)^(1/6)-1)*100</f>
        <v>6.3433367647254491</v>
      </c>
      <c r="D32" s="67">
        <f t="shared" si="7"/>
        <v>8.3171662561776216E-3</v>
      </c>
      <c r="E32" s="67">
        <f t="shared" si="7"/>
        <v>-0.73719111119360248</v>
      </c>
      <c r="F32" s="67">
        <f t="shared" si="7"/>
        <v>-2.8122908380058487</v>
      </c>
      <c r="G32" s="67">
        <f t="shared" si="7"/>
        <v>-6.0857702940078751</v>
      </c>
      <c r="H32" s="67">
        <f t="shared" si="7"/>
        <v>-1.9219175323107129</v>
      </c>
      <c r="I32" s="67">
        <f t="shared" si="7"/>
        <v>-1.1742072463205688</v>
      </c>
      <c r="J32" s="67">
        <f t="shared" si="7"/>
        <v>-4.4650356521388934</v>
      </c>
    </row>
    <row r="33" spans="1:10">
      <c r="A33" s="64" t="s">
        <v>662</v>
      </c>
      <c r="B33" s="67">
        <f>((B18/B14)^(1/4)-1)*100</f>
        <v>-4.4051212492439369</v>
      </c>
      <c r="C33" s="67">
        <f t="shared" ref="C33:J33" si="8">((C18/C14)^(1/4)-1)*100</f>
        <v>6.554038644667104</v>
      </c>
      <c r="D33" s="67">
        <f t="shared" si="8"/>
        <v>-5.3957421295006363</v>
      </c>
      <c r="E33" s="67">
        <f t="shared" si="8"/>
        <v>-0.20996947399098964</v>
      </c>
      <c r="F33" s="67">
        <f t="shared" si="8"/>
        <v>-1.6625670654076163</v>
      </c>
      <c r="G33" s="67">
        <f t="shared" si="8"/>
        <v>-3.6647456771728981</v>
      </c>
      <c r="H33" s="67">
        <f t="shared" si="8"/>
        <v>-1.3146383270694617</v>
      </c>
      <c r="I33" s="67">
        <f t="shared" si="8"/>
        <v>-0.31999984452351082</v>
      </c>
      <c r="J33" s="67">
        <f t="shared" si="8"/>
        <v>-4.0647671283998825</v>
      </c>
    </row>
    <row r="35" spans="1:10">
      <c r="A35" s="64" t="s">
        <v>1455</v>
      </c>
    </row>
  </sheetData>
  <mergeCells count="6">
    <mergeCell ref="B2:D2"/>
    <mergeCell ref="E2:G2"/>
    <mergeCell ref="H2:J2"/>
    <mergeCell ref="B3:D3"/>
    <mergeCell ref="E3:G3"/>
    <mergeCell ref="H3:J3"/>
  </mergeCells>
  <pageMargins left="0.7" right="0.7" top="0.75" bottom="0.75" header="0.3" footer="0.3"/>
  <pageSetup scale="77" orientation="landscape" horizontalDpi="0" verticalDpi="0" r:id="rId1"/>
  <ignoredErrors>
    <ignoredError sqref="B3:G3" numberStoredAsText="1"/>
  </ignoredErrors>
</worksheet>
</file>

<file path=xl/worksheets/sheet33.xml><?xml version="1.0" encoding="utf-8"?>
<worksheet xmlns="http://schemas.openxmlformats.org/spreadsheetml/2006/main" xmlns:r="http://schemas.openxmlformats.org/officeDocument/2006/relationships">
  <sheetPr codeName="Sheet33"/>
  <dimension ref="A1:P60"/>
  <sheetViews>
    <sheetView view="pageBreakPre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7109375" style="64" customWidth="1"/>
    <col min="2" max="2" width="12.7109375" style="64" customWidth="1"/>
    <col min="3" max="3" width="14.28515625" style="64" customWidth="1"/>
    <col min="4" max="4" width="14" style="64" customWidth="1"/>
    <col min="5" max="5" width="12.7109375" style="64" customWidth="1"/>
    <col min="6" max="9" width="14.85546875" style="64" customWidth="1"/>
    <col min="10" max="10" width="9.140625" style="64"/>
    <col min="11" max="15" width="24.42578125" style="64" hidden="1" customWidth="1" outlineLevel="1"/>
    <col min="16" max="16" width="9.140625" style="64" collapsed="1"/>
    <col min="17" max="16384" width="9.140625" style="64"/>
  </cols>
  <sheetData>
    <row r="1" spans="1:15">
      <c r="A1" s="93" t="s">
        <v>1971</v>
      </c>
      <c r="B1" s="93"/>
      <c r="C1" s="93"/>
      <c r="D1" s="93"/>
      <c r="E1" s="93"/>
      <c r="F1" s="93"/>
      <c r="G1" s="93"/>
      <c r="H1" s="93"/>
      <c r="I1" s="93"/>
    </row>
    <row r="2" spans="1:15">
      <c r="A2" s="96"/>
      <c r="B2" s="94" t="s">
        <v>51</v>
      </c>
      <c r="C2" s="123" t="s">
        <v>938</v>
      </c>
      <c r="D2" s="94" t="s">
        <v>37</v>
      </c>
      <c r="E2" s="94"/>
      <c r="F2" s="94"/>
      <c r="G2" s="94"/>
      <c r="H2" s="94"/>
      <c r="I2" s="94"/>
    </row>
    <row r="3" spans="1:15">
      <c r="A3" s="96"/>
      <c r="B3" s="94"/>
      <c r="C3" s="125"/>
      <c r="D3" s="94" t="s">
        <v>78</v>
      </c>
      <c r="E3" s="94" t="s">
        <v>0</v>
      </c>
      <c r="F3" s="94" t="s">
        <v>1</v>
      </c>
      <c r="G3" s="94" t="s">
        <v>2</v>
      </c>
      <c r="H3" s="94"/>
      <c r="I3" s="94"/>
      <c r="K3" s="97" t="s">
        <v>0</v>
      </c>
      <c r="L3" s="97" t="s">
        <v>1</v>
      </c>
      <c r="M3" s="97" t="s">
        <v>2</v>
      </c>
      <c r="N3" s="97"/>
      <c r="O3" s="97"/>
    </row>
    <row r="4" spans="1:15" ht="60">
      <c r="A4" s="96"/>
      <c r="B4" s="94"/>
      <c r="C4" s="126"/>
      <c r="D4" s="94"/>
      <c r="E4" s="94"/>
      <c r="F4" s="94"/>
      <c r="G4" s="72" t="s">
        <v>517</v>
      </c>
      <c r="H4" s="72" t="s">
        <v>13</v>
      </c>
      <c r="I4" s="72" t="s">
        <v>19</v>
      </c>
      <c r="K4" s="101"/>
      <c r="L4" s="101"/>
      <c r="M4" s="76" t="s">
        <v>517</v>
      </c>
      <c r="N4" s="73" t="s">
        <v>13</v>
      </c>
      <c r="O4" s="73" t="s">
        <v>19</v>
      </c>
    </row>
    <row r="5" spans="1:15">
      <c r="A5" s="66">
        <v>1981</v>
      </c>
      <c r="B5" s="147">
        <f>IFERROR('1a'!B7/'4'!B26,"..")</f>
        <v>35.444901174774103</v>
      </c>
      <c r="C5" s="147">
        <f>IFERROR('1a'!C7/'4'!C26,"..")</f>
        <v>27.590827287299888</v>
      </c>
      <c r="D5" s="147" t="str">
        <f>IFERROR('1a'!D7/'4'!D26,"..")</f>
        <v>..</v>
      </c>
      <c r="E5" s="147" t="str">
        <f>IFERROR('1a'!E7/'4'!E26,"..")</f>
        <v>..</v>
      </c>
      <c r="F5" s="147">
        <f>IFERROR('1a'!F7/'4'!F26,"..")</f>
        <v>17.107232818287383</v>
      </c>
      <c r="G5" s="147">
        <f>IFERROR('1a'!O7/'4'!G26,"..")</f>
        <v>28.424304163987589</v>
      </c>
      <c r="H5" s="147" t="str">
        <f>IFERROR('1a'!P7/'4'!H26,"..")</f>
        <v>..</v>
      </c>
      <c r="I5" s="147" t="str">
        <f>IFERROR('1a'!V7/'4'!I26,"..")</f>
        <v>..</v>
      </c>
      <c r="J5" s="138"/>
      <c r="K5" s="234"/>
      <c r="L5" s="62"/>
      <c r="M5" s="70"/>
    </row>
    <row r="6" spans="1:15">
      <c r="A6" s="66">
        <v>1982</v>
      </c>
      <c r="B6" s="147">
        <f>IFERROR('1a'!B8/'4'!B27,"..")</f>
        <v>35.980813092496497</v>
      </c>
      <c r="C6" s="147">
        <f>IFERROR('1a'!C8/'4'!C27,"..")</f>
        <v>27.276576744887965</v>
      </c>
      <c r="D6" s="147" t="str">
        <f>IFERROR('1a'!D8/'4'!D27,"..")</f>
        <v>..</v>
      </c>
      <c r="E6" s="147" t="str">
        <f>IFERROR('1a'!E8/'4'!E27,"..")</f>
        <v>..</v>
      </c>
      <c r="F6" s="147">
        <f>IFERROR('1a'!F8/'4'!F27,"..")</f>
        <v>17.180470424512201</v>
      </c>
      <c r="G6" s="147">
        <f>IFERROR('1a'!O8/'4'!G27,"..")</f>
        <v>28.315863314231549</v>
      </c>
      <c r="H6" s="147" t="str">
        <f>IFERROR('1a'!P8/'4'!H27,"..")</f>
        <v>..</v>
      </c>
      <c r="I6" s="147" t="str">
        <f>IFERROR('1a'!V8/'4'!I27,"..")</f>
        <v>..</v>
      </c>
      <c r="J6" s="138"/>
    </row>
    <row r="7" spans="1:15">
      <c r="A7" s="66">
        <v>1983</v>
      </c>
      <c r="B7" s="147">
        <f>IFERROR('1a'!B9/'4'!B28,"..")</f>
        <v>36.722736321090018</v>
      </c>
      <c r="C7" s="147">
        <f>IFERROR('1a'!C9/'4'!C28,"..")</f>
        <v>29.092699363397941</v>
      </c>
      <c r="D7" s="147" t="str">
        <f>IFERROR('1a'!D9/'4'!D28,"..")</f>
        <v>..</v>
      </c>
      <c r="E7" s="147" t="str">
        <f>IFERROR('1a'!E9/'4'!E28,"..")</f>
        <v>..</v>
      </c>
      <c r="F7" s="147">
        <f>IFERROR('1a'!F9/'4'!F28,"..")</f>
        <v>20.549216324552727</v>
      </c>
      <c r="G7" s="147">
        <f>IFERROR('1a'!O9/'4'!G28,"..")</f>
        <v>32.731268253897177</v>
      </c>
      <c r="H7" s="147" t="str">
        <f>IFERROR('1a'!P9/'4'!H28,"..")</f>
        <v>..</v>
      </c>
      <c r="I7" s="147" t="str">
        <f>IFERROR('1a'!V9/'4'!I28,"..")</f>
        <v>..</v>
      </c>
      <c r="J7" s="138"/>
    </row>
    <row r="8" spans="1:15">
      <c r="A8" s="66">
        <v>1984</v>
      </c>
      <c r="B8" s="147">
        <f>IFERROR('1a'!B10/'4'!B29,"..")</f>
        <v>37.750241925179601</v>
      </c>
      <c r="C8" s="147">
        <f>IFERROR('1a'!C10/'4'!C29,"..")</f>
        <v>32.142060473353574</v>
      </c>
      <c r="D8" s="147" t="str">
        <f>IFERROR('1a'!D10/'4'!D29,"..")</f>
        <v>..</v>
      </c>
      <c r="E8" s="147" t="str">
        <f>IFERROR('1a'!E10/'4'!E29,"..")</f>
        <v>..</v>
      </c>
      <c r="F8" s="147">
        <f>IFERROR('1a'!F10/'4'!F29,"..")</f>
        <v>23.386479257643412</v>
      </c>
      <c r="G8" s="147">
        <f>IFERROR('1a'!O10/'4'!G29,"..")</f>
        <v>33.928712640181736</v>
      </c>
      <c r="H8" s="147" t="str">
        <f>IFERROR('1a'!P10/'4'!H29,"..")</f>
        <v>..</v>
      </c>
      <c r="I8" s="147" t="str">
        <f>IFERROR('1a'!V10/'4'!I29,"..")</f>
        <v>..</v>
      </c>
      <c r="J8" s="138"/>
    </row>
    <row r="9" spans="1:15">
      <c r="A9" s="66">
        <v>1985</v>
      </c>
      <c r="B9" s="147">
        <f>IFERROR('1a'!B11/'4'!B30,"..")</f>
        <v>38.293759942347869</v>
      </c>
      <c r="C9" s="147">
        <f>IFERROR('1a'!C11/'4'!C30,"..")</f>
        <v>32.789372812982499</v>
      </c>
      <c r="D9" s="147" t="str">
        <f>IFERROR('1a'!D11/'4'!D30,"..")</f>
        <v>..</v>
      </c>
      <c r="E9" s="147" t="str">
        <f>IFERROR('1a'!E11/'4'!E30,"..")</f>
        <v>..</v>
      </c>
      <c r="F9" s="147">
        <f>IFERROR('1a'!F11/'4'!F30,"..")</f>
        <v>25.982967770745969</v>
      </c>
      <c r="G9" s="147">
        <f>IFERROR('1a'!O11/'4'!G30,"..")</f>
        <v>34.619803810980407</v>
      </c>
      <c r="H9" s="147" t="str">
        <f>IFERROR('1a'!P11/'4'!H30,"..")</f>
        <v>..</v>
      </c>
      <c r="I9" s="147" t="str">
        <f>IFERROR('1a'!V11/'4'!I30,"..")</f>
        <v>..</v>
      </c>
      <c r="J9" s="138"/>
    </row>
    <row r="10" spans="1:15">
      <c r="A10" s="66">
        <v>1986</v>
      </c>
      <c r="B10" s="147">
        <f>IFERROR('1a'!B12/'4'!B31,"..")</f>
        <v>38.216459836990339</v>
      </c>
      <c r="C10" s="147">
        <f>IFERROR('1a'!C12/'4'!C31,"..")</f>
        <v>31.916768779944174</v>
      </c>
      <c r="D10" s="147">
        <f>IFERROR('1a'!D12/'4'!D31,"..")</f>
        <v>29.553249984288652</v>
      </c>
      <c r="E10" s="147">
        <f>IFERROR('1a'!E12/'4'!E31,"..")</f>
        <v>29.207202420664668</v>
      </c>
      <c r="F10" s="147">
        <f>IFERROR('1a'!F12/'4'!F31,"..")</f>
        <v>24.900578738839375</v>
      </c>
      <c r="G10" s="147">
        <f>IFERROR('1a'!O12/'4'!G31,"..")</f>
        <v>34.428898956486051</v>
      </c>
      <c r="H10" s="147" t="str">
        <f>IFERROR('1a'!P12/'4'!H31,"..")</f>
        <v>..</v>
      </c>
      <c r="I10" s="147" t="str">
        <f>IFERROR('1a'!V12/'4'!I31,"..")</f>
        <v>..</v>
      </c>
      <c r="J10" s="138"/>
    </row>
    <row r="11" spans="1:15">
      <c r="A11" s="66">
        <v>1987</v>
      </c>
      <c r="B11" s="147">
        <f>IFERROR('1a'!B13/'4'!B32,"..")</f>
        <v>38.329655737596156</v>
      </c>
      <c r="C11" s="147">
        <f>IFERROR('1a'!C13/'4'!C32,"..")</f>
        <v>32.150554736491998</v>
      </c>
      <c r="D11" s="147">
        <f>IFERROR('1a'!D13/'4'!D32,"..")</f>
        <v>30.64503846595548</v>
      </c>
      <c r="E11" s="147">
        <f>IFERROR('1a'!E13/'4'!E32,"..")</f>
        <v>32.613424972098386</v>
      </c>
      <c r="F11" s="147">
        <f>IFERROR('1a'!F13/'4'!F32,"..")</f>
        <v>26.178578041021268</v>
      </c>
      <c r="G11" s="147">
        <f>IFERROR('1a'!O13/'4'!G32,"..")</f>
        <v>33.948093641275406</v>
      </c>
      <c r="H11" s="147" t="str">
        <f>IFERROR('1a'!P13/'4'!H32,"..")</f>
        <v>..</v>
      </c>
      <c r="I11" s="147" t="str">
        <f>IFERROR('1a'!V13/'4'!I32,"..")</f>
        <v>..</v>
      </c>
      <c r="J11" s="138"/>
      <c r="K11" s="67">
        <v>49.336213549572342</v>
      </c>
      <c r="L11" s="67">
        <v>37.113193193214116</v>
      </c>
      <c r="M11" s="67">
        <v>42.691520549539945</v>
      </c>
      <c r="N11" s="65">
        <v>48.699313120403794</v>
      </c>
      <c r="O11" s="65">
        <v>29.02606223441904</v>
      </c>
    </row>
    <row r="12" spans="1:15">
      <c r="A12" s="66">
        <v>1988</v>
      </c>
      <c r="B12" s="147">
        <f>IFERROR('1a'!B14/'4'!B33,"..")</f>
        <v>38.472866279883249</v>
      </c>
      <c r="C12" s="147">
        <f>IFERROR('1a'!C14/'4'!C33,"..")</f>
        <v>32.412071943091917</v>
      </c>
      <c r="D12" s="147">
        <f>IFERROR('1a'!D14/'4'!D33,"..")</f>
        <v>31.236397414612476</v>
      </c>
      <c r="E12" s="147">
        <f>IFERROR('1a'!E14/'4'!E33,"..")</f>
        <v>33.029086965500802</v>
      </c>
      <c r="F12" s="147">
        <f>IFERROR('1a'!F14/'4'!F33,"..")</f>
        <v>26.923378732839957</v>
      </c>
      <c r="G12" s="147">
        <f>IFERROR('1a'!O14/'4'!G33,"..")</f>
        <v>34.576202280670522</v>
      </c>
      <c r="H12" s="147" t="str">
        <f>IFERROR('1a'!P14/'4'!H33,"..")</f>
        <v>..</v>
      </c>
      <c r="I12" s="147" t="str">
        <f>IFERROR('1a'!V14/'4'!I33,"..")</f>
        <v>..</v>
      </c>
      <c r="J12" s="138"/>
      <c r="K12" s="67">
        <v>43.554584303813378</v>
      </c>
      <c r="L12" s="67">
        <v>35.553439559607767</v>
      </c>
      <c r="M12" s="67">
        <v>40.48553096211289</v>
      </c>
      <c r="N12" s="65">
        <v>44.105362265080018</v>
      </c>
      <c r="O12" s="65">
        <v>31.397755764194127</v>
      </c>
    </row>
    <row r="13" spans="1:15">
      <c r="A13" s="66">
        <v>1989</v>
      </c>
      <c r="B13" s="147">
        <f>IFERROR('1a'!B15/'4'!B34,"..")</f>
        <v>38.601623124092313</v>
      </c>
      <c r="C13" s="147">
        <f>IFERROR('1a'!C15/'4'!C34,"..")</f>
        <v>33.199178929351525</v>
      </c>
      <c r="D13" s="147">
        <f>IFERROR('1a'!D15/'4'!D34,"..")</f>
        <v>30.491081034015572</v>
      </c>
      <c r="E13" s="147">
        <f>IFERROR('1a'!E15/'4'!E34,"..")</f>
        <v>31.856212530371231</v>
      </c>
      <c r="F13" s="147">
        <f>IFERROR('1a'!F15/'4'!F34,"..")</f>
        <v>26.455153915357876</v>
      </c>
      <c r="G13" s="147">
        <f>IFERROR('1a'!O15/'4'!G34,"..")</f>
        <v>33.781029335198291</v>
      </c>
      <c r="H13" s="147" t="str">
        <f>IFERROR('1a'!P15/'4'!H34,"..")</f>
        <v>..</v>
      </c>
      <c r="I13" s="147" t="str">
        <f>IFERROR('1a'!V15/'4'!I34,"..")</f>
        <v>..</v>
      </c>
      <c r="J13" s="138"/>
      <c r="K13" s="67">
        <v>44.376303192099044</v>
      </c>
      <c r="L13" s="67">
        <v>33.74864567824536</v>
      </c>
      <c r="M13" s="67">
        <v>34.917581517220846</v>
      </c>
      <c r="N13" s="65">
        <v>38.343050773139176</v>
      </c>
      <c r="O13" s="65">
        <v>27.117911284938511</v>
      </c>
    </row>
    <row r="14" spans="1:15">
      <c r="A14" s="66">
        <v>1990</v>
      </c>
      <c r="B14" s="147">
        <f>IFERROR('1a'!B16/'4'!B35,"..")</f>
        <v>38.851255580391268</v>
      </c>
      <c r="C14" s="147">
        <f>IFERROR('1a'!C16/'4'!C35,"..")</f>
        <v>33.883590364599762</v>
      </c>
      <c r="D14" s="147">
        <f>IFERROR('1a'!D16/'4'!D35,"..")</f>
        <v>30.87134578228633</v>
      </c>
      <c r="E14" s="147">
        <f>IFERROR('1a'!E16/'4'!E35,"..")</f>
        <v>30.463707005676881</v>
      </c>
      <c r="F14" s="147">
        <f>IFERROR('1a'!F16/'4'!F35,"..")</f>
        <v>27.331678868496798</v>
      </c>
      <c r="G14" s="147">
        <f>IFERROR('1a'!O16/'4'!G35,"..")</f>
        <v>34.619547339930826</v>
      </c>
      <c r="H14" s="147" t="str">
        <f>IFERROR('1a'!P16/'4'!H35,"..")</f>
        <v>..</v>
      </c>
      <c r="I14" s="147" t="str">
        <f>IFERROR('1a'!V16/'4'!I35,"..")</f>
        <v>..</v>
      </c>
      <c r="J14" s="138"/>
      <c r="K14" s="67">
        <v>40.300852199575552</v>
      </c>
      <c r="L14" s="67">
        <v>33.369013976322982</v>
      </c>
      <c r="M14" s="67">
        <v>36.474418646461196</v>
      </c>
      <c r="N14" s="65">
        <v>38.992429072508934</v>
      </c>
      <c r="O14" s="65">
        <v>30.42426773108301</v>
      </c>
    </row>
    <row r="15" spans="1:15">
      <c r="A15" s="66">
        <v>1991</v>
      </c>
      <c r="B15" s="147">
        <f>IFERROR('1a'!B17/'4'!B36,"..")</f>
        <v>39.446860935892659</v>
      </c>
      <c r="C15" s="147">
        <f>IFERROR('1a'!C17/'4'!C36,"..")</f>
        <v>34.41139756632078</v>
      </c>
      <c r="D15" s="147">
        <f>IFERROR('1a'!D17/'4'!D36,"..")</f>
        <v>30.296690612525918</v>
      </c>
      <c r="E15" s="147">
        <f>IFERROR('1a'!E17/'4'!E36,"..")</f>
        <v>26.756993342213782</v>
      </c>
      <c r="F15" s="147">
        <f>IFERROR('1a'!F17/'4'!F36,"..")</f>
        <v>28.159692280718492</v>
      </c>
      <c r="G15" s="147">
        <f>IFERROR('1a'!O17/'4'!G36,"..")</f>
        <v>34.419892960793824</v>
      </c>
      <c r="H15" s="147" t="str">
        <f>IFERROR('1a'!P17/'4'!H36,"..")</f>
        <v>..</v>
      </c>
      <c r="I15" s="147" t="str">
        <f>IFERROR('1a'!V17/'4'!I36,"..")</f>
        <v>..</v>
      </c>
      <c r="J15" s="138"/>
      <c r="K15" s="67">
        <v>35.76744806785625</v>
      </c>
      <c r="L15" s="67">
        <v>34.665898069369391</v>
      </c>
      <c r="M15" s="67">
        <v>37.67150636631478</v>
      </c>
      <c r="N15" s="65">
        <v>39.649587396080747</v>
      </c>
      <c r="O15" s="65">
        <v>33.382325057641957</v>
      </c>
    </row>
    <row r="16" spans="1:15">
      <c r="A16" s="66">
        <v>1992</v>
      </c>
      <c r="B16" s="147">
        <f>IFERROR('1a'!B18/'4'!B37,"..")</f>
        <v>40.248187037456908</v>
      </c>
      <c r="C16" s="147">
        <f>IFERROR('1a'!C18/'4'!C37,"..")</f>
        <v>36.282556107105663</v>
      </c>
      <c r="D16" s="147">
        <f>IFERROR('1a'!D18/'4'!D37,"..")</f>
        <v>31.535796903530315</v>
      </c>
      <c r="E16" s="147">
        <f>IFERROR('1a'!E18/'4'!E37,"..")</f>
        <v>28.658247772758209</v>
      </c>
      <c r="F16" s="147">
        <f>IFERROR('1a'!F18/'4'!F37,"..")</f>
        <v>28.069208064536696</v>
      </c>
      <c r="G16" s="147">
        <f>IFERROR('1a'!O18/'4'!G37,"..")</f>
        <v>36.700066569210158</v>
      </c>
      <c r="H16" s="147" t="str">
        <f>IFERROR('1a'!P18/'4'!H37,"..")</f>
        <v>..</v>
      </c>
      <c r="I16" s="147" t="str">
        <f>IFERROR('1a'!V18/'4'!I37,"..")</f>
        <v>..</v>
      </c>
      <c r="J16" s="138"/>
      <c r="K16" s="67">
        <v>36.735661073633288</v>
      </c>
      <c r="L16" s="67">
        <v>36.014593542849788</v>
      </c>
      <c r="M16" s="67">
        <v>43.045608265198886</v>
      </c>
      <c r="N16" s="65">
        <v>45.162719780311669</v>
      </c>
      <c r="O16" s="65">
        <v>38.280138840471359</v>
      </c>
    </row>
    <row r="17" spans="1:15">
      <c r="A17" s="66">
        <v>1993</v>
      </c>
      <c r="B17" s="147">
        <f>IFERROR('1a'!B19/'4'!B38,"..")</f>
        <v>40.701344247981098</v>
      </c>
      <c r="C17" s="147">
        <f>IFERROR('1a'!C19/'4'!C38,"..")</f>
        <v>38.231561220198095</v>
      </c>
      <c r="D17" s="147">
        <f>IFERROR('1a'!D19/'4'!D38,"..")</f>
        <v>32.350052134621208</v>
      </c>
      <c r="E17" s="147">
        <f>IFERROR('1a'!E19/'4'!E38,"..")</f>
        <v>29.317530801426763</v>
      </c>
      <c r="F17" s="147">
        <f>IFERROR('1a'!F19/'4'!F38,"..")</f>
        <v>26.512758390748097</v>
      </c>
      <c r="G17" s="147">
        <f>IFERROR('1a'!O19/'4'!G38,"..")</f>
        <v>40.896008852161899</v>
      </c>
      <c r="H17" s="147" t="str">
        <f>IFERROR('1a'!P19/'4'!H38,"..")</f>
        <v>..</v>
      </c>
      <c r="I17" s="147" t="str">
        <f>IFERROR('1a'!V19/'4'!I38,"..")</f>
        <v>..</v>
      </c>
      <c r="J17" s="138"/>
      <c r="K17" s="67">
        <v>37.600313974265923</v>
      </c>
      <c r="L17" s="67">
        <v>34.391230529507375</v>
      </c>
      <c r="M17" s="67">
        <v>43.493814424584933</v>
      </c>
      <c r="N17" s="65">
        <v>45.859565091199293</v>
      </c>
      <c r="O17" s="65">
        <v>38.066684998414821</v>
      </c>
    </row>
    <row r="18" spans="1:15">
      <c r="A18" s="66">
        <v>1994</v>
      </c>
      <c r="B18" s="147">
        <f>IFERROR('1a'!B20/'4'!B39,"..")</f>
        <v>41.367203247737464</v>
      </c>
      <c r="C18" s="147">
        <f>IFERROR('1a'!C20/'4'!C39,"..")</f>
        <v>39.961049873690982</v>
      </c>
      <c r="D18" s="147">
        <f>IFERROR('1a'!D20/'4'!D39,"..")</f>
        <v>31.682638527380245</v>
      </c>
      <c r="E18" s="147">
        <f>IFERROR('1a'!E20/'4'!E39,"..")</f>
        <v>29.07625394977282</v>
      </c>
      <c r="F18" s="147">
        <f>IFERROR('1a'!F20/'4'!F39,"..")</f>
        <v>24.520101624926738</v>
      </c>
      <c r="G18" s="147">
        <f>IFERROR('1a'!O20/'4'!G39,"..")</f>
        <v>42.104526308943584</v>
      </c>
      <c r="H18" s="147" t="str">
        <f>IFERROR('1a'!P20/'4'!H39,"..")</f>
        <v>..</v>
      </c>
      <c r="I18" s="147" t="str">
        <f>IFERROR('1a'!V20/'4'!I39,"..")</f>
        <v>..</v>
      </c>
      <c r="J18" s="138"/>
      <c r="K18" s="67">
        <v>32.122405650642371</v>
      </c>
      <c r="L18" s="67">
        <v>32.36795656527768</v>
      </c>
      <c r="M18" s="67">
        <v>44.254781707450022</v>
      </c>
      <c r="N18" s="65">
        <v>46.190651494354512</v>
      </c>
      <c r="O18" s="65">
        <v>39.884403206800613</v>
      </c>
    </row>
    <row r="19" spans="1:15">
      <c r="A19" s="66">
        <v>1995</v>
      </c>
      <c r="B19" s="147">
        <f>IFERROR('1a'!B21/'4'!B40,"..")</f>
        <v>41.881048419207325</v>
      </c>
      <c r="C19" s="147">
        <f>IFERROR('1a'!C21/'4'!C40,"..")</f>
        <v>40.609485988332139</v>
      </c>
      <c r="D19" s="147">
        <f>IFERROR('1a'!D21/'4'!D40,"..")</f>
        <v>29.919767069701063</v>
      </c>
      <c r="E19" s="147">
        <f>IFERROR('1a'!E21/'4'!E40,"..")</f>
        <v>25.955393369025575</v>
      </c>
      <c r="F19" s="147">
        <f>IFERROR('1a'!F21/'4'!F40,"..")</f>
        <v>23.990597442036908</v>
      </c>
      <c r="G19" s="147">
        <f>IFERROR('1a'!O21/'4'!G40,"..")</f>
        <v>39.712572967619309</v>
      </c>
      <c r="H19" s="147" t="str">
        <f>IFERROR('1a'!P21/'4'!H40,"..")</f>
        <v>..</v>
      </c>
      <c r="I19" s="147" t="str">
        <f>IFERROR('1a'!V21/'4'!I40,"..")</f>
        <v>..</v>
      </c>
      <c r="J19" s="138"/>
      <c r="K19" s="67">
        <v>29.301431117326732</v>
      </c>
      <c r="L19" s="67">
        <v>30.766145691895691</v>
      </c>
      <c r="M19" s="67">
        <v>44.454996862395944</v>
      </c>
      <c r="N19" s="65">
        <v>43.611270812540759</v>
      </c>
      <c r="O19" s="65">
        <v>47.663339697281671</v>
      </c>
    </row>
    <row r="20" spans="1:15">
      <c r="A20" s="66">
        <v>1996</v>
      </c>
      <c r="B20" s="147">
        <f>IFERROR('1a'!B22/'4'!B41,"..")</f>
        <v>41.874075514980575</v>
      </c>
      <c r="C20" s="147">
        <f>IFERROR('1a'!C22/'4'!C41,"..")</f>
        <v>40.075491165296185</v>
      </c>
      <c r="D20" s="147">
        <f>IFERROR('1a'!D22/'4'!D41,"..")</f>
        <v>30.819595706566172</v>
      </c>
      <c r="E20" s="147">
        <f>IFERROR('1a'!E22/'4'!E41,"..")</f>
        <v>27.108329865759782</v>
      </c>
      <c r="F20" s="147">
        <f>IFERROR('1a'!F22/'4'!F41,"..")</f>
        <v>23.937688919992294</v>
      </c>
      <c r="G20" s="147">
        <f>IFERROR('1a'!O22/'4'!G41,"..")</f>
        <v>41.957733553596164</v>
      </c>
      <c r="H20" s="147" t="str">
        <f>IFERROR('1a'!P22/'4'!H41,"..")</f>
        <v>..</v>
      </c>
      <c r="I20" s="147" t="str">
        <f>IFERROR('1a'!V22/'4'!I41,"..")</f>
        <v>..</v>
      </c>
      <c r="J20" s="138"/>
      <c r="K20" s="67">
        <v>31.195430451381526</v>
      </c>
      <c r="L20" s="67">
        <v>30.470390102584808</v>
      </c>
      <c r="M20" s="67">
        <v>46.100274313238749</v>
      </c>
      <c r="N20" s="65">
        <v>43.833946727360626</v>
      </c>
      <c r="O20" s="65">
        <v>52.704104099518638</v>
      </c>
    </row>
    <row r="21" spans="1:15">
      <c r="A21" s="66">
        <v>1997</v>
      </c>
      <c r="B21" s="147">
        <f>IFERROR('1a'!B23/'4'!B42,"..")</f>
        <v>42.591027773806495</v>
      </c>
      <c r="C21" s="147">
        <f>IFERROR('1a'!C23/'4'!C42,"..")</f>
        <v>41.387731316292395</v>
      </c>
      <c r="D21" s="147">
        <f>IFERROR('1a'!D23/'4'!D42,"..")</f>
        <v>32.697748219841067</v>
      </c>
      <c r="E21" s="147">
        <f>IFERROR('1a'!E23/'4'!E42,"..")</f>
        <v>28.904691644316451</v>
      </c>
      <c r="F21" s="147">
        <f>IFERROR('1a'!F23/'4'!F42,"..")</f>
        <v>26.696352693946011</v>
      </c>
      <c r="G21" s="147">
        <f>IFERROR('1a'!O23/'4'!G42,"..")</f>
        <v>43.184767169375021</v>
      </c>
      <c r="H21" s="147">
        <f>IFERROR('1a'!P23/'4'!H42,"..")</f>
        <v>38.953615646649126</v>
      </c>
      <c r="I21" s="147">
        <f>IFERROR('1a'!V23/'4'!I42,"..")</f>
        <v>52.09461519254851</v>
      </c>
      <c r="J21" s="138"/>
      <c r="K21" s="67">
        <v>36.104156234351528</v>
      </c>
      <c r="L21" s="67">
        <v>34.575006783534548</v>
      </c>
      <c r="M21" s="67">
        <v>49.157226006646724</v>
      </c>
      <c r="N21" s="65">
        <v>50.095481015135256</v>
      </c>
      <c r="O21" s="65">
        <v>46.370736189272996</v>
      </c>
    </row>
    <row r="22" spans="1:15">
      <c r="A22" s="66">
        <v>1998</v>
      </c>
      <c r="B22" s="147">
        <f>IFERROR('1a'!B24/'4'!B43,"..")</f>
        <v>43.312661903835973</v>
      </c>
      <c r="C22" s="147">
        <f>IFERROR('1a'!C24/'4'!C43,"..")</f>
        <v>43.543984884243969</v>
      </c>
      <c r="D22" s="147">
        <f>IFERROR('1a'!D24/'4'!D43,"..")</f>
        <v>34.743287468054916</v>
      </c>
      <c r="E22" s="147">
        <f>IFERROR('1a'!E24/'4'!E43,"..")</f>
        <v>31.074174431872056</v>
      </c>
      <c r="F22" s="147">
        <f>IFERROR('1a'!F24/'4'!F43,"..")</f>
        <v>29.119681029021763</v>
      </c>
      <c r="G22" s="147">
        <f>IFERROR('1a'!O24/'4'!G43,"..")</f>
        <v>44.742192278021598</v>
      </c>
      <c r="H22" s="147">
        <f>IFERROR('1a'!P24/'4'!H43,"..")</f>
        <v>41.074142700257063</v>
      </c>
      <c r="I22" s="147">
        <f>IFERROR('1a'!V24/'4'!I43,"..")</f>
        <v>53.344925926403626</v>
      </c>
      <c r="J22" s="138"/>
      <c r="K22" s="67">
        <v>38.609485307427747</v>
      </c>
      <c r="L22" s="67">
        <v>37.765670171871527</v>
      </c>
      <c r="M22" s="67">
        <v>50.792259948886453</v>
      </c>
      <c r="N22" s="65">
        <v>52.659764369867901</v>
      </c>
      <c r="O22" s="65">
        <v>47.494258703523677</v>
      </c>
    </row>
    <row r="23" spans="1:15">
      <c r="A23" s="66">
        <v>1999</v>
      </c>
      <c r="B23" s="147">
        <f>IFERROR('1a'!B25/'4'!B44,"..")</f>
        <v>44.615821230524915</v>
      </c>
      <c r="C23" s="147">
        <f>IFERROR('1a'!C25/'4'!C44,"..")</f>
        <v>45.419985157573379</v>
      </c>
      <c r="D23" s="147">
        <f>IFERROR('1a'!D25/'4'!D44,"..")</f>
        <v>34.678738985216739</v>
      </c>
      <c r="E23" s="147">
        <f>IFERROR('1a'!E25/'4'!E44,"..")</f>
        <v>29.825686194178896</v>
      </c>
      <c r="F23" s="147">
        <f>IFERROR('1a'!F25/'4'!F44,"..")</f>
        <v>28.377045947657528</v>
      </c>
      <c r="G23" s="147">
        <f>IFERROR('1a'!O25/'4'!G44,"..")</f>
        <v>46.932384083348175</v>
      </c>
      <c r="H23" s="147">
        <f>IFERROR('1a'!P25/'4'!H44,"..")</f>
        <v>44.483440138213766</v>
      </c>
      <c r="I23" s="147">
        <f>IFERROR('1a'!V25/'4'!I44,"..")</f>
        <v>50.663643540427948</v>
      </c>
      <c r="J23" s="138"/>
      <c r="K23" s="67">
        <v>37.210673329309543</v>
      </c>
      <c r="L23" s="67">
        <v>37.017180985361932</v>
      </c>
      <c r="M23" s="67">
        <v>53.532171112511371</v>
      </c>
      <c r="N23" s="65">
        <v>57.240015366447075</v>
      </c>
      <c r="O23" s="65">
        <v>45.494645692802564</v>
      </c>
    </row>
    <row r="24" spans="1:15">
      <c r="A24" s="66">
        <v>2000</v>
      </c>
      <c r="B24" s="147">
        <f>IFERROR('1a'!B26/'4'!B45,"..")</f>
        <v>46.121740426203758</v>
      </c>
      <c r="C24" s="147">
        <f>IFERROR('1a'!C26/'4'!C45,"..")</f>
        <v>48.518785132317277</v>
      </c>
      <c r="D24" s="147">
        <f>IFERROR('1a'!D26/'4'!D45,"..")</f>
        <v>37.543822228432624</v>
      </c>
      <c r="E24" s="147">
        <f>IFERROR('1a'!E26/'4'!E45,"..")</f>
        <v>33.205528397436062</v>
      </c>
      <c r="F24" s="147">
        <f>IFERROR('1a'!F26/'4'!F45,"..")</f>
        <v>31.184155870341776</v>
      </c>
      <c r="G24" s="147">
        <f>IFERROR('1a'!O26/'4'!G45,"..")</f>
        <v>49.599289947007065</v>
      </c>
      <c r="H24" s="147">
        <f>IFERROR('1a'!P26/'4'!H45,"..")</f>
        <v>48.654627764076643</v>
      </c>
      <c r="I24" s="147">
        <f>IFERROR('1a'!V26/'4'!I45,"..")</f>
        <v>48.340517737495247</v>
      </c>
      <c r="J24" s="138"/>
      <c r="K24" s="67">
        <v>41.58329580106173</v>
      </c>
      <c r="L24" s="67">
        <v>40.485511802023204</v>
      </c>
      <c r="M24" s="67">
        <v>56.592909826314539</v>
      </c>
      <c r="N24" s="65">
        <v>62.668359744863878</v>
      </c>
      <c r="O24" s="65">
        <v>43.621209866186796</v>
      </c>
    </row>
    <row r="25" spans="1:15">
      <c r="A25" s="66">
        <v>2001</v>
      </c>
      <c r="B25" s="147">
        <f>IFERROR('1a'!B27/'4'!B46,"..")</f>
        <v>46.559444502269422</v>
      </c>
      <c r="C25" s="147">
        <f>IFERROR('1a'!C27/'4'!C46,"..")</f>
        <v>47.035277481644215</v>
      </c>
      <c r="D25" s="147">
        <f>IFERROR('1a'!D27/'4'!D46,"..")</f>
        <v>38.850689364137232</v>
      </c>
      <c r="E25" s="147">
        <f>IFERROR('1a'!E27/'4'!E46,"..")</f>
        <v>37.209692023736572</v>
      </c>
      <c r="F25" s="147">
        <f>IFERROR('1a'!F27/'4'!F46,"..")</f>
        <v>33.44847915026466</v>
      </c>
      <c r="G25" s="147">
        <f>IFERROR('1a'!O27/'4'!G46,"..")</f>
        <v>46.741289615530654</v>
      </c>
      <c r="H25" s="147">
        <f>IFERROR('1a'!P27/'4'!H46,"..")</f>
        <v>44.998977404039536</v>
      </c>
      <c r="I25" s="147">
        <f>IFERROR('1a'!V27/'4'!I46,"..")</f>
        <v>50.750352037445225</v>
      </c>
      <c r="J25" s="138"/>
      <c r="K25" s="67">
        <v>47.220119298187235</v>
      </c>
      <c r="L25" s="67">
        <v>40.226023099798404</v>
      </c>
      <c r="M25" s="67">
        <v>53.783921488331345</v>
      </c>
      <c r="N25" s="65">
        <v>59.061519553584375</v>
      </c>
      <c r="O25" s="65">
        <v>45.020757391656538</v>
      </c>
    </row>
    <row r="26" spans="1:15">
      <c r="A26" s="66">
        <v>2002</v>
      </c>
      <c r="B26" s="147">
        <f>IFERROR('1a'!B28/'4'!B47,"..")</f>
        <v>47.195140191147487</v>
      </c>
      <c r="C26" s="147">
        <f>IFERROR('1a'!C28/'4'!C47,"..")</f>
        <v>48.018999898605614</v>
      </c>
      <c r="D26" s="147">
        <f>IFERROR('1a'!D28/'4'!D47,"..")</f>
        <v>42.745116109352502</v>
      </c>
      <c r="E26" s="147">
        <f>IFERROR('1a'!E28/'4'!E47,"..")</f>
        <v>38.050087365932178</v>
      </c>
      <c r="F26" s="147">
        <f>IFERROR('1a'!F28/'4'!F47,"..")</f>
        <v>37.845374918744263</v>
      </c>
      <c r="G26" s="147">
        <f>IFERROR('1a'!O28/'4'!G47,"..")</f>
        <v>52.224413706446384</v>
      </c>
      <c r="H26" s="147">
        <f>IFERROR('1a'!P28/'4'!H47,"..")</f>
        <v>51.659453108810396</v>
      </c>
      <c r="I26" s="147">
        <f>IFERROR('1a'!V28/'4'!I47,"..")</f>
        <v>54.347272216705086</v>
      </c>
      <c r="J26" s="138"/>
      <c r="K26" s="67">
        <v>48.251467686336795</v>
      </c>
      <c r="L26" s="67">
        <v>45.115000485549302</v>
      </c>
      <c r="M26" s="67">
        <v>57.383431592081905</v>
      </c>
      <c r="N26" s="65">
        <v>63.791314192270207</v>
      </c>
      <c r="O26" s="65">
        <v>47.140289804074349</v>
      </c>
    </row>
    <row r="27" spans="1:15">
      <c r="A27" s="66">
        <v>2003</v>
      </c>
      <c r="B27" s="147">
        <f>IFERROR('1a'!B29/'4'!B48,"..")</f>
        <v>47.483485420731377</v>
      </c>
      <c r="C27" s="147">
        <f>IFERROR('1a'!C29/'4'!C48,"..")</f>
        <v>47.810834703714256</v>
      </c>
      <c r="D27" s="147">
        <f>IFERROR('1a'!D29/'4'!D48,"..")</f>
        <v>42.617465738430923</v>
      </c>
      <c r="E27" s="147">
        <f>IFERROR('1a'!E29/'4'!E48,"..")</f>
        <v>36.673298566278476</v>
      </c>
      <c r="F27" s="147">
        <f>IFERROR('1a'!F29/'4'!F48,"..")</f>
        <v>38.39955667302565</v>
      </c>
      <c r="G27" s="147">
        <f>IFERROR('1a'!O29/'4'!G48,"..")</f>
        <v>51.926657132712485</v>
      </c>
      <c r="H27" s="147">
        <f>IFERROR('1a'!P29/'4'!H48,"..")</f>
        <v>50.689138252644454</v>
      </c>
      <c r="I27" s="147">
        <f>IFERROR('1a'!V29/'4'!I48,"..")</f>
        <v>55.531513787190349</v>
      </c>
      <c r="J27" s="138"/>
      <c r="K27" s="67">
        <v>46.379333961823257</v>
      </c>
      <c r="L27" s="67">
        <v>47.368808305806084</v>
      </c>
      <c r="M27" s="67">
        <v>56.725090493427317</v>
      </c>
      <c r="N27" s="65">
        <v>62.562096373571784</v>
      </c>
      <c r="O27" s="65">
        <v>47.394241199092789</v>
      </c>
    </row>
    <row r="28" spans="1:15">
      <c r="A28" s="66">
        <v>2004</v>
      </c>
      <c r="B28" s="147">
        <f>IFERROR('1a'!B30/'4'!B49,"..")</f>
        <v>47.712713395338199</v>
      </c>
      <c r="C28" s="147">
        <f>IFERROR('1a'!C30/'4'!C49,"..")</f>
        <v>48.225146209598805</v>
      </c>
      <c r="D28" s="147">
        <f>IFERROR('1a'!D30/'4'!D49,"..")</f>
        <v>43.733631538083671</v>
      </c>
      <c r="E28" s="147">
        <f>IFERROR('1a'!E30/'4'!E49,"..")</f>
        <v>41.045831571034299</v>
      </c>
      <c r="F28" s="147">
        <f>IFERROR('1a'!F30/'4'!F49,"..")</f>
        <v>39.263938772799506</v>
      </c>
      <c r="G28" s="147">
        <f>IFERROR('1a'!O30/'4'!G49,"..")</f>
        <v>51.045740077324879</v>
      </c>
      <c r="H28" s="147">
        <f>IFERROR('1a'!P30/'4'!H49,"..")</f>
        <v>50.386704324065697</v>
      </c>
      <c r="I28" s="147">
        <f>IFERROR('1a'!V30/'4'!I49,"..")</f>
        <v>53.178270198278994</v>
      </c>
      <c r="J28" s="138"/>
      <c r="K28" s="67">
        <v>50.792033653214148</v>
      </c>
      <c r="L28" s="67">
        <v>49.718174638814475</v>
      </c>
      <c r="M28" s="67">
        <v>55.671734322806302</v>
      </c>
      <c r="N28" s="65">
        <v>62.596401028277633</v>
      </c>
      <c r="O28" s="65">
        <v>44.908323597434489</v>
      </c>
    </row>
    <row r="29" spans="1:15">
      <c r="A29" s="66">
        <v>2005</v>
      </c>
      <c r="B29" s="147">
        <f>IFERROR('1a'!B31/'4'!B50,"..")</f>
        <v>48.917773700510338</v>
      </c>
      <c r="C29" s="147">
        <f>IFERROR('1a'!C31/'4'!C50,"..")</f>
        <v>50.107699282466385</v>
      </c>
      <c r="D29" s="147">
        <f>IFERROR('1a'!D31/'4'!D50,"..")</f>
        <v>46.513651303345213</v>
      </c>
      <c r="E29" s="147">
        <f>IFERROR('1a'!E31/'4'!E50,"..")</f>
        <v>42.942287598423974</v>
      </c>
      <c r="F29" s="147">
        <f>IFERROR('1a'!F31/'4'!F50,"..")</f>
        <v>43.023653377773165</v>
      </c>
      <c r="G29" s="147">
        <f>IFERROR('1a'!O31/'4'!G50,"..")</f>
        <v>53.024241110809356</v>
      </c>
      <c r="H29" s="147">
        <f>IFERROR('1a'!P31/'4'!H50,"..")</f>
        <v>54.317782064539649</v>
      </c>
      <c r="I29" s="147">
        <f>IFERROR('1a'!V31/'4'!I50,"..")</f>
        <v>51.572326874866995</v>
      </c>
      <c r="J29" s="138"/>
      <c r="K29" s="67">
        <v>53.858176960086617</v>
      </c>
      <c r="L29" s="67">
        <v>50.837028953539672</v>
      </c>
      <c r="M29" s="67">
        <v>55.963116536665993</v>
      </c>
      <c r="N29" s="65">
        <v>62.620979529276056</v>
      </c>
      <c r="O29" s="65">
        <v>45.550148722480117</v>
      </c>
    </row>
    <row r="30" spans="1:15">
      <c r="A30" s="66">
        <v>2006</v>
      </c>
      <c r="B30" s="147">
        <f>IFERROR('1a'!B32/'4'!B51,"..")</f>
        <v>49.476422029503631</v>
      </c>
      <c r="C30" s="147">
        <f>IFERROR('1a'!C32/'4'!C51,"..")</f>
        <v>51.357326399521455</v>
      </c>
      <c r="D30" s="147">
        <f>IFERROR('1a'!D32/'4'!D51,"..")</f>
        <v>46.74079684484488</v>
      </c>
      <c r="E30" s="147">
        <f>IFERROR('1a'!E32/'4'!E51,"..")</f>
        <v>43.665827928117338</v>
      </c>
      <c r="F30" s="147">
        <f>IFERROR('1a'!F32/'4'!F51,"..")</f>
        <v>45.622988700639461</v>
      </c>
      <c r="G30" s="147">
        <f>IFERROR('1a'!O32/'4'!G51,"..")</f>
        <v>49.674562657868158</v>
      </c>
      <c r="H30" s="147">
        <f>IFERROR('1a'!P32/'4'!H51,"..")</f>
        <v>50.48920575494887</v>
      </c>
      <c r="I30" s="147">
        <f>IFERROR('1a'!V32/'4'!I51,"..")</f>
        <v>49.197070710895822</v>
      </c>
      <c r="J30" s="138"/>
      <c r="K30" s="67">
        <v>50.143729482403771</v>
      </c>
      <c r="L30" s="67">
        <v>48.625490067070984</v>
      </c>
      <c r="M30" s="67">
        <v>50.427374860638629</v>
      </c>
      <c r="N30" s="65">
        <v>57.319671299584051</v>
      </c>
      <c r="O30" s="65">
        <v>39.891860152178701</v>
      </c>
    </row>
    <row r="31" spans="1:15">
      <c r="A31" s="66">
        <v>2007</v>
      </c>
      <c r="B31" s="147">
        <f>IFERROR('1a'!B33/'4'!B52,"..")</f>
        <v>49.512103242113454</v>
      </c>
      <c r="C31" s="147">
        <f>IFERROR('1a'!C33/'4'!C52,"..")</f>
        <v>51.629599972495264</v>
      </c>
      <c r="D31" s="147">
        <f>IFERROR('1a'!D33/'4'!D52,"..")</f>
        <v>47.308349796808301</v>
      </c>
      <c r="E31" s="147">
        <f>IFERROR('1a'!E33/'4'!E52,"..")</f>
        <v>41.54815517105159</v>
      </c>
      <c r="F31" s="147">
        <f>IFERROR('1a'!F33/'4'!F52,"..")</f>
        <v>46.803608578150218</v>
      </c>
      <c r="G31" s="147">
        <f>IFERROR('1a'!O33/'4'!G52,"..")</f>
        <v>51.094689392561726</v>
      </c>
      <c r="H31" s="147">
        <f>IFERROR('1a'!P33/'4'!H52,"..")</f>
        <v>52.899038199305473</v>
      </c>
      <c r="I31" s="147">
        <f>IFERROR('1a'!V33/'4'!I52,"..")</f>
        <v>48.317358147344855</v>
      </c>
      <c r="J31" s="138"/>
      <c r="K31" s="67"/>
      <c r="L31" s="67"/>
      <c r="M31" s="67"/>
      <c r="N31" s="65"/>
      <c r="O31" s="65"/>
    </row>
    <row r="32" spans="1:15">
      <c r="A32" s="66">
        <v>2008</v>
      </c>
      <c r="B32" s="147">
        <f>IFERROR('1a'!B34/'4'!B53,"..")</f>
        <v>49.4540754182771</v>
      </c>
      <c r="C32" s="147">
        <f>IFERROR('1a'!C34/'4'!C53,"..")</f>
        <v>51.010056291388814</v>
      </c>
      <c r="D32" s="147">
        <f>IFERROR('1a'!D34/'4'!D53,"..")</f>
        <v>49.487754628490265</v>
      </c>
      <c r="E32" s="147">
        <f>IFERROR('1a'!E34/'4'!E53,"..")</f>
        <v>51.856325158851021</v>
      </c>
      <c r="F32" s="147">
        <f>IFERROR('1a'!F34/'4'!F53,"..")</f>
        <v>47.462387826981235</v>
      </c>
      <c r="G32" s="147">
        <f>IFERROR('1a'!O34/'4'!G53,"..")</f>
        <v>50.583657587548636</v>
      </c>
      <c r="H32" s="147">
        <f>IFERROR('1a'!P34/'4'!H53,"..")</f>
        <v>52.69686895251327</v>
      </c>
      <c r="I32" s="147">
        <f>IFERROR('1a'!V34/'4'!I53,"..")</f>
        <v>47.491104494953163</v>
      </c>
      <c r="J32" s="138"/>
      <c r="K32" s="67"/>
      <c r="L32" s="67"/>
      <c r="M32" s="67"/>
      <c r="N32" s="65"/>
      <c r="O32" s="65"/>
    </row>
    <row r="33" spans="1:16">
      <c r="A33" s="66">
        <v>2009</v>
      </c>
      <c r="B33" s="147">
        <f>IFERROR('1a'!B35/'4'!B54,"..")</f>
        <v>49.594181387768138</v>
      </c>
      <c r="C33" s="147">
        <f>IFERROR('1a'!C35/'4'!C54,"..")</f>
        <v>49.807408701684295</v>
      </c>
      <c r="D33" s="147">
        <f>IFERROR('1a'!D35/'4'!D54,"..")</f>
        <v>46.692194307408634</v>
      </c>
      <c r="E33" s="147">
        <f>IFERROR('1a'!E35/'4'!E54,"..")</f>
        <v>43.092414028500727</v>
      </c>
      <c r="F33" s="147">
        <f>IFERROR('1a'!F35/'4'!F54,"..")</f>
        <v>45.915469046888362</v>
      </c>
      <c r="G33" s="147">
        <f>IFERROR('1a'!O35/'4'!G54,"..")</f>
        <v>49.271704993725777</v>
      </c>
      <c r="H33" s="147">
        <f>IFERROR('1a'!P35/'4'!H54,"..")</f>
        <v>48.454369950187093</v>
      </c>
      <c r="I33" s="147">
        <f>IFERROR('1a'!V35/'4'!I54,"..")</f>
        <v>50.408606428299102</v>
      </c>
      <c r="J33" s="138"/>
      <c r="K33" s="67"/>
      <c r="L33" s="67"/>
      <c r="M33" s="67"/>
      <c r="N33" s="65"/>
      <c r="O33" s="65"/>
    </row>
    <row r="34" spans="1:16">
      <c r="A34" s="66">
        <v>2010</v>
      </c>
      <c r="B34" s="147">
        <f>IFERROR('1a'!B36/'4'!B55,"..")</f>
        <v>50.298290371205795</v>
      </c>
      <c r="C34" s="147">
        <f>IFERROR('1a'!C36/'4'!C55,"..")</f>
        <v>52.001518067507767</v>
      </c>
      <c r="D34" s="147">
        <f>IFERROR('1a'!D36/'4'!D55,"..")</f>
        <v>49.547162539743709</v>
      </c>
      <c r="E34" s="147">
        <f>IFERROR('1a'!E36/'4'!E55,"..")</f>
        <v>47.17832957110609</v>
      </c>
      <c r="F34" s="147">
        <f>IFERROR('1a'!F36/'4'!F55,"..")</f>
        <v>49.78923496777665</v>
      </c>
      <c r="G34" s="147">
        <f>IFERROR('1a'!O36/'4'!G55,"..")</f>
        <v>50.535729351219103</v>
      </c>
      <c r="H34" s="147">
        <f>IFERROR('1a'!P36/'4'!H55,"..")</f>
        <v>50.838561628786955</v>
      </c>
      <c r="I34" s="147">
        <f>IFERROR('1a'!V36/'4'!I55,"..")</f>
        <v>50.124357486320676</v>
      </c>
      <c r="J34" s="138"/>
      <c r="K34" s="67"/>
      <c r="L34" s="67"/>
      <c r="M34" s="67"/>
      <c r="N34" s="65"/>
      <c r="O34" s="65"/>
    </row>
    <row r="35" spans="1:16">
      <c r="A35" s="66">
        <v>2011</v>
      </c>
      <c r="B35" s="147">
        <f>IFERROR('1a'!B37/'4'!B56,"..")</f>
        <v>50.814604775129276</v>
      </c>
      <c r="C35" s="147">
        <f>IFERROR('1a'!C37/'4'!C56,"..")</f>
        <v>52.997372477298683</v>
      </c>
      <c r="D35" s="147">
        <f>IFERROR('1a'!D37/'4'!D56,"..")</f>
        <v>50.332847985987613</v>
      </c>
      <c r="E35" s="147">
        <f>IFERROR('1a'!E37/'4'!E56,"..")</f>
        <v>48.449515629681414</v>
      </c>
      <c r="F35" s="147">
        <f>IFERROR('1a'!F37/'4'!F56,"..")</f>
        <v>50.496058623937252</v>
      </c>
      <c r="G35" s="147">
        <f>IFERROR('1a'!O37/'4'!G56,"..")</f>
        <v>51.248577846494932</v>
      </c>
      <c r="H35" s="147">
        <f>IFERROR('1a'!P37/'4'!H56,"..")</f>
        <v>52.065471551052219</v>
      </c>
      <c r="I35" s="147">
        <f>IFERROR('1a'!V37/'4'!I56,"..")</f>
        <v>50.202873486763337</v>
      </c>
      <c r="J35" s="138"/>
      <c r="K35" s="67"/>
      <c r="L35" s="67"/>
      <c r="M35" s="67"/>
      <c r="N35" s="65"/>
      <c r="O35" s="65"/>
    </row>
    <row r="36" spans="1:16">
      <c r="A36" s="66">
        <v>2012</v>
      </c>
      <c r="B36" s="147" t="str">
        <f>IFERROR('1a'!B38/'4'!B57,"..")</f>
        <v>..</v>
      </c>
      <c r="C36" s="147" t="str">
        <f>IFERROR('1a'!C38/'4'!C57,"..")</f>
        <v>..</v>
      </c>
      <c r="D36" s="147" t="str">
        <f>IFERROR('1a'!D38/'4'!D57,"..")</f>
        <v>..</v>
      </c>
      <c r="E36" s="147" t="str">
        <f>IFERROR('1a'!E38/'4'!E57,"..")</f>
        <v>..</v>
      </c>
      <c r="F36" s="147" t="str">
        <f>IFERROR('1a'!F38/'4'!F57,"..")</f>
        <v>..</v>
      </c>
      <c r="G36" s="147" t="str">
        <f>IFERROR('1a'!O38/'4'!G57,"..")</f>
        <v>..</v>
      </c>
      <c r="H36" s="147" t="str">
        <f>IFERROR('1a'!P38/'4'!H57,"..")</f>
        <v>..</v>
      </c>
      <c r="I36" s="147" t="str">
        <f>IFERROR('1a'!V38/'4'!I57,"..")</f>
        <v>..</v>
      </c>
      <c r="J36" s="138"/>
      <c r="K36" s="67"/>
      <c r="L36" s="67"/>
      <c r="M36" s="67"/>
      <c r="N36" s="65"/>
      <c r="O36" s="65"/>
    </row>
    <row r="37" spans="1:16">
      <c r="B37" s="56"/>
      <c r="C37" s="56"/>
      <c r="D37" s="56"/>
      <c r="E37" s="56"/>
      <c r="F37" s="56"/>
      <c r="G37" s="56"/>
      <c r="H37" s="56"/>
      <c r="I37" s="56"/>
    </row>
    <row r="38" spans="1:16">
      <c r="A38" s="66" t="s">
        <v>23</v>
      </c>
      <c r="B38" s="56"/>
      <c r="C38" s="56"/>
      <c r="D38" s="56"/>
      <c r="E38" s="56"/>
      <c r="F38" s="56"/>
      <c r="G38" s="56"/>
      <c r="H38" s="56"/>
      <c r="I38" s="56"/>
    </row>
    <row r="39" spans="1:16">
      <c r="A39" s="64" t="s">
        <v>1781</v>
      </c>
      <c r="B39" s="147">
        <f>((B35/B5)^(1/30)-1)*100</f>
        <v>1.2079184396644571</v>
      </c>
      <c r="C39" s="147">
        <f>((C35/C5)^(1/30)-1)*100</f>
        <v>2.1997077430175649</v>
      </c>
      <c r="D39" s="65" t="s">
        <v>22</v>
      </c>
      <c r="E39" s="65" t="s">
        <v>22</v>
      </c>
      <c r="F39" s="147">
        <f>((F35/F5)^(1/30)-1)*100</f>
        <v>3.673857286427995</v>
      </c>
      <c r="G39" s="147">
        <f>((G35/G5)^(1/30)-1)*100</f>
        <v>1.9842404828857907</v>
      </c>
      <c r="H39" s="65" t="s">
        <v>22</v>
      </c>
      <c r="I39" s="65" t="s">
        <v>22</v>
      </c>
    </row>
    <row r="40" spans="1:16">
      <c r="A40" s="64" t="s">
        <v>24</v>
      </c>
      <c r="B40" s="65">
        <f>((B30/B5)^(1/25)-1)*100</f>
        <v>1.3430056705851401</v>
      </c>
      <c r="C40" s="65">
        <f>((C30/C5)^(1/25)-1)*100</f>
        <v>2.5164378668091514</v>
      </c>
      <c r="D40" s="65" t="s">
        <v>22</v>
      </c>
      <c r="E40" s="65" t="s">
        <v>22</v>
      </c>
      <c r="F40" s="65">
        <f>((F30/F5)^(1/25)-1)*100</f>
        <v>4.0016330329447181</v>
      </c>
      <c r="G40" s="65">
        <f>((G30/G5)^(1/25)-1)*100</f>
        <v>2.2581116152220915</v>
      </c>
      <c r="H40" s="65" t="s">
        <v>22</v>
      </c>
      <c r="I40" s="65" t="s">
        <v>22</v>
      </c>
      <c r="J40" s="65"/>
      <c r="K40" s="65" t="s">
        <v>22</v>
      </c>
      <c r="L40" s="65" t="s">
        <v>22</v>
      </c>
      <c r="M40" s="65" t="s">
        <v>22</v>
      </c>
      <c r="N40" s="65" t="s">
        <v>22</v>
      </c>
      <c r="O40" s="65" t="s">
        <v>22</v>
      </c>
    </row>
    <row r="41" spans="1:16">
      <c r="A41" s="64" t="s">
        <v>25</v>
      </c>
      <c r="B41" s="65">
        <f>((B13/B5)^(1/8)-1)*100</f>
        <v>1.0721431295927619</v>
      </c>
      <c r="C41" s="65">
        <f>((C13/C5)^(1/8)-1)*100</f>
        <v>2.3399799495598117</v>
      </c>
      <c r="D41" s="65" t="s">
        <v>22</v>
      </c>
      <c r="E41" s="65" t="s">
        <v>22</v>
      </c>
      <c r="F41" s="65">
        <f>((F13/F5)^(1/8)-1)*100</f>
        <v>5.6005829949482333</v>
      </c>
      <c r="G41" s="65">
        <f>((G13/G5)^(1/8)-1)*100</f>
        <v>2.1816425530700512</v>
      </c>
      <c r="H41" s="65" t="s">
        <v>22</v>
      </c>
      <c r="I41" s="65" t="s">
        <v>22</v>
      </c>
      <c r="J41" s="65"/>
      <c r="K41" s="65" t="s">
        <v>22</v>
      </c>
      <c r="L41" s="65" t="s">
        <v>22</v>
      </c>
      <c r="M41" s="65" t="s">
        <v>22</v>
      </c>
      <c r="N41" s="65" t="s">
        <v>22</v>
      </c>
      <c r="O41" s="65" t="s">
        <v>22</v>
      </c>
    </row>
    <row r="42" spans="1:16">
      <c r="A42" s="64" t="s">
        <v>2127</v>
      </c>
      <c r="B42" s="65">
        <f>((B35/B13)^(1/22)-1)*100</f>
        <v>1.2573364884211458</v>
      </c>
      <c r="C42" s="65">
        <f t="shared" ref="C42:G42" si="0">((C35/C13)^(1/22)-1)*100</f>
        <v>2.148747350533986</v>
      </c>
      <c r="D42" s="65">
        <f t="shared" si="0"/>
        <v>2.304440736522495</v>
      </c>
      <c r="E42" s="65">
        <f t="shared" si="0"/>
        <v>1.924140786474382</v>
      </c>
      <c r="F42" s="65">
        <f t="shared" si="0"/>
        <v>2.981979584755523</v>
      </c>
      <c r="G42" s="65">
        <f t="shared" si="0"/>
        <v>1.9125525017484213</v>
      </c>
      <c r="H42" s="65" t="s">
        <v>22</v>
      </c>
      <c r="I42" s="65" t="s">
        <v>22</v>
      </c>
      <c r="J42" s="65"/>
      <c r="K42" s="65"/>
      <c r="L42" s="65"/>
      <c r="M42" s="65"/>
      <c r="N42" s="65"/>
      <c r="O42" s="65"/>
    </row>
    <row r="43" spans="1:16" hidden="1" outlineLevel="1">
      <c r="A43" s="64" t="s">
        <v>676</v>
      </c>
      <c r="B43" s="65">
        <f>((B30/B13)^(1/17)-1)*100</f>
        <v>1.4707214475660368</v>
      </c>
      <c r="C43" s="65">
        <f>((C30/C13)^(1/17)-1)*100</f>
        <v>2.5995821330425661</v>
      </c>
      <c r="D43" s="65">
        <f t="shared" ref="D43:M43" si="1">((D30/D13)^(1/17)-1)*100</f>
        <v>2.5446801255334162</v>
      </c>
      <c r="E43" s="65">
        <f>((E30/E13)^(1/17)-1)*100</f>
        <v>1.8722125760917363</v>
      </c>
      <c r="F43" s="65">
        <f t="shared" si="1"/>
        <v>3.2575858363527166</v>
      </c>
      <c r="G43" s="65">
        <f t="shared" si="1"/>
        <v>2.2941168552442992</v>
      </c>
      <c r="H43" s="65" t="s">
        <v>22</v>
      </c>
      <c r="I43" s="65" t="s">
        <v>22</v>
      </c>
      <c r="J43" s="65"/>
      <c r="K43" s="65">
        <f t="shared" si="1"/>
        <v>0.72134131823102798</v>
      </c>
      <c r="L43" s="65">
        <f t="shared" si="1"/>
        <v>2.17152161993035</v>
      </c>
      <c r="M43" s="65">
        <f t="shared" si="1"/>
        <v>2.1855628565350171</v>
      </c>
      <c r="N43" s="65">
        <f>((N30/N13)^(1/17)-1)*100</f>
        <v>2.3933117514217228</v>
      </c>
      <c r="O43" s="65">
        <f>((O30/O13)^(1/17)-1)*100</f>
        <v>2.2964290449478231</v>
      </c>
    </row>
    <row r="44" spans="1:16" hidden="1" outlineLevel="1">
      <c r="A44" s="64" t="s">
        <v>1606</v>
      </c>
      <c r="B44" s="65">
        <f t="shared" ref="B44:G44" si="2">((B28/B13)^(1/15)-1)*100</f>
        <v>1.4227160603892619</v>
      </c>
      <c r="C44" s="65">
        <f t="shared" si="2"/>
        <v>2.5202714283414585</v>
      </c>
      <c r="D44" s="65">
        <f t="shared" si="2"/>
        <v>2.4336971333835278</v>
      </c>
      <c r="E44" s="65">
        <f t="shared" si="2"/>
        <v>1.7040688318460395</v>
      </c>
      <c r="F44" s="65">
        <f t="shared" si="2"/>
        <v>2.6673229828755973</v>
      </c>
      <c r="G44" s="65">
        <f t="shared" si="2"/>
        <v>2.7903729354188611</v>
      </c>
      <c r="H44" s="65" t="s">
        <v>22</v>
      </c>
      <c r="I44" s="65" t="s">
        <v>22</v>
      </c>
      <c r="J44" s="65"/>
      <c r="K44" s="65"/>
      <c r="L44" s="65"/>
      <c r="M44" s="65"/>
      <c r="N44" s="65"/>
      <c r="O44" s="65"/>
    </row>
    <row r="45" spans="1:16" collapsed="1">
      <c r="A45" s="64" t="s">
        <v>26</v>
      </c>
      <c r="B45" s="65">
        <f t="shared" ref="B45:G45" si="3">((B24/B13)^(1/11)-1)*100</f>
        <v>1.6312538760447914</v>
      </c>
      <c r="C45" s="65">
        <f t="shared" si="3"/>
        <v>3.5095055641461093</v>
      </c>
      <c r="D45" s="65">
        <f t="shared" si="3"/>
        <v>1.9095913820139643</v>
      </c>
      <c r="E45" s="65">
        <f t="shared" si="3"/>
        <v>0.37783893798488677</v>
      </c>
      <c r="F45" s="65">
        <f t="shared" si="3"/>
        <v>1.5063154285066771</v>
      </c>
      <c r="G45" s="65">
        <f t="shared" si="3"/>
        <v>3.5532827282872104</v>
      </c>
      <c r="H45" s="65" t="s">
        <v>22</v>
      </c>
      <c r="I45" s="65" t="s">
        <v>22</v>
      </c>
      <c r="J45" s="65"/>
      <c r="K45" s="65">
        <f>((K24/K13)^(1/11)-1)*100</f>
        <v>-0.58923056620501235</v>
      </c>
      <c r="L45" s="65">
        <f>((L24/L13)^(1/11)-1)*100</f>
        <v>1.668344798858401</v>
      </c>
      <c r="M45" s="65">
        <f>((M24/M13)^(1/11)-1)*100</f>
        <v>4.4877219611862085</v>
      </c>
      <c r="N45" s="65">
        <f>((N24/N13)^(1/11)-1)*100</f>
        <v>4.5674493896703305</v>
      </c>
      <c r="O45" s="65">
        <f>((O24/O13)^(1/11)-1)*100</f>
        <v>4.4160852001679851</v>
      </c>
    </row>
    <row r="46" spans="1:16">
      <c r="A46" s="64" t="s">
        <v>27</v>
      </c>
      <c r="B46" s="65">
        <f t="shared" ref="B46:I46" si="4">((B30/B24)^(1/6)-1)*100</f>
        <v>1.1770702846148895</v>
      </c>
      <c r="C46" s="65">
        <f>((C30/C24)^(1/6)-1)*100</f>
        <v>0.95211331024089851</v>
      </c>
      <c r="D46" s="65">
        <f>((D30/D24)^(1/6)-1)*100</f>
        <v>3.7193065626526911</v>
      </c>
      <c r="E46" s="65">
        <f>((E30/E24)^(1/6)-1)*100</f>
        <v>4.6699179957694126</v>
      </c>
      <c r="F46" s="65">
        <f t="shared" si="4"/>
        <v>6.5470974605123189</v>
      </c>
      <c r="G46" s="65">
        <f t="shared" si="4"/>
        <v>2.5277632357889601E-2</v>
      </c>
      <c r="H46" s="65">
        <f t="shared" si="4"/>
        <v>0.61878391117013987</v>
      </c>
      <c r="I46" s="65">
        <f t="shared" si="4"/>
        <v>0.29316217861239391</v>
      </c>
      <c r="J46" s="65"/>
      <c r="K46" s="65">
        <f>((K30/K24)^(1/6)-1)*100</f>
        <v>3.169094948852158</v>
      </c>
      <c r="L46" s="65">
        <f>((L30/L24)^(1/6)-1)*100</f>
        <v>3.1004892682553242</v>
      </c>
      <c r="M46" s="65">
        <f>((M30/M24)^(1/6)-1)*100</f>
        <v>-1.9041301381398701</v>
      </c>
      <c r="N46" s="65">
        <f>((N30/N24)^(1/6)-1)*100</f>
        <v>-1.4758808932569312</v>
      </c>
      <c r="O46" s="65">
        <f>((O30/O24)^(1/6)-1)*100</f>
        <v>-1.4784815258585549</v>
      </c>
    </row>
    <row r="47" spans="1:16">
      <c r="A47" s="64" t="s">
        <v>1782</v>
      </c>
      <c r="B47" s="65">
        <f>((B35/B24)^(1/11)-1)*100</f>
        <v>0.8847948017500773</v>
      </c>
      <c r="C47" s="65">
        <f t="shared" ref="C47:I47" si="5">((C35/C24)^(1/11)-1)*100</f>
        <v>0.80587795694686548</v>
      </c>
      <c r="D47" s="65">
        <f t="shared" si="5"/>
        <v>2.7008199373452113</v>
      </c>
      <c r="E47" s="65">
        <f t="shared" si="5"/>
        <v>3.4942631259401669</v>
      </c>
      <c r="F47" s="65">
        <f t="shared" si="5"/>
        <v>4.4790964426697499</v>
      </c>
      <c r="G47" s="65">
        <f t="shared" si="5"/>
        <v>0.29781851217431932</v>
      </c>
      <c r="H47" s="65">
        <f t="shared" si="5"/>
        <v>0.61785606087301215</v>
      </c>
      <c r="I47" s="65">
        <f t="shared" si="5"/>
        <v>0.34424735924458716</v>
      </c>
      <c r="J47" s="65"/>
      <c r="K47" s="65"/>
      <c r="L47" s="65"/>
      <c r="M47" s="65"/>
      <c r="N47" s="65"/>
      <c r="O47" s="65"/>
      <c r="P47" s="138"/>
    </row>
    <row r="48" spans="1:16">
      <c r="B48" s="65"/>
      <c r="C48" s="65"/>
      <c r="D48" s="65"/>
      <c r="E48" s="65"/>
      <c r="F48" s="65"/>
      <c r="G48" s="65"/>
      <c r="H48" s="65"/>
      <c r="I48" s="65"/>
      <c r="J48" s="65"/>
      <c r="K48" s="65"/>
      <c r="L48" s="65"/>
      <c r="M48" s="65"/>
      <c r="N48" s="65"/>
      <c r="O48" s="65"/>
    </row>
    <row r="49" spans="1:15">
      <c r="A49" s="64" t="s">
        <v>669</v>
      </c>
      <c r="B49" s="65">
        <f>((B28/B5)^(1/23)-1)*100</f>
        <v>1.3006399461906293</v>
      </c>
      <c r="C49" s="65">
        <f>((C28/C5)^(1/23)-1)*100</f>
        <v>2.4575253525255913</v>
      </c>
      <c r="D49" s="65" t="s">
        <v>22</v>
      </c>
      <c r="E49" s="65" t="s">
        <v>22</v>
      </c>
      <c r="F49" s="65">
        <f>((F28/F5)^(1/23)-1)*100</f>
        <v>3.6782288500436078</v>
      </c>
      <c r="G49" s="65">
        <f>((G28/G5)^(1/23)-1)*100</f>
        <v>2.5782304123463717</v>
      </c>
      <c r="H49" s="65" t="s">
        <v>22</v>
      </c>
      <c r="I49" s="65" t="s">
        <v>22</v>
      </c>
      <c r="J49" s="65"/>
      <c r="K49" s="65"/>
      <c r="L49" s="65"/>
      <c r="M49" s="65"/>
      <c r="N49" s="65"/>
      <c r="O49" s="65"/>
    </row>
    <row r="50" spans="1:15">
      <c r="A50" s="64" t="s">
        <v>797</v>
      </c>
      <c r="B50" s="65">
        <f t="shared" ref="B50:G50" si="6">((B31/B10)^(1/21)-1)*100</f>
        <v>1.2407332577984986</v>
      </c>
      <c r="C50" s="65">
        <f t="shared" si="6"/>
        <v>2.3167317331328263</v>
      </c>
      <c r="D50" s="65">
        <f t="shared" si="6"/>
        <v>2.265729696284291</v>
      </c>
      <c r="E50" s="65">
        <f t="shared" si="6"/>
        <v>1.6924373103609502</v>
      </c>
      <c r="F50" s="65">
        <f t="shared" si="6"/>
        <v>3.05070031193313</v>
      </c>
      <c r="G50" s="65">
        <f t="shared" si="6"/>
        <v>1.8977069328641072</v>
      </c>
      <c r="H50" s="65" t="s">
        <v>22</v>
      </c>
      <c r="I50" s="65" t="s">
        <v>22</v>
      </c>
      <c r="J50" s="65"/>
      <c r="K50" s="65"/>
      <c r="L50" s="65"/>
      <c r="M50" s="65"/>
      <c r="N50" s="65"/>
      <c r="O50" s="65"/>
    </row>
    <row r="51" spans="1:15">
      <c r="A51" s="64" t="s">
        <v>802</v>
      </c>
      <c r="B51" s="65">
        <f t="shared" ref="B51:G51" si="7">((B30/B10)^(1/20)-1)*100</f>
        <v>1.2995209510864525</v>
      </c>
      <c r="C51" s="65">
        <f t="shared" si="7"/>
        <v>2.4068893496296262</v>
      </c>
      <c r="D51" s="65">
        <f t="shared" si="7"/>
        <v>2.3185891776682066</v>
      </c>
      <c r="E51" s="65">
        <f t="shared" si="7"/>
        <v>2.0311042537702662</v>
      </c>
      <c r="F51" s="65">
        <f t="shared" si="7"/>
        <v>3.0739013801202031</v>
      </c>
      <c r="G51" s="65">
        <f t="shared" si="7"/>
        <v>1.8498856886481452</v>
      </c>
      <c r="H51" s="65" t="s">
        <v>22</v>
      </c>
      <c r="I51" s="65" t="s">
        <v>22</v>
      </c>
      <c r="J51" s="65"/>
      <c r="K51" s="65" t="s">
        <v>22</v>
      </c>
      <c r="L51" s="65" t="s">
        <v>22</v>
      </c>
      <c r="M51" s="65" t="s">
        <v>22</v>
      </c>
      <c r="N51" s="65" t="s">
        <v>22</v>
      </c>
      <c r="O51" s="65" t="s">
        <v>22</v>
      </c>
    </row>
    <row r="52" spans="1:15">
      <c r="A52" s="64" t="s">
        <v>796</v>
      </c>
      <c r="B52" s="65">
        <f t="shared" ref="B52:G52" si="8">((B13/B10)^(1/3)-1)*100</f>
        <v>0.33482652392837764</v>
      </c>
      <c r="C52" s="65">
        <f t="shared" si="8"/>
        <v>1.321779477769125</v>
      </c>
      <c r="D52" s="65">
        <f t="shared" si="8"/>
        <v>1.0467907635123508</v>
      </c>
      <c r="E52" s="65">
        <f t="shared" si="8"/>
        <v>2.9361829555566876</v>
      </c>
      <c r="F52" s="65">
        <f t="shared" si="8"/>
        <v>2.0391777910035991</v>
      </c>
      <c r="G52" s="65">
        <f t="shared" si="8"/>
        <v>-0.63122982083115842</v>
      </c>
      <c r="H52" s="65" t="s">
        <v>22</v>
      </c>
      <c r="I52" s="65" t="s">
        <v>22</v>
      </c>
      <c r="J52" s="65"/>
      <c r="K52" s="65" t="s">
        <v>22</v>
      </c>
      <c r="L52" s="65" t="s">
        <v>22</v>
      </c>
      <c r="M52" s="65" t="s">
        <v>22</v>
      </c>
      <c r="N52" s="65" t="s">
        <v>22</v>
      </c>
      <c r="O52" s="65" t="s">
        <v>22</v>
      </c>
    </row>
    <row r="53" spans="1:15">
      <c r="A53" s="64" t="s">
        <v>803</v>
      </c>
      <c r="B53" s="65">
        <f t="shared" ref="B53:G53" si="9">((B28/B10)^(1/18)-1)*100</f>
        <v>1.2405854365833413</v>
      </c>
      <c r="C53" s="65">
        <f t="shared" si="9"/>
        <v>2.3195427941332225</v>
      </c>
      <c r="D53" s="65">
        <f t="shared" si="9"/>
        <v>2.2012311432797693</v>
      </c>
      <c r="E53" s="65">
        <f t="shared" si="9"/>
        <v>1.9083922189948144</v>
      </c>
      <c r="F53" s="65">
        <f t="shared" si="9"/>
        <v>2.5623642296224824</v>
      </c>
      <c r="G53" s="65">
        <f t="shared" si="9"/>
        <v>2.2120316088511061</v>
      </c>
      <c r="H53" s="65" t="s">
        <v>22</v>
      </c>
      <c r="I53" s="65" t="s">
        <v>22</v>
      </c>
      <c r="J53" s="65"/>
      <c r="K53" s="65" t="s">
        <v>22</v>
      </c>
      <c r="L53" s="65" t="s">
        <v>22</v>
      </c>
      <c r="M53" s="65" t="s">
        <v>22</v>
      </c>
      <c r="N53" s="65" t="s">
        <v>22</v>
      </c>
      <c r="O53" s="65" t="s">
        <v>22</v>
      </c>
    </row>
    <row r="54" spans="1:15">
      <c r="A54" s="64" t="s">
        <v>662</v>
      </c>
      <c r="B54" s="65">
        <f>((B28/B24)^(1/4)-1)*100</f>
        <v>0.85144078719199268</v>
      </c>
      <c r="C54" s="65">
        <f>((C28/C24)^(1/4)-1)*100</f>
        <v>-0.15164626718324747</v>
      </c>
      <c r="D54" s="65">
        <f t="shared" ref="D54:M54" si="10">((D28/D24)^(1/4)-1)*100</f>
        <v>3.8889278266017513</v>
      </c>
      <c r="E54" s="65">
        <f t="shared" si="10"/>
        <v>5.4422502838829434</v>
      </c>
      <c r="F54" s="65">
        <f t="shared" si="10"/>
        <v>5.9290232640484941</v>
      </c>
      <c r="G54" s="65">
        <f t="shared" si="10"/>
        <v>0.7212278348271095</v>
      </c>
      <c r="H54" s="65">
        <f t="shared" si="10"/>
        <v>0.87834524815422199</v>
      </c>
      <c r="I54" s="65">
        <f t="shared" si="10"/>
        <v>2.4131506931301283</v>
      </c>
      <c r="J54" s="65"/>
      <c r="K54" s="65">
        <f t="shared" si="10"/>
        <v>5.1281866980506852</v>
      </c>
      <c r="L54" s="65">
        <f t="shared" si="10"/>
        <v>5.2698212313018411</v>
      </c>
      <c r="M54" s="65">
        <f t="shared" si="10"/>
        <v>-0.40943835448070676</v>
      </c>
      <c r="N54" s="65">
        <f>((N28/N24)^(1/4)-1)*100</f>
        <v>-2.8718528187665626E-2</v>
      </c>
      <c r="O54" s="65">
        <f>((O28/O24)^(1/4)-1)*100</f>
        <v>0.72964053557273978</v>
      </c>
    </row>
    <row r="55" spans="1:15">
      <c r="B55" s="65"/>
      <c r="C55" s="65"/>
      <c r="D55" s="65"/>
      <c r="E55" s="65"/>
      <c r="F55" s="65"/>
      <c r="G55" s="65"/>
      <c r="H55" s="65"/>
      <c r="I55" s="65"/>
      <c r="J55" s="65"/>
      <c r="K55" s="65"/>
      <c r="L55" s="65"/>
      <c r="M55" s="65"/>
      <c r="N55" s="65"/>
      <c r="O55" s="65"/>
    </row>
    <row r="56" spans="1:15">
      <c r="A56" s="64" t="s">
        <v>859</v>
      </c>
      <c r="B56" s="65">
        <f>((B28/B11)^(1/17)-1)*100</f>
        <v>1.2964138244455192</v>
      </c>
      <c r="C56" s="65">
        <f>((C28/C11)^(1/17)-1)*100</f>
        <v>2.4136739207474944</v>
      </c>
      <c r="D56" s="65">
        <f t="shared" ref="D56:M56" si="11">((D28/D11)^(1/17)-1)*100</f>
        <v>2.1140755648917819</v>
      </c>
      <c r="E56" s="65">
        <f t="shared" si="11"/>
        <v>1.3619277817551012</v>
      </c>
      <c r="F56" s="65">
        <f t="shared" si="11"/>
        <v>2.4131569101955685</v>
      </c>
      <c r="G56" s="65">
        <f t="shared" si="11"/>
        <v>2.4283653672566796</v>
      </c>
      <c r="H56" s="65" t="s">
        <v>22</v>
      </c>
      <c r="I56" s="65" t="s">
        <v>22</v>
      </c>
      <c r="J56" s="65"/>
      <c r="K56" s="65">
        <f t="shared" si="11"/>
        <v>0.1712120376923254</v>
      </c>
      <c r="L56" s="65">
        <f t="shared" si="11"/>
        <v>1.7348654145071585</v>
      </c>
      <c r="M56" s="65">
        <f t="shared" si="11"/>
        <v>1.5738581047541</v>
      </c>
      <c r="N56" s="65">
        <f>((N28/N11)^(1/17)-1)*100</f>
        <v>1.4876801213627555</v>
      </c>
      <c r="O56" s="65">
        <f>((O28/O11)^(1/17)-1)*100</f>
        <v>2.6004667676467808</v>
      </c>
    </row>
    <row r="57" spans="1:15">
      <c r="A57" s="64" t="s">
        <v>1777</v>
      </c>
      <c r="B57" s="65">
        <f t="shared" ref="B57:G57" si="12">((B31/B20)^(1/11)-1)*100</f>
        <v>1.5348435433145013</v>
      </c>
      <c r="C57" s="65">
        <f t="shared" si="12"/>
        <v>2.3297256267178046</v>
      </c>
      <c r="D57" s="65">
        <f t="shared" si="12"/>
        <v>3.9726634284890316</v>
      </c>
      <c r="E57" s="65">
        <f t="shared" si="12"/>
        <v>3.9582591825181535</v>
      </c>
      <c r="F57" s="65">
        <f t="shared" si="12"/>
        <v>6.2851195657267711</v>
      </c>
      <c r="G57" s="65">
        <f t="shared" si="12"/>
        <v>1.8072067603600139</v>
      </c>
      <c r="H57" s="65" t="s">
        <v>22</v>
      </c>
      <c r="I57" s="65" t="s">
        <v>22</v>
      </c>
      <c r="J57" s="65"/>
      <c r="K57" s="65"/>
      <c r="L57" s="65"/>
      <c r="M57" s="65"/>
      <c r="N57" s="65"/>
      <c r="O57" s="65"/>
    </row>
    <row r="58" spans="1:15">
      <c r="B58" s="65"/>
      <c r="C58" s="65"/>
      <c r="D58" s="65"/>
      <c r="E58" s="65"/>
      <c r="F58" s="65"/>
      <c r="G58" s="65"/>
      <c r="H58" s="65"/>
      <c r="I58" s="65"/>
    </row>
    <row r="59" spans="1:15">
      <c r="A59" s="104" t="s">
        <v>661</v>
      </c>
      <c r="B59" s="104"/>
      <c r="C59" s="104"/>
      <c r="D59" s="104"/>
      <c r="E59" s="104"/>
      <c r="F59" s="104"/>
      <c r="G59" s="104"/>
      <c r="H59" s="104"/>
      <c r="I59" s="104"/>
    </row>
    <row r="60" spans="1:15">
      <c r="A60" s="92" t="s">
        <v>1024</v>
      </c>
      <c r="B60" s="92"/>
      <c r="C60" s="92"/>
      <c r="D60" s="92"/>
      <c r="E60" s="92"/>
      <c r="F60" s="92"/>
      <c r="G60" s="92"/>
      <c r="H60" s="92"/>
      <c r="I60" s="92"/>
    </row>
  </sheetData>
  <mergeCells count="14">
    <mergeCell ref="A1:I1"/>
    <mergeCell ref="A2:A4"/>
    <mergeCell ref="B2:B4"/>
    <mergeCell ref="D2:I2"/>
    <mergeCell ref="D3:D4"/>
    <mergeCell ref="E3:E4"/>
    <mergeCell ref="F3:F4"/>
    <mergeCell ref="G3:I3"/>
    <mergeCell ref="C2:C4"/>
    <mergeCell ref="A60:I60"/>
    <mergeCell ref="M3:O3"/>
    <mergeCell ref="K3:K4"/>
    <mergeCell ref="L3:L4"/>
    <mergeCell ref="A59:I59"/>
  </mergeCells>
  <pageMargins left="0.7" right="0.7" top="0.75" bottom="0.75" header="0.3" footer="0.3"/>
  <pageSetup scale="74" orientation="portrait" horizontalDpi="0" verticalDpi="0" r:id="rId1"/>
</worksheet>
</file>

<file path=xl/worksheets/sheet34.xml><?xml version="1.0" encoding="utf-8"?>
<worksheet xmlns="http://schemas.openxmlformats.org/spreadsheetml/2006/main" xmlns:r="http://schemas.openxmlformats.org/officeDocument/2006/relationships">
  <sheetPr codeName="Sheet34"/>
  <dimension ref="A1:M30"/>
  <sheetViews>
    <sheetView workbookViewId="0">
      <selection activeCell="N13" sqref="N13"/>
    </sheetView>
  </sheetViews>
  <sheetFormatPr defaultRowHeight="15"/>
  <cols>
    <col min="2" max="6" width="11.42578125" customWidth="1"/>
    <col min="7" max="7" width="14.5703125" customWidth="1"/>
    <col min="8" max="8" width="12.28515625" customWidth="1"/>
    <col min="9" max="10" width="11.42578125" customWidth="1"/>
    <col min="11" max="11" width="14.42578125" customWidth="1"/>
    <col min="12" max="13" width="11.42578125" customWidth="1"/>
  </cols>
  <sheetData>
    <row r="1" spans="1:13">
      <c r="A1" s="80" t="s">
        <v>82</v>
      </c>
      <c r="B1" s="80"/>
      <c r="C1" s="80"/>
      <c r="D1" s="80"/>
      <c r="E1" s="80"/>
      <c r="F1" s="80"/>
      <c r="G1" s="80"/>
      <c r="H1" s="80"/>
      <c r="I1" s="80"/>
      <c r="J1" s="80"/>
      <c r="K1" s="80"/>
      <c r="L1" s="80"/>
      <c r="M1" s="80"/>
    </row>
    <row r="2" spans="1:13">
      <c r="A2" s="82"/>
      <c r="B2" s="83" t="s">
        <v>36</v>
      </c>
      <c r="C2" s="88" t="s">
        <v>37</v>
      </c>
      <c r="D2" s="89"/>
      <c r="E2" s="89"/>
      <c r="F2" s="89"/>
      <c r="G2" s="89"/>
      <c r="H2" s="89"/>
      <c r="I2" s="89"/>
      <c r="J2" s="89"/>
      <c r="K2" s="89"/>
      <c r="L2" s="89"/>
      <c r="M2" s="90"/>
    </row>
    <row r="3" spans="1:13">
      <c r="A3" s="82"/>
      <c r="B3" s="83"/>
      <c r="C3" s="84" t="s">
        <v>78</v>
      </c>
      <c r="D3" s="83" t="s">
        <v>77</v>
      </c>
      <c r="E3" s="83"/>
      <c r="F3" s="83"/>
      <c r="G3" s="91" t="s">
        <v>67</v>
      </c>
      <c r="H3" s="91"/>
      <c r="I3" s="91"/>
      <c r="J3" s="91"/>
      <c r="K3" s="91" t="s">
        <v>71</v>
      </c>
      <c r="L3" s="91"/>
      <c r="M3" s="91"/>
    </row>
    <row r="4" spans="1:13" ht="89.25">
      <c r="A4" s="82"/>
      <c r="B4" s="83"/>
      <c r="C4" s="85"/>
      <c r="D4" s="5" t="s">
        <v>66</v>
      </c>
      <c r="E4" s="5" t="s">
        <v>76</v>
      </c>
      <c r="F4" s="1" t="s">
        <v>65</v>
      </c>
      <c r="G4" s="1" t="s">
        <v>74</v>
      </c>
      <c r="H4" s="5" t="s">
        <v>68</v>
      </c>
      <c r="I4" s="5" t="s">
        <v>69</v>
      </c>
      <c r="J4" s="5" t="s">
        <v>70</v>
      </c>
      <c r="K4" s="6" t="s">
        <v>48</v>
      </c>
      <c r="L4" s="5" t="s">
        <v>72</v>
      </c>
      <c r="M4" s="5" t="s">
        <v>73</v>
      </c>
    </row>
    <row r="5" spans="1:13">
      <c r="A5" s="4">
        <v>1987</v>
      </c>
      <c r="B5" s="7">
        <f>'4c'!B5/'3b'!B5</f>
        <v>1.8018107516419362</v>
      </c>
      <c r="C5" s="7">
        <f>'4c'!C5/'3b'!C5</f>
        <v>1.9400727272727276</v>
      </c>
      <c r="D5" s="7">
        <f>'4c'!D5/'3b'!D5</f>
        <v>2.0074146341463415</v>
      </c>
      <c r="E5" s="7">
        <f>'4c'!E5/'3b'!E5</f>
        <v>2.0187937743190663</v>
      </c>
      <c r="F5" s="7">
        <f>'4c'!F5/'3b'!F5</f>
        <v>1.6995789473684197</v>
      </c>
      <c r="G5" s="7">
        <f>'4c'!G5/'3b'!G5</f>
        <v>1.9319468438538205</v>
      </c>
      <c r="H5" s="7">
        <f>'4c'!H5/'3b'!H5</f>
        <v>1.9627136563876657</v>
      </c>
      <c r="I5" s="7">
        <f>'4c'!I5/'3b'!I5</f>
        <v>1.8782556390977441</v>
      </c>
      <c r="J5" s="7">
        <f>'4c'!J5/'3b'!J5</f>
        <v>1.8965333333333332</v>
      </c>
      <c r="K5" s="7">
        <f>'4c'!K5/'3b'!K5</f>
        <v>1.9188969991889699</v>
      </c>
      <c r="L5" s="7">
        <f>'4c'!L5/'3b'!L5</f>
        <v>1.9228772727272725</v>
      </c>
      <c r="M5" s="7">
        <f>'4c'!M5/'3b'!M5</f>
        <v>1.9089745042492923</v>
      </c>
    </row>
    <row r="6" spans="1:13">
      <c r="A6" s="4">
        <v>1988</v>
      </c>
      <c r="B6" s="7">
        <f>'4c'!B6/'3b'!B6</f>
        <v>1.8322058601372189</v>
      </c>
      <c r="C6" s="7">
        <f>'4c'!C6/'3b'!C6</f>
        <v>1.9634675078864352</v>
      </c>
      <c r="D6" s="7">
        <f>'4c'!D6/'3b'!D6</f>
        <v>2.0403134582623506</v>
      </c>
      <c r="E6" s="7">
        <f>'4c'!E6/'3b'!E6</f>
        <v>2.0463202846975088</v>
      </c>
      <c r="F6" s="7">
        <f>'4c'!F6/'3b'!F6</f>
        <v>1.9052799999999981</v>
      </c>
      <c r="G6" s="7">
        <f>'4c'!G6/'3b'!G6</f>
        <v>1.9900618556701031</v>
      </c>
      <c r="H6" s="7">
        <f>'4c'!H6/'3b'!H6</f>
        <v>1.9817689969604864</v>
      </c>
      <c r="I6" s="7">
        <f>'4c'!I6/'3b'!I6</f>
        <v>1.9274666666666667</v>
      </c>
      <c r="J6" s="7">
        <f>'4c'!J6/'3b'!J6</f>
        <v>2.0262191780821919</v>
      </c>
      <c r="K6" s="7">
        <f>'4c'!K6/'3b'!K6</f>
        <v>1.9039788199697429</v>
      </c>
      <c r="L6" s="7">
        <f>'4c'!L6/'3b'!L6</f>
        <v>1.8974222222222223</v>
      </c>
      <c r="M6" s="7">
        <f>'4c'!M6/'3b'!M6</f>
        <v>1.9235301204819275</v>
      </c>
    </row>
    <row r="7" spans="1:13">
      <c r="A7" s="4">
        <v>1989</v>
      </c>
      <c r="B7" s="7">
        <f>'4c'!B7/'3b'!B7</f>
        <v>1.8563898370292853</v>
      </c>
      <c r="C7" s="7">
        <f>'4c'!C7/'3b'!C7</f>
        <v>1.9949823708206686</v>
      </c>
      <c r="D7" s="7">
        <f>'4c'!D7/'3b'!D7</f>
        <v>2.0318003565062388</v>
      </c>
      <c r="E7" s="7">
        <f>'4c'!E7/'3b'!E7</f>
        <v>2.0337458563535913</v>
      </c>
      <c r="F7" s="7">
        <f>'4c'!F7/'3b'!F7</f>
        <v>1.9731111111111117</v>
      </c>
      <c r="G7" s="7">
        <f>'4c'!G7/'3b'!G7</f>
        <v>2.0092897196261679</v>
      </c>
      <c r="H7" s="7">
        <f>'4c'!H7/'3b'!H7</f>
        <v>2.0033887240356081</v>
      </c>
      <c r="I7" s="7">
        <f>'4c'!I7/'3b'!I7</f>
        <v>1.9654131736526947</v>
      </c>
      <c r="J7" s="7">
        <f>'4c'!J7/'3b'!J7</f>
        <v>2.0348081264108351</v>
      </c>
      <c r="K7" s="7">
        <f>'4c'!K7/'3b'!K7</f>
        <v>1.9679750865051902</v>
      </c>
      <c r="L7" s="7">
        <f>'4c'!L7/'3b'!L7</f>
        <v>1.9499022556390977</v>
      </c>
      <c r="M7" s="7">
        <f>'4c'!M7/'3b'!M7</f>
        <v>2.023621052631579</v>
      </c>
    </row>
    <row r="8" spans="1:13">
      <c r="A8" s="4">
        <v>1990</v>
      </c>
      <c r="B8" s="7">
        <f>'4c'!B8/'3b'!B8</f>
        <v>1.8289779312874437</v>
      </c>
      <c r="C8" s="7">
        <f>'4c'!C8/'3b'!C8</f>
        <v>1.9555385587863465</v>
      </c>
      <c r="D8" s="7">
        <f>'4c'!D8/'3b'!D8</f>
        <v>2.0357218045112782</v>
      </c>
      <c r="E8" s="7">
        <f>'4c'!E8/'3b'!E8</f>
        <v>2.0346254826254824</v>
      </c>
      <c r="F8" s="7">
        <f>'4c'!F8/'3b'!F8</f>
        <v>2.0762857142857007</v>
      </c>
      <c r="G8" s="7">
        <f>'4c'!G8/'3b'!G8</f>
        <v>1.972451665312754</v>
      </c>
      <c r="H8" s="7">
        <f>'4c'!H8/'3b'!H8</f>
        <v>1.9390569620253164</v>
      </c>
      <c r="I8" s="7">
        <f>'4c'!I8/'3b'!I8</f>
        <v>1.9585681818181815</v>
      </c>
      <c r="J8" s="7">
        <f>'4c'!J8/'3b'!J8</f>
        <v>2.0281229314420806</v>
      </c>
      <c r="K8" s="7">
        <f>'4c'!K8/'3b'!K8</f>
        <v>1.910229835831549</v>
      </c>
      <c r="L8" s="7">
        <f>'4c'!L8/'3b'!L8</f>
        <v>1.910087286527514</v>
      </c>
      <c r="M8" s="7">
        <f>'4c'!M8/'3b'!M8</f>
        <v>1.9051724137931034</v>
      </c>
    </row>
    <row r="9" spans="1:13">
      <c r="A9" s="4">
        <v>1991</v>
      </c>
      <c r="B9" s="7">
        <f>'4c'!B9/'3b'!B9</f>
        <v>1.7941492370152599</v>
      </c>
      <c r="C9" s="7">
        <f>'4c'!C9/'3b'!C9</f>
        <v>1.9409655652173918</v>
      </c>
      <c r="D9" s="7">
        <f>'4c'!D9/'3b'!D9</f>
        <v>2.0652888015717092</v>
      </c>
      <c r="E9" s="7">
        <f>'4c'!E9/'3b'!E9</f>
        <v>2.0711935483870967</v>
      </c>
      <c r="F9" s="7">
        <f>'4c'!F9/'3b'!F9</f>
        <v>1.8400000000000039</v>
      </c>
      <c r="G9" s="7">
        <f>'4c'!G9/'3b'!G9</f>
        <v>1.9072412523020257</v>
      </c>
      <c r="H9" s="7">
        <f>'4c'!H9/'3b'!H9</f>
        <v>1.9064312393887948</v>
      </c>
      <c r="I9" s="7">
        <f>'4c'!I9/'3b'!I9</f>
        <v>1.9258181818181819</v>
      </c>
      <c r="J9" s="7">
        <f>'4c'!J9/'3b'!J9</f>
        <v>1.9066175637393765</v>
      </c>
      <c r="K9" s="7">
        <f>'4c'!K9/'3b'!K9</f>
        <v>1.9201406249999999</v>
      </c>
      <c r="L9" s="7">
        <f>'4c'!L9/'3b'!L9</f>
        <v>1.9074326824254881</v>
      </c>
      <c r="M9" s="7">
        <f>'4c'!M9/'3b'!M9</f>
        <v>1.954051948051948</v>
      </c>
    </row>
    <row r="10" spans="1:13">
      <c r="A10" s="4">
        <v>1992</v>
      </c>
      <c r="B10" s="7">
        <f>'4c'!B10/'3b'!B10</f>
        <v>1.7656403553558666</v>
      </c>
      <c r="C10" s="7">
        <f>'4c'!C10/'3b'!C10</f>
        <v>1.9300259927797836</v>
      </c>
      <c r="D10" s="7">
        <f>'4c'!D10/'3b'!D10</f>
        <v>2.0166692607003891</v>
      </c>
      <c r="E10" s="7">
        <f>'4c'!E10/'3b'!E10</f>
        <v>2.0146585858585855</v>
      </c>
      <c r="F10" s="7">
        <f>'4c'!F10/'3b'!F10</f>
        <v>2.0690526315789528</v>
      </c>
      <c r="G10" s="7">
        <f>'4c'!G10/'3b'!G10</f>
        <v>1.9188665447897624</v>
      </c>
      <c r="H10" s="7">
        <f>'4c'!H10/'3b'!H10</f>
        <v>1.9070150753768842</v>
      </c>
      <c r="I10" s="7">
        <f>'4c'!I10/'3b'!I10</f>
        <v>1.9482236024844721</v>
      </c>
      <c r="J10" s="7">
        <f>'4c'!J10/'3b'!J10</f>
        <v>1.9260119047619046</v>
      </c>
      <c r="K10" s="7">
        <f>'4c'!K10/'3b'!K10</f>
        <v>1.9022065404475041</v>
      </c>
      <c r="L10" s="7">
        <f>'4c'!L10/'3b'!L10</f>
        <v>1.888653975363942</v>
      </c>
      <c r="M10" s="7">
        <f>'4c'!M10/'3b'!M10</f>
        <v>1.9471970260223048</v>
      </c>
    </row>
    <row r="11" spans="1:13">
      <c r="A11" s="4">
        <v>1993</v>
      </c>
      <c r="B11" s="7">
        <f>'4c'!B11/'3b'!B11</f>
        <v>1.7885448107123592</v>
      </c>
      <c r="C11" s="7">
        <f>'4c'!C11/'3b'!C11</f>
        <v>1.9726059773273787</v>
      </c>
      <c r="D11" s="7">
        <f>'4c'!D11/'3b'!D11</f>
        <v>2.0590227272727271</v>
      </c>
      <c r="E11" s="7">
        <f>'4c'!E11/'3b'!E11</f>
        <v>2.0568776699029123</v>
      </c>
      <c r="F11" s="7">
        <f>'4c'!F11/'3b'!F11</f>
        <v>2.144000000000001</v>
      </c>
      <c r="G11" s="7">
        <f>'4c'!G11/'3b'!G11</f>
        <v>1.9718222222222224</v>
      </c>
      <c r="H11" s="7">
        <f>'4c'!H11/'3b'!H11</f>
        <v>1.9578078078078078</v>
      </c>
      <c r="I11" s="7">
        <f>'4c'!I11/'3b'!I11</f>
        <v>1.8799205298013246</v>
      </c>
      <c r="J11" s="7">
        <f>'4c'!J11/'3b'!J11</f>
        <v>2.0374277620396604</v>
      </c>
      <c r="K11" s="7">
        <f>'4c'!K11/'3b'!K11</f>
        <v>1.9357460840890357</v>
      </c>
      <c r="L11" s="7">
        <f>'4c'!L11/'3b'!L11</f>
        <v>1.9376217391304345</v>
      </c>
      <c r="M11" s="7">
        <f>'4c'!M11/'3b'!M11</f>
        <v>1.9298566552901024</v>
      </c>
    </row>
    <row r="12" spans="1:13">
      <c r="A12" s="4">
        <v>1994</v>
      </c>
      <c r="B12" s="7">
        <f>'4c'!B12/'3b'!B12</f>
        <v>1.8117906682901053</v>
      </c>
      <c r="C12" s="7">
        <f>'4c'!C12/'3b'!C12</f>
        <v>1.9884740363172988</v>
      </c>
      <c r="D12" s="7">
        <f>'4c'!D12/'3b'!D12</f>
        <v>2.1025691573926868</v>
      </c>
      <c r="E12" s="7">
        <f>'4c'!E12/'3b'!E12</f>
        <v>2.1090016260162603</v>
      </c>
      <c r="F12" s="7">
        <f>'4c'!F12/'3b'!F12</f>
        <v>1.8200000000000018</v>
      </c>
      <c r="G12" s="7">
        <f>'4c'!G12/'3b'!G12</f>
        <v>1.966485804416404</v>
      </c>
      <c r="H12" s="7">
        <f>'4c'!H12/'3b'!H12</f>
        <v>1.9384905660377358</v>
      </c>
      <c r="I12" s="7">
        <f>'4c'!I12/'3b'!I12</f>
        <v>1.949860962566845</v>
      </c>
      <c r="J12" s="7">
        <f>'4c'!J12/'3b'!J12</f>
        <v>2.018473282442748</v>
      </c>
      <c r="K12" s="7">
        <f>'4c'!K12/'3b'!K12</f>
        <v>1.9531400966183576</v>
      </c>
      <c r="L12" s="7">
        <f>'4c'!L12/'3b'!L12</f>
        <v>1.9394638743455499</v>
      </c>
      <c r="M12" s="7">
        <f>'4c'!M12/'3b'!M12</f>
        <v>1.9986480836236933</v>
      </c>
    </row>
    <row r="13" spans="1:13">
      <c r="A13" s="4">
        <v>1995</v>
      </c>
      <c r="B13" s="7">
        <f>'4c'!B13/'3b'!B13</f>
        <v>1.7993269551875082</v>
      </c>
      <c r="C13" s="7">
        <f>'4c'!C13/'3b'!C13</f>
        <v>1.9987249769017552</v>
      </c>
      <c r="D13" s="7">
        <f>'4c'!D13/'3b'!D13</f>
        <v>2.0923636363636366</v>
      </c>
      <c r="E13" s="7">
        <f>'4c'!E13/'3b'!E13</f>
        <v>2.1026379310344829</v>
      </c>
      <c r="F13" s="7">
        <f>'4c'!F13/'3b'!F13</f>
        <v>1.7159999999999898</v>
      </c>
      <c r="G13" s="7">
        <f>'4c'!G13/'3b'!G13</f>
        <v>1.9754476479514411</v>
      </c>
      <c r="H13" s="7">
        <f>'4c'!H13/'3b'!H13</f>
        <v>1.9709034090909088</v>
      </c>
      <c r="I13" s="7">
        <f>'4c'!I13/'3b'!I13</f>
        <v>1.969988439306358</v>
      </c>
      <c r="J13" s="7">
        <f>'4c'!J13/'3b'!J13</f>
        <v>1.9847256235827666</v>
      </c>
      <c r="K13" s="7">
        <f>'4c'!K13/'3b'!K13</f>
        <v>1.9688467874794069</v>
      </c>
      <c r="L13" s="7">
        <f>'4c'!L13/'3b'!L13</f>
        <v>1.9656218487394956</v>
      </c>
      <c r="M13" s="7">
        <f>'4c'!M13/'3b'!M13</f>
        <v>1.9805648854961833</v>
      </c>
    </row>
    <row r="14" spans="1:13">
      <c r="A14" s="4">
        <v>1996</v>
      </c>
      <c r="B14" s="7">
        <f>'4c'!B14/'3b'!B14</f>
        <v>1.8119443277154395</v>
      </c>
      <c r="C14" s="7">
        <f>'4c'!C14/'3b'!C14</f>
        <v>1.9863967408335947</v>
      </c>
      <c r="D14" s="7">
        <f>'4c'!D14/'3b'!D14</f>
        <v>2.0058533541341657</v>
      </c>
      <c r="E14" s="7">
        <f>'4c'!E14/'3b'!E14</f>
        <v>2.0032025518341308</v>
      </c>
      <c r="F14" s="7">
        <f>'4c'!F14/'3b'!F14</f>
        <v>2.1245714285714348</v>
      </c>
      <c r="G14" s="7">
        <f>'4c'!G14/'3b'!G14</f>
        <v>1.9827379209370424</v>
      </c>
      <c r="H14" s="7">
        <f>'4c'!H14/'3b'!H14</f>
        <v>1.9784555555555556</v>
      </c>
      <c r="I14" s="7">
        <f>'4c'!I14/'3b'!I14</f>
        <v>2.046741116751269</v>
      </c>
      <c r="J14" s="7">
        <f>'4c'!J14/'3b'!J14</f>
        <v>1.9616391982182626</v>
      </c>
      <c r="K14" s="7">
        <f>'4c'!K14/'3b'!K14</f>
        <v>1.9800844594594593</v>
      </c>
      <c r="L14" s="7">
        <f>'4c'!L14/'3b'!L14</f>
        <v>1.9875618221258133</v>
      </c>
      <c r="M14" s="7">
        <f>'4c'!M14/'3b'!M14</f>
        <v>1.9537709923664119</v>
      </c>
    </row>
    <row r="15" spans="1:13">
      <c r="A15" s="4">
        <v>1997</v>
      </c>
      <c r="B15" s="7">
        <f>'4c'!B15/'3b'!B15</f>
        <v>1.8130403618853055</v>
      </c>
      <c r="C15" s="7">
        <f>'4c'!C15/'3b'!C15</f>
        <v>1.9651197452229299</v>
      </c>
      <c r="D15" s="7">
        <f>'4c'!D15/'3b'!D15</f>
        <v>2.0137938144329897</v>
      </c>
      <c r="E15" s="7">
        <f>'4c'!E15/'3b'!E15</f>
        <v>2.0174006968641116</v>
      </c>
      <c r="F15" s="7">
        <f>'4c'!F15/'3b'!F15</f>
        <v>1.7549999999999906</v>
      </c>
      <c r="G15" s="7">
        <f>'4c'!G15/'3b'!G15</f>
        <v>1.9873447782546494</v>
      </c>
      <c r="H15" s="7">
        <f>'4c'!H15/'3b'!H15</f>
        <v>1.9743881401617251</v>
      </c>
      <c r="I15" s="7">
        <f>'4c'!I15/'3b'!I15</f>
        <v>1.9912127659574466</v>
      </c>
      <c r="J15" s="7">
        <f>'4c'!J15/'3b'!J15</f>
        <v>2.0064444444444445</v>
      </c>
      <c r="K15" s="7">
        <f>'4c'!K15/'3b'!K15</f>
        <v>1.9139137931034484</v>
      </c>
      <c r="L15" s="7">
        <f>'4c'!L15/'3b'!L15</f>
        <v>1.8983545454545452</v>
      </c>
      <c r="M15" s="7">
        <f>'4c'!M15/'3b'!M15</f>
        <v>1.9628142857142858</v>
      </c>
    </row>
    <row r="16" spans="1:13">
      <c r="A16" s="4">
        <v>1998</v>
      </c>
      <c r="B16" s="7">
        <f>'4c'!B16/'3b'!B16</f>
        <v>1.7966710427019406</v>
      </c>
      <c r="C16" s="7">
        <f>'4c'!C16/'3b'!C16</f>
        <v>1.9443847549909257</v>
      </c>
      <c r="D16" s="7">
        <f>'4c'!D16/'3b'!D16</f>
        <v>2.0426975206611568</v>
      </c>
      <c r="E16" s="7">
        <f>'4c'!E16/'3b'!E16</f>
        <v>2.0470521008403364</v>
      </c>
      <c r="F16" s="7">
        <f>'4c'!F16/'3b'!F16</f>
        <v>1.7835999999999859</v>
      </c>
      <c r="G16" s="7">
        <f>'4c'!G16/'3b'!G16</f>
        <v>1.9493692722371965</v>
      </c>
      <c r="H16" s="7">
        <f>'4c'!H16/'3b'!H16</f>
        <v>1.9155567010309276</v>
      </c>
      <c r="I16" s="7">
        <f>'4c'!I16/'3b'!I16</f>
        <v>1.9534031413612565</v>
      </c>
      <c r="J16" s="7">
        <f>'4c'!J16/'3b'!J16</f>
        <v>1.9946718146718148</v>
      </c>
      <c r="K16" s="7">
        <f>'4c'!K16/'3b'!K16</f>
        <v>1.8894330320460146</v>
      </c>
      <c r="L16" s="7">
        <f>'4c'!L16/'3b'!L16</f>
        <v>1.8557868480725621</v>
      </c>
      <c r="M16" s="7">
        <f>'4c'!M16/'3b'!M16</f>
        <v>1.9780179104477611</v>
      </c>
    </row>
    <row r="17" spans="1:13">
      <c r="A17" s="4">
        <v>1999</v>
      </c>
      <c r="B17" s="7">
        <f>'4c'!B17/'3b'!B17</f>
        <v>1.8114608064303415</v>
      </c>
      <c r="C17" s="7">
        <f>'4c'!C17/'3b'!C17</f>
        <v>1.9877581620314388</v>
      </c>
      <c r="D17" s="7">
        <f>'4c'!D17/'3b'!D17</f>
        <v>2.0804377104377108</v>
      </c>
      <c r="E17" s="7">
        <f>'4c'!E17/'3b'!E17</f>
        <v>2.0843931034482761</v>
      </c>
      <c r="F17" s="7">
        <f>'4c'!F17/'3b'!F17</f>
        <v>1.9165714285714273</v>
      </c>
      <c r="G17" s="7">
        <f>'4c'!G17/'3b'!G17</f>
        <v>1.976506164828034</v>
      </c>
      <c r="H17" s="7">
        <f>'4c'!H17/'3b'!H17</f>
        <v>1.9576965174129355</v>
      </c>
      <c r="I17" s="7">
        <f>'4c'!I17/'3b'!I17</f>
        <v>1.9603469387755099</v>
      </c>
      <c r="J17" s="7">
        <f>'4c'!J17/'3b'!J17</f>
        <v>2.0103142329020329</v>
      </c>
      <c r="K17" s="7">
        <f>'4c'!K17/'3b'!K17</f>
        <v>1.955607843137255</v>
      </c>
      <c r="L17" s="7">
        <f>'4c'!L17/'3b'!L17</f>
        <v>1.92988679245283</v>
      </c>
      <c r="M17" s="7">
        <f>'4c'!M17/'3b'!M17</f>
        <v>2.0097037037037042</v>
      </c>
    </row>
    <row r="18" spans="1:13">
      <c r="A18" s="4">
        <v>2000</v>
      </c>
      <c r="B18" s="7">
        <f>'4c'!B18/'3b'!B18</f>
        <v>1.8238221102396337</v>
      </c>
      <c r="C18" s="7">
        <f>'4c'!C18/'3b'!C18</f>
        <v>1.9876273291925461</v>
      </c>
      <c r="D18" s="7">
        <f>'4c'!D18/'3b'!D18</f>
        <v>2.0514045534150611</v>
      </c>
      <c r="E18" s="7">
        <f>'4c'!E18/'3b'!E18</f>
        <v>2.0501276595744682</v>
      </c>
      <c r="F18" s="7">
        <f>'4c'!F18/'3b'!F18</f>
        <v>2.1542857142857055</v>
      </c>
      <c r="G18" s="7">
        <f>'4c'!G18/'3b'!G18</f>
        <v>1.9916660617059889</v>
      </c>
      <c r="H18" s="7">
        <f>'4c'!H18/'3b'!H18</f>
        <v>1.9677001209189844</v>
      </c>
      <c r="I18" s="7">
        <f>'4c'!I18/'3b'!I18</f>
        <v>2.0663862660944203</v>
      </c>
      <c r="J18" s="7">
        <f>'4c'!J18/'3b'!J18</f>
        <v>1.9991013513513514</v>
      </c>
      <c r="K18" s="7">
        <f>'4c'!K18/'3b'!K18</f>
        <v>1.9503820224719099</v>
      </c>
      <c r="L18" s="7">
        <f>'4c'!L18/'3b'!L18</f>
        <v>1.9386736020806241</v>
      </c>
      <c r="M18" s="7">
        <f>'4c'!M18/'3b'!M18</f>
        <v>1.9735876288659795</v>
      </c>
    </row>
    <row r="19" spans="1:13">
      <c r="A19" s="4">
        <v>2001</v>
      </c>
      <c r="B19" s="7">
        <f>'4c'!B19/'3b'!B19</f>
        <v>1.7886167186308224</v>
      </c>
      <c r="C19" s="7">
        <f>'4c'!C19/'3b'!C19</f>
        <v>1.9531316526610647</v>
      </c>
      <c r="D19" s="7">
        <f>'4c'!D19/'3b'!D19</f>
        <v>2.0613489278752435</v>
      </c>
      <c r="E19" s="7">
        <f>'4c'!E19/'3b'!E19</f>
        <v>2.0606915520628686</v>
      </c>
      <c r="F19" s="7">
        <f>'4c'!F19/'3b'!F19</f>
        <v>2.1450000000000076</v>
      </c>
      <c r="G19" s="7">
        <f>'4c'!G19/'3b'!G19</f>
        <v>1.931856346749226</v>
      </c>
      <c r="H19" s="7">
        <f>'4c'!H19/'3b'!H19</f>
        <v>1.9279344262295079</v>
      </c>
      <c r="I19" s="7">
        <f>'4c'!I19/'3b'!I19</f>
        <v>1.9302057613168726</v>
      </c>
      <c r="J19" s="7">
        <f>'4c'!J19/'3b'!J19</f>
        <v>1.9413633217993083</v>
      </c>
      <c r="K19" s="7">
        <f>'4c'!K19/'3b'!K19</f>
        <v>1.9336331797235022</v>
      </c>
      <c r="L19" s="7">
        <f>'4c'!L19/'3b'!L19</f>
        <v>1.9399025710419489</v>
      </c>
      <c r="M19" s="7">
        <f>'4c'!M19/'3b'!M19</f>
        <v>1.9202427745664743</v>
      </c>
    </row>
    <row r="20" spans="1:13">
      <c r="A20" s="4">
        <v>2002</v>
      </c>
      <c r="B20" s="7">
        <f>'4c'!B20/'3b'!B20</f>
        <v>1.7758874229282058</v>
      </c>
      <c r="C20" s="7">
        <f>'4c'!C20/'3b'!C20</f>
        <v>1.9459569377990431</v>
      </c>
      <c r="D20" s="7">
        <f>'4c'!D20/'3b'!D20</f>
        <v>2.0064895635673623</v>
      </c>
      <c r="E20" s="7">
        <f>'4c'!E20/'3b'!E20</f>
        <v>2.0117934990439772</v>
      </c>
      <c r="F20" s="7">
        <f>'4c'!F20/'3b'!F20</f>
        <v>1.3129999999999693</v>
      </c>
      <c r="G20" s="7">
        <f>'4c'!G20/'3b'!G20</f>
        <v>1.9366662863662294</v>
      </c>
      <c r="H20" s="7">
        <f>'4c'!H20/'3b'!H20</f>
        <v>1.9255625000000001</v>
      </c>
      <c r="I20" s="7">
        <f>'4c'!I20/'3b'!I20</f>
        <v>1.9455100401606429</v>
      </c>
      <c r="J20" s="7">
        <f>'4c'!J20/'3b'!J20</f>
        <v>1.9441664190193166</v>
      </c>
      <c r="K20" s="7">
        <f>'4c'!K20/'3b'!K20</f>
        <v>1.9312819548872178</v>
      </c>
      <c r="L20" s="7">
        <f>'4c'!L20/'3b'!L20</f>
        <v>1.9340290620871863</v>
      </c>
      <c r="M20" s="7">
        <f>'4c'!M20/'3b'!M20</f>
        <v>1.9307973856209149</v>
      </c>
    </row>
    <row r="21" spans="1:13">
      <c r="A21" s="4">
        <v>2003</v>
      </c>
      <c r="B21" s="7">
        <f>'4c'!B21/'3b'!B21</f>
        <v>1.74505401249338</v>
      </c>
      <c r="C21" s="7">
        <f>'4c'!C21/'3b'!C21</f>
        <v>1.9274686515888921</v>
      </c>
      <c r="D21" s="7">
        <f>'4c'!D21/'3b'!D21</f>
        <v>2.0680716845878138</v>
      </c>
      <c r="E21" s="7">
        <f>'4c'!E21/'3b'!E21</f>
        <v>2.0742536231884059</v>
      </c>
      <c r="F21" s="7">
        <f>'4c'!F21/'3b'!F21</f>
        <v>1.4993333333333239</v>
      </c>
      <c r="G21" s="7">
        <f>'4c'!G21/'3b'!G21</f>
        <v>1.9120733944954129</v>
      </c>
      <c r="H21" s="7">
        <f>'4c'!H21/'3b'!H21</f>
        <v>1.8854014251781475</v>
      </c>
      <c r="I21" s="7">
        <f>'4c'!I21/'3b'!I21</f>
        <v>1.9888243243243242</v>
      </c>
      <c r="J21" s="7">
        <f>'4c'!J21/'3b'!J21</f>
        <v>1.9117090909090908</v>
      </c>
      <c r="K21" s="7">
        <f>'4c'!K21/'3b'!K21</f>
        <v>1.8813234750462104</v>
      </c>
      <c r="L21" s="7">
        <f>'4c'!L21/'3b'!L21</f>
        <v>1.8883603133159268</v>
      </c>
      <c r="M21" s="7">
        <f>'4c'!M21/'3b'!M21</f>
        <v>1.8642658227848101</v>
      </c>
    </row>
    <row r="22" spans="1:13">
      <c r="A22" s="4">
        <v>2004</v>
      </c>
      <c r="B22" s="7">
        <f>'4c'!B22/'3b'!B22</f>
        <v>1.7626317426475198</v>
      </c>
      <c r="C22" s="7">
        <f>'4c'!C22/'3b'!C22</f>
        <v>1.9655543859649123</v>
      </c>
      <c r="D22" s="7">
        <f>'4c'!D22/'3b'!D22</f>
        <v>2.0912215799614642</v>
      </c>
      <c r="E22" s="7">
        <f>'4c'!E22/'3b'!E22</f>
        <v>2.1044584980237153</v>
      </c>
      <c r="F22" s="7">
        <f>'4c'!F22/'3b'!F22</f>
        <v>1.5759999999999978</v>
      </c>
      <c r="G22" s="7">
        <f>'4c'!G22/'3b'!G22</f>
        <v>1.9381234567901231</v>
      </c>
      <c r="H22" s="7">
        <f>'4c'!H22/'3b'!H22</f>
        <v>1.9246729411764705</v>
      </c>
      <c r="I22" s="7">
        <f>'4c'!I22/'3b'!I22</f>
        <v>1.9434557823129253</v>
      </c>
      <c r="J22" s="7">
        <f>'4c'!J22/'3b'!J22</f>
        <v>1.9519165507649514</v>
      </c>
      <c r="K22" s="7">
        <f>'4c'!K22/'3b'!K22</f>
        <v>1.9519537572254337</v>
      </c>
      <c r="L22" s="7">
        <f>'4c'!L22/'3b'!L22</f>
        <v>1.9504508670520229</v>
      </c>
      <c r="M22" s="7">
        <f>'4c'!M22/'3b'!M22</f>
        <v>1.9549595375722542</v>
      </c>
    </row>
    <row r="23" spans="1:13">
      <c r="A23" s="4">
        <v>2005</v>
      </c>
      <c r="B23" s="7">
        <f>'4c'!B23/'3b'!B23</f>
        <v>1.7772768820695497</v>
      </c>
      <c r="C23" s="7">
        <f>'4c'!C23/'3b'!C23</f>
        <v>1.9490887275023681</v>
      </c>
      <c r="D23" s="7">
        <f>'4c'!D23/'3b'!D23</f>
        <v>2.0376587473002159</v>
      </c>
      <c r="E23" s="7">
        <f>'4c'!E23/'3b'!E23</f>
        <v>2.0347428571428572</v>
      </c>
      <c r="F23" s="7">
        <f>'4c'!F23/'3b'!F23</f>
        <v>2.2034999999999987</v>
      </c>
      <c r="G23" s="7">
        <f>'4c'!G23/'3b'!G23</f>
        <v>1.9527966903073288</v>
      </c>
      <c r="H23" s="7">
        <f>'4c'!H23/'3b'!H23</f>
        <v>1.9747202072538859</v>
      </c>
      <c r="I23" s="7">
        <f>'4c'!I23/'3b'!I23</f>
        <v>1.9633561643835615</v>
      </c>
      <c r="J23" s="7">
        <f>'4c'!J23/'3b'!J23</f>
        <v>1.9178823529411766</v>
      </c>
      <c r="K23" s="7">
        <f>'4c'!K23/'3b'!K23</f>
        <v>1.9023675889328062</v>
      </c>
      <c r="L23" s="7">
        <f>'4c'!L23/'3b'!L23</f>
        <v>1.904429237947123</v>
      </c>
      <c r="M23" s="7">
        <f>'4c'!M23/'3b'!M23</f>
        <v>1.8989159891598915</v>
      </c>
    </row>
    <row r="24" spans="1:13">
      <c r="A24" s="4">
        <v>2006</v>
      </c>
      <c r="B24" s="7">
        <f>'4c'!B24/'3b'!B24</f>
        <v>1.7640148990251332</v>
      </c>
      <c r="C24" s="7">
        <f>'4c'!C24/'3b'!C24</f>
        <v>1.965930486593843</v>
      </c>
      <c r="D24" s="7">
        <f>'4c'!D24/'3b'!D24</f>
        <v>2.0781204819277108</v>
      </c>
      <c r="E24" s="7">
        <f>'4c'!E24/'3b'!E24</f>
        <v>2.0836870415647923</v>
      </c>
      <c r="F24" s="7">
        <f>'4c'!F24/'3b'!F24</f>
        <v>1.6986666666666548</v>
      </c>
      <c r="G24" s="7">
        <f>'4c'!G24/'3b'!G24</f>
        <v>1.9673489489489491</v>
      </c>
      <c r="H24" s="7">
        <f>'4c'!H24/'3b'!H24</f>
        <v>1.9467934621099552</v>
      </c>
      <c r="I24" s="7">
        <f>'4c'!I24/'3b'!I24</f>
        <v>1.942292490118577</v>
      </c>
      <c r="J24" s="7">
        <f>'4c'!J24/'3b'!J24</f>
        <v>1.9973495934959349</v>
      </c>
      <c r="K24" s="7">
        <f>'4c'!K24/'3b'!K24</f>
        <v>1.9139426142401701</v>
      </c>
      <c r="L24" s="7">
        <f>'4c'!L24/'3b'!L24</f>
        <v>1.9335305466237942</v>
      </c>
      <c r="M24" s="7">
        <f>'4c'!M24/'3b'!M24</f>
        <v>1.8755862068965516</v>
      </c>
    </row>
    <row r="25" spans="1:13">
      <c r="A25" s="4">
        <v>2007</v>
      </c>
      <c r="B25" s="7">
        <f>'4c'!B25/'3b'!B25</f>
        <v>1.7684954465683251</v>
      </c>
      <c r="C25" s="7">
        <f>'4c'!C25/'3b'!C25</f>
        <v>1.9708228404099555</v>
      </c>
      <c r="D25" s="7">
        <f>'4c'!D25/'3b'!D25</f>
        <v>2.0912644836272039</v>
      </c>
      <c r="E25" s="7">
        <f>'4c'!E25/'3b'!E25</f>
        <v>2.0966666666666667</v>
      </c>
      <c r="F25" s="7">
        <f>'4c'!F25/'3b'!F25</f>
        <v>1.7902857142857003</v>
      </c>
      <c r="G25" s="7">
        <f>'4c'!G25/'3b'!G25</f>
        <v>1.9705655737704917</v>
      </c>
      <c r="H25" s="7">
        <f>'4c'!H25/'3b'!H25</f>
        <v>1.9522965299684545</v>
      </c>
      <c r="I25" s="7">
        <f>'4c'!I25/'3b'!I25</f>
        <v>1.9736460905349795</v>
      </c>
      <c r="J25" s="7">
        <f>'4c'!J25/'3b'!J25</f>
        <v>1.9856394557823129</v>
      </c>
      <c r="K25" s="7">
        <f>'4c'!K25/'3b'!K25</f>
        <v>1.9163582089552242</v>
      </c>
      <c r="L25" s="7">
        <f>'4c'!L25/'3b'!L25</f>
        <v>1.8998048780487804</v>
      </c>
      <c r="M25" s="7">
        <f>'4c'!M25/'3b'!M25</f>
        <v>1.9423076923076927</v>
      </c>
    </row>
    <row r="26" spans="1:13">
      <c r="A26" s="4"/>
      <c r="B26" s="4"/>
      <c r="C26" s="4"/>
      <c r="D26" s="4"/>
      <c r="E26" s="4"/>
      <c r="F26" s="4"/>
      <c r="G26" s="4"/>
      <c r="H26" s="4"/>
      <c r="I26" s="4"/>
      <c r="J26" s="4"/>
      <c r="K26" s="4"/>
      <c r="L26" s="4"/>
      <c r="M26" s="4"/>
    </row>
    <row r="27" spans="1:13">
      <c r="A27" s="81" t="s">
        <v>75</v>
      </c>
      <c r="B27" s="81"/>
      <c r="C27" s="81"/>
      <c r="D27" s="81"/>
      <c r="E27" s="81"/>
      <c r="F27" s="81"/>
      <c r="G27" s="81"/>
      <c r="H27" s="81"/>
      <c r="I27" s="81"/>
      <c r="J27" s="81"/>
      <c r="K27" s="81"/>
      <c r="L27" s="81"/>
      <c r="M27" s="81"/>
    </row>
    <row r="28" spans="1:13">
      <c r="A28" s="78" t="s">
        <v>62</v>
      </c>
      <c r="B28" s="78"/>
      <c r="C28" s="78"/>
      <c r="D28" s="78"/>
      <c r="E28" s="78"/>
      <c r="F28" s="78"/>
      <c r="G28" s="78"/>
      <c r="H28" s="78"/>
      <c r="I28" s="78"/>
      <c r="J28" s="78"/>
      <c r="K28" s="78"/>
      <c r="L28" s="78"/>
      <c r="M28" s="78"/>
    </row>
    <row r="29" spans="1:13">
      <c r="A29" s="78" t="s">
        <v>80</v>
      </c>
      <c r="B29" s="78"/>
      <c r="C29" s="78"/>
      <c r="D29" s="78"/>
      <c r="E29" s="78"/>
      <c r="F29" s="78"/>
      <c r="G29" s="78"/>
      <c r="H29" s="78"/>
      <c r="I29" s="78"/>
      <c r="J29" s="78"/>
      <c r="K29" s="78"/>
      <c r="L29" s="78"/>
      <c r="M29" s="78"/>
    </row>
    <row r="30" spans="1:13">
      <c r="A30" s="78" t="s">
        <v>81</v>
      </c>
      <c r="B30" s="78"/>
      <c r="C30" s="78"/>
      <c r="D30" s="78"/>
      <c r="E30" s="78"/>
      <c r="F30" s="78"/>
      <c r="G30" s="78"/>
      <c r="H30" s="78"/>
      <c r="I30" s="78"/>
      <c r="J30" s="78"/>
      <c r="K30" s="78"/>
      <c r="L30" s="78"/>
      <c r="M30" s="78"/>
    </row>
  </sheetData>
  <mergeCells count="12">
    <mergeCell ref="A27:M27"/>
    <mergeCell ref="A28:M28"/>
    <mergeCell ref="A29:M29"/>
    <mergeCell ref="A30:M30"/>
    <mergeCell ref="A1:M1"/>
    <mergeCell ref="A2:A4"/>
    <mergeCell ref="B2:B4"/>
    <mergeCell ref="C2:M2"/>
    <mergeCell ref="C3:C4"/>
    <mergeCell ref="D3:F3"/>
    <mergeCell ref="G3:J3"/>
    <mergeCell ref="K3:M3"/>
  </mergeCells>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35"/>
  <dimension ref="A1:K45"/>
  <sheetViews>
    <sheetView view="pageBreakPre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11.7109375" style="64" customWidth="1"/>
    <col min="2" max="2" width="12.7109375" style="64" customWidth="1"/>
    <col min="3" max="3" width="14.7109375" style="64" customWidth="1"/>
    <col min="4" max="4" width="12.7109375" style="64" customWidth="1"/>
    <col min="5" max="5" width="16.28515625" style="64" customWidth="1"/>
    <col min="6" max="6" width="16.140625" style="64" customWidth="1"/>
    <col min="7" max="9" width="16.28515625" style="64" customWidth="1"/>
    <col min="10" max="16384" width="9.140625" style="64"/>
  </cols>
  <sheetData>
    <row r="1" spans="1:9">
      <c r="A1" s="108" t="s">
        <v>1972</v>
      </c>
      <c r="B1" s="108"/>
      <c r="C1" s="108"/>
      <c r="D1" s="108"/>
      <c r="E1" s="108"/>
      <c r="F1" s="108"/>
      <c r="G1" s="108"/>
      <c r="H1" s="108"/>
      <c r="I1" s="108"/>
    </row>
    <row r="2" spans="1:9">
      <c r="A2" s="96"/>
      <c r="B2" s="94" t="s">
        <v>51</v>
      </c>
      <c r="C2" s="123" t="s">
        <v>938</v>
      </c>
      <c r="D2" s="94" t="s">
        <v>37</v>
      </c>
      <c r="E2" s="94"/>
      <c r="F2" s="94"/>
      <c r="G2" s="94"/>
      <c r="H2" s="94"/>
      <c r="I2" s="94"/>
    </row>
    <row r="3" spans="1:9">
      <c r="A3" s="96"/>
      <c r="B3" s="94"/>
      <c r="C3" s="125"/>
      <c r="D3" s="94" t="s">
        <v>78</v>
      </c>
      <c r="E3" s="94" t="s">
        <v>0</v>
      </c>
      <c r="F3" s="94" t="s">
        <v>1</v>
      </c>
      <c r="G3" s="94" t="s">
        <v>2</v>
      </c>
      <c r="H3" s="94"/>
      <c r="I3" s="94"/>
    </row>
    <row r="4" spans="1:9" ht="60">
      <c r="A4" s="96"/>
      <c r="B4" s="94"/>
      <c r="C4" s="126"/>
      <c r="D4" s="94"/>
      <c r="E4" s="94"/>
      <c r="F4" s="94"/>
      <c r="G4" s="72" t="s">
        <v>517</v>
      </c>
      <c r="H4" s="72" t="s">
        <v>13</v>
      </c>
      <c r="I4" s="72" t="s">
        <v>19</v>
      </c>
    </row>
    <row r="5" spans="1:9">
      <c r="A5" s="66">
        <v>1981</v>
      </c>
      <c r="B5" s="147">
        <f>IFERROR('5'!B5/'5'!B$26*100,"..")</f>
        <v>75.102862352388115</v>
      </c>
      <c r="C5" s="147">
        <f>IFERROR('5'!C5/'5'!C$26*100,"..")</f>
        <v>57.458146453610496</v>
      </c>
      <c r="D5" s="147" t="str">
        <f>IFERROR('5'!D5/'5'!D$26*100,"..")</f>
        <v>..</v>
      </c>
      <c r="E5" s="147" t="str">
        <f>IFERROR('5'!E5/'5'!E$26*100,"..")</f>
        <v>..</v>
      </c>
      <c r="F5" s="147">
        <f>IFERROR('5'!F5/'5'!F$26*100,"..")</f>
        <v>45.20296827556178</v>
      </c>
      <c r="G5" s="147">
        <f>IFERROR('5'!G5/'5'!G$26*100,"..")</f>
        <v>54.427234595223418</v>
      </c>
      <c r="H5" s="147" t="str">
        <f>IFERROR('5'!H5/'5'!H$26*100,"..")</f>
        <v>..</v>
      </c>
      <c r="I5" s="147" t="str">
        <f>IFERROR('5'!I5/'5'!I$26*100,"..")</f>
        <v>..</v>
      </c>
    </row>
    <row r="6" spans="1:9">
      <c r="A6" s="66">
        <v>1982</v>
      </c>
      <c r="B6" s="147">
        <f>IFERROR('5'!B6/'5'!B$26*100,"..")</f>
        <v>76.238385873563971</v>
      </c>
      <c r="C6" s="147">
        <f>IFERROR('5'!C6/'5'!C$26*100,"..")</f>
        <v>56.803716867247843</v>
      </c>
      <c r="D6" s="147" t="str">
        <f>IFERROR('5'!D6/'5'!D$26*100,"..")</f>
        <v>..</v>
      </c>
      <c r="E6" s="147" t="str">
        <f>IFERROR('5'!E6/'5'!E$26*100,"..")</f>
        <v>..</v>
      </c>
      <c r="F6" s="147">
        <f>IFERROR('5'!F6/'5'!F$26*100,"..")</f>
        <v>45.396486258623284</v>
      </c>
      <c r="G6" s="147">
        <f>IFERROR('5'!G6/'5'!G$26*100,"..")</f>
        <v>54.219590617895911</v>
      </c>
      <c r="H6" s="147" t="str">
        <f>IFERROR('5'!H6/'5'!H$26*100,"..")</f>
        <v>..</v>
      </c>
      <c r="I6" s="147" t="str">
        <f>IFERROR('5'!I6/'5'!I$26*100,"..")</f>
        <v>..</v>
      </c>
    </row>
    <row r="7" spans="1:9">
      <c r="A7" s="66">
        <v>1983</v>
      </c>
      <c r="B7" s="147">
        <f>IFERROR('5'!B7/'5'!B$26*100,"..")</f>
        <v>77.810418980338554</v>
      </c>
      <c r="C7" s="147">
        <f>IFERROR('5'!C7/'5'!C$26*100,"..")</f>
        <v>60.585808585827586</v>
      </c>
      <c r="D7" s="147" t="str">
        <f>IFERROR('5'!D7/'5'!D$26*100,"..")</f>
        <v>..</v>
      </c>
      <c r="E7" s="147" t="str">
        <f>IFERROR('5'!E7/'5'!E$26*100,"..")</f>
        <v>..</v>
      </c>
      <c r="F7" s="147">
        <f>IFERROR('5'!F7/'5'!F$26*100,"..")</f>
        <v>54.297827326781224</v>
      </c>
      <c r="G7" s="147">
        <f>IFERROR('5'!G7/'5'!G$26*100,"..")</f>
        <v>62.674266556403587</v>
      </c>
      <c r="H7" s="147" t="str">
        <f>IFERROR('5'!H7/'5'!H$26*100,"..")</f>
        <v>..</v>
      </c>
      <c r="I7" s="147" t="str">
        <f>IFERROR('5'!I7/'5'!I$26*100,"..")</f>
        <v>..</v>
      </c>
    </row>
    <row r="8" spans="1:9">
      <c r="A8" s="66">
        <v>1984</v>
      </c>
      <c r="B8" s="147">
        <f>IFERROR('5'!B8/'5'!B$26*100,"..")</f>
        <v>79.987561796162453</v>
      </c>
      <c r="C8" s="147">
        <f>IFERROR('5'!C8/'5'!C$26*100,"..")</f>
        <v>66.936130575861753</v>
      </c>
      <c r="D8" s="147" t="str">
        <f>IFERROR('5'!D8/'5'!D$26*100,"..")</f>
        <v>..</v>
      </c>
      <c r="E8" s="147" t="str">
        <f>IFERROR('5'!E8/'5'!E$26*100,"..")</f>
        <v>..</v>
      </c>
      <c r="F8" s="147">
        <f>IFERROR('5'!F8/'5'!F$26*100,"..")</f>
        <v>61.794814578677695</v>
      </c>
      <c r="G8" s="147">
        <f>IFERROR('5'!G8/'5'!G$26*100,"..")</f>
        <v>64.967148948564841</v>
      </c>
      <c r="H8" s="147" t="str">
        <f>IFERROR('5'!H8/'5'!H$26*100,"..")</f>
        <v>..</v>
      </c>
      <c r="I8" s="147" t="str">
        <f>IFERROR('5'!I8/'5'!I$26*100,"..")</f>
        <v>..</v>
      </c>
    </row>
    <row r="9" spans="1:9">
      <c r="A9" s="66">
        <v>1985</v>
      </c>
      <c r="B9" s="147">
        <f>IFERROR('5'!B9/'5'!B$26*100,"..")</f>
        <v>81.139201594173301</v>
      </c>
      <c r="C9" s="147">
        <f>IFERROR('5'!C9/'5'!C$26*100,"..")</f>
        <v>68.284164356231514</v>
      </c>
      <c r="D9" s="147" t="str">
        <f>IFERROR('5'!D9/'5'!D$26*100,"..")</f>
        <v>..</v>
      </c>
      <c r="E9" s="147" t="str">
        <f>IFERROR('5'!E9/'5'!E$26*100,"..")</f>
        <v>..</v>
      </c>
      <c r="F9" s="147">
        <f>IFERROR('5'!F9/'5'!F$26*100,"..")</f>
        <v>68.655596163421762</v>
      </c>
      <c r="G9" s="147">
        <f>IFERROR('5'!G9/'5'!G$26*100,"..")</f>
        <v>66.290459488120717</v>
      </c>
      <c r="H9" s="147" t="str">
        <f>IFERROR('5'!H9/'5'!H$26*100,"..")</f>
        <v>..</v>
      </c>
      <c r="I9" s="147" t="str">
        <f>IFERROR('5'!I9/'5'!I$26*100,"..")</f>
        <v>..</v>
      </c>
    </row>
    <row r="10" spans="1:9">
      <c r="A10" s="66">
        <v>1986</v>
      </c>
      <c r="B10" s="147">
        <f>IFERROR('5'!B10/'5'!B$26*100,"..")</f>
        <v>80.975413320540781</v>
      </c>
      <c r="C10" s="147">
        <f>IFERROR('5'!C10/'5'!C$26*100,"..")</f>
        <v>66.466958594177171</v>
      </c>
      <c r="D10" s="147">
        <f>IFERROR('5'!D10/'5'!D$26*100,"..")</f>
        <v>69.138307891559307</v>
      </c>
      <c r="E10" s="147">
        <f>IFERROR('5'!E10/'5'!E$26*100,"..")</f>
        <v>76.759882677207955</v>
      </c>
      <c r="F10" s="147">
        <f>IFERROR('5'!F10/'5'!F$26*100,"..")</f>
        <v>65.795566280693606</v>
      </c>
      <c r="G10" s="147">
        <f>IFERROR('5'!G10/'5'!G$26*100,"..")</f>
        <v>65.924912340827831</v>
      </c>
      <c r="H10" s="147" t="str">
        <f>IFERROR('5'!H10/'5'!H$26*100,"..")</f>
        <v>..</v>
      </c>
      <c r="I10" s="147" t="str">
        <f>IFERROR('5'!I10/'5'!I$26*100,"..")</f>
        <v>..</v>
      </c>
    </row>
    <row r="11" spans="1:9">
      <c r="A11" s="66">
        <v>1987</v>
      </c>
      <c r="B11" s="147">
        <f>IFERROR('5'!B11/'5'!B$26*100,"..")</f>
        <v>81.215259838947887</v>
      </c>
      <c r="C11" s="147">
        <f>IFERROR('5'!C11/'5'!C$26*100,"..")</f>
        <v>66.953819955391438</v>
      </c>
      <c r="D11" s="147">
        <f>IFERROR('5'!D11/'5'!D$26*100,"..")</f>
        <v>71.692490874414631</v>
      </c>
      <c r="E11" s="147">
        <f>IFERROR('5'!E11/'5'!E$26*100,"..")</f>
        <v>85.711826778349362</v>
      </c>
      <c r="F11" s="147">
        <f>IFERROR('5'!F11/'5'!F$26*100,"..")</f>
        <v>69.172463206475982</v>
      </c>
      <c r="G11" s="147">
        <f>IFERROR('5'!G11/'5'!G$26*100,"..")</f>
        <v>65.004259946502728</v>
      </c>
      <c r="H11" s="147" t="str">
        <f>IFERROR('5'!H11/'5'!H$26*100,"..")</f>
        <v>..</v>
      </c>
      <c r="I11" s="147" t="str">
        <f>IFERROR('5'!I11/'5'!I$26*100,"..")</f>
        <v>..</v>
      </c>
    </row>
    <row r="12" spans="1:9">
      <c r="A12" s="66">
        <v>1988</v>
      </c>
      <c r="B12" s="147">
        <f>IFERROR('5'!B12/'5'!B$26*100,"..")</f>
        <v>81.518703247966414</v>
      </c>
      <c r="C12" s="147">
        <f>IFERROR('5'!C12/'5'!C$26*100,"..")</f>
        <v>67.498431894732363</v>
      </c>
      <c r="D12" s="147">
        <f>IFERROR('5'!D12/'5'!D$26*100,"..")</f>
        <v>73.075944710740998</v>
      </c>
      <c r="E12" s="147">
        <f>IFERROR('5'!E12/'5'!E$26*100,"..")</f>
        <v>86.804234239612057</v>
      </c>
      <c r="F12" s="147">
        <f>IFERROR('5'!F12/'5'!F$26*100,"..")</f>
        <v>71.140473018554246</v>
      </c>
      <c r="G12" s="147">
        <f>IFERROR('5'!G12/'5'!G$26*100,"..")</f>
        <v>66.206970699610864</v>
      </c>
      <c r="H12" s="147" t="str">
        <f>IFERROR('5'!H12/'5'!H$26*100,"..")</f>
        <v>..</v>
      </c>
      <c r="I12" s="147" t="str">
        <f>IFERROR('5'!I12/'5'!I$26*100,"..")</f>
        <v>..</v>
      </c>
    </row>
    <row r="13" spans="1:9">
      <c r="A13" s="66">
        <v>1989</v>
      </c>
      <c r="B13" s="147">
        <f>IFERROR('5'!B13/'5'!B$26*100,"..")</f>
        <v>81.791521262040703</v>
      </c>
      <c r="C13" s="147">
        <f>IFERROR('5'!C13/'5'!C$26*100,"..")</f>
        <v>69.13758928643486</v>
      </c>
      <c r="D13" s="147">
        <f>IFERROR('5'!D13/'5'!D$26*100,"..")</f>
        <v>71.332315383146693</v>
      </c>
      <c r="E13" s="147">
        <f>IFERROR('5'!E13/'5'!E$26*100,"..")</f>
        <v>83.721785508680384</v>
      </c>
      <c r="F13" s="147">
        <f>IFERROR('5'!F13/'5'!F$26*100,"..")</f>
        <v>69.903268159341252</v>
      </c>
      <c r="G13" s="147">
        <f>IFERROR('5'!G13/'5'!G$26*100,"..")</f>
        <v>64.684362997508359</v>
      </c>
      <c r="H13" s="147" t="str">
        <f>IFERROR('5'!H13/'5'!H$26*100,"..")</f>
        <v>..</v>
      </c>
      <c r="I13" s="147" t="str">
        <f>IFERROR('5'!I13/'5'!I$26*100,"..")</f>
        <v>..</v>
      </c>
    </row>
    <row r="14" spans="1:9">
      <c r="A14" s="66">
        <v>1990</v>
      </c>
      <c r="B14" s="147">
        <f>IFERROR('5'!B14/'5'!B$26*100,"..")</f>
        <v>82.320458045124525</v>
      </c>
      <c r="C14" s="147">
        <f>IFERROR('5'!C14/'5'!C$26*100,"..")</f>
        <v>70.562882267741017</v>
      </c>
      <c r="D14" s="147">
        <f>IFERROR('5'!D14/'5'!D$26*100,"..")</f>
        <v>72.221925197980156</v>
      </c>
      <c r="E14" s="147">
        <f>IFERROR('5'!E14/'5'!E$26*100,"..")</f>
        <v>80.062121047722741</v>
      </c>
      <c r="F14" s="147">
        <f>IFERROR('5'!F14/'5'!F$26*100,"..")</f>
        <v>72.219337044960312</v>
      </c>
      <c r="G14" s="147">
        <f>IFERROR('5'!G14/'5'!G$26*100,"..")</f>
        <v>66.289968393953487</v>
      </c>
      <c r="H14" s="147" t="str">
        <f>IFERROR('5'!H14/'5'!H$26*100,"..")</f>
        <v>..</v>
      </c>
      <c r="I14" s="147" t="str">
        <f>IFERROR('5'!I14/'5'!I$26*100,"..")</f>
        <v>..</v>
      </c>
    </row>
    <row r="15" spans="1:9">
      <c r="A15" s="66">
        <v>1991</v>
      </c>
      <c r="B15" s="147">
        <f>IFERROR('5'!B15/'5'!B$26*100,"..")</f>
        <v>83.582463737001049</v>
      </c>
      <c r="C15" s="147">
        <f>IFERROR('5'!C15/'5'!C$26*100,"..")</f>
        <v>71.662045521527034</v>
      </c>
      <c r="D15" s="147">
        <f>IFERROR('5'!D15/'5'!D$26*100,"..")</f>
        <v>70.877548993011374</v>
      </c>
      <c r="E15" s="147">
        <f>IFERROR('5'!E15/'5'!E$26*100,"..")</f>
        <v>70.320451790001485</v>
      </c>
      <c r="F15" s="147">
        <f>IFERROR('5'!F15/'5'!F$26*100,"..")</f>
        <v>74.40722239158319</v>
      </c>
      <c r="G15" s="147">
        <f>IFERROR('5'!G15/'5'!G$26*100,"..")</f>
        <v>65.907667540832847</v>
      </c>
      <c r="H15" s="147" t="str">
        <f>IFERROR('5'!H15/'5'!H$26*100,"..")</f>
        <v>..</v>
      </c>
      <c r="I15" s="147" t="str">
        <f>IFERROR('5'!I15/'5'!I$26*100,"..")</f>
        <v>..</v>
      </c>
    </row>
    <row r="16" spans="1:9">
      <c r="A16" s="66">
        <v>1992</v>
      </c>
      <c r="B16" s="147">
        <f>IFERROR('5'!B16/'5'!B$26*100,"..")</f>
        <v>85.280363347678673</v>
      </c>
      <c r="C16" s="147">
        <f>IFERROR('5'!C16/'5'!C$26*100,"..")</f>
        <v>75.558750044186667</v>
      </c>
      <c r="D16" s="147">
        <f>IFERROR('5'!D16/'5'!D$26*100,"..")</f>
        <v>73.776374411649755</v>
      </c>
      <c r="E16" s="147">
        <f>IFERROR('5'!E16/'5'!E$26*100,"..")</f>
        <v>75.317166810021902</v>
      </c>
      <c r="F16" s="147">
        <f>IFERROR('5'!F16/'5'!F$26*100,"..")</f>
        <v>74.168133159738957</v>
      </c>
      <c r="G16" s="147">
        <f>IFERROR('5'!G16/'5'!G$26*100,"..")</f>
        <v>70.273774207406831</v>
      </c>
      <c r="H16" s="147" t="str">
        <f>IFERROR('5'!H16/'5'!H$26*100,"..")</f>
        <v>..</v>
      </c>
      <c r="I16" s="147" t="str">
        <f>IFERROR('5'!I16/'5'!I$26*100,"..")</f>
        <v>..</v>
      </c>
    </row>
    <row r="17" spans="1:9">
      <c r="A17" s="66">
        <v>1993</v>
      </c>
      <c r="B17" s="147">
        <f>IFERROR('5'!B17/'5'!B$26*100,"..")</f>
        <v>86.240541045401002</v>
      </c>
      <c r="C17" s="147">
        <f>IFERROR('5'!C17/'5'!C$26*100,"..")</f>
        <v>79.617570755171585</v>
      </c>
      <c r="D17" s="147">
        <f>IFERROR('5'!D17/'5'!D$26*100,"..")</f>
        <v>75.681282633229557</v>
      </c>
      <c r="E17" s="147">
        <f>IFERROR('5'!E17/'5'!E$26*100,"..")</f>
        <v>77.049838334079524</v>
      </c>
      <c r="F17" s="147">
        <f>IFERROR('5'!F17/'5'!F$26*100,"..")</f>
        <v>70.055478239209393</v>
      </c>
      <c r="G17" s="147">
        <f>IFERROR('5'!G17/'5'!G$26*100,"..")</f>
        <v>78.308220140179102</v>
      </c>
      <c r="H17" s="147" t="str">
        <f>IFERROR('5'!H17/'5'!H$26*100,"..")</f>
        <v>..</v>
      </c>
      <c r="I17" s="147" t="str">
        <f>IFERROR('5'!I17/'5'!I$26*100,"..")</f>
        <v>..</v>
      </c>
    </row>
    <row r="18" spans="1:9">
      <c r="A18" s="66">
        <v>1994</v>
      </c>
      <c r="B18" s="147">
        <f>IFERROR('5'!B18/'5'!B$26*100,"..")</f>
        <v>87.651404530623296</v>
      </c>
      <c r="C18" s="147">
        <f>IFERROR('5'!C18/'5'!C$26*100,"..")</f>
        <v>83.219246460923017</v>
      </c>
      <c r="D18" s="147">
        <f>IFERROR('5'!D18/'5'!D$26*100,"..")</f>
        <v>74.119902835983126</v>
      </c>
      <c r="E18" s="147">
        <f>IFERROR('5'!E18/'5'!E$26*100,"..")</f>
        <v>76.415735055068481</v>
      </c>
      <c r="F18" s="147">
        <f>IFERROR('5'!F18/'5'!F$26*100,"..")</f>
        <v>64.79021988174911</v>
      </c>
      <c r="G18" s="147">
        <f>IFERROR('5'!G18/'5'!G$26*100,"..")</f>
        <v>80.622305394586675</v>
      </c>
      <c r="H18" s="147" t="str">
        <f>IFERROR('5'!H18/'5'!H$26*100,"..")</f>
        <v>..</v>
      </c>
      <c r="I18" s="147" t="str">
        <f>IFERROR('5'!I18/'5'!I$26*100,"..")</f>
        <v>..</v>
      </c>
    </row>
    <row r="19" spans="1:9">
      <c r="A19" s="66">
        <v>1995</v>
      </c>
      <c r="B19" s="147">
        <f>IFERROR('5'!B19/'5'!B$26*100,"..")</f>
        <v>88.740171656621243</v>
      </c>
      <c r="C19" s="147">
        <f>IFERROR('5'!C19/'5'!C$26*100,"..")</f>
        <v>84.569620512882366</v>
      </c>
      <c r="D19" s="147">
        <f>IFERROR('5'!D19/'5'!D$26*100,"..")</f>
        <v>69.995755756421275</v>
      </c>
      <c r="E19" s="147">
        <f>IFERROR('5'!E19/'5'!E$26*100,"..")</f>
        <v>68.213754989336806</v>
      </c>
      <c r="F19" s="147">
        <f>IFERROR('5'!F19/'5'!F$26*100,"..")</f>
        <v>63.391094667567195</v>
      </c>
      <c r="G19" s="147">
        <f>IFERROR('5'!G19/'5'!G$26*100,"..")</f>
        <v>76.042161412943415</v>
      </c>
      <c r="H19" s="147" t="str">
        <f>IFERROR('5'!H19/'5'!H$26*100,"..")</f>
        <v>..</v>
      </c>
      <c r="I19" s="147" t="str">
        <f>IFERROR('5'!I19/'5'!I$26*100,"..")</f>
        <v>..</v>
      </c>
    </row>
    <row r="20" spans="1:9">
      <c r="A20" s="66">
        <v>1996</v>
      </c>
      <c r="B20" s="147">
        <f>IFERROR('5'!B20/'5'!B$26*100,"..")</f>
        <v>88.725397033220389</v>
      </c>
      <c r="C20" s="147">
        <f>IFERROR('5'!C20/'5'!C$26*100,"..")</f>
        <v>83.457571481949813</v>
      </c>
      <c r="D20" s="147">
        <f>IFERROR('5'!D20/'5'!D$26*100,"..")</f>
        <v>72.100858558255126</v>
      </c>
      <c r="E20" s="147">
        <f>IFERROR('5'!E20/'5'!E$26*100,"..")</f>
        <v>71.243804528109962</v>
      </c>
      <c r="F20" s="147">
        <f>IFERROR('5'!F20/'5'!F$26*100,"..")</f>
        <v>63.251292849886141</v>
      </c>
      <c r="G20" s="147">
        <f>IFERROR('5'!G20/'5'!G$26*100,"..")</f>
        <v>80.341224679784318</v>
      </c>
      <c r="H20" s="147" t="str">
        <f>IFERROR('5'!H20/'5'!H$26*100,"..")</f>
        <v>..</v>
      </c>
      <c r="I20" s="147" t="str">
        <f>IFERROR('5'!I20/'5'!I$26*100,"..")</f>
        <v>..</v>
      </c>
    </row>
    <row r="21" spans="1:9">
      <c r="A21" s="66">
        <v>1997</v>
      </c>
      <c r="B21" s="147">
        <f>IFERROR('5'!B21/'5'!B$26*100,"..")</f>
        <v>90.244520095302946</v>
      </c>
      <c r="C21" s="147">
        <f>IFERROR('5'!C21/'5'!C$26*100,"..")</f>
        <v>86.190323421321864</v>
      </c>
      <c r="D21" s="147">
        <f>IFERROR('5'!D21/'5'!D$26*100,"..")</f>
        <v>76.494699736438193</v>
      </c>
      <c r="E21" s="147">
        <f>IFERROR('5'!E21/'5'!E$26*100,"..")</f>
        <v>75.96484961082119</v>
      </c>
      <c r="F21" s="147">
        <f>IFERROR('5'!F21/'5'!F$26*100,"..")</f>
        <v>70.540595122295102</v>
      </c>
      <c r="G21" s="147">
        <f>IFERROR('5'!G21/'5'!G$26*100,"..")</f>
        <v>82.690764921013283</v>
      </c>
      <c r="H21" s="147">
        <f>IFERROR('5'!H21/'5'!H$26*100,"..")</f>
        <v>75.404622585920649</v>
      </c>
      <c r="I21" s="147">
        <f>IFERROR('5'!I21/'5'!I$26*100,"..")</f>
        <v>95.855068833677066</v>
      </c>
    </row>
    <row r="22" spans="1:9">
      <c r="A22" s="66">
        <v>1998</v>
      </c>
      <c r="B22" s="147">
        <f>IFERROR('5'!B22/'5'!B$26*100,"..")</f>
        <v>91.7735633974454</v>
      </c>
      <c r="C22" s="147">
        <f>IFERROR('5'!C22/'5'!C$26*100,"..")</f>
        <v>90.680740907118334</v>
      </c>
      <c r="D22" s="147">
        <f>IFERROR('5'!D22/'5'!D$26*100,"..")</f>
        <v>81.280133569348735</v>
      </c>
      <c r="E22" s="147">
        <f>IFERROR('5'!E22/'5'!E$26*100,"..")</f>
        <v>81.666499561559618</v>
      </c>
      <c r="F22" s="147">
        <f>IFERROR('5'!F22/'5'!F$26*100,"..")</f>
        <v>76.943830234323315</v>
      </c>
      <c r="G22" s="147">
        <f>IFERROR('5'!G22/'5'!G$26*100,"..")</f>
        <v>85.672943174657007</v>
      </c>
      <c r="H22" s="147">
        <f>IFERROR('5'!H22/'5'!H$26*100,"..")</f>
        <v>79.509441599667198</v>
      </c>
      <c r="I22" s="147">
        <f>IFERROR('5'!I22/'5'!I$26*100,"..")</f>
        <v>98.155664029825289</v>
      </c>
    </row>
    <row r="23" spans="1:9">
      <c r="A23" s="66">
        <v>1999</v>
      </c>
      <c r="B23" s="147">
        <f>IFERROR('5'!B23/'5'!B$26*100,"..")</f>
        <v>94.53477847469901</v>
      </c>
      <c r="C23" s="147">
        <f>IFERROR('5'!C23/'5'!C$26*100,"..")</f>
        <v>94.58752838143198</v>
      </c>
      <c r="D23" s="147">
        <f>IFERROR('5'!D23/'5'!D$26*100,"..")</f>
        <v>81.129125714619676</v>
      </c>
      <c r="E23" s="147">
        <f>IFERROR('5'!E23/'5'!E$26*100,"..")</f>
        <v>78.385329072550491</v>
      </c>
      <c r="F23" s="147">
        <f>IFERROR('5'!F23/'5'!F$26*100,"..")</f>
        <v>74.98154268146196</v>
      </c>
      <c r="G23" s="147">
        <f>IFERROR('5'!G23/'5'!G$26*100,"..")</f>
        <v>89.866751491276233</v>
      </c>
      <c r="H23" s="147">
        <f>IFERROR('5'!H23/'5'!H$26*100,"..")</f>
        <v>86.109003214800239</v>
      </c>
      <c r="I23" s="147">
        <f>IFERROR('5'!I23/'5'!I$26*100,"..")</f>
        <v>93.222054160162841</v>
      </c>
    </row>
    <row r="24" spans="1:9">
      <c r="A24" s="66">
        <v>2000</v>
      </c>
      <c r="B24" s="147">
        <f>IFERROR('5'!B24/'5'!B$26*100,"..")</f>
        <v>97.725613780155555</v>
      </c>
      <c r="C24" s="147">
        <f>IFERROR('5'!C24/'5'!C$26*100,"..")</f>
        <v>101.04080725289361</v>
      </c>
      <c r="D24" s="147">
        <f>IFERROR('5'!D24/'5'!D$26*100,"..")</f>
        <v>87.831840560185427</v>
      </c>
      <c r="E24" s="147">
        <f>IFERROR('5'!E24/'5'!E$26*100,"..")</f>
        <v>87.267942588658414</v>
      </c>
      <c r="F24" s="147">
        <f>IFERROR('5'!F24/'5'!F$26*100,"..")</f>
        <v>82.398855705077764</v>
      </c>
      <c r="G24" s="147">
        <f>IFERROR('5'!G24/'5'!G$26*100,"..")</f>
        <v>94.973378209288967</v>
      </c>
      <c r="H24" s="147">
        <f>IFERROR('5'!H24/'5'!H$26*100,"..")</f>
        <v>94.183396912072055</v>
      </c>
      <c r="I24" s="147">
        <f>IFERROR('5'!I24/'5'!I$26*100,"..")</f>
        <v>88.947459119459722</v>
      </c>
    </row>
    <row r="25" spans="1:9">
      <c r="A25" s="66">
        <v>2001</v>
      </c>
      <c r="B25" s="147">
        <f>IFERROR('5'!B25/'5'!B$26*100,"..")</f>
        <v>98.653048414935512</v>
      </c>
      <c r="C25" s="147">
        <f>IFERROR('5'!C25/'5'!C$26*100,"..")</f>
        <v>97.951389202110462</v>
      </c>
      <c r="D25" s="147">
        <f>IFERROR('5'!D25/'5'!D$26*100,"..")</f>
        <v>90.889188988860454</v>
      </c>
      <c r="E25" s="147">
        <f>IFERROR('5'!E25/'5'!E$26*100,"..")</f>
        <v>97.791344513579105</v>
      </c>
      <c r="F25" s="147">
        <f>IFERROR('5'!F25/'5'!F$26*100,"..")</f>
        <v>88.381946861618005</v>
      </c>
      <c r="G25" s="147">
        <f>IFERROR('5'!G25/'5'!G$26*100,"..")</f>
        <v>89.500841269877355</v>
      </c>
      <c r="H25" s="147">
        <f>IFERROR('5'!H25/'5'!H$26*100,"..")</f>
        <v>87.106956609196217</v>
      </c>
      <c r="I25" s="147">
        <f>IFERROR('5'!I25/'5'!I$26*100,"..")</f>
        <v>93.381599420634302</v>
      </c>
    </row>
    <row r="26" spans="1:9">
      <c r="A26" s="66">
        <v>2002</v>
      </c>
      <c r="B26" s="147">
        <f>IFERROR('5'!B26/'5'!B$26*100,"..")</f>
        <v>100</v>
      </c>
      <c r="C26" s="147">
        <f>IFERROR('5'!C26/'5'!C$26*100,"..")</f>
        <v>100</v>
      </c>
      <c r="D26" s="147">
        <f>IFERROR('5'!D26/'5'!D$26*100,"..")</f>
        <v>100</v>
      </c>
      <c r="E26" s="147">
        <f>IFERROR('5'!E26/'5'!E$26*100,"..")</f>
        <v>100</v>
      </c>
      <c r="F26" s="147">
        <f>IFERROR('5'!F26/'5'!F$26*100,"..")</f>
        <v>100</v>
      </c>
      <c r="G26" s="147">
        <f>IFERROR('5'!G26/'5'!G$26*100,"..")</f>
        <v>100</v>
      </c>
      <c r="H26" s="147">
        <f>IFERROR('5'!H26/'5'!H$26*100,"..")</f>
        <v>100</v>
      </c>
      <c r="I26" s="147">
        <f>IFERROR('5'!I26/'5'!I$26*100,"..")</f>
        <v>100</v>
      </c>
    </row>
    <row r="27" spans="1:9">
      <c r="A27" s="66">
        <v>2003</v>
      </c>
      <c r="B27" s="147">
        <f>IFERROR('5'!B27/'5'!B$26*100,"..")</f>
        <v>100.61096381622355</v>
      </c>
      <c r="C27" s="147">
        <f>IFERROR('5'!C27/'5'!C$26*100,"..")</f>
        <v>99.566494105810392</v>
      </c>
      <c r="D27" s="147">
        <f>IFERROR('5'!D27/'5'!D$26*100,"..")</f>
        <v>99.701368524546723</v>
      </c>
      <c r="E27" s="147">
        <f>IFERROR('5'!E27/'5'!E$26*100,"..")</f>
        <v>96.381640897659551</v>
      </c>
      <c r="F27" s="147">
        <f>IFERROR('5'!F27/'5'!F$26*100,"..")</f>
        <v>101.46433152127901</v>
      </c>
      <c r="G27" s="147">
        <f>IFERROR('5'!G27/'5'!G$26*100,"..")</f>
        <v>99.429851763568678</v>
      </c>
      <c r="H27" s="147">
        <f>IFERROR('5'!H27/'5'!H$26*100,"..")</f>
        <v>98.12170900430911</v>
      </c>
      <c r="I27" s="147">
        <f>IFERROR('5'!I27/'5'!I$26*100,"..")</f>
        <v>102.17902669661727</v>
      </c>
    </row>
    <row r="28" spans="1:9">
      <c r="A28" s="66">
        <v>2004</v>
      </c>
      <c r="B28" s="147">
        <f>IFERROR('5'!B28/'5'!B$26*100,"..")</f>
        <v>101.09666631372312</v>
      </c>
      <c r="C28" s="147">
        <f>IFERROR('5'!C28/'5'!C$26*100,"..")</f>
        <v>100.42930155027901</v>
      </c>
      <c r="D28" s="147">
        <f>IFERROR('5'!D28/'5'!D$26*100,"..")</f>
        <v>102.31258098867319</v>
      </c>
      <c r="E28" s="147">
        <f>IFERROR('5'!E28/'5'!E$26*100,"..")</f>
        <v>107.87315985977035</v>
      </c>
      <c r="F28" s="147">
        <f>IFERROR('5'!F28/'5'!F$26*100,"..")</f>
        <v>103.7483149713828</v>
      </c>
      <c r="G28" s="147">
        <f>IFERROR('5'!G28/'5'!G$26*100,"..")</f>
        <v>97.743060102604815</v>
      </c>
      <c r="H28" s="147">
        <f>IFERROR('5'!H28/'5'!H$26*100,"..")</f>
        <v>97.536271276306579</v>
      </c>
      <c r="I28" s="147">
        <f>IFERROR('5'!I28/'5'!I$26*100,"..")</f>
        <v>97.849014364944026</v>
      </c>
    </row>
    <row r="29" spans="1:9">
      <c r="A29" s="66">
        <v>2005</v>
      </c>
      <c r="B29" s="147">
        <f>IFERROR('5'!B29/'5'!B$26*100,"..")</f>
        <v>103.65002307946523</v>
      </c>
      <c r="C29" s="147">
        <f>IFERROR('5'!C29/'5'!C$26*100,"..")</f>
        <v>104.34973528867981</v>
      </c>
      <c r="D29" s="147">
        <f>IFERROR('5'!D29/'5'!D$26*100,"..")</f>
        <v>108.81629420388489</v>
      </c>
      <c r="E29" s="147">
        <f>IFERROR('5'!E29/'5'!E$26*100,"..")</f>
        <v>112.85726412515938</v>
      </c>
      <c r="F29" s="147">
        <f>IFERROR('5'!F29/'5'!F$26*100,"..")</f>
        <v>113.6827246926392</v>
      </c>
      <c r="G29" s="147">
        <f>IFERROR('5'!G29/'5'!G$26*100,"..")</f>
        <v>101.53152012171702</v>
      </c>
      <c r="H29" s="147">
        <f>IFERROR('5'!H29/'5'!H$26*100,"..")</f>
        <v>105.14587126993004</v>
      </c>
      <c r="I29" s="147">
        <f>IFERROR('5'!I29/'5'!I$26*100,"..")</f>
        <v>94.894048535180872</v>
      </c>
    </row>
    <row r="30" spans="1:9">
      <c r="A30" s="66">
        <v>2006</v>
      </c>
      <c r="B30" s="147">
        <f>IFERROR('5'!B30/'5'!B$26*100,"..")</f>
        <v>104.83372192373326</v>
      </c>
      <c r="C30" s="147">
        <f>IFERROR('5'!C30/'5'!C$26*100,"..")</f>
        <v>106.95209502064782</v>
      </c>
      <c r="D30" s="147">
        <f>IFERROR('5'!D30/'5'!D$26*100,"..")</f>
        <v>109.34768951210812</v>
      </c>
      <c r="E30" s="147">
        <f>IFERROR('5'!E30/'5'!E$26*100,"..")</f>
        <v>114.75881121685194</v>
      </c>
      <c r="F30" s="147">
        <f>IFERROR('5'!F30/'5'!F$26*100,"..")</f>
        <v>120.55102849051988</v>
      </c>
      <c r="G30" s="147">
        <f>IFERROR('5'!G30/'5'!G$26*100,"..")</f>
        <v>95.117511394362523</v>
      </c>
      <c r="H30" s="147">
        <f>IFERROR('5'!H30/'5'!H$26*100,"..")</f>
        <v>97.734688845047131</v>
      </c>
      <c r="I30" s="147">
        <f>IFERROR('5'!I30/'5'!I$26*100,"..")</f>
        <v>90.523532652617263</v>
      </c>
    </row>
    <row r="31" spans="1:9">
      <c r="A31" s="66">
        <v>2007</v>
      </c>
      <c r="B31" s="147">
        <f>IFERROR('5'!B31/'5'!B$26*100,"..")</f>
        <v>104.90932549745995</v>
      </c>
      <c r="C31" s="147">
        <f>IFERROR('5'!C31/'5'!C$26*100,"..")</f>
        <v>107.51910718989069</v>
      </c>
      <c r="D31" s="147">
        <f>IFERROR('5'!D31/'5'!D$26*100,"..")</f>
        <v>110.67545044393358</v>
      </c>
      <c r="E31" s="147">
        <f>IFERROR('5'!E31/'5'!E$26*100,"..")</f>
        <v>109.19332397709913</v>
      </c>
      <c r="F31" s="147">
        <f>IFERROR('5'!F31/'5'!F$26*100,"..")</f>
        <v>123.67061676265511</v>
      </c>
      <c r="G31" s="147">
        <f>IFERROR('5'!G31/'5'!G$26*100,"..")</f>
        <v>97.8367889006187</v>
      </c>
      <c r="H31" s="147">
        <f>IFERROR('5'!H31/'5'!H$26*100,"..")</f>
        <v>102.39953196539679</v>
      </c>
      <c r="I31" s="147">
        <f>IFERROR('5'!I31/'5'!I$26*100,"..")</f>
        <v>88.904845039293846</v>
      </c>
    </row>
    <row r="32" spans="1:9">
      <c r="A32" s="66">
        <v>2008</v>
      </c>
      <c r="B32" s="147">
        <f>IFERROR('5'!B32/'5'!B$26*100,"..")</f>
        <v>104.7863725332324</v>
      </c>
      <c r="C32" s="147">
        <f>IFERROR('5'!C32/'5'!C$26*100,"..")</f>
        <v>106.22890189112427</v>
      </c>
      <c r="D32" s="147">
        <f>IFERROR('5'!D32/'5'!D$26*100,"..")</f>
        <v>115.77405592229167</v>
      </c>
      <c r="E32" s="147">
        <f>IFERROR('5'!E32/'5'!E$26*100,"..")</f>
        <v>136.28437869312265</v>
      </c>
      <c r="F32" s="147">
        <f>IFERROR('5'!F32/'5'!F$26*100,"..")</f>
        <v>125.41132946597871</v>
      </c>
      <c r="G32" s="147">
        <f>IFERROR('5'!G32/'5'!G$26*100,"..")</f>
        <v>96.858258422736071</v>
      </c>
      <c r="H32" s="147">
        <f>IFERROR('5'!H32/'5'!H$26*100,"..")</f>
        <v>102.00818200982067</v>
      </c>
      <c r="I32" s="147">
        <f>IFERROR('5'!I32/'5'!I$26*100,"..")</f>
        <v>87.384522824966183</v>
      </c>
    </row>
    <row r="33" spans="1:11">
      <c r="A33" s="66">
        <v>2009</v>
      </c>
      <c r="B33" s="147">
        <f>IFERROR('5'!B33/'5'!B$26*100,"..")</f>
        <v>105.08323778021247</v>
      </c>
      <c r="C33" s="147">
        <f>IFERROR('5'!C33/'5'!C$26*100,"..")</f>
        <v>103.72437744820797</v>
      </c>
      <c r="D33" s="147">
        <f>IFERROR('5'!D33/'5'!D$26*100,"..")</f>
        <v>109.2339863762647</v>
      </c>
      <c r="E33" s="147">
        <f>IFERROR('5'!E33/'5'!E$26*100,"..")</f>
        <v>113.25181362680171</v>
      </c>
      <c r="F33" s="147">
        <f>IFERROR('5'!F33/'5'!F$26*100,"..")</f>
        <v>121.32385831946692</v>
      </c>
      <c r="G33" s="147">
        <f>IFERROR('5'!G33/'5'!G$26*100,"..")</f>
        <v>94.346114196096494</v>
      </c>
      <c r="H33" s="147">
        <f>IFERROR('5'!H33/'5'!H$26*100,"..")</f>
        <v>93.79574702064221</v>
      </c>
      <c r="I33" s="147">
        <f>IFERROR('5'!I33/'5'!I$26*100,"..")</f>
        <v>92.752781091384136</v>
      </c>
    </row>
    <row r="34" spans="1:11">
      <c r="A34" s="66">
        <v>2010</v>
      </c>
      <c r="B34" s="147">
        <f>IFERROR('5'!B34/'5'!B$26*100,"..")</f>
        <v>106.57514771116278</v>
      </c>
      <c r="C34" s="147">
        <f>IFERROR('5'!C34/'5'!C$26*100,"..")</f>
        <v>108.29362997420068</v>
      </c>
      <c r="D34" s="147">
        <f>IFERROR('5'!D34/'5'!D$26*100,"..")</f>
        <v>115.91303767426882</v>
      </c>
      <c r="E34" s="147">
        <f>IFERROR('5'!E34/'5'!E$26*100,"..")</f>
        <v>123.99006897773066</v>
      </c>
      <c r="F34" s="147">
        <f>IFERROR('5'!F34/'5'!F$26*100,"..")</f>
        <v>131.55962934619197</v>
      </c>
      <c r="G34" s="147">
        <f>IFERROR('5'!G34/'5'!G$26*100,"..")</f>
        <v>96.76648480015615</v>
      </c>
      <c r="H34" s="147">
        <f>IFERROR('5'!H34/'5'!H$26*100,"..")</f>
        <v>98.410955922637442</v>
      </c>
      <c r="I34" s="147">
        <f>IFERROR('5'!I34/'5'!I$26*100,"..")</f>
        <v>92.229757707901328</v>
      </c>
    </row>
    <row r="35" spans="1:11">
      <c r="A35" s="66">
        <v>2011</v>
      </c>
      <c r="B35" s="147">
        <f>IFERROR('5'!B35/'5'!B$26*100,"..")</f>
        <v>107.66914680054431</v>
      </c>
      <c r="C35" s="147">
        <f>IFERROR('5'!C35/'5'!C$26*100,"..")</f>
        <v>110.36750575648209</v>
      </c>
      <c r="D35" s="147">
        <f>IFERROR('5'!D35/'5'!D$26*100,"..")</f>
        <v>117.75110835404877</v>
      </c>
      <c r="E35" s="147">
        <f>IFERROR('5'!E35/'5'!E$26*100,"..")</f>
        <v>127.33089194707152</v>
      </c>
      <c r="F35" s="147">
        <f>IFERROR('5'!F35/'5'!F$26*100,"..")</f>
        <v>133.42729126704276</v>
      </c>
      <c r="G35" s="147">
        <f>IFERROR('5'!G35/'5'!G$26*100,"..")</f>
        <v>98.131456553180996</v>
      </c>
      <c r="H35" s="147">
        <f>IFERROR('5'!H35/'5'!H$26*100,"..")</f>
        <v>100.7859518787135</v>
      </c>
      <c r="I35" s="147">
        <f>IFERROR('5'!I35/'5'!I$26*100,"..")</f>
        <v>92.37422862104961</v>
      </c>
    </row>
    <row r="36" spans="1:11">
      <c r="A36" s="66">
        <v>2012</v>
      </c>
      <c r="B36" s="147" t="str">
        <f>IFERROR('5'!B36/'5'!B$26*100,"..")</f>
        <v>..</v>
      </c>
      <c r="C36" s="147" t="str">
        <f>IFERROR('5'!C36/'5'!C$26*100,"..")</f>
        <v>..</v>
      </c>
      <c r="D36" s="147" t="str">
        <f>IFERROR('5'!D36/'5'!D$26*100,"..")</f>
        <v>..</v>
      </c>
      <c r="E36" s="147" t="str">
        <f>IFERROR('5'!E36/'5'!E$26*100,"..")</f>
        <v>..</v>
      </c>
      <c r="F36" s="147" t="str">
        <f>IFERROR('5'!F36/'5'!F$26*100,"..")</f>
        <v>..</v>
      </c>
      <c r="G36" s="147" t="str">
        <f>IFERROR('5'!G36/'5'!G$26*100,"..")</f>
        <v>..</v>
      </c>
      <c r="H36" s="147" t="str">
        <f>IFERROR('5'!H36/'5'!H$26*100,"..")</f>
        <v>..</v>
      </c>
      <c r="I36" s="147" t="str">
        <f>IFERROR('5'!I36/'5'!I$26*100,"..")</f>
        <v>..</v>
      </c>
    </row>
    <row r="37" spans="1:11">
      <c r="B37" s="56"/>
      <c r="C37" s="56"/>
      <c r="D37" s="56"/>
      <c r="E37" s="56"/>
      <c r="F37" s="56"/>
      <c r="G37" s="56"/>
      <c r="H37" s="56"/>
      <c r="I37" s="56"/>
    </row>
    <row r="38" spans="1:11">
      <c r="A38" s="66" t="s">
        <v>23</v>
      </c>
      <c r="B38" s="56"/>
      <c r="C38" s="56"/>
      <c r="D38" s="56"/>
      <c r="E38" s="56"/>
      <c r="F38" s="56"/>
      <c r="G38" s="56"/>
      <c r="H38" s="56"/>
      <c r="I38" s="56"/>
    </row>
    <row r="39" spans="1:11">
      <c r="A39" s="64" t="s">
        <v>1781</v>
      </c>
      <c r="B39" s="65">
        <f>((B35/B5)^(1/30)-1)*100</f>
        <v>1.2079184396644571</v>
      </c>
      <c r="C39" s="65">
        <f>((C35/C5)^(1/30)-1)*100</f>
        <v>2.1997077430175427</v>
      </c>
      <c r="D39" s="65" t="s">
        <v>22</v>
      </c>
      <c r="E39" s="65" t="s">
        <v>22</v>
      </c>
      <c r="F39" s="65">
        <f>((F35/F5)^(1/30)-1)*100</f>
        <v>3.673857286427995</v>
      </c>
      <c r="G39" s="65">
        <f>((G35/G5)^(1/30)-1)*100</f>
        <v>1.9842404828857907</v>
      </c>
      <c r="H39" s="57" t="s">
        <v>22</v>
      </c>
      <c r="I39" s="57" t="s">
        <v>22</v>
      </c>
    </row>
    <row r="40" spans="1:11">
      <c r="A40" s="64" t="s">
        <v>25</v>
      </c>
      <c r="B40" s="65">
        <f>((B13/B5)^(1/8)-1)*100</f>
        <v>1.0721431295927619</v>
      </c>
      <c r="C40" s="65">
        <f>((C13/C5)^(1/8)-1)*100</f>
        <v>2.3399799495598117</v>
      </c>
      <c r="D40" s="65" t="s">
        <v>22</v>
      </c>
      <c r="E40" s="65" t="s">
        <v>22</v>
      </c>
      <c r="F40" s="65">
        <f>((F13/F5)^(1/8)-1)*100</f>
        <v>5.6005829949482333</v>
      </c>
      <c r="G40" s="65">
        <f>((G13/G5)^(1/8)-1)*100</f>
        <v>2.1816425530700512</v>
      </c>
      <c r="H40" s="57" t="s">
        <v>22</v>
      </c>
      <c r="I40" s="57" t="s">
        <v>22</v>
      </c>
      <c r="K40" s="138"/>
    </row>
    <row r="41" spans="1:11">
      <c r="A41" s="64" t="s">
        <v>26</v>
      </c>
      <c r="B41" s="65">
        <f t="shared" ref="B41:G41" si="0">((B24/B13)^(1/11)-1)*100</f>
        <v>1.6312538760447914</v>
      </c>
      <c r="C41" s="65">
        <f t="shared" si="0"/>
        <v>3.5095055641461093</v>
      </c>
      <c r="D41" s="65">
        <f t="shared" si="0"/>
        <v>1.9095913820139643</v>
      </c>
      <c r="E41" s="65">
        <f t="shared" si="0"/>
        <v>0.37783893798488677</v>
      </c>
      <c r="F41" s="65">
        <f t="shared" si="0"/>
        <v>1.5063154285066771</v>
      </c>
      <c r="G41" s="65">
        <f t="shared" si="0"/>
        <v>3.5532827282872104</v>
      </c>
      <c r="H41" s="57" t="s">
        <v>22</v>
      </c>
      <c r="I41" s="57" t="s">
        <v>22</v>
      </c>
      <c r="K41" s="138"/>
    </row>
    <row r="42" spans="1:11">
      <c r="A42" s="64" t="s">
        <v>1782</v>
      </c>
      <c r="B42" s="65">
        <f>((B35/B24)^(1/11)-1)*100</f>
        <v>0.8847948017500773</v>
      </c>
      <c r="C42" s="65">
        <f t="shared" ref="C42:I42" si="1">((C35/C24)^(1/11)-1)*100</f>
        <v>0.80587795694686548</v>
      </c>
      <c r="D42" s="65">
        <f t="shared" si="1"/>
        <v>2.7008199373452113</v>
      </c>
      <c r="E42" s="65">
        <f t="shared" si="1"/>
        <v>3.4942631259401669</v>
      </c>
      <c r="F42" s="65">
        <f t="shared" si="1"/>
        <v>4.4790964426697499</v>
      </c>
      <c r="G42" s="65">
        <f t="shared" si="1"/>
        <v>0.29781851217431932</v>
      </c>
      <c r="H42" s="65">
        <f t="shared" si="1"/>
        <v>0.61785606087301215</v>
      </c>
      <c r="I42" s="65">
        <f t="shared" si="1"/>
        <v>0.34424735924458716</v>
      </c>
    </row>
    <row r="44" spans="1:11">
      <c r="A44" s="104" t="s">
        <v>661</v>
      </c>
      <c r="B44" s="104"/>
      <c r="C44" s="104"/>
      <c r="D44" s="104"/>
      <c r="E44" s="104"/>
      <c r="F44" s="104"/>
      <c r="G44" s="104"/>
      <c r="H44" s="104"/>
      <c r="I44" s="104"/>
    </row>
    <row r="45" spans="1:11">
      <c r="A45" s="92" t="s">
        <v>1024</v>
      </c>
      <c r="B45" s="92"/>
      <c r="C45" s="92"/>
      <c r="D45" s="92"/>
      <c r="E45" s="92"/>
      <c r="F45" s="92"/>
      <c r="G45" s="92"/>
      <c r="H45" s="92"/>
      <c r="I45" s="92"/>
    </row>
  </sheetData>
  <mergeCells count="11">
    <mergeCell ref="A45:I45"/>
    <mergeCell ref="A44:I44"/>
    <mergeCell ref="A1:I1"/>
    <mergeCell ref="A2:A4"/>
    <mergeCell ref="B2:B4"/>
    <mergeCell ref="D2:I2"/>
    <mergeCell ref="D3:D4"/>
    <mergeCell ref="E3:E4"/>
    <mergeCell ref="F3:F4"/>
    <mergeCell ref="G3:I3"/>
    <mergeCell ref="C2:C4"/>
  </mergeCells>
  <pageMargins left="0.7" right="0.7" top="0.75" bottom="0.75" header="0.3" footer="0.3"/>
  <pageSetup scale="68" orientation="portrait" horizontalDpi="0" verticalDpi="0" r:id="rId1"/>
</worksheet>
</file>

<file path=xl/worksheets/sheet36.xml><?xml version="1.0" encoding="utf-8"?>
<worksheet xmlns="http://schemas.openxmlformats.org/spreadsheetml/2006/main" xmlns:r="http://schemas.openxmlformats.org/officeDocument/2006/relationships">
  <sheetPr codeName="Sheet36">
    <pageSetUpPr fitToPage="1"/>
  </sheetPr>
  <dimension ref="A1:L47"/>
  <sheetViews>
    <sheet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11.7109375" style="64" customWidth="1"/>
    <col min="2" max="2" width="12.7109375" style="64" customWidth="1"/>
    <col min="3" max="3" width="13.7109375" style="64" customWidth="1"/>
    <col min="4" max="5" width="12.7109375" style="64" customWidth="1"/>
    <col min="6" max="6" width="13.28515625" style="64" customWidth="1"/>
    <col min="7" max="7" width="14" style="64" customWidth="1"/>
    <col min="8" max="8" width="12.7109375" style="64" customWidth="1"/>
    <col min="9" max="9" width="14" style="64" customWidth="1"/>
    <col min="10" max="16384" width="9.140625" style="64"/>
  </cols>
  <sheetData>
    <row r="1" spans="1:9">
      <c r="A1" s="108" t="s">
        <v>1973</v>
      </c>
      <c r="B1" s="108"/>
      <c r="C1" s="108"/>
      <c r="D1" s="108"/>
      <c r="E1" s="108"/>
      <c r="F1" s="108"/>
      <c r="G1" s="108"/>
      <c r="H1" s="108"/>
      <c r="I1" s="108"/>
    </row>
    <row r="2" spans="1:9">
      <c r="A2" s="96"/>
      <c r="B2" s="94" t="s">
        <v>51</v>
      </c>
      <c r="C2" s="123" t="s">
        <v>938</v>
      </c>
      <c r="D2" s="94" t="s">
        <v>37</v>
      </c>
      <c r="E2" s="94"/>
      <c r="F2" s="94"/>
      <c r="G2" s="94"/>
      <c r="H2" s="94"/>
      <c r="I2" s="94"/>
    </row>
    <row r="3" spans="1:9">
      <c r="A3" s="96"/>
      <c r="B3" s="94"/>
      <c r="C3" s="125"/>
      <c r="D3" s="94" t="s">
        <v>58</v>
      </c>
      <c r="E3" s="94" t="s">
        <v>0</v>
      </c>
      <c r="F3" s="94" t="s">
        <v>1</v>
      </c>
      <c r="G3" s="94" t="s">
        <v>2</v>
      </c>
      <c r="H3" s="94"/>
      <c r="I3" s="94"/>
    </row>
    <row r="4" spans="1:9" ht="60">
      <c r="A4" s="96"/>
      <c r="B4" s="94"/>
      <c r="C4" s="126"/>
      <c r="D4" s="94"/>
      <c r="E4" s="94"/>
      <c r="F4" s="94"/>
      <c r="G4" s="72" t="s">
        <v>517</v>
      </c>
      <c r="H4" s="72" t="s">
        <v>13</v>
      </c>
      <c r="I4" s="72" t="s">
        <v>19</v>
      </c>
    </row>
    <row r="5" spans="1:9">
      <c r="A5" s="66">
        <v>1981</v>
      </c>
      <c r="B5" s="147">
        <f>IFERROR('5'!B5/'5'!$B5*100,"..")</f>
        <v>100</v>
      </c>
      <c r="C5" s="147">
        <f>IFERROR('5'!C5/'5'!$B5*100,"..")</f>
        <v>77.841456381139778</v>
      </c>
      <c r="D5" s="147" t="str">
        <f>IFERROR('5'!D5/'5'!$B5*100,"..")</f>
        <v>..</v>
      </c>
      <c r="E5" s="147" t="str">
        <f>IFERROR('5'!E5/'5'!$B5*100,"..")</f>
        <v>..</v>
      </c>
      <c r="F5" s="147">
        <f>IFERROR('5'!F5/'5'!$B5*100,"..")</f>
        <v>48.264298252473296</v>
      </c>
      <c r="G5" s="147">
        <f>IFERROR('5'!G5/'5'!$B5*100,"..")</f>
        <v>80.192928240457263</v>
      </c>
      <c r="H5" s="147" t="str">
        <f>IFERROR('5'!H5/'5'!$B5*100,"..")</f>
        <v>..</v>
      </c>
      <c r="I5" s="147" t="str">
        <f>IFERROR('5'!I5/'5'!$B5*100,"..")</f>
        <v>..</v>
      </c>
    </row>
    <row r="6" spans="1:9">
      <c r="A6" s="66">
        <v>1982</v>
      </c>
      <c r="B6" s="147">
        <f>IFERROR('5'!B6/'5'!$B6*100,"..")</f>
        <v>100</v>
      </c>
      <c r="C6" s="147">
        <f>IFERROR('5'!C6/'5'!$B6*100,"..")</f>
        <v>75.808672457644576</v>
      </c>
      <c r="D6" s="147" t="str">
        <f>IFERROR('5'!D6/'5'!$B6*100,"..")</f>
        <v>..</v>
      </c>
      <c r="E6" s="147" t="str">
        <f>IFERROR('5'!E6/'5'!$B6*100,"..")</f>
        <v>..</v>
      </c>
      <c r="F6" s="147">
        <f>IFERROR('5'!F6/'5'!$B6*100,"..")</f>
        <v>47.748977713055204</v>
      </c>
      <c r="G6" s="147">
        <f>IFERROR('5'!G6/'5'!$B6*100,"..")</f>
        <v>78.697119049087277</v>
      </c>
      <c r="H6" s="147" t="str">
        <f>IFERROR('5'!H6/'5'!$B6*100,"..")</f>
        <v>..</v>
      </c>
      <c r="I6" s="147" t="str">
        <f>IFERROR('5'!I6/'5'!$B6*100,"..")</f>
        <v>..</v>
      </c>
    </row>
    <row r="7" spans="1:9">
      <c r="A7" s="66">
        <v>1983</v>
      </c>
      <c r="B7" s="147">
        <f>IFERROR('5'!B7/'5'!$B7*100,"..")</f>
        <v>100</v>
      </c>
      <c r="C7" s="147">
        <f>IFERROR('5'!C7/'5'!$B7*100,"..")</f>
        <v>79.222580553426468</v>
      </c>
      <c r="D7" s="147" t="str">
        <f>IFERROR('5'!D7/'5'!$B7*100,"..")</f>
        <v>..</v>
      </c>
      <c r="E7" s="147" t="str">
        <f>IFERROR('5'!E7/'5'!$B7*100,"..")</f>
        <v>..</v>
      </c>
      <c r="F7" s="147">
        <f>IFERROR('5'!F7/'5'!$B7*100,"..")</f>
        <v>55.957748205030214</v>
      </c>
      <c r="G7" s="147">
        <f>IFERROR('5'!G7/'5'!$B7*100,"..")</f>
        <v>89.1307988808543</v>
      </c>
      <c r="H7" s="147" t="str">
        <f>IFERROR('5'!H7/'5'!$B7*100,"..")</f>
        <v>..</v>
      </c>
      <c r="I7" s="147" t="str">
        <f>IFERROR('5'!I7/'5'!$B7*100,"..")</f>
        <v>..</v>
      </c>
    </row>
    <row r="8" spans="1:9">
      <c r="A8" s="66">
        <v>1984</v>
      </c>
      <c r="B8" s="147">
        <f>IFERROR('5'!B8/'5'!$B8*100,"..")</f>
        <v>100</v>
      </c>
      <c r="C8" s="147">
        <f>IFERROR('5'!C8/'5'!$B8*100,"..")</f>
        <v>85.143985400301929</v>
      </c>
      <c r="D8" s="147" t="str">
        <f>IFERROR('5'!D8/'5'!$B8*100,"..")</f>
        <v>..</v>
      </c>
      <c r="E8" s="147" t="str">
        <f>IFERROR('5'!E8/'5'!$B8*100,"..")</f>
        <v>..</v>
      </c>
      <c r="F8" s="147">
        <f>IFERROR('5'!F8/'5'!$B8*100,"..")</f>
        <v>61.950541413734662</v>
      </c>
      <c r="G8" s="147">
        <f>IFERROR('5'!G8/'5'!$B8*100,"..")</f>
        <v>89.876808491526816</v>
      </c>
      <c r="H8" s="147" t="str">
        <f>IFERROR('5'!H8/'5'!$B8*100,"..")</f>
        <v>..</v>
      </c>
      <c r="I8" s="147" t="str">
        <f>IFERROR('5'!I8/'5'!$B8*100,"..")</f>
        <v>..</v>
      </c>
    </row>
    <row r="9" spans="1:9">
      <c r="A9" s="66">
        <v>1985</v>
      </c>
      <c r="B9" s="147">
        <f>IFERROR('5'!B9/'5'!$B9*100,"..")</f>
        <v>100</v>
      </c>
      <c r="C9" s="147">
        <f>IFERROR('5'!C9/'5'!$B9*100,"..")</f>
        <v>85.625890125042957</v>
      </c>
      <c r="D9" s="147" t="str">
        <f>IFERROR('5'!D9/'5'!$B9*100,"..")</f>
        <v>..</v>
      </c>
      <c r="E9" s="147" t="str">
        <f>IFERROR('5'!E9/'5'!$B9*100,"..")</f>
        <v>..</v>
      </c>
      <c r="F9" s="147">
        <f>IFERROR('5'!F9/'5'!$B9*100,"..")</f>
        <v>67.851701712926399</v>
      </c>
      <c r="G9" s="147">
        <f>IFERROR('5'!G9/'5'!$B9*100,"..")</f>
        <v>90.405862112002879</v>
      </c>
      <c r="H9" s="147" t="str">
        <f>IFERROR('5'!H9/'5'!$B9*100,"..")</f>
        <v>..</v>
      </c>
      <c r="I9" s="147" t="str">
        <f>IFERROR('5'!I9/'5'!$B9*100,"..")</f>
        <v>..</v>
      </c>
    </row>
    <row r="10" spans="1:9">
      <c r="A10" s="66">
        <v>1986</v>
      </c>
      <c r="B10" s="147">
        <f>IFERROR('5'!B10/'5'!$B10*100,"..")</f>
        <v>100</v>
      </c>
      <c r="C10" s="147">
        <f>IFERROR('5'!C10/'5'!$B10*100,"..")</f>
        <v>83.515764976878913</v>
      </c>
      <c r="D10" s="147">
        <f>IFERROR('5'!D10/'5'!$B10*100,"..")</f>
        <v>77.331207836481951</v>
      </c>
      <c r="E10" s="147">
        <f>IFERROR('5'!E10/'5'!$B10*100,"..")</f>
        <v>76.425714326355617</v>
      </c>
      <c r="F10" s="147">
        <f>IFERROR('5'!F10/'5'!$B10*100,"..")</f>
        <v>65.156686006634487</v>
      </c>
      <c r="G10" s="147">
        <f>IFERROR('5'!G10/'5'!$B10*100,"..")</f>
        <v>90.089189588308642</v>
      </c>
      <c r="H10" s="147" t="str">
        <f>IFERROR('5'!H10/'5'!$B10*100,"..")</f>
        <v>..</v>
      </c>
      <c r="I10" s="147" t="str">
        <f>IFERROR('5'!I10/'5'!$B10*100,"..")</f>
        <v>..</v>
      </c>
    </row>
    <row r="11" spans="1:9">
      <c r="A11" s="66">
        <v>1987</v>
      </c>
      <c r="B11" s="147">
        <f>IFERROR('5'!B11/'5'!$B11*100,"..")</f>
        <v>100</v>
      </c>
      <c r="C11" s="147">
        <f>IFERROR('5'!C11/'5'!$B11*100,"..")</f>
        <v>83.879059484890433</v>
      </c>
      <c r="D11" s="147">
        <f>IFERROR('5'!D11/'5'!$B11*100,"..")</f>
        <v>79.951248912201649</v>
      </c>
      <c r="E11" s="147">
        <f>IFERROR('5'!E11/'5'!$B11*100,"..")</f>
        <v>85.086662910225598</v>
      </c>
      <c r="F11" s="147">
        <f>IFERROR('5'!F11/'5'!$B11*100,"..")</f>
        <v>68.298495087561292</v>
      </c>
      <c r="G11" s="147">
        <f>IFERROR('5'!G11/'5'!$B11*100,"..")</f>
        <v>88.568741325732717</v>
      </c>
      <c r="H11" s="147" t="str">
        <f>IFERROR('5'!H11/'5'!$B11*100,"..")</f>
        <v>..</v>
      </c>
      <c r="I11" s="147" t="str">
        <f>IFERROR('5'!I11/'5'!$B11*100,"..")</f>
        <v>..</v>
      </c>
    </row>
    <row r="12" spans="1:9">
      <c r="A12" s="66">
        <v>1988</v>
      </c>
      <c r="B12" s="147">
        <f>IFERROR('5'!B12/'5'!$B12*100,"..")</f>
        <v>100</v>
      </c>
      <c r="C12" s="147">
        <f>IFERROR('5'!C12/'5'!$B12*100,"..")</f>
        <v>84.246574474851627</v>
      </c>
      <c r="D12" s="147">
        <f>IFERROR('5'!D12/'5'!$B12*100,"..")</f>
        <v>81.190720720866622</v>
      </c>
      <c r="E12" s="147">
        <f>IFERROR('5'!E12/'5'!$B12*100,"..")</f>
        <v>85.850341186487327</v>
      </c>
      <c r="F12" s="147">
        <f>IFERROR('5'!F12/'5'!$B12*100,"..")</f>
        <v>69.980173915239831</v>
      </c>
      <c r="G12" s="147">
        <f>IFERROR('5'!G12/'5'!$B12*100,"..")</f>
        <v>89.871656634925017</v>
      </c>
      <c r="H12" s="147" t="str">
        <f>IFERROR('5'!H12/'5'!$B12*100,"..")</f>
        <v>..</v>
      </c>
      <c r="I12" s="147" t="str">
        <f>IFERROR('5'!I12/'5'!$B12*100,"..")</f>
        <v>..</v>
      </c>
    </row>
    <row r="13" spans="1:9">
      <c r="A13" s="66">
        <v>1989</v>
      </c>
      <c r="B13" s="147">
        <f>IFERROR('5'!B13/'5'!$B13*100,"..")</f>
        <v>100</v>
      </c>
      <c r="C13" s="147">
        <f>IFERROR('5'!C13/'5'!$B13*100,"..")</f>
        <v>86.004619087198492</v>
      </c>
      <c r="D13" s="147">
        <f>IFERROR('5'!D13/'5'!$B13*100,"..")</f>
        <v>78.98911643170068</v>
      </c>
      <c r="E13" s="147">
        <f>IFERROR('5'!E13/'5'!$B13*100,"..")</f>
        <v>82.525577818226267</v>
      </c>
      <c r="F13" s="147">
        <f>IFERROR('5'!F13/'5'!$B13*100,"..")</f>
        <v>68.533786339275721</v>
      </c>
      <c r="G13" s="147">
        <f>IFERROR('5'!G13/'5'!$B13*100,"..")</f>
        <v>87.511940175683023</v>
      </c>
      <c r="H13" s="147" t="str">
        <f>IFERROR('5'!H13/'5'!$B13*100,"..")</f>
        <v>..</v>
      </c>
      <c r="I13" s="147" t="str">
        <f>IFERROR('5'!I13/'5'!$B13*100,"..")</f>
        <v>..</v>
      </c>
    </row>
    <row r="14" spans="1:9">
      <c r="A14" s="66">
        <v>1990</v>
      </c>
      <c r="B14" s="147">
        <f>IFERROR('5'!B14/'5'!$B14*100,"..")</f>
        <v>100</v>
      </c>
      <c r="C14" s="147">
        <f>IFERROR('5'!C14/'5'!$B14*100,"..")</f>
        <v>87.213630186256452</v>
      </c>
      <c r="D14" s="147">
        <f>IFERROR('5'!D14/'5'!$B14*100,"..")</f>
        <v>79.460355453396204</v>
      </c>
      <c r="E14" s="147">
        <f>IFERROR('5'!E14/'5'!$B14*100,"..")</f>
        <v>78.41112610283902</v>
      </c>
      <c r="F14" s="147">
        <f>IFERROR('5'!F14/'5'!$B14*100,"..")</f>
        <v>70.349538155702362</v>
      </c>
      <c r="G14" s="147">
        <f>IFERROR('5'!G14/'5'!$B14*100,"..")</f>
        <v>89.107924114050405</v>
      </c>
      <c r="H14" s="147" t="str">
        <f>IFERROR('5'!H14/'5'!$B14*100,"..")</f>
        <v>..</v>
      </c>
      <c r="I14" s="147" t="str">
        <f>IFERROR('5'!I14/'5'!$B14*100,"..")</f>
        <v>..</v>
      </c>
    </row>
    <row r="15" spans="1:9">
      <c r="A15" s="66">
        <v>1991</v>
      </c>
      <c r="B15" s="147">
        <f>IFERROR('5'!B15/'5'!$B15*100,"..")</f>
        <v>100</v>
      </c>
      <c r="C15" s="147">
        <f>IFERROR('5'!C15/'5'!$B15*100,"..")</f>
        <v>87.234818563243095</v>
      </c>
      <c r="D15" s="147">
        <f>IFERROR('5'!D15/'5'!$B15*100,"..")</f>
        <v>76.80380616790471</v>
      </c>
      <c r="E15" s="147">
        <f>IFERROR('5'!E15/'5'!$B15*100,"..")</f>
        <v>67.83047549892018</v>
      </c>
      <c r="F15" s="147">
        <f>IFERROR('5'!F15/'5'!$B15*100,"..")</f>
        <v>71.386395805948695</v>
      </c>
      <c r="G15" s="147">
        <f>IFERROR('5'!G15/'5'!$B15*100,"..")</f>
        <v>87.256354863652021</v>
      </c>
      <c r="H15" s="147" t="str">
        <f>IFERROR('5'!H15/'5'!$B15*100,"..")</f>
        <v>..</v>
      </c>
      <c r="I15" s="147" t="str">
        <f>IFERROR('5'!I15/'5'!$B15*100,"..")</f>
        <v>..</v>
      </c>
    </row>
    <row r="16" spans="1:9">
      <c r="A16" s="66">
        <v>1992</v>
      </c>
      <c r="B16" s="147">
        <f>IFERROR('5'!B16/'5'!$B16*100,"..")</f>
        <v>100</v>
      </c>
      <c r="C16" s="147">
        <f>IFERROR('5'!C16/'5'!$B16*100,"..")</f>
        <v>90.147056992503451</v>
      </c>
      <c r="D16" s="147">
        <f>IFERROR('5'!D16/'5'!$B16*100,"..")</f>
        <v>78.353335205338766</v>
      </c>
      <c r="E16" s="147">
        <f>IFERROR('5'!E16/'5'!$B16*100,"..")</f>
        <v>71.203822786073474</v>
      </c>
      <c r="F16" s="147">
        <f>IFERROR('5'!F16/'5'!$B16*100,"..")</f>
        <v>69.740304174233074</v>
      </c>
      <c r="G16" s="147">
        <f>IFERROR('5'!G16/'5'!$B16*100,"..")</f>
        <v>91.184396790482268</v>
      </c>
      <c r="H16" s="147" t="str">
        <f>IFERROR('5'!H16/'5'!$B16*100,"..")</f>
        <v>..</v>
      </c>
      <c r="I16" s="147" t="str">
        <f>IFERROR('5'!I16/'5'!$B16*100,"..")</f>
        <v>..</v>
      </c>
    </row>
    <row r="17" spans="1:9">
      <c r="A17" s="66">
        <v>1993</v>
      </c>
      <c r="B17" s="147">
        <f>IFERROR('5'!B17/'5'!$B17*100,"..")</f>
        <v>100</v>
      </c>
      <c r="C17" s="147">
        <f>IFERROR('5'!C17/'5'!$B17*100,"..")</f>
        <v>93.931937449693663</v>
      </c>
      <c r="D17" s="147">
        <f>IFERROR('5'!D17/'5'!$B17*100,"..")</f>
        <v>79.481532446501106</v>
      </c>
      <c r="E17" s="147">
        <f>IFERROR('5'!E17/'5'!$B17*100,"..")</f>
        <v>72.030866162070296</v>
      </c>
      <c r="F17" s="147">
        <f>IFERROR('5'!F17/'5'!$B17*100,"..")</f>
        <v>65.139761058538511</v>
      </c>
      <c r="G17" s="147">
        <f>IFERROR('5'!G17/'5'!$B17*100,"..")</f>
        <v>100.47827561417817</v>
      </c>
      <c r="H17" s="147" t="str">
        <f>IFERROR('5'!H17/'5'!$B17*100,"..")</f>
        <v>..</v>
      </c>
      <c r="I17" s="147" t="str">
        <f>IFERROR('5'!I17/'5'!$B17*100,"..")</f>
        <v>..</v>
      </c>
    </row>
    <row r="18" spans="1:9">
      <c r="A18" s="66">
        <v>1994</v>
      </c>
      <c r="B18" s="147">
        <f>IFERROR('5'!B18/'5'!$B18*100,"..")</f>
        <v>100</v>
      </c>
      <c r="C18" s="147">
        <f>IFERROR('5'!C18/'5'!$B18*100,"..")</f>
        <v>96.600801447404123</v>
      </c>
      <c r="D18" s="147">
        <f>IFERROR('5'!D18/'5'!$B18*100,"..")</f>
        <v>76.588785414477087</v>
      </c>
      <c r="E18" s="147">
        <f>IFERROR('5'!E18/'5'!$B18*100,"..")</f>
        <v>70.288179202356673</v>
      </c>
      <c r="F18" s="147">
        <f>IFERROR('5'!F18/'5'!$B18*100,"..")</f>
        <v>59.274255206672301</v>
      </c>
      <c r="G18" s="147">
        <f>IFERROR('5'!G18/'5'!$B18*100,"..")</f>
        <v>101.78238556953072</v>
      </c>
      <c r="H18" s="147" t="str">
        <f>IFERROR('5'!H18/'5'!$B18*100,"..")</f>
        <v>..</v>
      </c>
      <c r="I18" s="147" t="str">
        <f>IFERROR('5'!I18/'5'!$B18*100,"..")</f>
        <v>..</v>
      </c>
    </row>
    <row r="19" spans="1:9">
      <c r="A19" s="66">
        <v>1995</v>
      </c>
      <c r="B19" s="147">
        <f>IFERROR('5'!B19/'5'!$B19*100,"..")</f>
        <v>100</v>
      </c>
      <c r="C19" s="147">
        <f>IFERROR('5'!C19/'5'!$B19*100,"..")</f>
        <v>96.963871538870009</v>
      </c>
      <c r="D19" s="147">
        <f>IFERROR('5'!D19/'5'!$B19*100,"..")</f>
        <v>71.439871252075378</v>
      </c>
      <c r="E19" s="147">
        <f>IFERROR('5'!E19/'5'!$B19*100,"..")</f>
        <v>61.974077413787988</v>
      </c>
      <c r="F19" s="147">
        <f>IFERROR('5'!F19/'5'!$B19*100,"..")</f>
        <v>57.282705060063478</v>
      </c>
      <c r="G19" s="147">
        <f>IFERROR('5'!G19/'5'!$B19*100,"..")</f>
        <v>94.822299026799158</v>
      </c>
      <c r="H19" s="147" t="str">
        <f>IFERROR('5'!H19/'5'!$B19*100,"..")</f>
        <v>..</v>
      </c>
      <c r="I19" s="147" t="str">
        <f>IFERROR('5'!I19/'5'!$B19*100,"..")</f>
        <v>..</v>
      </c>
    </row>
    <row r="20" spans="1:9">
      <c r="A20" s="66">
        <v>1996</v>
      </c>
      <c r="B20" s="147">
        <f>IFERROR('5'!B20/'5'!$B20*100,"..")</f>
        <v>100</v>
      </c>
      <c r="C20" s="147">
        <f>IFERROR('5'!C20/'5'!$B20*100,"..")</f>
        <v>95.704778368083751</v>
      </c>
      <c r="D20" s="147">
        <f>IFERROR('5'!D20/'5'!$B20*100,"..")</f>
        <v>73.600659423610125</v>
      </c>
      <c r="E20" s="147">
        <f>IFERROR('5'!E20/'5'!$B20*100,"..")</f>
        <v>64.737739358715388</v>
      </c>
      <c r="F20" s="147">
        <f>IFERROR('5'!F20/'5'!$B20*100,"..")</f>
        <v>57.165892322634114</v>
      </c>
      <c r="G20" s="147">
        <f>IFERROR('5'!G20/'5'!$B20*100,"..")</f>
        <v>100.19978480142365</v>
      </c>
      <c r="H20" s="147" t="str">
        <f>IFERROR('5'!H20/'5'!$B20*100,"..")</f>
        <v>..</v>
      </c>
      <c r="I20" s="147" t="str">
        <f>IFERROR('5'!I20/'5'!$B20*100,"..")</f>
        <v>..</v>
      </c>
    </row>
    <row r="21" spans="1:9">
      <c r="A21" s="66">
        <v>1997</v>
      </c>
      <c r="B21" s="147">
        <f>IFERROR('5'!B21/'5'!$B21*100,"..")</f>
        <v>100</v>
      </c>
      <c r="C21" s="147">
        <f>IFERROR('5'!C21/'5'!$B21*100,"..")</f>
        <v>97.174765389779751</v>
      </c>
      <c r="D21" s="147">
        <f>IFERROR('5'!D21/'5'!$B21*100,"..")</f>
        <v>76.771446778633972</v>
      </c>
      <c r="E21" s="147">
        <f>IFERROR('5'!E21/'5'!$B21*100,"..")</f>
        <v>67.865682410446198</v>
      </c>
      <c r="F21" s="147">
        <f>IFERROR('5'!F21/'5'!$B21*100,"..")</f>
        <v>62.680696121553289</v>
      </c>
      <c r="G21" s="147">
        <f>IFERROR('5'!G21/'5'!$B21*100,"..")</f>
        <v>101.394048058013</v>
      </c>
      <c r="H21" s="147">
        <f>IFERROR('5'!H21/'5'!$B21*100,"..")</f>
        <v>91.459675153943152</v>
      </c>
      <c r="I21" s="147">
        <f>IFERROR('5'!I21/'5'!$B21*100,"..")</f>
        <v>122.31359024537728</v>
      </c>
    </row>
    <row r="22" spans="1:9">
      <c r="A22" s="66">
        <v>1998</v>
      </c>
      <c r="B22" s="147">
        <f>IFERROR('5'!B22/'5'!$B22*100,"..")</f>
        <v>100</v>
      </c>
      <c r="C22" s="147">
        <f>IFERROR('5'!C22/'5'!$B22*100,"..")</f>
        <v>100.53407703484396</v>
      </c>
      <c r="D22" s="147">
        <f>IFERROR('5'!D22/'5'!$B22*100,"..")</f>
        <v>80.215082474480482</v>
      </c>
      <c r="E22" s="147">
        <f>IFERROR('5'!E22/'5'!$B22*100,"..")</f>
        <v>71.743857491058478</v>
      </c>
      <c r="F22" s="147">
        <f>IFERROR('5'!F22/'5'!$B22*100,"..")</f>
        <v>67.231335478004382</v>
      </c>
      <c r="G22" s="147">
        <f>IFERROR('5'!G22/'5'!$B22*100,"..")</f>
        <v>103.30049069105823</v>
      </c>
      <c r="H22" s="147">
        <f>IFERROR('5'!H22/'5'!$B22*100,"..")</f>
        <v>94.831721013709725</v>
      </c>
      <c r="I22" s="147">
        <f>IFERROR('5'!I22/'5'!$B22*100,"..")</f>
        <v>123.1624277557486</v>
      </c>
    </row>
    <row r="23" spans="1:9">
      <c r="A23" s="66">
        <v>1999</v>
      </c>
      <c r="B23" s="147">
        <f>IFERROR('5'!B23/'5'!$B23*100,"..")</f>
        <v>100</v>
      </c>
      <c r="C23" s="147">
        <f>IFERROR('5'!C23/'5'!$B23*100,"..")</f>
        <v>101.80241874937914</v>
      </c>
      <c r="D23" s="147">
        <f>IFERROR('5'!D23/'5'!$B23*100,"..")</f>
        <v>77.727447413857092</v>
      </c>
      <c r="E23" s="147">
        <f>IFERROR('5'!E23/'5'!$B23*100,"..")</f>
        <v>66.850021744692185</v>
      </c>
      <c r="F23" s="147">
        <f>IFERROR('5'!F23/'5'!$B23*100,"..")</f>
        <v>63.603101243024383</v>
      </c>
      <c r="G23" s="147">
        <f>IFERROR('5'!G23/'5'!$B23*100,"..")</f>
        <v>105.19224523707373</v>
      </c>
      <c r="H23" s="147">
        <f>IFERROR('5'!H23/'5'!$B23*100,"..")</f>
        <v>99.703286662309438</v>
      </c>
      <c r="I23" s="147">
        <f>IFERROR('5'!I23/'5'!$B23*100,"..")</f>
        <v>113.55533114285763</v>
      </c>
    </row>
    <row r="24" spans="1:9">
      <c r="A24" s="66">
        <v>2000</v>
      </c>
      <c r="B24" s="147">
        <f>IFERROR('5'!B24/'5'!$B24*100,"..")</f>
        <v>100</v>
      </c>
      <c r="C24" s="147">
        <f>IFERROR('5'!C24/'5'!$B24*100,"..")</f>
        <v>105.1972121692781</v>
      </c>
      <c r="D24" s="147">
        <f>IFERROR('5'!D24/'5'!$B24*100,"..")</f>
        <v>81.401573057512707</v>
      </c>
      <c r="E24" s="147">
        <f>IFERROR('5'!E24/'5'!$B24*100,"..")</f>
        <v>71.99539325833976</v>
      </c>
      <c r="F24" s="147">
        <f>IFERROR('5'!F24/'5'!$B24*100,"..")</f>
        <v>67.612704078757417</v>
      </c>
      <c r="G24" s="147">
        <f>IFERROR('5'!G24/'5'!$B24*100,"..")</f>
        <v>107.53993558930739</v>
      </c>
      <c r="H24" s="147">
        <f>IFERROR('5'!H24/'5'!$B24*100,"..")</f>
        <v>105.49174275399599</v>
      </c>
      <c r="I24" s="147">
        <f>IFERROR('5'!I24/'5'!$B24*100,"..")</f>
        <v>104.8106972780908</v>
      </c>
    </row>
    <row r="25" spans="1:9">
      <c r="A25" s="66">
        <v>2001</v>
      </c>
      <c r="B25" s="147">
        <f>IFERROR('5'!B25/'5'!$B25*100,"..")</f>
        <v>100</v>
      </c>
      <c r="C25" s="147">
        <f>IFERROR('5'!C25/'5'!$B25*100,"..")</f>
        <v>101.02199024163959</v>
      </c>
      <c r="D25" s="147">
        <f>IFERROR('5'!D25/'5'!$B25*100,"..")</f>
        <v>83.443197786098054</v>
      </c>
      <c r="E25" s="147">
        <f>IFERROR('5'!E25/'5'!$B25*100,"..")</f>
        <v>79.918676911883864</v>
      </c>
      <c r="F25" s="147">
        <f>IFERROR('5'!F25/'5'!$B25*100,"..")</f>
        <v>71.840374187957295</v>
      </c>
      <c r="G25" s="147">
        <f>IFERROR('5'!G25/'5'!$B25*100,"..")</f>
        <v>100.39056547002481</v>
      </c>
      <c r="H25" s="147">
        <f>IFERROR('5'!H25/'5'!$B25*100,"..")</f>
        <v>96.648441331481479</v>
      </c>
      <c r="I25" s="147">
        <f>IFERROR('5'!I25/'5'!$B25*100,"..")</f>
        <v>109.00119745838361</v>
      </c>
    </row>
    <row r="26" spans="1:9">
      <c r="A26" s="66">
        <v>2002</v>
      </c>
      <c r="B26" s="147">
        <f>IFERROR('5'!B26/'5'!$B26*100,"..")</f>
        <v>100</v>
      </c>
      <c r="C26" s="147">
        <f>IFERROR('5'!C26/'5'!$B26*100,"..")</f>
        <v>101.74564521711635</v>
      </c>
      <c r="D26" s="147">
        <f>IFERROR('5'!D26/'5'!$B26*100,"..")</f>
        <v>90.571012049605713</v>
      </c>
      <c r="E26" s="147">
        <f>IFERROR('5'!E26/'5'!$B26*100,"..")</f>
        <v>80.622892975470663</v>
      </c>
      <c r="F26" s="147">
        <f>IFERROR('5'!F26/'5'!$B26*100,"..")</f>
        <v>80.18913550307245</v>
      </c>
      <c r="G26" s="147">
        <f>IFERROR('5'!G26/'5'!$B26*100,"..")</f>
        <v>110.65633769691026</v>
      </c>
      <c r="H26" s="147">
        <f>IFERROR('5'!H26/'5'!$B26*100,"..")</f>
        <v>109.45926402502835</v>
      </c>
      <c r="I26" s="147">
        <f>IFERROR('5'!I26/'5'!$B26*100,"..")</f>
        <v>115.15438241435534</v>
      </c>
    </row>
    <row r="27" spans="1:9">
      <c r="A27" s="66">
        <v>2003</v>
      </c>
      <c r="B27" s="147">
        <f>IFERROR('5'!B27/'5'!$B27*100,"..")</f>
        <v>100</v>
      </c>
      <c r="C27" s="147">
        <f>IFERROR('5'!C27/'5'!$B27*100,"..")</f>
        <v>100.68939607124956</v>
      </c>
      <c r="D27" s="147">
        <f>IFERROR('5'!D27/'5'!$B27*100,"..")</f>
        <v>89.752185124607678</v>
      </c>
      <c r="E27" s="147">
        <f>IFERROR('5'!E27/'5'!$B27*100,"..")</f>
        <v>77.233796637571274</v>
      </c>
      <c r="F27" s="147">
        <f>IFERROR('5'!F27/'5'!$B27*100,"..")</f>
        <v>80.869288201536136</v>
      </c>
      <c r="G27" s="147">
        <f>IFERROR('5'!G27/'5'!$B27*100,"..")</f>
        <v>109.35729901167115</v>
      </c>
      <c r="H27" s="147">
        <f>IFERROR('5'!H27/'5'!$B27*100,"..")</f>
        <v>106.75108999162366</v>
      </c>
      <c r="I27" s="147">
        <f>IFERROR('5'!I27/'5'!$B27*100,"..")</f>
        <v>116.94911040154012</v>
      </c>
    </row>
    <row r="28" spans="1:9">
      <c r="A28" s="66">
        <v>2004</v>
      </c>
      <c r="B28" s="147">
        <f>IFERROR('5'!B28/'5'!$B28*100,"..")</f>
        <v>100</v>
      </c>
      <c r="C28" s="147">
        <f>IFERROR('5'!C28/'5'!$B28*100,"..")</f>
        <v>101.07399637915096</v>
      </c>
      <c r="D28" s="147">
        <f>IFERROR('5'!D28/'5'!$B28*100,"..")</f>
        <v>91.660332070648266</v>
      </c>
      <c r="E28" s="147">
        <f>IFERROR('5'!E28/'5'!$B28*100,"..")</f>
        <v>86.027032734308307</v>
      </c>
      <c r="F28" s="147">
        <f>IFERROR('5'!F28/'5'!$B28*100,"..")</f>
        <v>82.292403803292842</v>
      </c>
      <c r="G28" s="147">
        <f>IFERROR('5'!G28/'5'!$B28*100,"..")</f>
        <v>106.98561545718408</v>
      </c>
      <c r="H28" s="147">
        <f>IFERROR('5'!H28/'5'!$B28*100,"..")</f>
        <v>105.60435728433914</v>
      </c>
      <c r="I28" s="147">
        <f>IFERROR('5'!I28/'5'!$B28*100,"..")</f>
        <v>111.45513724540095</v>
      </c>
    </row>
    <row r="29" spans="1:9">
      <c r="A29" s="66">
        <v>2005</v>
      </c>
      <c r="B29" s="147">
        <f>IFERROR('5'!B29/'5'!$B29*100,"..")</f>
        <v>100</v>
      </c>
      <c r="C29" s="147">
        <f>IFERROR('5'!C29/'5'!$B29*100,"..")</f>
        <v>102.43250150597845</v>
      </c>
      <c r="D29" s="147">
        <f>IFERROR('5'!D29/'5'!$B29*100,"..")</f>
        <v>95.085380598299707</v>
      </c>
      <c r="E29" s="147">
        <f>IFERROR('5'!E29/'5'!$B29*100,"..")</f>
        <v>87.784631944474555</v>
      </c>
      <c r="F29" s="147">
        <f>IFERROR('5'!F29/'5'!$B29*100,"..")</f>
        <v>87.950963674629207</v>
      </c>
      <c r="G29" s="147">
        <f>IFERROR('5'!G29/'5'!$B29*100,"..")</f>
        <v>108.39463266550125</v>
      </c>
      <c r="H29" s="147">
        <f>IFERROR('5'!H29/'5'!$B29*100,"..")</f>
        <v>111.03894955868152</v>
      </c>
      <c r="I29" s="147">
        <f>IFERROR('5'!I29/'5'!$B29*100,"..")</f>
        <v>105.42656170456294</v>
      </c>
    </row>
    <row r="30" spans="1:9">
      <c r="A30" s="66">
        <v>2006</v>
      </c>
      <c r="B30" s="147">
        <f>IFERROR('5'!B30/'5'!$B30*100,"..")</f>
        <v>100</v>
      </c>
      <c r="C30" s="147">
        <f>IFERROR('5'!C30/'5'!$B30*100,"..")</f>
        <v>103.80161760463642</v>
      </c>
      <c r="D30" s="147">
        <f>IFERROR('5'!D30/'5'!$B30*100,"..")</f>
        <v>94.470850816521349</v>
      </c>
      <c r="E30" s="147">
        <f>IFERROR('5'!E30/'5'!$B30*100,"..")</f>
        <v>88.255832044763991</v>
      </c>
      <c r="F30" s="147">
        <f>IFERROR('5'!F30/'5'!$B30*100,"..")</f>
        <v>92.211576401853989</v>
      </c>
      <c r="G30" s="147">
        <f>IFERROR('5'!G30/'5'!$B30*100,"..")</f>
        <v>100.40047485294383</v>
      </c>
      <c r="H30" s="147">
        <f>IFERROR('5'!H30/'5'!$B30*100,"..")</f>
        <v>102.04700276192425</v>
      </c>
      <c r="I30" s="147">
        <f>IFERROR('5'!I30/'5'!$B30*100,"..")</f>
        <v>99.435384962879439</v>
      </c>
    </row>
    <row r="31" spans="1:9">
      <c r="A31" s="66">
        <v>2007</v>
      </c>
      <c r="B31" s="147">
        <f>IFERROR('5'!B31/'5'!$B31*100,"..")</f>
        <v>100</v>
      </c>
      <c r="C31" s="147">
        <f>IFERROR('5'!C31/'5'!$B31*100,"..")</f>
        <v>104.27672547059308</v>
      </c>
      <c r="D31" s="147">
        <f>IFERROR('5'!D31/'5'!$B31*100,"..")</f>
        <v>95.549061136569307</v>
      </c>
      <c r="E31" s="147">
        <f>IFERROR('5'!E31/'5'!$B31*100,"..")</f>
        <v>83.915148924055444</v>
      </c>
      <c r="F31" s="147">
        <f>IFERROR('5'!F31/'5'!$B31*100,"..")</f>
        <v>94.529631167719259</v>
      </c>
      <c r="G31" s="147">
        <f>IFERROR('5'!G31/'5'!$B31*100,"..")</f>
        <v>103.19636219594518</v>
      </c>
      <c r="H31" s="147">
        <f>IFERROR('5'!H31/'5'!$B31*100,"..")</f>
        <v>106.84062024315541</v>
      </c>
      <c r="I31" s="147">
        <f>IFERROR('5'!I31/'5'!$B31*100,"..")</f>
        <v>97.586963557321909</v>
      </c>
    </row>
    <row r="32" spans="1:9">
      <c r="A32" s="66">
        <v>2008</v>
      </c>
      <c r="B32" s="147">
        <f>IFERROR('5'!B32/'5'!$B32*100,"..")</f>
        <v>100</v>
      </c>
      <c r="C32" s="147">
        <f>IFERROR('5'!C32/'5'!$B32*100,"..")</f>
        <v>103.14631475758347</v>
      </c>
      <c r="D32" s="147">
        <f>IFERROR('5'!D32/'5'!$B32*100,"..")</f>
        <v>100.06810199145026</v>
      </c>
      <c r="E32" s="147">
        <f>IFERROR('5'!E32/'5'!$B32*100,"..")</f>
        <v>104.85753645226599</v>
      </c>
      <c r="F32" s="147">
        <f>IFERROR('5'!F32/'5'!$B32*100,"..")</f>
        <v>95.972652254742627</v>
      </c>
      <c r="G32" s="147">
        <f>IFERROR('5'!G32/'5'!$B32*100,"..")</f>
        <v>102.28410330133089</v>
      </c>
      <c r="H32" s="147">
        <f>IFERROR('5'!H32/'5'!$B32*100,"..")</f>
        <v>106.55718160092769</v>
      </c>
      <c r="I32" s="147">
        <f>IFERROR('5'!I32/'5'!$B32*100,"..")</f>
        <v>96.030719598493462</v>
      </c>
    </row>
    <row r="33" spans="1:12">
      <c r="A33" s="66">
        <v>2009</v>
      </c>
      <c r="B33" s="147">
        <f>IFERROR('5'!B33/'5'!$B33*100,"..")</f>
        <v>100</v>
      </c>
      <c r="C33" s="147">
        <f>IFERROR('5'!C33/'5'!$B33*100,"..")</f>
        <v>100.42994421512672</v>
      </c>
      <c r="D33" s="147">
        <f>IFERROR('5'!D33/'5'!$B33*100,"..")</f>
        <v>94.148533156199548</v>
      </c>
      <c r="E33" s="147">
        <f>IFERROR('5'!E33/'5'!$B33*100,"..")</f>
        <v>86.89006012937034</v>
      </c>
      <c r="F33" s="147">
        <f>IFERROR('5'!F33/'5'!$B33*100,"..")</f>
        <v>92.582371080759302</v>
      </c>
      <c r="G33" s="147">
        <f>IFERROR('5'!G33/'5'!$B33*100,"..")</f>
        <v>99.349769700761911</v>
      </c>
      <c r="H33" s="147">
        <f>IFERROR('5'!H33/'5'!$B33*100,"..")</f>
        <v>97.701723456892935</v>
      </c>
      <c r="I33" s="147">
        <f>IFERROR('5'!I33/'5'!$B33*100,"..")</f>
        <v>101.64217861398521</v>
      </c>
    </row>
    <row r="34" spans="1:12">
      <c r="A34" s="66">
        <v>2010</v>
      </c>
      <c r="B34" s="147">
        <f>IFERROR('5'!B34/'5'!$B34*100,"..")</f>
        <v>100</v>
      </c>
      <c r="C34" s="147">
        <f>IFERROR('5'!C34/'5'!$B34*100,"..")</f>
        <v>103.38625365540659</v>
      </c>
      <c r="D34" s="147">
        <f>IFERROR('5'!D34/'5'!$B34*100,"..")</f>
        <v>98.506653355573931</v>
      </c>
      <c r="E34" s="147">
        <f>IFERROR('5'!E34/'5'!$B34*100,"..")</f>
        <v>93.797083803298037</v>
      </c>
      <c r="F34" s="147">
        <f>IFERROR('5'!F34/'5'!$B34*100,"..")</f>
        <v>98.987927025606098</v>
      </c>
      <c r="G34" s="147">
        <f>IFERROR('5'!G34/'5'!$B34*100,"..")</f>
        <v>100.47206173064926</v>
      </c>
      <c r="H34" s="147">
        <f>IFERROR('5'!H34/'5'!$B34*100,"..")</f>
        <v>101.07413443596971</v>
      </c>
      <c r="I34" s="147">
        <f>IFERROR('5'!I34/'5'!$B34*100,"..")</f>
        <v>99.654197223004047</v>
      </c>
    </row>
    <row r="35" spans="1:12">
      <c r="A35" s="66">
        <v>2011</v>
      </c>
      <c r="B35" s="147">
        <f>IFERROR('5'!B35/'5'!$B35*100,"..")</f>
        <v>100</v>
      </c>
      <c r="C35" s="147">
        <f>IFERROR('5'!C35/'5'!$B35*100,"..")</f>
        <v>104.29555186314809</v>
      </c>
      <c r="D35" s="147">
        <f>IFERROR('5'!D35/'5'!$B35*100,"..")</f>
        <v>99.051932429124292</v>
      </c>
      <c r="E35" s="147">
        <f>IFERROR('5'!E35/'5'!$B35*100,"..")</f>
        <v>95.345650810600361</v>
      </c>
      <c r="F35" s="147">
        <f>IFERROR('5'!F35/'5'!$B35*100,"..")</f>
        <v>99.373120872234082</v>
      </c>
      <c r="G35" s="147">
        <f>IFERROR('5'!G35/'5'!$B35*100,"..")</f>
        <v>100.85403216907054</v>
      </c>
      <c r="H35" s="147">
        <f>IFERROR('5'!H35/'5'!$B35*100,"..")</f>
        <v>102.46162846578937</v>
      </c>
      <c r="I35" s="147">
        <f>IFERROR('5'!I35/'5'!$B35*100,"..")</f>
        <v>98.796150651819403</v>
      </c>
    </row>
    <row r="36" spans="1:12">
      <c r="A36" s="66">
        <v>2012</v>
      </c>
      <c r="B36" s="147" t="str">
        <f>IFERROR('5'!B36/'5'!$B36*100,"..")</f>
        <v>..</v>
      </c>
      <c r="C36" s="147" t="str">
        <f>IFERROR('5'!C36/'5'!$B36*100,"..")</f>
        <v>..</v>
      </c>
      <c r="D36" s="147" t="str">
        <f>IFERROR('5'!D36/'5'!$B36*100,"..")</f>
        <v>..</v>
      </c>
      <c r="E36" s="147" t="str">
        <f>IFERROR('5'!E36/'5'!$B36*100,"..")</f>
        <v>..</v>
      </c>
      <c r="F36" s="147" t="str">
        <f>IFERROR('5'!F36/'5'!$B36*100,"..")</f>
        <v>..</v>
      </c>
      <c r="G36" s="147" t="str">
        <f>IFERROR('5'!G36/'5'!$B36*100,"..")</f>
        <v>..</v>
      </c>
      <c r="H36" s="147" t="str">
        <f>IFERROR('5'!H36/'5'!$B36*100,"..")</f>
        <v>..</v>
      </c>
      <c r="I36" s="147" t="str">
        <f>IFERROR('5'!I36/'5'!$B36*100,"..")</f>
        <v>..</v>
      </c>
    </row>
    <row r="37" spans="1:12">
      <c r="B37" s="56"/>
      <c r="C37" s="56"/>
      <c r="D37" s="56"/>
      <c r="E37" s="56"/>
      <c r="F37" s="56"/>
      <c r="G37" s="56"/>
      <c r="H37" s="56"/>
      <c r="I37" s="56"/>
    </row>
    <row r="38" spans="1:12">
      <c r="A38" s="66" t="s">
        <v>23</v>
      </c>
      <c r="B38" s="56"/>
      <c r="C38" s="56"/>
      <c r="D38" s="56"/>
      <c r="E38" s="56"/>
      <c r="F38" s="56"/>
      <c r="G38" s="56"/>
      <c r="H38" s="56"/>
      <c r="I38" s="56"/>
    </row>
    <row r="39" spans="1:12">
      <c r="A39" s="64" t="s">
        <v>1781</v>
      </c>
      <c r="B39" s="65">
        <f>((B35/B5)^(1/30)-1)*100</f>
        <v>0</v>
      </c>
      <c r="C39" s="65">
        <f>((C35/C5)^(1/30)-1)*100</f>
        <v>0.97995227907425875</v>
      </c>
      <c r="D39" s="65" t="s">
        <v>22</v>
      </c>
      <c r="E39" s="65" t="s">
        <v>22</v>
      </c>
      <c r="F39" s="65">
        <f>((F35/F5)^(1/30)-1)*100</f>
        <v>2.4365078195276002</v>
      </c>
      <c r="G39" s="65">
        <f>((G35/G5)^(1/30)-1)*100</f>
        <v>0.76705662480762715</v>
      </c>
      <c r="H39" s="57" t="s">
        <v>22</v>
      </c>
      <c r="I39" s="57" t="s">
        <v>22</v>
      </c>
    </row>
    <row r="40" spans="1:12">
      <c r="A40" s="64" t="s">
        <v>25</v>
      </c>
      <c r="B40" s="65">
        <f>((B13/B5)^(1/8)-1)*100</f>
        <v>0</v>
      </c>
      <c r="C40" s="65">
        <f>((C13/C5)^(1/8)-1)*100</f>
        <v>1.2543879853635254</v>
      </c>
      <c r="D40" s="65" t="s">
        <v>22</v>
      </c>
      <c r="E40" s="65" t="s">
        <v>22</v>
      </c>
      <c r="F40" s="65">
        <f>((F13/F5)^(1/8)-1)*100</f>
        <v>4.4804035267652198</v>
      </c>
      <c r="G40" s="65">
        <f>((G13/G5)^(1/8)-1)*100</f>
        <v>1.0977301847203469</v>
      </c>
      <c r="H40" s="57" t="s">
        <v>22</v>
      </c>
      <c r="I40" s="57" t="s">
        <v>22</v>
      </c>
      <c r="K40" s="138"/>
    </row>
    <row r="41" spans="1:12">
      <c r="A41" s="64" t="s">
        <v>26</v>
      </c>
      <c r="B41" s="65">
        <f t="shared" ref="B41:C41" si="0">((B24/B13)^(1/11)-1)*100</f>
        <v>0</v>
      </c>
      <c r="C41" s="65">
        <f t="shared" si="0"/>
        <v>1.8481044132271807</v>
      </c>
      <c r="D41" s="65">
        <f t="shared" ref="D41:G41" si="1">((D24/D13)^(1/11)-1)*100</f>
        <v>0.27386999112364308</v>
      </c>
      <c r="E41" s="65">
        <f t="shared" si="1"/>
        <v>-1.2332967372306824</v>
      </c>
      <c r="F41" s="65">
        <f t="shared" si="1"/>
        <v>-0.12293309663432561</v>
      </c>
      <c r="G41" s="65">
        <f t="shared" si="1"/>
        <v>1.891178922761938</v>
      </c>
      <c r="H41" s="57" t="s">
        <v>22</v>
      </c>
      <c r="I41" s="57" t="s">
        <v>22</v>
      </c>
      <c r="K41" s="138"/>
    </row>
    <row r="42" spans="1:12">
      <c r="A42" s="64" t="s">
        <v>1782</v>
      </c>
      <c r="B42" s="65">
        <f>((B35/B24)^(1/11)-1)*100</f>
        <v>0</v>
      </c>
      <c r="C42" s="65">
        <f>((C35/C24)^(1/11)-1)*100</f>
        <v>-7.8224716577235398E-2</v>
      </c>
      <c r="D42" s="65">
        <f t="shared" ref="D42:I42" si="2">((D35/D24)^(1/11)-1)*100</f>
        <v>1.80009796239744</v>
      </c>
      <c r="E42" s="65">
        <f t="shared" si="2"/>
        <v>2.5865823777686092</v>
      </c>
      <c r="F42" s="65">
        <f t="shared" si="2"/>
        <v>3.5627783631645205</v>
      </c>
      <c r="G42" s="65">
        <f t="shared" si="2"/>
        <v>-0.58182830299572386</v>
      </c>
      <c r="H42" s="65">
        <f t="shared" si="2"/>
        <v>-0.26459759510996106</v>
      </c>
      <c r="I42" s="65">
        <f t="shared" si="2"/>
        <v>-0.53580665309150843</v>
      </c>
    </row>
    <row r="44" spans="1:12">
      <c r="A44" s="104" t="s">
        <v>661</v>
      </c>
      <c r="B44" s="104"/>
      <c r="C44" s="104"/>
      <c r="D44" s="104"/>
      <c r="E44" s="104"/>
      <c r="F44" s="104"/>
      <c r="G44" s="104"/>
      <c r="H44" s="104"/>
      <c r="I44" s="104"/>
    </row>
    <row r="45" spans="1:12">
      <c r="A45" s="92" t="s">
        <v>773</v>
      </c>
      <c r="B45" s="92"/>
      <c r="C45" s="92"/>
      <c r="D45" s="92"/>
      <c r="E45" s="92"/>
      <c r="F45" s="92"/>
      <c r="G45" s="92"/>
      <c r="H45" s="92"/>
      <c r="I45" s="92"/>
      <c r="J45" s="70"/>
      <c r="K45" s="70"/>
      <c r="L45" s="70"/>
    </row>
    <row r="46" spans="1:12">
      <c r="A46" s="137" t="s">
        <v>1025</v>
      </c>
      <c r="B46" s="137"/>
      <c r="C46" s="137"/>
      <c r="D46" s="137"/>
      <c r="E46" s="137"/>
      <c r="F46" s="137"/>
      <c r="G46" s="137"/>
      <c r="H46" s="137"/>
      <c r="I46" s="137"/>
    </row>
    <row r="47" spans="1:12">
      <c r="A47" s="137" t="s">
        <v>1027</v>
      </c>
      <c r="B47" s="137"/>
      <c r="C47" s="137"/>
      <c r="D47" s="137"/>
      <c r="E47" s="137"/>
      <c r="F47" s="137"/>
      <c r="G47" s="137"/>
      <c r="H47" s="137"/>
      <c r="I47" s="137"/>
    </row>
  </sheetData>
  <mergeCells count="13">
    <mergeCell ref="A45:I45"/>
    <mergeCell ref="A46:I46"/>
    <mergeCell ref="A47:I47"/>
    <mergeCell ref="A44:I44"/>
    <mergeCell ref="A1:I1"/>
    <mergeCell ref="A2:A4"/>
    <mergeCell ref="B2:B4"/>
    <mergeCell ref="D2:I2"/>
    <mergeCell ref="D3:D4"/>
    <mergeCell ref="E3:E4"/>
    <mergeCell ref="F3:F4"/>
    <mergeCell ref="G3:I3"/>
    <mergeCell ref="C2:C4"/>
  </mergeCells>
  <pageMargins left="0.70866141732283472" right="0.70866141732283472" top="0.74803149606299213" bottom="0.74803149606299213" header="0.31496062992125984" footer="0.31496062992125984"/>
  <pageSetup scale="77" orientation="portrait" horizontalDpi="0" verticalDpi="0" r:id="rId1"/>
</worksheet>
</file>

<file path=xl/worksheets/sheet37.xml><?xml version="1.0" encoding="utf-8"?>
<worksheet xmlns="http://schemas.openxmlformats.org/spreadsheetml/2006/main" xmlns:r="http://schemas.openxmlformats.org/officeDocument/2006/relationships">
  <sheetPr codeName="Sheet37"/>
  <dimension ref="A1:K41"/>
  <sheetViews>
    <sheetView view="pageBreakPre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11.7109375" style="64" customWidth="1"/>
    <col min="2" max="4" width="12.7109375" style="64" customWidth="1"/>
    <col min="5" max="5" width="14.85546875" style="64" customWidth="1"/>
    <col min="6" max="6" width="12.7109375" style="64" customWidth="1"/>
    <col min="7" max="7" width="12.42578125" style="64" customWidth="1"/>
    <col min="8" max="8" width="11.85546875" style="64" customWidth="1"/>
    <col min="9" max="9" width="14.85546875" style="64" customWidth="1"/>
    <col min="10" max="10" width="13.7109375" style="64" customWidth="1"/>
    <col min="11" max="11" width="12" style="64" customWidth="1"/>
    <col min="12" max="16384" width="9.140625" style="64"/>
  </cols>
  <sheetData>
    <row r="1" spans="1:11">
      <c r="A1" s="108" t="s">
        <v>1974</v>
      </c>
      <c r="B1" s="108"/>
      <c r="C1" s="108"/>
      <c r="D1" s="108"/>
      <c r="E1" s="108"/>
      <c r="F1" s="108"/>
      <c r="G1" s="108"/>
      <c r="H1" s="108"/>
      <c r="I1" s="108"/>
      <c r="J1" s="108"/>
      <c r="K1" s="108"/>
    </row>
    <row r="2" spans="1:11" ht="15" customHeight="1">
      <c r="A2" s="96"/>
      <c r="B2" s="94" t="s">
        <v>36</v>
      </c>
      <c r="C2" s="159" t="s">
        <v>37</v>
      </c>
      <c r="D2" s="160"/>
      <c r="E2" s="160"/>
      <c r="F2" s="160"/>
      <c r="G2" s="160"/>
      <c r="H2" s="160"/>
      <c r="I2" s="160"/>
      <c r="J2" s="160"/>
      <c r="K2" s="161"/>
    </row>
    <row r="3" spans="1:11" ht="15" customHeight="1">
      <c r="A3" s="96"/>
      <c r="B3" s="94"/>
      <c r="C3" s="123" t="s">
        <v>78</v>
      </c>
      <c r="D3" s="123" t="s">
        <v>858</v>
      </c>
      <c r="E3" s="264" t="s">
        <v>67</v>
      </c>
      <c r="F3" s="264"/>
      <c r="G3" s="264"/>
      <c r="H3" s="264"/>
      <c r="I3" s="264" t="s">
        <v>71</v>
      </c>
      <c r="J3" s="264"/>
      <c r="K3" s="264"/>
    </row>
    <row r="4" spans="1:11" ht="76.5">
      <c r="A4" s="96"/>
      <c r="B4" s="94"/>
      <c r="C4" s="126"/>
      <c r="D4" s="126"/>
      <c r="E4" s="72" t="s">
        <v>74</v>
      </c>
      <c r="F4" s="6" t="s">
        <v>68</v>
      </c>
      <c r="G4" s="6" t="s">
        <v>69</v>
      </c>
      <c r="H4" s="6" t="s">
        <v>70</v>
      </c>
      <c r="I4" s="6" t="s">
        <v>48</v>
      </c>
      <c r="J4" s="6" t="s">
        <v>72</v>
      </c>
      <c r="K4" s="6" t="s">
        <v>73</v>
      </c>
    </row>
    <row r="5" spans="1:11">
      <c r="A5" s="66">
        <v>1987</v>
      </c>
      <c r="B5" s="147">
        <f>'1a'!B13/'4c'!B5</f>
        <v>38.583709616455359</v>
      </c>
      <c r="C5" s="147">
        <f>'1a'!D13/'4c'!C5</f>
        <v>35.128863475192844</v>
      </c>
      <c r="D5" s="147">
        <f>'1a'!E13/'4c'!D5</f>
        <v>46.368255344410436</v>
      </c>
      <c r="E5" s="147">
        <f>'1a'!F13/'4c'!E5</f>
        <v>64.543170015899292</v>
      </c>
      <c r="F5" s="147" t="s">
        <v>22</v>
      </c>
      <c r="G5" s="147" t="s">
        <v>22</v>
      </c>
      <c r="H5" s="147" t="s">
        <v>22</v>
      </c>
      <c r="I5" s="50">
        <f>'1a'!O13/'4c'!K5</f>
        <v>36.237083486062382</v>
      </c>
      <c r="J5" s="50">
        <f>'1a'!P13/'4c'!L5</f>
        <v>33.308605940914475</v>
      </c>
      <c r="K5" s="50">
        <f>'1a'!V13/'4c'!M5</f>
        <v>40.053602797328089</v>
      </c>
    </row>
    <row r="6" spans="1:11">
      <c r="A6" s="66">
        <v>1988</v>
      </c>
      <c r="B6" s="147">
        <f>'1a'!B14/'4c'!B6</f>
        <v>38.448622453512058</v>
      </c>
      <c r="C6" s="147">
        <f>'1a'!D14/'4c'!C6</f>
        <v>32.907258522838497</v>
      </c>
      <c r="D6" s="147">
        <f>'1a'!E14/'4c'!D6</f>
        <v>40.927874055165454</v>
      </c>
      <c r="E6" s="147">
        <f>'1a'!F14/'4c'!E6</f>
        <v>60.193114346543382</v>
      </c>
      <c r="F6" s="147" t="s">
        <v>22</v>
      </c>
      <c r="G6" s="147" t="s">
        <v>22</v>
      </c>
      <c r="H6" s="147" t="s">
        <v>22</v>
      </c>
      <c r="I6" s="50">
        <f>'1a'!O14/'4c'!K6</f>
        <v>34.367948048768888</v>
      </c>
      <c r="J6" s="50">
        <f>'1a'!P14/'4c'!L6</f>
        <v>30.174395756174977</v>
      </c>
      <c r="K6" s="50">
        <f>'1a'!V14/'4c'!M6</f>
        <v>43.372152912394384</v>
      </c>
    </row>
    <row r="7" spans="1:11">
      <c r="A7" s="66">
        <v>1989</v>
      </c>
      <c r="B7" s="147">
        <f>'1a'!B15/'4c'!B7</f>
        <v>37.995281315682504</v>
      </c>
      <c r="C7" s="147">
        <f>'1a'!D15/'4c'!C7</f>
        <v>30.3874971038281</v>
      </c>
      <c r="D7" s="147">
        <f>'1a'!E15/'4c'!D7</f>
        <v>41.701401843910809</v>
      </c>
      <c r="E7" s="147">
        <f>'1a'!F15/'4c'!E7</f>
        <v>61.185436658591321</v>
      </c>
      <c r="F7" s="147" t="s">
        <v>22</v>
      </c>
      <c r="G7" s="147" t="s">
        <v>22</v>
      </c>
      <c r="H7" s="147" t="s">
        <v>22</v>
      </c>
      <c r="I7" s="50">
        <f>'1a'!O15/'4c'!K7</f>
        <v>29.638571088194048</v>
      </c>
      <c r="J7" s="50">
        <f>'1a'!P15/'4c'!L7</f>
        <v>26.227356694676981</v>
      </c>
      <c r="K7" s="50">
        <f>'1a'!V15/'4c'!M7</f>
        <v>37.434040876455505</v>
      </c>
    </row>
    <row r="8" spans="1:11">
      <c r="A8" s="66">
        <v>1990</v>
      </c>
      <c r="B8" s="147">
        <f>'1a'!B16/'4c'!B8</f>
        <v>38.501526443404103</v>
      </c>
      <c r="C8" s="147">
        <f>'1a'!D16/'4c'!C8</f>
        <v>30.138111761974038</v>
      </c>
      <c r="D8" s="147">
        <f>'1a'!E16/'4c'!D8</f>
        <v>37.878663258073757</v>
      </c>
      <c r="E8" s="147">
        <f>'1a'!F16/'4c'!E8</f>
        <v>59.650070657645557</v>
      </c>
      <c r="F8" s="147" t="s">
        <v>22</v>
      </c>
      <c r="G8" s="147" t="s">
        <v>22</v>
      </c>
      <c r="H8" s="147" t="s">
        <v>22</v>
      </c>
      <c r="I8" s="50">
        <f>'1a'!O16/'4c'!K8</f>
        <v>30.963339920060715</v>
      </c>
      <c r="J8" s="50">
        <f>'1a'!P16/'4c'!L8</f>
        <v>26.670265059335904</v>
      </c>
      <c r="K8" s="50">
        <f>'1a'!V16/'4c'!M8</f>
        <v>42.006460865573537</v>
      </c>
    </row>
    <row r="9" spans="1:11">
      <c r="A9" s="66">
        <v>1991</v>
      </c>
      <c r="B9" s="147">
        <f>'1a'!B17/'4c'!B9</f>
        <v>39.376185709507304</v>
      </c>
      <c r="C9" s="147">
        <f>'1a'!D17/'4c'!C9</f>
        <v>30.305005568534778</v>
      </c>
      <c r="D9" s="147">
        <f>'1a'!E17/'4c'!D9</f>
        <v>33.611203760811641</v>
      </c>
      <c r="E9" s="147">
        <f>'1a'!F17/'4c'!E9</f>
        <v>54.218239189529676</v>
      </c>
      <c r="F9" s="147" t="s">
        <v>22</v>
      </c>
      <c r="G9" s="147" t="s">
        <v>22</v>
      </c>
      <c r="H9" s="147" t="s">
        <v>22</v>
      </c>
      <c r="I9" s="50">
        <f>'1a'!O17/'4c'!K9</f>
        <v>31.976613977200941</v>
      </c>
      <c r="J9" s="50">
        <f>'1a'!P17/'4c'!L9</f>
        <v>27.120753439528297</v>
      </c>
      <c r="K9" s="50">
        <f>'1a'!V17/'4c'!M9</f>
        <v>46.130005280019859</v>
      </c>
    </row>
    <row r="10" spans="1:11">
      <c r="A10" s="66">
        <v>1992</v>
      </c>
      <c r="B10" s="147">
        <f>'1a'!B18/'4c'!B10</f>
        <v>40.753906038620052</v>
      </c>
      <c r="C10" s="147">
        <f>'1a'!D18/'4c'!C10</f>
        <v>32.678417607035975</v>
      </c>
      <c r="D10" s="147">
        <f>'1a'!E18/'4c'!D10</f>
        <v>34.539068954558118</v>
      </c>
      <c r="E10" s="147">
        <f>'1a'!F18/'4c'!E10</f>
        <v>58.825831367870045</v>
      </c>
      <c r="F10" s="147" t="s">
        <v>22</v>
      </c>
      <c r="G10" s="147" t="s">
        <v>22</v>
      </c>
      <c r="H10" s="147" t="s">
        <v>22</v>
      </c>
      <c r="I10" s="50">
        <f>'1a'!O18/'4c'!K10</f>
        <v>36.538086261572708</v>
      </c>
      <c r="J10" s="50">
        <f>'1a'!P18/'4c'!L10</f>
        <v>30.891760195270795</v>
      </c>
      <c r="K10" s="50">
        <f>'1a'!V18/'4c'!M10</f>
        <v>52.879321941538301</v>
      </c>
    </row>
    <row r="11" spans="1:11">
      <c r="A11" s="66">
        <v>1993</v>
      </c>
      <c r="B11" s="147">
        <f>'1a'!B19/'4c'!B11</f>
        <v>41.01754315924267</v>
      </c>
      <c r="C11" s="147">
        <f>'1a'!D19/'4c'!C11</f>
        <v>32.404150084431365</v>
      </c>
      <c r="D11" s="147">
        <f>'1a'!E19/'4c'!D11</f>
        <v>35.339869670280699</v>
      </c>
      <c r="E11" s="147">
        <f>'1a'!F19/'4c'!E11</f>
        <v>58.104296666960053</v>
      </c>
      <c r="F11" s="147" t="s">
        <v>22</v>
      </c>
      <c r="G11" s="147" t="s">
        <v>22</v>
      </c>
      <c r="H11" s="147" t="s">
        <v>22</v>
      </c>
      <c r="I11" s="50">
        <f>'1a'!O19/'4c'!K11</f>
        <v>36.92163984894627</v>
      </c>
      <c r="J11" s="50">
        <f>'1a'!P19/'4c'!L11</f>
        <v>31.362738033710524</v>
      </c>
      <c r="K11" s="50">
        <f>'1a'!V19/'4c'!M11</f>
        <v>52.581941216813</v>
      </c>
    </row>
    <row r="12" spans="1:11">
      <c r="A12" s="66">
        <v>1994</v>
      </c>
      <c r="B12" s="147">
        <f>'1a'!B20/'4c'!B12</f>
        <v>41.450639476424186</v>
      </c>
      <c r="C12" s="147">
        <f>'1a'!D20/'4c'!C12</f>
        <v>30.916873489011614</v>
      </c>
      <c r="D12" s="147">
        <f>'1a'!E20/'4c'!D12</f>
        <v>30.179570522751195</v>
      </c>
      <c r="E12" s="147">
        <f>'1a'!F20/'4c'!E12</f>
        <v>48.284141873233608</v>
      </c>
      <c r="F12" s="147" t="s">
        <v>22</v>
      </c>
      <c r="G12" s="147" t="s">
        <v>22</v>
      </c>
      <c r="H12" s="147" t="s">
        <v>22</v>
      </c>
      <c r="I12" s="50">
        <f>'1a'!O20/'4c'!K12</f>
        <v>37.563555957332795</v>
      </c>
      <c r="J12" s="50">
        <f>'1a'!P20/'4c'!L12</f>
        <v>31.601124514464537</v>
      </c>
      <c r="K12" s="50">
        <f>'1a'!V20/'4c'!M12</f>
        <v>55.114647950973321</v>
      </c>
    </row>
    <row r="13" spans="1:11">
      <c r="A13" s="66">
        <v>1995</v>
      </c>
      <c r="B13" s="147">
        <f>'1a'!B21/'4c'!B13</f>
        <v>42.068369682705708</v>
      </c>
      <c r="C13" s="147">
        <f>'1a'!D21/'4c'!C13</f>
        <v>29.732718144963307</v>
      </c>
      <c r="D13" s="147">
        <f>'1a'!E21/'4c'!D13</f>
        <v>27.54103951032371</v>
      </c>
      <c r="E13" s="147">
        <f>'1a'!F21/'4c'!E13</f>
        <v>42.464512953625288</v>
      </c>
      <c r="F13" s="147" t="s">
        <v>22</v>
      </c>
      <c r="G13" s="147" t="s">
        <v>22</v>
      </c>
      <c r="H13" s="147" t="s">
        <v>22</v>
      </c>
      <c r="I13" s="50">
        <f>'1a'!O21/'4c'!K13</f>
        <v>37.740724085133877</v>
      </c>
      <c r="J13" s="50">
        <f>'1a'!P21/'4c'!L13</f>
        <v>29.832211968882103</v>
      </c>
      <c r="K13" s="50">
        <f>'1a'!V21/'4c'!M13</f>
        <v>65.830770428573302</v>
      </c>
    </row>
    <row r="14" spans="1:11">
      <c r="A14" s="66">
        <v>1996</v>
      </c>
      <c r="B14" s="147">
        <f>'1a'!B22/'4c'!B14</f>
        <v>41.970532142199758</v>
      </c>
      <c r="C14" s="147">
        <f>'1a'!D22/'4c'!C14</f>
        <v>30.399636073001894</v>
      </c>
      <c r="D14" s="147">
        <f>'1a'!E22/'4c'!D14</f>
        <v>29.322312830709183</v>
      </c>
      <c r="E14" s="147">
        <f>'1a'!F22/'4c'!E14</f>
        <v>50.974653578935744</v>
      </c>
      <c r="F14" s="147" t="s">
        <v>22</v>
      </c>
      <c r="G14" s="147" t="s">
        <v>22</v>
      </c>
      <c r="H14" s="147" t="s">
        <v>22</v>
      </c>
      <c r="I14" s="50">
        <f>'1a'!O22/'4c'!K14</f>
        <v>39.137256407412764</v>
      </c>
      <c r="J14" s="50">
        <f>'1a'!P22/'4c'!L14</f>
        <v>29.987016356384004</v>
      </c>
      <c r="K14" s="50">
        <f>'1a'!V22/'4c'!M14</f>
        <v>72.79059729925568</v>
      </c>
    </row>
    <row r="15" spans="1:11">
      <c r="A15" s="66">
        <v>1997</v>
      </c>
      <c r="B15" s="147">
        <f>'1a'!B23/'4c'!B15</f>
        <v>42.801038581371316</v>
      </c>
      <c r="C15" s="147">
        <f>'1a'!D23/'4c'!C15</f>
        <v>33.45389288104419</v>
      </c>
      <c r="D15" s="147">
        <f>'1a'!E23/'4c'!D15</f>
        <v>33.927920955815551</v>
      </c>
      <c r="E15" s="147">
        <f>'1a'!F23/'4c'!E15</f>
        <v>64.366772158235079</v>
      </c>
      <c r="F15" s="265">
        <f>'1a'!G23/'4c'!H15</f>
        <v>24.654447579257592</v>
      </c>
      <c r="G15" s="265">
        <f>'1a'!H23/'4c'!I15</f>
        <v>36.892157047252063</v>
      </c>
      <c r="H15" s="50">
        <f>'1a'!L23/'4c'!I15</f>
        <v>55.516465162612768</v>
      </c>
      <c r="I15" s="50">
        <f>'1a'!O23/'4c'!K15</f>
        <v>41.732333284783408</v>
      </c>
      <c r="J15" s="50">
        <f>'1a'!P23/'4c'!L15</f>
        <v>34.269953512206598</v>
      </c>
      <c r="K15" s="50">
        <f>'1a'!V23/'4c'!M15</f>
        <v>64.056163989789496</v>
      </c>
    </row>
    <row r="16" spans="1:11">
      <c r="A16" s="66">
        <v>1998</v>
      </c>
      <c r="B16" s="147">
        <f>'1a'!B24/'4c'!B16</f>
        <v>43.806400901634255</v>
      </c>
      <c r="C16" s="147">
        <f>'1a'!D24/'4c'!C16</f>
        <v>32.357596170414418</v>
      </c>
      <c r="D16" s="147">
        <f>'1a'!E24/'4c'!D16</f>
        <v>32.625278200307676</v>
      </c>
      <c r="E16" s="147">
        <f>'1a'!F24/'4c'!E16</f>
        <v>63.966681809463388</v>
      </c>
      <c r="F16" s="265">
        <f>'1a'!G24/'4c'!H16</f>
        <v>25.553252028827764</v>
      </c>
      <c r="G16" s="265">
        <f>'1a'!H24/'4c'!I16</f>
        <v>38.618249678044783</v>
      </c>
      <c r="H16" s="50">
        <f>'1a'!L24/'4c'!I16</f>
        <v>56.900705231581021</v>
      </c>
      <c r="I16" s="50">
        <f>'1a'!O24/'4c'!K16</f>
        <v>39.181718298578673</v>
      </c>
      <c r="J16" s="50">
        <f>'1a'!P24/'4c'!L16</f>
        <v>33.243926594155162</v>
      </c>
      <c r="K16" s="50">
        <f>'1a'!V24/'4c'!M16</f>
        <v>55.459286049504492</v>
      </c>
    </row>
    <row r="17" spans="1:11">
      <c r="A17" s="66">
        <v>1999</v>
      </c>
      <c r="B17" s="147">
        <f>'1a'!B25/'4c'!B17</f>
        <v>44.736325379271207</v>
      </c>
      <c r="C17" s="147">
        <f>'1a'!D25/'4c'!C17</f>
        <v>33.87576225134886</v>
      </c>
      <c r="D17" s="147">
        <f>'1a'!E25/'4c'!D17</f>
        <v>33.828252830993399</v>
      </c>
      <c r="E17" s="147">
        <f>'1a'!F25/'4c'!E17</f>
        <v>68.586678880361518</v>
      </c>
      <c r="F17" s="265">
        <f>'1a'!G25/'4c'!H17</f>
        <v>24.597489768183507</v>
      </c>
      <c r="G17" s="265">
        <f>'1a'!H25/'4c'!I17</f>
        <v>43.533012667095655</v>
      </c>
      <c r="H17" s="50">
        <f>'1a'!L25/'4c'!I17</f>
        <v>64.18513091102902</v>
      </c>
      <c r="I17" s="50">
        <f>'1a'!O25/'4c'!K17</f>
        <v>42.957164127610078</v>
      </c>
      <c r="J17" s="50">
        <f>'1a'!P25/'4c'!L17</f>
        <v>39.988010815002546</v>
      </c>
      <c r="K17" s="50">
        <f>'1a'!V25/'4c'!M17</f>
        <v>48.046122884464133</v>
      </c>
    </row>
    <row r="18" spans="1:11">
      <c r="A18" s="66">
        <v>2000</v>
      </c>
      <c r="B18" s="147">
        <f>'1a'!B26/'4c'!B18</f>
        <v>45.749544325971279</v>
      </c>
      <c r="C18" s="147">
        <f>'1a'!D26/'4c'!C18</f>
        <v>35.479310005129506</v>
      </c>
      <c r="D18" s="147">
        <f>'1a'!E26/'4c'!D18</f>
        <v>37.797286535689892</v>
      </c>
      <c r="E18" s="147">
        <f>'1a'!F26/'4c'!E18</f>
        <v>79.544042685446016</v>
      </c>
      <c r="F18" s="265">
        <f>'1a'!G26/'4c'!H18</f>
        <v>26.144339351770817</v>
      </c>
      <c r="G18" s="265">
        <f>'1a'!H26/'4c'!I18</f>
        <v>37.479955368917338</v>
      </c>
      <c r="H18" s="50">
        <f>'1a'!L26/'4c'!I18</f>
        <v>60.161397868229294</v>
      </c>
      <c r="I18" s="50">
        <f>'1a'!O26/'4c'!K18</f>
        <v>45.451890142930537</v>
      </c>
      <c r="J18" s="50">
        <f>'1a'!P26/'4c'!L18</f>
        <v>43.822910315878616</v>
      </c>
      <c r="K18" s="50">
        <f>'1a'!V26/'4c'!M18</f>
        <v>45.774862901611982</v>
      </c>
    </row>
    <row r="19" spans="1:11">
      <c r="A19" s="66">
        <v>2001</v>
      </c>
      <c r="B19" s="147">
        <f>'1a'!B27/'4c'!B19</f>
        <v>46.794703860890451</v>
      </c>
      <c r="C19" s="147">
        <f>'1a'!D27/'4c'!C19</f>
        <v>36.331026947440286</v>
      </c>
      <c r="D19" s="147">
        <f>'1a'!E27/'4c'!D19</f>
        <v>42.008127615310549</v>
      </c>
      <c r="E19" s="147">
        <f>'1a'!F27/'4c'!E19</f>
        <v>83.274241799006575</v>
      </c>
      <c r="F19" s="265">
        <f>'1a'!G27/'4c'!H19</f>
        <v>25.488913978668347</v>
      </c>
      <c r="G19" s="265">
        <f>'1a'!H27/'4c'!I19</f>
        <v>38.490513465351903</v>
      </c>
      <c r="H19" s="50">
        <f>'1a'!L27/'4c'!I19</f>
        <v>63.042543764823733</v>
      </c>
      <c r="I19" s="50">
        <f>'1a'!O27/'4c'!K19</f>
        <v>45.966824932340693</v>
      </c>
      <c r="J19" s="50">
        <f>'1a'!P27/'4c'!L19</f>
        <v>40.876087365851575</v>
      </c>
      <c r="K19" s="50">
        <f>'1a'!V27/'4c'!M19</f>
        <v>58.128052204645719</v>
      </c>
    </row>
    <row r="20" spans="1:11">
      <c r="A20" s="66">
        <v>2002</v>
      </c>
      <c r="B20" s="147">
        <f>'1a'!B28/'4c'!B20</f>
        <v>47.216667713175866</v>
      </c>
      <c r="C20" s="147">
        <f>'1a'!D28/'4c'!C20</f>
        <v>37.556343739646792</v>
      </c>
      <c r="D20" s="147">
        <f>'1a'!E28/'4c'!D20</f>
        <v>43.55490320565557</v>
      </c>
      <c r="E20" s="147">
        <f>'1a'!F28/'4c'!E20</f>
        <v>92.264305375016249</v>
      </c>
      <c r="F20" s="265">
        <f>'1a'!G28/'4c'!H20</f>
        <v>26.980446265813814</v>
      </c>
      <c r="G20" s="265">
        <f>'1a'!H28/'4c'!I20</f>
        <v>42.238803378920835</v>
      </c>
      <c r="H20" s="50">
        <f>'1a'!L28/'4c'!I20</f>
        <v>67.131883334365</v>
      </c>
      <c r="I20" s="50">
        <f>'1a'!O28/'4c'!K20</f>
        <v>49.351934221104443</v>
      </c>
      <c r="J20" s="50">
        <f>'1a'!P28/'4c'!L20</f>
        <v>42.024513102327212</v>
      </c>
      <c r="K20" s="50">
        <f>'1a'!V28/'4c'!M20</f>
        <v>69.068272136262536</v>
      </c>
    </row>
    <row r="21" spans="1:11">
      <c r="A21" s="66">
        <v>2003</v>
      </c>
      <c r="B21" s="147">
        <f>'1a'!B29/'4c'!B21</f>
        <v>47.938808630549858</v>
      </c>
      <c r="C21" s="147">
        <f>'1a'!D29/'4c'!C21</f>
        <v>36.240792340289651</v>
      </c>
      <c r="D21" s="147">
        <f>'1a'!E29/'4c'!D21</f>
        <v>39.036629878653578</v>
      </c>
      <c r="E21" s="147">
        <f>'1a'!F29/'4c'!E21</f>
        <v>85.177816740190522</v>
      </c>
      <c r="F21" s="265">
        <f>'1a'!G29/'4c'!H21</f>
        <v>26.746423891264776</v>
      </c>
      <c r="G21" s="265">
        <f>'1a'!H29/'4c'!I21</f>
        <v>36.219131298314977</v>
      </c>
      <c r="H21" s="50">
        <f>'1a'!L29/'4c'!I21</f>
        <v>56.552849552939122</v>
      </c>
      <c r="I21" s="50">
        <f>'1a'!O29/'4c'!K21</f>
        <v>49.924631233077626</v>
      </c>
      <c r="J21" s="50">
        <f>'1a'!P29/'4c'!L21</f>
        <v>42.131497575078178</v>
      </c>
      <c r="K21" s="50">
        <f>'1a'!V29/'4c'!M21</f>
        <v>71.153086619066272</v>
      </c>
    </row>
    <row r="22" spans="1:11">
      <c r="A22" s="66">
        <v>2004</v>
      </c>
      <c r="B22" s="147">
        <f>'1a'!B30/'4c'!B22</f>
        <v>48.122086869694094</v>
      </c>
      <c r="C22" s="147">
        <f>'1a'!D30/'4c'!C22</f>
        <v>37.503390710294013</v>
      </c>
      <c r="D22" s="147">
        <f>'1a'!E30/'4c'!D22</f>
        <v>44.414531718657031</v>
      </c>
      <c r="E22" s="147">
        <f>'1a'!F30/'4c'!E22</f>
        <v>95.081727816594139</v>
      </c>
      <c r="F22" s="265">
        <f>'1a'!G30/'4c'!H22</f>
        <v>26.753894016934346</v>
      </c>
      <c r="G22" s="265">
        <f>'1a'!H30/'4c'!I22</f>
        <v>38.578354453499806</v>
      </c>
      <c r="H22" s="50">
        <f>'1a'!L30/'4c'!I22</f>
        <v>61.651598607131334</v>
      </c>
      <c r="I22" s="50">
        <f>'1a'!O30/'4c'!K22</f>
        <v>50.67670218798488</v>
      </c>
      <c r="J22" s="50">
        <f>'1a'!P30/'4c'!L22</f>
        <v>46.337660732249958</v>
      </c>
      <c r="K22" s="50">
        <f>'1a'!V30/'4c'!M22</f>
        <v>60.553711110944192</v>
      </c>
    </row>
    <row r="23" spans="1:11">
      <c r="A23" s="66">
        <v>2005</v>
      </c>
      <c r="B23" s="147">
        <f>'1a'!B31/'4c'!B23</f>
        <v>48.570132458223931</v>
      </c>
      <c r="C23" s="147">
        <f>'1a'!D31/'4c'!C23</f>
        <v>42.139226668088916</v>
      </c>
      <c r="D23" s="147">
        <f>'1a'!E31/'4c'!D23</f>
        <v>51.575661200812981</v>
      </c>
      <c r="E23" s="147">
        <f>'1a'!F31/'4c'!E23</f>
        <v>116.51464932076006</v>
      </c>
      <c r="F23" s="265">
        <f>'1a'!G31/'4c'!H23</f>
        <v>31.854705177907803</v>
      </c>
      <c r="G23" s="265">
        <f>'1a'!H31/'4c'!I23</f>
        <v>42.220905093474094</v>
      </c>
      <c r="H23" s="50">
        <f>'1a'!L31/'4c'!I23</f>
        <v>57.934684127520036</v>
      </c>
      <c r="I23" s="50">
        <f>'1a'!O31/'4c'!K23</f>
        <v>53.759729515430521</v>
      </c>
      <c r="J23" s="50">
        <f>'1a'!P31/'4c'!L23</f>
        <v>52.287631960558542</v>
      </c>
      <c r="K23" s="50">
        <f>'1a'!V31/'4c'!M23</f>
        <v>56.902522268441814</v>
      </c>
    </row>
    <row r="24" spans="1:11">
      <c r="A24" s="66">
        <v>2006</v>
      </c>
      <c r="B24" s="147">
        <f>'1a'!B32/'4c'!B24</f>
        <v>49.319854358206598</v>
      </c>
      <c r="C24" s="147">
        <f>'1a'!D32/'4c'!C24</f>
        <v>41.44318606752001</v>
      </c>
      <c r="D24" s="147">
        <f>'1a'!E32/'4c'!D24</f>
        <v>53.792682875709858</v>
      </c>
      <c r="E24" s="147">
        <f>'1a'!F32/'4c'!E24</f>
        <v>125.23532561311636</v>
      </c>
      <c r="F24" s="265">
        <f>'1a'!G32/'4c'!H24</f>
        <v>36.051278130353971</v>
      </c>
      <c r="G24" s="265">
        <f>'1a'!H32/'4c'!I24</f>
        <v>48.924337007638201</v>
      </c>
      <c r="H24" s="50">
        <f>'1a'!L32/'4c'!I24</f>
        <v>69.4787208166792</v>
      </c>
      <c r="I24" s="50">
        <f>'1a'!O32/'4c'!K24</f>
        <v>51.415497458683603</v>
      </c>
      <c r="J24" s="50">
        <f>'1a'!P32/'4c'!L24</f>
        <v>47.243370343867376</v>
      </c>
      <c r="K24" s="50">
        <f>'1a'!V32/'4c'!M24</f>
        <v>60.748899973943082</v>
      </c>
    </row>
    <row r="25" spans="1:11">
      <c r="A25" s="66">
        <v>2007</v>
      </c>
      <c r="B25" s="147">
        <f>'1a'!B33/'4c'!B25</f>
        <v>49.175088676966489</v>
      </c>
      <c r="C25" s="147">
        <f>'1a'!D33/'4c'!C25</f>
        <v>42.917466524821862</v>
      </c>
      <c r="D25" s="147">
        <f>'1a'!E33/'4c'!D25</f>
        <v>50.672583085209915</v>
      </c>
      <c r="E25" s="147">
        <f>'1a'!F33/'4c'!E25</f>
        <v>117.75712363947659</v>
      </c>
      <c r="F25" s="265">
        <f>'1a'!G33/'4c'!H25</f>
        <v>33.294122589589541</v>
      </c>
      <c r="G25" s="265">
        <f>'1a'!H33/'4c'!I25</f>
        <v>44.287275123228717</v>
      </c>
      <c r="H25" s="50">
        <f>'1a'!L33/'4c'!I25</f>
        <v>70.559387484466086</v>
      </c>
      <c r="I25" s="50">
        <f>'1a'!O33/'4c'!K25</f>
        <v>55.549298204832638</v>
      </c>
      <c r="J25" s="50">
        <f>'1a'!P33/'4c'!L25</f>
        <v>57.466156295304351</v>
      </c>
      <c r="K25" s="50">
        <f>'1a'!V33/'4c'!M25</f>
        <v>52.597105864432592</v>
      </c>
    </row>
    <row r="26" spans="1:11">
      <c r="B26" s="56"/>
      <c r="C26" s="56"/>
      <c r="D26" s="56"/>
      <c r="E26" s="56"/>
      <c r="F26" s="56"/>
    </row>
    <row r="27" spans="1:11">
      <c r="A27" s="66" t="s">
        <v>23</v>
      </c>
      <c r="B27" s="56"/>
      <c r="C27" s="56"/>
      <c r="D27" s="56"/>
      <c r="E27" s="56"/>
      <c r="F27" s="56"/>
    </row>
    <row r="28" spans="1:11">
      <c r="A28" s="64" t="s">
        <v>667</v>
      </c>
      <c r="B28" s="65">
        <f>((B25/B5)^(1/20)-1)*100</f>
        <v>1.220169112855829</v>
      </c>
      <c r="C28" s="65">
        <f t="shared" ref="C28:K28" si="0">((C25/C5)^(1/20)-1)*100</f>
        <v>1.0063084415140588</v>
      </c>
      <c r="D28" s="65">
        <f t="shared" si="0"/>
        <v>0.44483609009469127</v>
      </c>
      <c r="E28" s="65">
        <f t="shared" si="0"/>
        <v>3.0520996631211217</v>
      </c>
      <c r="F28" s="65"/>
      <c r="G28" s="65"/>
      <c r="H28" s="65"/>
      <c r="I28" s="65">
        <f t="shared" si="0"/>
        <v>2.158913879101565</v>
      </c>
      <c r="J28" s="65">
        <f t="shared" si="0"/>
        <v>2.764422181728432</v>
      </c>
      <c r="K28" s="65">
        <f t="shared" si="0"/>
        <v>1.3715327339048455</v>
      </c>
    </row>
    <row r="29" spans="1:11">
      <c r="A29" s="64" t="s">
        <v>26</v>
      </c>
      <c r="B29" s="65">
        <f>((B18/B7)^(1/11)-1)*100</f>
        <v>1.7026957120170216</v>
      </c>
      <c r="C29" s="65">
        <f t="shared" ref="C29:K29" si="1">((C18/C7)^(1/11)-1)*100</f>
        <v>1.4183136513095773</v>
      </c>
      <c r="D29" s="65">
        <f t="shared" si="1"/>
        <v>-0.8896321485580061</v>
      </c>
      <c r="E29" s="65">
        <f t="shared" si="1"/>
        <v>2.4141496172345622</v>
      </c>
      <c r="F29" s="65"/>
      <c r="G29" s="65"/>
      <c r="H29" s="65"/>
      <c r="I29" s="65">
        <f t="shared" si="1"/>
        <v>3.9636061047205962</v>
      </c>
      <c r="J29" s="65">
        <f t="shared" si="1"/>
        <v>4.7774636366388679</v>
      </c>
      <c r="K29" s="65">
        <f t="shared" si="1"/>
        <v>1.8455010854076193</v>
      </c>
    </row>
    <row r="30" spans="1:11">
      <c r="A30" s="64" t="s">
        <v>588</v>
      </c>
      <c r="B30" s="65">
        <f>((B25/B18)^(1/7)-1)*100</f>
        <v>1.0368431498449127</v>
      </c>
      <c r="C30" s="65">
        <f t="shared" ref="C30:K30" si="2">((C25/C18)^(1/7)-1)*100</f>
        <v>2.7562900577729144</v>
      </c>
      <c r="D30" s="65">
        <f t="shared" si="2"/>
        <v>4.2767503872993329</v>
      </c>
      <c r="E30" s="65">
        <f t="shared" si="2"/>
        <v>5.7645029631552047</v>
      </c>
      <c r="F30" s="65">
        <f t="shared" si="2"/>
        <v>3.5138728406875819</v>
      </c>
      <c r="G30" s="65">
        <f t="shared" si="2"/>
        <v>2.4128072319588467</v>
      </c>
      <c r="H30" s="65">
        <f t="shared" si="2"/>
        <v>2.3036157388091949</v>
      </c>
      <c r="I30" s="65">
        <f t="shared" si="2"/>
        <v>2.9074131448573848</v>
      </c>
      <c r="J30" s="65">
        <f t="shared" si="2"/>
        <v>3.9479305681840549</v>
      </c>
      <c r="K30" s="65">
        <f t="shared" si="2"/>
        <v>2.0044824165233566</v>
      </c>
    </row>
    <row r="31" spans="1:11">
      <c r="A31" s="64" t="s">
        <v>27</v>
      </c>
      <c r="B31" s="147">
        <f>((B24/B18)^(1/6)-1)*100</f>
        <v>1.2602904544193549</v>
      </c>
      <c r="C31" s="147">
        <f t="shared" ref="C31:K31" si="3">((C24/C18)^(1/6)-1)*100</f>
        <v>2.6233832984532413</v>
      </c>
      <c r="D31" s="147">
        <f t="shared" si="3"/>
        <v>6.0580807253124203</v>
      </c>
      <c r="E31" s="147">
        <f t="shared" si="3"/>
        <v>7.8582074625396237</v>
      </c>
      <c r="F31" s="147">
        <f t="shared" si="3"/>
        <v>5.5011432256157677</v>
      </c>
      <c r="G31" s="147">
        <f t="shared" si="3"/>
        <v>4.5412400545624232</v>
      </c>
      <c r="H31" s="147">
        <f t="shared" si="3"/>
        <v>2.4288545046500465</v>
      </c>
      <c r="I31" s="147">
        <f t="shared" si="3"/>
        <v>2.0760091801609537</v>
      </c>
      <c r="J31" s="147">
        <f t="shared" si="3"/>
        <v>1.2604709172611583</v>
      </c>
      <c r="K31" s="147">
        <f t="shared" si="3"/>
        <v>4.8299135548925287</v>
      </c>
    </row>
    <row r="32" spans="1:11">
      <c r="A32" s="64" t="s">
        <v>588</v>
      </c>
      <c r="B32" s="147">
        <f>((B25/B18)^(1/7)-1)*100</f>
        <v>1.0368431498449127</v>
      </c>
      <c r="C32" s="147">
        <f t="shared" ref="C32:K32" si="4">((C25/C18)^(1/7)-1)*100</f>
        <v>2.7562900577729144</v>
      </c>
      <c r="D32" s="147">
        <f t="shared" si="4"/>
        <v>4.2767503872993329</v>
      </c>
      <c r="E32" s="147">
        <f t="shared" si="4"/>
        <v>5.7645029631552047</v>
      </c>
      <c r="F32" s="147">
        <f t="shared" si="4"/>
        <v>3.5138728406875819</v>
      </c>
      <c r="G32" s="147">
        <f t="shared" si="4"/>
        <v>2.4128072319588467</v>
      </c>
      <c r="H32" s="147">
        <f t="shared" si="4"/>
        <v>2.3036157388091949</v>
      </c>
      <c r="I32" s="147">
        <f t="shared" si="4"/>
        <v>2.9074131448573848</v>
      </c>
      <c r="J32" s="147">
        <f t="shared" si="4"/>
        <v>3.9479305681840549</v>
      </c>
      <c r="K32" s="147">
        <f t="shared" si="4"/>
        <v>2.0044824165233566</v>
      </c>
    </row>
    <row r="33" spans="1:11">
      <c r="B33" s="147"/>
      <c r="C33" s="147"/>
      <c r="D33" s="147"/>
      <c r="E33" s="147"/>
      <c r="F33" s="147"/>
      <c r="G33" s="147"/>
      <c r="H33" s="147"/>
      <c r="I33" s="147"/>
      <c r="J33" s="147"/>
      <c r="K33" s="147"/>
    </row>
    <row r="34" spans="1:11">
      <c r="A34" s="64" t="s">
        <v>859</v>
      </c>
      <c r="B34" s="147">
        <f>((B22/B5)^(1/17)-1)*100</f>
        <v>1.3079569623278831</v>
      </c>
      <c r="C34" s="147">
        <f t="shared" ref="C34:K34" si="5">((C22/C5)^(1/17)-1)*100</f>
        <v>0.38549544756258936</v>
      </c>
      <c r="D34" s="147">
        <f t="shared" si="5"/>
        <v>-0.25290533764817935</v>
      </c>
      <c r="E34" s="147">
        <f t="shared" si="5"/>
        <v>2.305002192690897</v>
      </c>
      <c r="F34" s="147"/>
      <c r="G34" s="147"/>
      <c r="H34" s="147"/>
      <c r="I34" s="147">
        <f t="shared" si="5"/>
        <v>1.9924319878789287</v>
      </c>
      <c r="J34" s="147">
        <f t="shared" si="5"/>
        <v>1.9609749048076885</v>
      </c>
      <c r="K34" s="147">
        <f t="shared" si="5"/>
        <v>2.461043640572691</v>
      </c>
    </row>
    <row r="35" spans="1:11">
      <c r="A35" s="64" t="s">
        <v>676</v>
      </c>
      <c r="B35" s="147">
        <f>((B24/B7)^(1/17)-1)*100</f>
        <v>1.5463324059749484</v>
      </c>
      <c r="C35" s="147">
        <f t="shared" ref="C35:K35" si="6">((C24/C7)^(1/17)-1)*100</f>
        <v>1.842007909768073</v>
      </c>
      <c r="D35" s="147">
        <f t="shared" si="6"/>
        <v>1.5089341479116003</v>
      </c>
      <c r="E35" s="147">
        <f t="shared" si="6"/>
        <v>4.3034688419594236</v>
      </c>
      <c r="F35" s="147"/>
      <c r="G35" s="147"/>
      <c r="H35" s="147"/>
      <c r="I35" s="147">
        <f t="shared" si="6"/>
        <v>3.2934425496998099</v>
      </c>
      <c r="J35" s="147">
        <f t="shared" si="6"/>
        <v>3.5224379748927115</v>
      </c>
      <c r="K35" s="147">
        <f t="shared" si="6"/>
        <v>2.8889947304006069</v>
      </c>
    </row>
    <row r="36" spans="1:11">
      <c r="A36" s="64" t="s">
        <v>662</v>
      </c>
      <c r="B36" s="147">
        <f>((B22/B18)^(1/4)-1)*100</f>
        <v>1.2720077277724506</v>
      </c>
      <c r="C36" s="147">
        <f t="shared" ref="C36:K36" si="7">((C22/C18)^(1/4)-1)*100</f>
        <v>1.3967049929355824</v>
      </c>
      <c r="D36" s="147">
        <f t="shared" si="7"/>
        <v>4.1156742948047276</v>
      </c>
      <c r="E36" s="147">
        <f t="shared" si="7"/>
        <v>4.5616315918305395</v>
      </c>
      <c r="F36" s="147">
        <f t="shared" si="7"/>
        <v>0.57784649855137094</v>
      </c>
      <c r="G36" s="147">
        <f t="shared" si="7"/>
        <v>0.72474080469520086</v>
      </c>
      <c r="H36" s="147">
        <f t="shared" si="7"/>
        <v>0.61358085321929767</v>
      </c>
      <c r="I36" s="147">
        <f t="shared" si="7"/>
        <v>2.7576347486223396</v>
      </c>
      <c r="J36" s="147">
        <f t="shared" si="7"/>
        <v>1.4047321777045818</v>
      </c>
      <c r="K36" s="147">
        <f t="shared" si="7"/>
        <v>7.2453394280524996</v>
      </c>
    </row>
    <row r="38" spans="1:11">
      <c r="A38" s="104" t="s">
        <v>857</v>
      </c>
      <c r="B38" s="104"/>
      <c r="C38" s="104"/>
      <c r="D38" s="104"/>
      <c r="E38" s="104"/>
      <c r="F38" s="104"/>
    </row>
    <row r="39" spans="1:11">
      <c r="A39" s="92" t="s">
        <v>773</v>
      </c>
      <c r="B39" s="92"/>
      <c r="C39" s="92"/>
      <c r="D39" s="92"/>
      <c r="E39" s="92"/>
      <c r="F39" s="92"/>
      <c r="G39" s="92"/>
      <c r="H39" s="92"/>
      <c r="I39" s="92"/>
      <c r="J39" s="92"/>
      <c r="K39" s="92"/>
    </row>
    <row r="40" spans="1:11">
      <c r="A40" s="137" t="s">
        <v>1025</v>
      </c>
      <c r="B40" s="137"/>
      <c r="C40" s="137"/>
      <c r="D40" s="137"/>
      <c r="E40" s="137"/>
      <c r="F40" s="137"/>
      <c r="G40" s="137"/>
      <c r="H40" s="137"/>
      <c r="I40" s="137"/>
      <c r="J40" s="137"/>
      <c r="K40" s="137"/>
    </row>
    <row r="41" spans="1:11">
      <c r="A41" s="137" t="s">
        <v>1026</v>
      </c>
      <c r="B41" s="137"/>
      <c r="C41" s="137"/>
      <c r="D41" s="137"/>
      <c r="E41" s="137"/>
      <c r="F41" s="137"/>
      <c r="G41" s="137"/>
      <c r="H41" s="137"/>
      <c r="I41" s="137"/>
      <c r="J41" s="137"/>
      <c r="K41" s="137"/>
    </row>
  </sheetData>
  <mergeCells count="12">
    <mergeCell ref="A1:K1"/>
    <mergeCell ref="A2:A4"/>
    <mergeCell ref="B2:B4"/>
    <mergeCell ref="C3:C4"/>
    <mergeCell ref="D3:D4"/>
    <mergeCell ref="A39:K39"/>
    <mergeCell ref="A40:K40"/>
    <mergeCell ref="A41:K41"/>
    <mergeCell ref="A38:F38"/>
    <mergeCell ref="C2:K2"/>
    <mergeCell ref="E3:H3"/>
    <mergeCell ref="I3:K3"/>
  </mergeCells>
  <pageMargins left="0.7" right="0.7" top="0.75" bottom="0.75" header="0.3" footer="0.3"/>
  <pageSetup scale="63" orientation="portrait" horizontalDpi="0" verticalDpi="0" r:id="rId1"/>
</worksheet>
</file>

<file path=xl/worksheets/sheet38.xml><?xml version="1.0" encoding="utf-8"?>
<worksheet xmlns="http://schemas.openxmlformats.org/spreadsheetml/2006/main" xmlns:r="http://schemas.openxmlformats.org/officeDocument/2006/relationships">
  <sheetPr codeName="Sheet38"/>
  <dimension ref="A1:P44"/>
  <sheetViews>
    <sheetView view="pageBreakPre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Col="1"/>
  <cols>
    <col min="1" max="1" width="11.7109375" style="64" customWidth="1"/>
    <col min="2" max="2" width="12.7109375" style="64" customWidth="1"/>
    <col min="3" max="3" width="14.85546875" style="64" customWidth="1"/>
    <col min="4" max="5" width="12.7109375" style="64" customWidth="1"/>
    <col min="6" max="9" width="14.7109375" style="64" customWidth="1"/>
    <col min="10" max="10" width="9.140625" style="64"/>
    <col min="11" max="15" width="24.42578125" style="64" hidden="1" customWidth="1" outlineLevel="1"/>
    <col min="16" max="16" width="9.140625" style="64" collapsed="1"/>
    <col min="17" max="16384" width="9.140625" style="64"/>
  </cols>
  <sheetData>
    <row r="1" spans="1:15">
      <c r="A1" s="93" t="s">
        <v>1975</v>
      </c>
      <c r="B1" s="93"/>
      <c r="C1" s="93"/>
      <c r="D1" s="93"/>
      <c r="E1" s="93"/>
      <c r="F1" s="93"/>
      <c r="G1" s="93"/>
      <c r="H1" s="93"/>
      <c r="I1" s="93"/>
    </row>
    <row r="2" spans="1:15" ht="15" customHeight="1">
      <c r="A2" s="96"/>
      <c r="B2" s="94" t="s">
        <v>51</v>
      </c>
      <c r="C2" s="123" t="s">
        <v>938</v>
      </c>
      <c r="D2" s="94" t="s">
        <v>37</v>
      </c>
      <c r="E2" s="94"/>
      <c r="F2" s="94"/>
      <c r="G2" s="94"/>
      <c r="H2" s="94"/>
      <c r="I2" s="94"/>
    </row>
    <row r="3" spans="1:15" ht="15" customHeight="1">
      <c r="A3" s="96"/>
      <c r="B3" s="94"/>
      <c r="C3" s="125"/>
      <c r="D3" s="94" t="s">
        <v>78</v>
      </c>
      <c r="E3" s="94" t="s">
        <v>0</v>
      </c>
      <c r="F3" s="94" t="s">
        <v>1</v>
      </c>
      <c r="G3" s="94" t="s">
        <v>2</v>
      </c>
      <c r="H3" s="94"/>
      <c r="I3" s="94"/>
      <c r="K3" s="97" t="s">
        <v>0</v>
      </c>
      <c r="L3" s="97" t="s">
        <v>1</v>
      </c>
      <c r="M3" s="97" t="s">
        <v>2</v>
      </c>
      <c r="N3" s="97"/>
      <c r="O3" s="97"/>
    </row>
    <row r="4" spans="1:15" ht="60">
      <c r="A4" s="96"/>
      <c r="B4" s="94"/>
      <c r="C4" s="126"/>
      <c r="D4" s="94"/>
      <c r="E4" s="94"/>
      <c r="F4" s="94"/>
      <c r="G4" s="72" t="s">
        <v>517</v>
      </c>
      <c r="H4" s="72" t="s">
        <v>13</v>
      </c>
      <c r="I4" s="72" t="s">
        <v>19</v>
      </c>
      <c r="K4" s="101"/>
      <c r="L4" s="101"/>
      <c r="M4" s="76" t="s">
        <v>517</v>
      </c>
      <c r="N4" s="73" t="s">
        <v>13</v>
      </c>
      <c r="O4" s="73" t="s">
        <v>19</v>
      </c>
    </row>
    <row r="5" spans="1:15">
      <c r="A5" s="66">
        <v>1981</v>
      </c>
      <c r="B5" s="57" t="s">
        <v>22</v>
      </c>
      <c r="C5" s="57"/>
      <c r="D5" s="57" t="s">
        <v>22</v>
      </c>
      <c r="E5" s="57" t="s">
        <v>22</v>
      </c>
      <c r="F5" s="57" t="s">
        <v>22</v>
      </c>
      <c r="G5" s="57" t="s">
        <v>22</v>
      </c>
      <c r="H5" s="57" t="s">
        <v>22</v>
      </c>
      <c r="I5" s="57" t="s">
        <v>22</v>
      </c>
      <c r="K5" s="234"/>
      <c r="L5" s="62"/>
      <c r="M5" s="70"/>
    </row>
    <row r="6" spans="1:15">
      <c r="A6" s="66">
        <v>1982</v>
      </c>
      <c r="B6" s="57" t="s">
        <v>22</v>
      </c>
      <c r="C6" s="57"/>
      <c r="D6" s="57" t="s">
        <v>22</v>
      </c>
      <c r="E6" s="57" t="s">
        <v>22</v>
      </c>
      <c r="F6" s="57" t="s">
        <v>22</v>
      </c>
      <c r="G6" s="57" t="s">
        <v>22</v>
      </c>
      <c r="H6" s="57" t="s">
        <v>22</v>
      </c>
      <c r="I6" s="57" t="s">
        <v>22</v>
      </c>
    </row>
    <row r="7" spans="1:15">
      <c r="A7" s="66">
        <v>1983</v>
      </c>
      <c r="B7" s="57" t="s">
        <v>22</v>
      </c>
      <c r="C7" s="57"/>
      <c r="D7" s="57" t="s">
        <v>22</v>
      </c>
      <c r="E7" s="57" t="s">
        <v>22</v>
      </c>
      <c r="F7" s="57" t="s">
        <v>22</v>
      </c>
      <c r="G7" s="57" t="s">
        <v>22</v>
      </c>
      <c r="H7" s="57" t="s">
        <v>22</v>
      </c>
      <c r="I7" s="57" t="s">
        <v>22</v>
      </c>
    </row>
    <row r="8" spans="1:15">
      <c r="A8" s="66">
        <v>1984</v>
      </c>
      <c r="B8" s="57" t="s">
        <v>22</v>
      </c>
      <c r="C8" s="57"/>
      <c r="D8" s="57" t="s">
        <v>22</v>
      </c>
      <c r="E8" s="57" t="s">
        <v>22</v>
      </c>
      <c r="F8" s="57" t="s">
        <v>22</v>
      </c>
      <c r="G8" s="57" t="s">
        <v>22</v>
      </c>
      <c r="H8" s="57" t="s">
        <v>22</v>
      </c>
      <c r="I8" s="57" t="s">
        <v>22</v>
      </c>
    </row>
    <row r="9" spans="1:15">
      <c r="A9" s="66">
        <v>1985</v>
      </c>
      <c r="B9" s="57" t="s">
        <v>22</v>
      </c>
      <c r="C9" s="57"/>
      <c r="D9" s="57" t="s">
        <v>22</v>
      </c>
      <c r="E9" s="57" t="s">
        <v>22</v>
      </c>
      <c r="F9" s="57" t="s">
        <v>22</v>
      </c>
      <c r="G9" s="57" t="s">
        <v>22</v>
      </c>
      <c r="H9" s="57" t="s">
        <v>22</v>
      </c>
      <c r="I9" s="57" t="s">
        <v>22</v>
      </c>
    </row>
    <row r="10" spans="1:15">
      <c r="A10" s="66">
        <v>1986</v>
      </c>
      <c r="B10" s="57" t="s">
        <v>22</v>
      </c>
      <c r="C10" s="57"/>
      <c r="D10" s="57" t="s">
        <v>22</v>
      </c>
      <c r="E10" s="57" t="s">
        <v>22</v>
      </c>
      <c r="F10" s="57" t="s">
        <v>22</v>
      </c>
      <c r="G10" s="57" t="s">
        <v>22</v>
      </c>
      <c r="H10" s="57" t="s">
        <v>22</v>
      </c>
      <c r="I10" s="57" t="s">
        <v>22</v>
      </c>
    </row>
    <row r="11" spans="1:15">
      <c r="A11" s="66">
        <v>1987</v>
      </c>
      <c r="B11" s="57" t="s">
        <v>22</v>
      </c>
      <c r="C11" s="57"/>
      <c r="D11" s="57" t="s">
        <v>22</v>
      </c>
      <c r="E11" s="57" t="s">
        <v>22</v>
      </c>
      <c r="F11" s="57" t="s">
        <v>22</v>
      </c>
      <c r="G11" s="57" t="s">
        <v>22</v>
      </c>
      <c r="H11" s="57" t="s">
        <v>22</v>
      </c>
      <c r="I11" s="57" t="s">
        <v>22</v>
      </c>
      <c r="K11" s="67"/>
      <c r="L11" s="67"/>
      <c r="M11" s="67"/>
      <c r="N11" s="65"/>
      <c r="O11" s="65"/>
    </row>
    <row r="12" spans="1:15">
      <c r="A12" s="66">
        <v>1988</v>
      </c>
      <c r="B12" s="57" t="s">
        <v>22</v>
      </c>
      <c r="C12" s="57"/>
      <c r="D12" s="57" t="s">
        <v>22</v>
      </c>
      <c r="E12" s="57" t="s">
        <v>22</v>
      </c>
      <c r="F12" s="57" t="s">
        <v>22</v>
      </c>
      <c r="G12" s="57" t="s">
        <v>22</v>
      </c>
      <c r="H12" s="57" t="s">
        <v>22</v>
      </c>
      <c r="I12" s="57" t="s">
        <v>22</v>
      </c>
      <c r="K12" s="67"/>
      <c r="L12" s="67"/>
      <c r="M12" s="67"/>
      <c r="N12" s="65"/>
      <c r="O12" s="65"/>
    </row>
    <row r="13" spans="1:15">
      <c r="A13" s="66">
        <v>1989</v>
      </c>
      <c r="B13" s="57" t="s">
        <v>22</v>
      </c>
      <c r="C13" s="57"/>
      <c r="D13" s="57" t="s">
        <v>22</v>
      </c>
      <c r="E13" s="57" t="s">
        <v>22</v>
      </c>
      <c r="F13" s="57" t="s">
        <v>22</v>
      </c>
      <c r="G13" s="57" t="s">
        <v>22</v>
      </c>
      <c r="H13" s="57" t="s">
        <v>22</v>
      </c>
      <c r="I13" s="57" t="s">
        <v>22</v>
      </c>
      <c r="K13" s="67"/>
      <c r="L13" s="67"/>
      <c r="M13" s="67"/>
      <c r="N13" s="65"/>
      <c r="O13" s="65"/>
    </row>
    <row r="14" spans="1:15">
      <c r="A14" s="66">
        <v>1990</v>
      </c>
      <c r="B14" s="57" t="s">
        <v>22</v>
      </c>
      <c r="C14" s="57"/>
      <c r="D14" s="57" t="s">
        <v>22</v>
      </c>
      <c r="E14" s="57" t="s">
        <v>22</v>
      </c>
      <c r="F14" s="57" t="s">
        <v>22</v>
      </c>
      <c r="G14" s="57" t="s">
        <v>22</v>
      </c>
      <c r="H14" s="57" t="s">
        <v>22</v>
      </c>
      <c r="I14" s="57" t="s">
        <v>22</v>
      </c>
      <c r="K14" s="67"/>
      <c r="L14" s="67"/>
      <c r="M14" s="67"/>
      <c r="N14" s="65"/>
      <c r="O14" s="65"/>
    </row>
    <row r="15" spans="1:15">
      <c r="A15" s="66">
        <v>1991</v>
      </c>
      <c r="B15" s="57" t="s">
        <v>22</v>
      </c>
      <c r="C15" s="57"/>
      <c r="D15" s="57" t="s">
        <v>22</v>
      </c>
      <c r="E15" s="57" t="s">
        <v>22</v>
      </c>
      <c r="F15" s="57" t="s">
        <v>22</v>
      </c>
      <c r="G15" s="57" t="s">
        <v>22</v>
      </c>
      <c r="H15" s="57" t="s">
        <v>22</v>
      </c>
      <c r="I15" s="57" t="s">
        <v>22</v>
      </c>
      <c r="K15" s="67"/>
      <c r="L15" s="67"/>
      <c r="M15" s="67"/>
      <c r="N15" s="65"/>
      <c r="O15" s="65"/>
    </row>
    <row r="16" spans="1:15">
      <c r="A16" s="66">
        <v>1992</v>
      </c>
      <c r="B16" s="57" t="s">
        <v>22</v>
      </c>
      <c r="C16" s="57"/>
      <c r="D16" s="57" t="s">
        <v>22</v>
      </c>
      <c r="E16" s="57" t="s">
        <v>22</v>
      </c>
      <c r="F16" s="57" t="s">
        <v>22</v>
      </c>
      <c r="G16" s="57" t="s">
        <v>22</v>
      </c>
      <c r="H16" s="57" t="s">
        <v>22</v>
      </c>
      <c r="I16" s="57" t="s">
        <v>22</v>
      </c>
      <c r="K16" s="67"/>
      <c r="L16" s="67"/>
      <c r="M16" s="67"/>
      <c r="N16" s="65"/>
      <c r="O16" s="65"/>
    </row>
    <row r="17" spans="1:15">
      <c r="A17" s="66">
        <v>1993</v>
      </c>
      <c r="B17" s="57" t="s">
        <v>22</v>
      </c>
      <c r="C17" s="57"/>
      <c r="D17" s="57" t="s">
        <v>22</v>
      </c>
      <c r="E17" s="57" t="s">
        <v>22</v>
      </c>
      <c r="F17" s="57" t="s">
        <v>22</v>
      </c>
      <c r="G17" s="57" t="s">
        <v>22</v>
      </c>
      <c r="H17" s="57" t="s">
        <v>22</v>
      </c>
      <c r="I17" s="57" t="s">
        <v>22</v>
      </c>
      <c r="K17" s="67"/>
      <c r="L17" s="67"/>
      <c r="M17" s="67"/>
      <c r="N17" s="65"/>
      <c r="O17" s="65"/>
    </row>
    <row r="18" spans="1:15">
      <c r="A18" s="66">
        <v>1994</v>
      </c>
      <c r="B18" s="57" t="s">
        <v>22</v>
      </c>
      <c r="C18" s="57"/>
      <c r="D18" s="57" t="s">
        <v>22</v>
      </c>
      <c r="E18" s="57" t="s">
        <v>22</v>
      </c>
      <c r="F18" s="57" t="s">
        <v>22</v>
      </c>
      <c r="G18" s="57" t="s">
        <v>22</v>
      </c>
      <c r="H18" s="57" t="s">
        <v>22</v>
      </c>
      <c r="I18" s="57" t="s">
        <v>22</v>
      </c>
      <c r="K18" s="67"/>
      <c r="L18" s="67"/>
      <c r="M18" s="67"/>
      <c r="N18" s="65"/>
      <c r="O18" s="65"/>
    </row>
    <row r="19" spans="1:15">
      <c r="A19" s="66">
        <v>1995</v>
      </c>
      <c r="B19" s="57" t="s">
        <v>22</v>
      </c>
      <c r="C19" s="57"/>
      <c r="D19" s="57" t="s">
        <v>22</v>
      </c>
      <c r="E19" s="57" t="s">
        <v>22</v>
      </c>
      <c r="F19" s="57" t="s">
        <v>22</v>
      </c>
      <c r="G19" s="57" t="s">
        <v>22</v>
      </c>
      <c r="H19" s="57" t="s">
        <v>22</v>
      </c>
      <c r="I19" s="57" t="s">
        <v>22</v>
      </c>
      <c r="K19" s="67"/>
      <c r="L19" s="67"/>
      <c r="M19" s="67"/>
      <c r="N19" s="65"/>
      <c r="O19" s="65"/>
    </row>
    <row r="20" spans="1:15">
      <c r="A20" s="66">
        <v>1996</v>
      </c>
      <c r="B20" s="147" t="s">
        <v>22</v>
      </c>
      <c r="C20" s="147"/>
      <c r="D20" s="57" t="s">
        <v>22</v>
      </c>
      <c r="E20" s="57" t="s">
        <v>22</v>
      </c>
      <c r="F20" s="57" t="s">
        <v>22</v>
      </c>
      <c r="G20" s="57" t="s">
        <v>22</v>
      </c>
      <c r="H20" s="57" t="s">
        <v>22</v>
      </c>
      <c r="I20" s="57" t="s">
        <v>22</v>
      </c>
      <c r="K20" s="67"/>
      <c r="L20" s="67"/>
      <c r="M20" s="67"/>
      <c r="N20" s="65"/>
      <c r="O20" s="65"/>
    </row>
    <row r="21" spans="1:15">
      <c r="A21" s="66">
        <v>1997</v>
      </c>
      <c r="B21" s="147">
        <f>IFERROR('1'!B7/'4'!B42,"..")</f>
        <v>42.796653425776391</v>
      </c>
      <c r="C21" s="147">
        <f>IFERROR('1'!C7/'4'!C42,"..")</f>
        <v>41.437294327544024</v>
      </c>
      <c r="D21" s="147">
        <f>IFERROR('1'!D7/'4'!D42,"..")</f>
        <v>31.782960280074867</v>
      </c>
      <c r="E21" s="147">
        <f>IFERROR('1'!E7/'4'!E42,"..")</f>
        <v>28.859415039415541</v>
      </c>
      <c r="F21" s="147">
        <f>IFERROR('1'!F7/'4'!F42,"..")</f>
        <v>24.974387040382897</v>
      </c>
      <c r="G21" s="147">
        <f>IFERROR('1'!O7/'4'!G42,"..")</f>
        <v>42.517866301839348</v>
      </c>
      <c r="H21" s="147">
        <f>IFERROR('1'!P7/'4'!H42,"..")</f>
        <v>37.641347180676888</v>
      </c>
      <c r="I21" s="147">
        <f>IFERROR('1'!V7/'4'!I42,"..")</f>
        <v>52.311166262109793</v>
      </c>
      <c r="K21" s="67"/>
      <c r="L21" s="67"/>
      <c r="M21" s="67"/>
      <c r="N21" s="65"/>
      <c r="O21" s="65"/>
    </row>
    <row r="22" spans="1:15">
      <c r="A22" s="66">
        <v>1998</v>
      </c>
      <c r="B22" s="147">
        <f>IFERROR('1'!B8/'4'!B43,"..")</f>
        <v>43.49404197311781</v>
      </c>
      <c r="C22" s="147">
        <f>IFERROR('1'!C8/'4'!C43,"..")</f>
        <v>43.576638718132067</v>
      </c>
      <c r="D22" s="147">
        <f>IFERROR('1'!D8/'4'!D43,"..")</f>
        <v>33.815335918724152</v>
      </c>
      <c r="E22" s="147">
        <f>IFERROR('1'!E8/'4'!E43,"..")</f>
        <v>31.035030903900765</v>
      </c>
      <c r="F22" s="147">
        <f>IFERROR('1'!F8/'4'!F43,"..")</f>
        <v>27.395015570519035</v>
      </c>
      <c r="G22" s="147">
        <f>IFERROR('1'!O8/'4'!G43,"..")</f>
        <v>44.137478807317542</v>
      </c>
      <c r="H22" s="147">
        <f>IFERROR('1'!P8/'4'!H43,"..")</f>
        <v>39.824075928650608</v>
      </c>
      <c r="I22" s="147">
        <f>IFERROR('1'!V8/'4'!I43,"..")</f>
        <v>53.554970267720492</v>
      </c>
      <c r="K22" s="67"/>
      <c r="L22" s="67"/>
      <c r="M22" s="67"/>
      <c r="N22" s="65"/>
      <c r="O22" s="65"/>
    </row>
    <row r="23" spans="1:15">
      <c r="A23" s="66">
        <v>1999</v>
      </c>
      <c r="B23" s="147">
        <f>IFERROR('1'!B9/'4'!B44,"..")</f>
        <v>44.80728163554555</v>
      </c>
      <c r="C23" s="147">
        <f>IFERROR('1'!C9/'4'!C44,"..")</f>
        <v>45.507462309591872</v>
      </c>
      <c r="D23" s="147">
        <f>IFERROR('1'!D9/'4'!D44,"..")</f>
        <v>33.964732866320034</v>
      </c>
      <c r="E23" s="147">
        <f>IFERROR('1'!E9/'4'!E44,"..")</f>
        <v>29.757096332284462</v>
      </c>
      <c r="F23" s="147">
        <f>IFERROR('1'!F9/'4'!F44,"..")</f>
        <v>26.954562898352137</v>
      </c>
      <c r="G23" s="147">
        <f>IFERROR('1'!O9/'4'!G44,"..")</f>
        <v>46.529434344788676</v>
      </c>
      <c r="H23" s="147">
        <f>IFERROR('1'!P9/'4'!H44,"..")</f>
        <v>43.471293731394219</v>
      </c>
      <c r="I23" s="147">
        <f>IFERROR('1'!V9/'4'!I44,"..")</f>
        <v>50.923173843255988</v>
      </c>
      <c r="K23" s="67"/>
      <c r="L23" s="67"/>
      <c r="M23" s="67"/>
      <c r="N23" s="65"/>
      <c r="O23" s="65"/>
    </row>
    <row r="24" spans="1:15">
      <c r="A24" s="66">
        <v>2000</v>
      </c>
      <c r="B24" s="147">
        <f>IFERROR('1'!B10/'4'!B45,"..")</f>
        <v>46.232807614934622</v>
      </c>
      <c r="C24" s="147">
        <f>IFERROR('1'!C10/'4'!C45,"..")</f>
        <v>48.053524750778813</v>
      </c>
      <c r="D24" s="147">
        <f>IFERROR('1'!D10/'4'!D45,"..")</f>
        <v>36.683806472790209</v>
      </c>
      <c r="E24" s="147">
        <f>IFERROR('1'!E10/'4'!E45,"..")</f>
        <v>33.228145897589883</v>
      </c>
      <c r="F24" s="147">
        <f>IFERROR('1'!F10/'4'!F45,"..")</f>
        <v>29.617857442732287</v>
      </c>
      <c r="G24" s="147">
        <f>IFERROR('1'!O10/'4'!G45,"..")</f>
        <v>48.989936355272263</v>
      </c>
      <c r="H24" s="147">
        <f>IFERROR('1'!P10/'4'!H45,"..")</f>
        <v>47.380646960434277</v>
      </c>
      <c r="I24" s="147">
        <f>IFERROR('1'!V10/'4'!I45,"..")</f>
        <v>48.661820608845389</v>
      </c>
      <c r="K24" s="67"/>
      <c r="L24" s="67"/>
      <c r="M24" s="67"/>
      <c r="N24" s="65"/>
      <c r="O24" s="65"/>
    </row>
    <row r="25" spans="1:15">
      <c r="A25" s="66">
        <v>2001</v>
      </c>
      <c r="B25" s="147">
        <f>IFERROR('1'!B11/'4'!B46,"..")</f>
        <v>46.619104350463139</v>
      </c>
      <c r="C25" s="147">
        <f>IFERROR('1'!C11/'4'!C46,"..")</f>
        <v>46.9525627179368</v>
      </c>
      <c r="D25" s="147">
        <f>IFERROR('1'!D11/'4'!D46,"..")</f>
        <v>38.233732126932956</v>
      </c>
      <c r="E25" s="147">
        <f>IFERROR('1'!E11/'4'!E46,"..")</f>
        <v>37.400497071704564</v>
      </c>
      <c r="F25" s="147">
        <f>IFERROR('1'!F11/'4'!F46,"..")</f>
        <v>31.979225200691523</v>
      </c>
      <c r="G25" s="147">
        <f>IFERROR('1'!O11/'4'!G46,"..")</f>
        <v>46.631950454591234</v>
      </c>
      <c r="H25" s="147">
        <f>IFERROR('1'!P11/'4'!H46,"..")</f>
        <v>44.272546227506837</v>
      </c>
      <c r="I25" s="147">
        <f>IFERROR('1'!V11/'4'!I46,"..")</f>
        <v>51.156653911643872</v>
      </c>
      <c r="K25" s="67"/>
      <c r="L25" s="67"/>
      <c r="M25" s="67"/>
      <c r="N25" s="65"/>
      <c r="O25" s="65"/>
    </row>
    <row r="26" spans="1:15">
      <c r="A26" s="66">
        <v>2002</v>
      </c>
      <c r="B26" s="147">
        <f>IFERROR('1'!B12/'4'!B47,"..")</f>
        <v>47.277680990812421</v>
      </c>
      <c r="C26" s="147">
        <f>IFERROR('1'!C12/'4'!C47,"..")</f>
        <v>47.987232272219416</v>
      </c>
      <c r="D26" s="147">
        <f>IFERROR('1'!D12/'4'!D47,"..")</f>
        <v>42.068624414407353</v>
      </c>
      <c r="E26" s="147">
        <f>IFERROR('1'!E12/'4'!E47,"..")</f>
        <v>38.299106262306097</v>
      </c>
      <c r="F26" s="147">
        <f>IFERROR('1'!F12/'4'!F47,"..")</f>
        <v>36.293520199064595</v>
      </c>
      <c r="G26" s="147">
        <f>IFERROR('1'!O12/'4'!G47,"..")</f>
        <v>52.046893880342715</v>
      </c>
      <c r="H26" s="147">
        <f>IFERROR('1'!P12/'4'!H47,"..")</f>
        <v>50.766377661289667</v>
      </c>
      <c r="I26" s="147">
        <f>IFERROR('1'!V12/'4'!I47,"..")</f>
        <v>54.674561653192349</v>
      </c>
      <c r="K26" s="67"/>
      <c r="L26" s="67"/>
      <c r="M26" s="67"/>
      <c r="N26" s="65"/>
      <c r="O26" s="65"/>
    </row>
    <row r="27" spans="1:15">
      <c r="A27" s="66">
        <v>2003</v>
      </c>
      <c r="B27" s="147">
        <f>IFERROR('1'!B13/'4'!B48,"..")</f>
        <v>47.562306028190761</v>
      </c>
      <c r="C27" s="147">
        <f>IFERROR('1'!C13/'4'!C48,"..")</f>
        <v>47.814007569925451</v>
      </c>
      <c r="D27" s="147">
        <f>IFERROR('1'!D13/'4'!D48,"..")</f>
        <v>42.095258413440249</v>
      </c>
      <c r="E27" s="147">
        <f>IFERROR('1'!E13/'4'!E48,"..")</f>
        <v>36.862074161119821</v>
      </c>
      <c r="F27" s="147">
        <f>IFERROR('1'!F13/'4'!F48,"..")</f>
        <v>37.119348888239628</v>
      </c>
      <c r="G27" s="147">
        <f>IFERROR('1'!O13/'4'!G48,"..")</f>
        <v>51.837197623570297</v>
      </c>
      <c r="H27" s="147">
        <f>IFERROR('1'!P13/'4'!H48,"..")</f>
        <v>49.955389962469106</v>
      </c>
      <c r="I27" s="147">
        <f>IFERROR('1'!V13/'4'!I48,"..")</f>
        <v>55.749940273702343</v>
      </c>
      <c r="K27" s="67"/>
      <c r="L27" s="67"/>
      <c r="M27" s="67"/>
      <c r="N27" s="65"/>
      <c r="O27" s="65"/>
    </row>
    <row r="28" spans="1:15">
      <c r="A28" s="66">
        <v>2004</v>
      </c>
      <c r="B28" s="147">
        <f>IFERROR('1'!B14/'4'!B49,"..")</f>
        <v>47.750198655514396</v>
      </c>
      <c r="C28" s="147">
        <f>IFERROR('1'!C14/'4'!C49,"..")</f>
        <v>48.203935990353074</v>
      </c>
      <c r="D28" s="147">
        <f>IFERROR('1'!D14/'4'!D49,"..")</f>
        <v>43.274866677475195</v>
      </c>
      <c r="E28" s="147">
        <f>IFERROR('1'!E14/'4'!E49,"..")</f>
        <v>41.140303098038103</v>
      </c>
      <c r="F28" s="147">
        <f>IFERROR('1'!F14/'4'!F49,"..")</f>
        <v>38.224922172678163</v>
      </c>
      <c r="G28" s="147">
        <f>IFERROR('1'!O14/'4'!G49,"..")</f>
        <v>50.995034939502375</v>
      </c>
      <c r="H28" s="147">
        <f>IFERROR('1'!P14/'4'!H49,"..")</f>
        <v>49.857822790007717</v>
      </c>
      <c r="I28" s="147">
        <f>IFERROR('1'!V14/'4'!I49,"..")</f>
        <v>53.342215910027335</v>
      </c>
      <c r="K28" s="67"/>
      <c r="L28" s="67"/>
      <c r="M28" s="67"/>
      <c r="N28" s="65"/>
      <c r="O28" s="65"/>
    </row>
    <row r="29" spans="1:15">
      <c r="A29" s="66">
        <v>2005</v>
      </c>
      <c r="B29" s="147">
        <f>IFERROR('1'!B15/'4'!B50,"..")</f>
        <v>48.86274005086166</v>
      </c>
      <c r="C29" s="147">
        <f>IFERROR('1'!C15/'4'!C50,"..")</f>
        <v>50.036736230909334</v>
      </c>
      <c r="D29" s="147">
        <f>IFERROR('1'!D15/'4'!D50,"..")</f>
        <v>46.01606034356567</v>
      </c>
      <c r="E29" s="147">
        <f>IFERROR('1'!E15/'4'!E50,"..")</f>
        <v>42.883146375487641</v>
      </c>
      <c r="F29" s="147">
        <f>IFERROR('1'!F15/'4'!F50,"..")</f>
        <v>42.095944088453798</v>
      </c>
      <c r="G29" s="147">
        <f>IFERROR('1'!O15/'4'!G50,"..")</f>
        <v>52.870186694645639</v>
      </c>
      <c r="H29" s="147">
        <f>IFERROR('1'!P15/'4'!H50,"..")</f>
        <v>53.770683134280809</v>
      </c>
      <c r="I29" s="147">
        <f>IFERROR('1'!V15/'4'!I50,"..")</f>
        <v>51.727185574773564</v>
      </c>
      <c r="K29" s="67"/>
      <c r="L29" s="67"/>
      <c r="M29" s="67"/>
      <c r="N29" s="65"/>
      <c r="O29" s="65"/>
    </row>
    <row r="30" spans="1:15">
      <c r="A30" s="66">
        <v>2006</v>
      </c>
      <c r="B30" s="147">
        <f>IFERROR('1'!B16/'4'!B51,"..")</f>
        <v>49.457982380200072</v>
      </c>
      <c r="C30" s="147">
        <f>IFERROR('1'!C16/'4'!C51,"..")</f>
        <v>51.371530016967107</v>
      </c>
      <c r="D30" s="147">
        <f>IFERROR('1'!D16/'4'!D51,"..")</f>
        <v>46.341374457821765</v>
      </c>
      <c r="E30" s="147">
        <f>IFERROR('1'!E16/'4'!E51,"..")</f>
        <v>43.655429248359972</v>
      </c>
      <c r="F30" s="147">
        <f>IFERROR('1'!F16/'4'!F51,"..")</f>
        <v>44.84305829491759</v>
      </c>
      <c r="G30" s="147">
        <f>IFERROR('1'!O16/'4'!G51,"..")</f>
        <v>49.752461957098483</v>
      </c>
      <c r="H30" s="147">
        <f>IFERROR('1'!P16/'4'!H51,"..")</f>
        <v>50.291774143468942</v>
      </c>
      <c r="I30" s="147">
        <f>IFERROR('1'!V16/'4'!I51,"..")</f>
        <v>49.241507837698002</v>
      </c>
      <c r="K30" s="67"/>
      <c r="L30" s="67"/>
      <c r="M30" s="67"/>
      <c r="N30" s="65"/>
      <c r="O30" s="65"/>
    </row>
    <row r="31" spans="1:15">
      <c r="A31" s="66">
        <v>2007</v>
      </c>
      <c r="B31" s="147">
        <f>IFERROR('1'!B17/'4'!B52,"..")</f>
        <v>49.512035731838388</v>
      </c>
      <c r="C31" s="147">
        <f>IFERROR('1'!C17/'4'!C52,"..")</f>
        <v>51.629322707042434</v>
      </c>
      <c r="D31" s="147">
        <f>IFERROR('1'!D17/'4'!D52,"..")</f>
        <v>47.306302525309391</v>
      </c>
      <c r="E31" s="147">
        <f>IFERROR('1'!E17/'4'!E52,"..")</f>
        <v>41.54815517105159</v>
      </c>
      <c r="F31" s="147">
        <f>IFERROR('1'!F17/'4'!F52,"..")</f>
        <v>46.798747885598743</v>
      </c>
      <c r="G31" s="147">
        <f>IFERROR('1'!O17/'4'!G52,"..")</f>
        <v>51.094689392561726</v>
      </c>
      <c r="H31" s="147">
        <f>IFERROR('1'!P17/'4'!H52,"..")</f>
        <v>52.899038199305473</v>
      </c>
      <c r="I31" s="147">
        <f>IFERROR('1'!V17/'4'!I52,"..")</f>
        <v>48.317358147344855</v>
      </c>
      <c r="K31" s="67"/>
      <c r="L31" s="67"/>
      <c r="M31" s="67"/>
      <c r="N31" s="65"/>
      <c r="O31" s="65"/>
    </row>
    <row r="32" spans="1:15">
      <c r="A32" s="66">
        <v>2008</v>
      </c>
      <c r="B32" s="147">
        <f>IFERROR('1'!B18/'4'!B53,"..")</f>
        <v>49.487660710296211</v>
      </c>
      <c r="C32" s="147">
        <f>IFERROR('1'!C18/'4'!C53,"..")</f>
        <v>51.124930771487747</v>
      </c>
      <c r="D32" s="147">
        <f>IFERROR('1'!D18/'4'!D53,"..")</f>
        <v>49.743232759327881</v>
      </c>
      <c r="E32" s="147">
        <f>IFERROR('1'!E18/'4'!E53,"..")</f>
        <v>51.777556057343908</v>
      </c>
      <c r="F32" s="147">
        <f>IFERROR('1'!F18/'4'!F53,"..")</f>
        <v>47.821783820545285</v>
      </c>
      <c r="G32" s="147">
        <f>IFERROR('1'!O18/'4'!G53,"..")</f>
        <v>50.878434146916639</v>
      </c>
      <c r="H32" s="147">
        <f>IFERROR('1'!P18/'4'!H53,"..")</f>
        <v>53.133528506922048</v>
      </c>
      <c r="I32" s="147">
        <f>IFERROR('1'!V18/'4'!I53,"..")</f>
        <v>47.578244136228307</v>
      </c>
      <c r="K32" s="67"/>
      <c r="L32" s="67"/>
      <c r="M32" s="67"/>
      <c r="N32" s="65"/>
      <c r="O32" s="65"/>
    </row>
    <row r="33" spans="1:15">
      <c r="A33" s="66">
        <v>2009</v>
      </c>
      <c r="B33" s="147">
        <f>IFERROR('1'!B19/'4'!B54,"..")</f>
        <v>49.641531036917947</v>
      </c>
      <c r="C33" s="147">
        <f>IFERROR('1'!C19/'4'!C54,"..")</f>
        <v>49.93095660632487</v>
      </c>
      <c r="D33" s="147">
        <f>IFERROR('1'!D19/'4'!D54,"..")</f>
        <v>46.890722479372101</v>
      </c>
      <c r="E33" s="147">
        <f>IFERROR('1'!E19/'4'!E54,"..")</f>
        <v>43.078192109679442</v>
      </c>
      <c r="F33" s="147">
        <f>IFERROR('1'!F19/'4'!F54,"..")</f>
        <v>46.555360395949094</v>
      </c>
      <c r="G33" s="147">
        <f>IFERROR('1'!O19/'4'!G54,"..")</f>
        <v>49.105316796195254</v>
      </c>
      <c r="H33" s="147">
        <f>IFERROR('1'!P19/'4'!H54,"..")</f>
        <v>47.977691446004243</v>
      </c>
      <c r="I33" s="147">
        <f>IFERROR('1'!V19/'4'!I54,"..")</f>
        <v>51.336880667031345</v>
      </c>
      <c r="K33" s="67"/>
      <c r="L33" s="67"/>
      <c r="M33" s="67"/>
      <c r="N33" s="65"/>
      <c r="O33" s="65"/>
    </row>
    <row r="34" spans="1:15">
      <c r="A34" s="66">
        <v>2010</v>
      </c>
      <c r="B34" s="147">
        <f>IFERROR('1'!B20/'4'!B55,"..")</f>
        <v>50.386571036621731</v>
      </c>
      <c r="C34" s="147">
        <f>IFERROR('1'!C20/'4'!C55,"..")</f>
        <v>52.032983933785545</v>
      </c>
      <c r="D34" s="147">
        <f>IFERROR('1'!D20/'4'!D55,"..")</f>
        <v>49.581955016004535</v>
      </c>
      <c r="E34" s="147">
        <f>IFERROR('1'!E20/'4'!E55,"..")</f>
        <v>46.819811446023103</v>
      </c>
      <c r="F34" s="147">
        <f>IFERROR('1'!F20/'4'!F55,"..")</f>
        <v>50.244077438532202</v>
      </c>
      <c r="G34" s="147">
        <f>IFERROR('1'!O20/'4'!G55,"..")</f>
        <v>50.31778171489637</v>
      </c>
      <c r="H34" s="147">
        <f>IFERROR('1'!P20/'4'!H55,"..")</f>
        <v>50.008544296072067</v>
      </c>
      <c r="I34" s="147">
        <f>IFERROR('1'!V20/'4'!I55,"..")</f>
        <v>51.119217376886084</v>
      </c>
      <c r="K34" s="67"/>
      <c r="L34" s="67"/>
      <c r="M34" s="67"/>
      <c r="N34" s="65"/>
      <c r="O34" s="65"/>
    </row>
    <row r="35" spans="1:15">
      <c r="A35" s="66">
        <v>2011</v>
      </c>
      <c r="B35" s="147">
        <f>IFERROR('1'!B21/'4'!B56,"..")</f>
        <v>50.919295727671063</v>
      </c>
      <c r="C35" s="147">
        <f>IFERROR('1'!C21/'4'!C56,"..")</f>
        <v>53.071486187536443</v>
      </c>
      <c r="D35" s="147">
        <f>IFERROR('1'!D21/'4'!D56,"..")</f>
        <v>50.295238044068114</v>
      </c>
      <c r="E35" s="147">
        <f>IFERROR('1'!E21/'4'!E56,"..")</f>
        <v>48.025067412363924</v>
      </c>
      <c r="F35" s="147">
        <f>IFERROR('1'!F21/'4'!F56,"..")</f>
        <v>51.01211440956768</v>
      </c>
      <c r="G35" s="147">
        <f>IFERROR('1'!O21/'4'!G56,"..")</f>
        <v>50.810992152629886</v>
      </c>
      <c r="H35" s="147">
        <f>IFERROR('1'!P21/'4'!H56,"..")</f>
        <v>51.065211743309945</v>
      </c>
      <c r="I35" s="147">
        <f>IFERROR('1'!V21/'4'!I56,"..")</f>
        <v>51.200611946255151</v>
      </c>
      <c r="K35" s="67"/>
      <c r="L35" s="67"/>
      <c r="M35" s="67"/>
      <c r="N35" s="65"/>
      <c r="O35" s="65"/>
    </row>
    <row r="36" spans="1:15">
      <c r="A36" s="66">
        <v>2012</v>
      </c>
      <c r="B36" s="147" t="str">
        <f>IFERROR('1'!B22/'4'!B57,"..")</f>
        <v>..</v>
      </c>
      <c r="C36" s="147" t="str">
        <f>IFERROR('1'!C22/'4'!C57,"..")</f>
        <v>..</v>
      </c>
      <c r="D36" s="147" t="str">
        <f>IFERROR('1'!D22/'4'!D57,"..")</f>
        <v>..</v>
      </c>
      <c r="E36" s="147" t="str">
        <f>IFERROR('1'!E22/'4'!E57,"..")</f>
        <v>..</v>
      </c>
      <c r="F36" s="147" t="str">
        <f>IFERROR('1'!F22/'4'!F57,"..")</f>
        <v>..</v>
      </c>
      <c r="G36" s="147" t="str">
        <f>IFERROR('1'!O22/'4'!G57,"..")</f>
        <v>..</v>
      </c>
      <c r="H36" s="147" t="str">
        <f>IFERROR('1'!P22/'4'!H57,"..")</f>
        <v>..</v>
      </c>
      <c r="I36" s="147" t="str">
        <f>IFERROR('1'!V22/'4'!I57,"..")</f>
        <v>..</v>
      </c>
    </row>
    <row r="37" spans="1:15">
      <c r="A37" s="66"/>
      <c r="B37" s="56"/>
      <c r="C37" s="56"/>
      <c r="D37" s="56"/>
      <c r="E37" s="56"/>
      <c r="F37" s="56"/>
      <c r="G37" s="56"/>
      <c r="H37" s="56"/>
      <c r="I37" s="56"/>
    </row>
    <row r="38" spans="1:15">
      <c r="A38" s="66" t="s">
        <v>23</v>
      </c>
      <c r="B38" s="56"/>
      <c r="C38" s="56"/>
      <c r="D38" s="56"/>
      <c r="E38" s="56"/>
      <c r="F38" s="56"/>
      <c r="G38" s="56"/>
      <c r="H38" s="56"/>
      <c r="I38" s="56"/>
    </row>
    <row r="39" spans="1:15">
      <c r="A39" s="64" t="s">
        <v>1780</v>
      </c>
      <c r="B39" s="65">
        <f>((B35/B21)^(1/14)-1)*100</f>
        <v>1.2490363512932978</v>
      </c>
      <c r="C39" s="65">
        <f t="shared" ref="C39:I39" si="0">((C35/C21)^(1/14)-1)*100</f>
        <v>1.783274488465314</v>
      </c>
      <c r="D39" s="65">
        <f t="shared" si="0"/>
        <v>3.3327618726979313</v>
      </c>
      <c r="E39" s="65">
        <f t="shared" si="0"/>
        <v>3.70473933642117</v>
      </c>
      <c r="F39" s="65">
        <f t="shared" si="0"/>
        <v>5.2338855688357722</v>
      </c>
      <c r="G39" s="65">
        <f t="shared" si="0"/>
        <v>1.2809081041294412</v>
      </c>
      <c r="H39" s="65">
        <f t="shared" si="0"/>
        <v>2.2024782877089422</v>
      </c>
      <c r="I39" s="65">
        <f t="shared" si="0"/>
        <v>-0.15315665450827964</v>
      </c>
      <c r="J39" s="65"/>
      <c r="K39" s="65" t="e">
        <f>((K30/K13)^(1/17)-1)*100</f>
        <v>#DIV/0!</v>
      </c>
      <c r="L39" s="65" t="e">
        <f>((L30/L13)^(1/17)-1)*100</f>
        <v>#DIV/0!</v>
      </c>
      <c r="M39" s="65" t="e">
        <f>((M30/M13)^(1/17)-1)*100</f>
        <v>#DIV/0!</v>
      </c>
      <c r="N39" s="65" t="e">
        <f>((N30/N13)^(1/17)-1)*100</f>
        <v>#DIV/0!</v>
      </c>
      <c r="O39" s="65" t="e">
        <f>((O30/O13)^(1/17)-1)*100</f>
        <v>#DIV/0!</v>
      </c>
    </row>
    <row r="40" spans="1:15">
      <c r="A40" s="64" t="s">
        <v>2129</v>
      </c>
      <c r="B40" s="65">
        <f>((B25/B21)^(1/4)-1)*100</f>
        <v>2.1617982931620316</v>
      </c>
      <c r="C40" s="65">
        <f t="shared" ref="C40:I40" si="1">((C25/C21)^(1/4)-1)*100</f>
        <v>3.1732183133433844</v>
      </c>
      <c r="D40" s="65">
        <f t="shared" si="1"/>
        <v>4.728066828322719</v>
      </c>
      <c r="E40" s="65">
        <f t="shared" si="1"/>
        <v>6.6958340199813282</v>
      </c>
      <c r="F40" s="65">
        <f t="shared" si="1"/>
        <v>6.3759067061769592</v>
      </c>
      <c r="G40" s="65">
        <f t="shared" si="1"/>
        <v>2.3359038606396432</v>
      </c>
      <c r="H40" s="65">
        <f t="shared" si="1"/>
        <v>4.1399429494641149</v>
      </c>
      <c r="I40" s="65">
        <f t="shared" si="1"/>
        <v>-0.55637850349796736</v>
      </c>
      <c r="J40" s="65"/>
      <c r="K40" s="65" t="e">
        <f>((K24/K13)^(1/11)-1)*100</f>
        <v>#DIV/0!</v>
      </c>
      <c r="L40" s="65" t="e">
        <f>((L24/L13)^(1/11)-1)*100</f>
        <v>#DIV/0!</v>
      </c>
      <c r="M40" s="65" t="e">
        <f>((M24/M13)^(1/11)-1)*100</f>
        <v>#DIV/0!</v>
      </c>
      <c r="N40" s="65" t="e">
        <f>((N24/N13)^(1/11)-1)*100</f>
        <v>#DIV/0!</v>
      </c>
      <c r="O40" s="65" t="e">
        <f>((O24/O13)^(1/11)-1)*100</f>
        <v>#DIV/0!</v>
      </c>
    </row>
    <row r="41" spans="1:15">
      <c r="A41" s="64" t="s">
        <v>2128</v>
      </c>
      <c r="B41" s="65">
        <f>((B35/B25)^(1/10)-1)*100</f>
        <v>0.88621908283805784</v>
      </c>
      <c r="C41" s="65">
        <f t="shared" ref="C41:H41" si="2">((C35/C25)^(1/10)-1)*100</f>
        <v>1.2325542307686899</v>
      </c>
      <c r="D41" s="65">
        <f t="shared" si="2"/>
        <v>2.7798589842709553</v>
      </c>
      <c r="E41" s="65">
        <f t="shared" si="2"/>
        <v>2.5319131290993058</v>
      </c>
      <c r="F41" s="65">
        <f t="shared" si="2"/>
        <v>4.7805174316133847</v>
      </c>
      <c r="G41" s="65">
        <f t="shared" si="2"/>
        <v>0.86196141589389708</v>
      </c>
      <c r="H41" s="65">
        <f t="shared" si="2"/>
        <v>1.4376229802653295</v>
      </c>
      <c r="I41" s="65">
        <f>((I35/I25)^(1/10)-1)*100</f>
        <v>8.5895075073949556E-3</v>
      </c>
      <c r="J41" s="65"/>
      <c r="K41" s="65" t="e">
        <f>((K30/K24)^(1/6)-1)*100</f>
        <v>#DIV/0!</v>
      </c>
      <c r="L41" s="65" t="e">
        <f>((L30/L24)^(1/6)-1)*100</f>
        <v>#DIV/0!</v>
      </c>
      <c r="M41" s="65" t="e">
        <f>((M30/M24)^(1/6)-1)*100</f>
        <v>#DIV/0!</v>
      </c>
      <c r="N41" s="65" t="e">
        <f>((N30/N24)^(1/6)-1)*100</f>
        <v>#DIV/0!</v>
      </c>
      <c r="O41" s="65" t="e">
        <f>((O30/O24)^(1/6)-1)*100</f>
        <v>#DIV/0!</v>
      </c>
    </row>
    <row r="42" spans="1:15">
      <c r="B42" s="65"/>
      <c r="C42" s="65"/>
      <c r="D42" s="65"/>
      <c r="E42" s="65"/>
      <c r="F42" s="65"/>
      <c r="G42" s="65"/>
      <c r="H42" s="65"/>
      <c r="I42" s="65"/>
      <c r="J42" s="65"/>
      <c r="K42" s="65"/>
      <c r="L42" s="65"/>
      <c r="M42" s="65"/>
      <c r="N42" s="65"/>
      <c r="O42" s="65"/>
    </row>
    <row r="43" spans="1:15">
      <c r="A43" s="104" t="s">
        <v>1380</v>
      </c>
      <c r="B43" s="104"/>
      <c r="C43" s="104"/>
      <c r="D43" s="104"/>
      <c r="E43" s="104"/>
      <c r="F43" s="104"/>
      <c r="G43" s="104"/>
      <c r="H43" s="104"/>
      <c r="I43" s="104"/>
    </row>
    <row r="44" spans="1:15">
      <c r="A44" s="92" t="s">
        <v>1024</v>
      </c>
      <c r="B44" s="92"/>
      <c r="C44" s="92"/>
      <c r="D44" s="92"/>
      <c r="E44" s="92"/>
      <c r="F44" s="92"/>
      <c r="G44" s="92"/>
      <c r="H44" s="92"/>
      <c r="I44" s="92"/>
    </row>
  </sheetData>
  <mergeCells count="14">
    <mergeCell ref="A1:I1"/>
    <mergeCell ref="A2:A4"/>
    <mergeCell ref="B2:B4"/>
    <mergeCell ref="D2:I2"/>
    <mergeCell ref="D3:D4"/>
    <mergeCell ref="E3:E4"/>
    <mergeCell ref="F3:F4"/>
    <mergeCell ref="G3:I3"/>
    <mergeCell ref="C2:C4"/>
    <mergeCell ref="K3:K4"/>
    <mergeCell ref="L3:L4"/>
    <mergeCell ref="M3:O3"/>
    <mergeCell ref="A43:I43"/>
    <mergeCell ref="A44:I44"/>
  </mergeCells>
  <pageMargins left="0.7" right="0.7" top="0.75" bottom="0.75" header="0.3" footer="0.3"/>
  <pageSetup scale="73" orientation="portrait" horizontalDpi="0" verticalDpi="0" r:id="rId1"/>
</worksheet>
</file>

<file path=xl/worksheets/sheet39.xml><?xml version="1.0" encoding="utf-8"?>
<worksheet xmlns="http://schemas.openxmlformats.org/spreadsheetml/2006/main" xmlns:r="http://schemas.openxmlformats.org/officeDocument/2006/relationships">
  <dimension ref="A1:K44"/>
  <sheetViews>
    <sheetView view="pageBreakPre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11.7109375" style="64" customWidth="1"/>
    <col min="2" max="2" width="12.7109375" style="64" customWidth="1"/>
    <col min="3" max="3" width="14.42578125" style="64" customWidth="1"/>
    <col min="4" max="5" width="12.7109375" style="64" customWidth="1"/>
    <col min="6" max="9" width="14.85546875" style="64" customWidth="1"/>
    <col min="10" max="16384" width="9.140625" style="64"/>
  </cols>
  <sheetData>
    <row r="1" spans="1:9">
      <c r="A1" s="108" t="s">
        <v>2074</v>
      </c>
      <c r="B1" s="108"/>
      <c r="C1" s="108"/>
      <c r="D1" s="108"/>
      <c r="E1" s="108"/>
      <c r="F1" s="108"/>
      <c r="G1" s="108"/>
      <c r="H1" s="108"/>
      <c r="I1" s="108"/>
    </row>
    <row r="2" spans="1:9">
      <c r="A2" s="96"/>
      <c r="B2" s="94" t="s">
        <v>51</v>
      </c>
      <c r="C2" s="123" t="s">
        <v>938</v>
      </c>
      <c r="D2" s="94" t="s">
        <v>37</v>
      </c>
      <c r="E2" s="94"/>
      <c r="F2" s="94"/>
      <c r="G2" s="94"/>
      <c r="H2" s="94"/>
      <c r="I2" s="94"/>
    </row>
    <row r="3" spans="1:9">
      <c r="A3" s="96"/>
      <c r="B3" s="94"/>
      <c r="C3" s="125"/>
      <c r="D3" s="94" t="s">
        <v>78</v>
      </c>
      <c r="E3" s="94" t="s">
        <v>0</v>
      </c>
      <c r="F3" s="94" t="s">
        <v>1</v>
      </c>
      <c r="G3" s="94" t="s">
        <v>2</v>
      </c>
      <c r="H3" s="94"/>
      <c r="I3" s="94"/>
    </row>
    <row r="4" spans="1:9" ht="60">
      <c r="A4" s="96"/>
      <c r="B4" s="94"/>
      <c r="C4" s="126"/>
      <c r="D4" s="94"/>
      <c r="E4" s="94"/>
      <c r="F4" s="94"/>
      <c r="G4" s="72" t="s">
        <v>517</v>
      </c>
      <c r="H4" s="72" t="s">
        <v>13</v>
      </c>
      <c r="I4" s="72" t="s">
        <v>19</v>
      </c>
    </row>
    <row r="5" spans="1:9">
      <c r="A5" s="66">
        <v>1981</v>
      </c>
      <c r="B5" s="58" t="s">
        <v>22</v>
      </c>
      <c r="C5" s="58" t="s">
        <v>22</v>
      </c>
      <c r="D5" s="58" t="s">
        <v>22</v>
      </c>
      <c r="E5" s="58" t="s">
        <v>22</v>
      </c>
      <c r="F5" s="58" t="s">
        <v>22</v>
      </c>
      <c r="G5" s="58" t="s">
        <v>22</v>
      </c>
      <c r="H5" s="58" t="s">
        <v>22</v>
      </c>
      <c r="I5" s="58" t="s">
        <v>22</v>
      </c>
    </row>
    <row r="6" spans="1:9">
      <c r="A6" s="66">
        <v>1982</v>
      </c>
      <c r="B6" s="58" t="s">
        <v>22</v>
      </c>
      <c r="C6" s="58" t="s">
        <v>22</v>
      </c>
      <c r="D6" s="58" t="s">
        <v>22</v>
      </c>
      <c r="E6" s="58" t="s">
        <v>22</v>
      </c>
      <c r="F6" s="58" t="s">
        <v>22</v>
      </c>
      <c r="G6" s="58" t="s">
        <v>22</v>
      </c>
      <c r="H6" s="58" t="s">
        <v>22</v>
      </c>
      <c r="I6" s="58" t="s">
        <v>22</v>
      </c>
    </row>
    <row r="7" spans="1:9">
      <c r="A7" s="66">
        <v>1983</v>
      </c>
      <c r="B7" s="58" t="s">
        <v>22</v>
      </c>
      <c r="C7" s="58" t="s">
        <v>22</v>
      </c>
      <c r="D7" s="58" t="s">
        <v>22</v>
      </c>
      <c r="E7" s="58" t="s">
        <v>22</v>
      </c>
      <c r="F7" s="58" t="s">
        <v>22</v>
      </c>
      <c r="G7" s="58" t="s">
        <v>22</v>
      </c>
      <c r="H7" s="58" t="s">
        <v>22</v>
      </c>
      <c r="I7" s="58" t="s">
        <v>22</v>
      </c>
    </row>
    <row r="8" spans="1:9">
      <c r="A8" s="66">
        <v>1984</v>
      </c>
      <c r="B8" s="58" t="s">
        <v>22</v>
      </c>
      <c r="C8" s="58" t="s">
        <v>22</v>
      </c>
      <c r="D8" s="58" t="s">
        <v>22</v>
      </c>
      <c r="E8" s="58" t="s">
        <v>22</v>
      </c>
      <c r="F8" s="58" t="s">
        <v>22</v>
      </c>
      <c r="G8" s="58" t="s">
        <v>22</v>
      </c>
      <c r="H8" s="58" t="s">
        <v>22</v>
      </c>
      <c r="I8" s="58" t="s">
        <v>22</v>
      </c>
    </row>
    <row r="9" spans="1:9">
      <c r="A9" s="66">
        <v>1985</v>
      </c>
      <c r="B9" s="58" t="s">
        <v>22</v>
      </c>
      <c r="C9" s="58" t="s">
        <v>22</v>
      </c>
      <c r="D9" s="58" t="s">
        <v>22</v>
      </c>
      <c r="E9" s="58" t="s">
        <v>22</v>
      </c>
      <c r="F9" s="58" t="s">
        <v>22</v>
      </c>
      <c r="G9" s="58" t="s">
        <v>22</v>
      </c>
      <c r="H9" s="58" t="s">
        <v>22</v>
      </c>
      <c r="I9" s="58" t="s">
        <v>22</v>
      </c>
    </row>
    <row r="10" spans="1:9">
      <c r="A10" s="66">
        <v>1986</v>
      </c>
      <c r="B10" s="58" t="s">
        <v>22</v>
      </c>
      <c r="C10" s="58" t="s">
        <v>22</v>
      </c>
      <c r="D10" s="58" t="s">
        <v>22</v>
      </c>
      <c r="E10" s="58" t="s">
        <v>22</v>
      </c>
      <c r="F10" s="58" t="s">
        <v>22</v>
      </c>
      <c r="G10" s="58" t="s">
        <v>22</v>
      </c>
      <c r="H10" s="58" t="s">
        <v>22</v>
      </c>
      <c r="I10" s="58" t="s">
        <v>22</v>
      </c>
    </row>
    <row r="11" spans="1:9">
      <c r="A11" s="66">
        <v>1987</v>
      </c>
      <c r="B11" s="58" t="s">
        <v>22</v>
      </c>
      <c r="C11" s="58" t="s">
        <v>22</v>
      </c>
      <c r="D11" s="58" t="s">
        <v>22</v>
      </c>
      <c r="E11" s="58" t="s">
        <v>22</v>
      </c>
      <c r="F11" s="58" t="s">
        <v>22</v>
      </c>
      <c r="G11" s="58" t="s">
        <v>22</v>
      </c>
      <c r="H11" s="58" t="s">
        <v>22</v>
      </c>
      <c r="I11" s="58" t="s">
        <v>22</v>
      </c>
    </row>
    <row r="12" spans="1:9">
      <c r="A12" s="66">
        <v>1988</v>
      </c>
      <c r="B12" s="58" t="s">
        <v>22</v>
      </c>
      <c r="C12" s="58" t="s">
        <v>22</v>
      </c>
      <c r="D12" s="58" t="s">
        <v>22</v>
      </c>
      <c r="E12" s="58" t="s">
        <v>22</v>
      </c>
      <c r="F12" s="58" t="s">
        <v>22</v>
      </c>
      <c r="G12" s="58" t="s">
        <v>22</v>
      </c>
      <c r="H12" s="58" t="s">
        <v>22</v>
      </c>
      <c r="I12" s="58" t="s">
        <v>22</v>
      </c>
    </row>
    <row r="13" spans="1:9">
      <c r="A13" s="66">
        <v>1989</v>
      </c>
      <c r="B13" s="58" t="s">
        <v>22</v>
      </c>
      <c r="C13" s="58" t="s">
        <v>22</v>
      </c>
      <c r="D13" s="58" t="s">
        <v>22</v>
      </c>
      <c r="E13" s="58" t="s">
        <v>22</v>
      </c>
      <c r="F13" s="58" t="s">
        <v>22</v>
      </c>
      <c r="G13" s="58" t="s">
        <v>22</v>
      </c>
      <c r="H13" s="58" t="s">
        <v>22</v>
      </c>
      <c r="I13" s="58" t="s">
        <v>22</v>
      </c>
    </row>
    <row r="14" spans="1:9">
      <c r="A14" s="66">
        <v>1990</v>
      </c>
      <c r="B14" s="58" t="s">
        <v>22</v>
      </c>
      <c r="C14" s="58" t="s">
        <v>22</v>
      </c>
      <c r="D14" s="58" t="s">
        <v>22</v>
      </c>
      <c r="E14" s="58" t="s">
        <v>22</v>
      </c>
      <c r="F14" s="58" t="s">
        <v>22</v>
      </c>
      <c r="G14" s="58" t="s">
        <v>22</v>
      </c>
      <c r="H14" s="58" t="s">
        <v>22</v>
      </c>
      <c r="I14" s="58" t="s">
        <v>22</v>
      </c>
    </row>
    <row r="15" spans="1:9">
      <c r="A15" s="66">
        <v>1991</v>
      </c>
      <c r="B15" s="58" t="s">
        <v>22</v>
      </c>
      <c r="C15" s="58" t="s">
        <v>22</v>
      </c>
      <c r="D15" s="58" t="s">
        <v>22</v>
      </c>
      <c r="E15" s="58" t="s">
        <v>22</v>
      </c>
      <c r="F15" s="58" t="s">
        <v>22</v>
      </c>
      <c r="G15" s="58" t="s">
        <v>22</v>
      </c>
      <c r="H15" s="58" t="s">
        <v>22</v>
      </c>
      <c r="I15" s="58" t="s">
        <v>22</v>
      </c>
    </row>
    <row r="16" spans="1:9">
      <c r="A16" s="66">
        <v>1992</v>
      </c>
      <c r="B16" s="58" t="s">
        <v>22</v>
      </c>
      <c r="C16" s="58" t="s">
        <v>22</v>
      </c>
      <c r="D16" s="58" t="s">
        <v>22</v>
      </c>
      <c r="E16" s="58" t="s">
        <v>22</v>
      </c>
      <c r="F16" s="58" t="s">
        <v>22</v>
      </c>
      <c r="G16" s="58" t="s">
        <v>22</v>
      </c>
      <c r="H16" s="58" t="s">
        <v>22</v>
      </c>
      <c r="I16" s="58" t="s">
        <v>22</v>
      </c>
    </row>
    <row r="17" spans="1:9">
      <c r="A17" s="66">
        <v>1993</v>
      </c>
      <c r="B17" s="58" t="s">
        <v>22</v>
      </c>
      <c r="C17" s="58" t="s">
        <v>22</v>
      </c>
      <c r="D17" s="58" t="s">
        <v>22</v>
      </c>
      <c r="E17" s="58" t="s">
        <v>22</v>
      </c>
      <c r="F17" s="58" t="s">
        <v>22</v>
      </c>
      <c r="G17" s="58" t="s">
        <v>22</v>
      </c>
      <c r="H17" s="58" t="s">
        <v>22</v>
      </c>
      <c r="I17" s="58" t="s">
        <v>22</v>
      </c>
    </row>
    <row r="18" spans="1:9">
      <c r="A18" s="66">
        <v>1994</v>
      </c>
      <c r="B18" s="58" t="s">
        <v>22</v>
      </c>
      <c r="C18" s="58" t="s">
        <v>22</v>
      </c>
      <c r="D18" s="58" t="s">
        <v>22</v>
      </c>
      <c r="E18" s="58" t="s">
        <v>22</v>
      </c>
      <c r="F18" s="58" t="s">
        <v>22</v>
      </c>
      <c r="G18" s="58" t="s">
        <v>22</v>
      </c>
      <c r="H18" s="58" t="s">
        <v>22</v>
      </c>
      <c r="I18" s="58" t="s">
        <v>22</v>
      </c>
    </row>
    <row r="19" spans="1:9">
      <c r="A19" s="66">
        <v>1995</v>
      </c>
      <c r="B19" s="58" t="s">
        <v>22</v>
      </c>
      <c r="C19" s="58" t="s">
        <v>22</v>
      </c>
      <c r="D19" s="58" t="s">
        <v>22</v>
      </c>
      <c r="E19" s="58" t="s">
        <v>22</v>
      </c>
      <c r="F19" s="58" t="s">
        <v>22</v>
      </c>
      <c r="G19" s="58" t="s">
        <v>22</v>
      </c>
      <c r="H19" s="58" t="s">
        <v>22</v>
      </c>
      <c r="I19" s="58" t="s">
        <v>22</v>
      </c>
    </row>
    <row r="20" spans="1:9">
      <c r="A20" s="66">
        <v>1996</v>
      </c>
      <c r="B20" s="58" t="s">
        <v>22</v>
      </c>
      <c r="C20" s="58" t="s">
        <v>22</v>
      </c>
      <c r="D20" s="58" t="s">
        <v>22</v>
      </c>
      <c r="E20" s="58" t="s">
        <v>22</v>
      </c>
      <c r="F20" s="58" t="s">
        <v>22</v>
      </c>
      <c r="G20" s="58" t="s">
        <v>22</v>
      </c>
      <c r="H20" s="58" t="s">
        <v>22</v>
      </c>
      <c r="I20" s="58" t="s">
        <v>22</v>
      </c>
    </row>
    <row r="21" spans="1:9">
      <c r="A21" s="66">
        <v>1997</v>
      </c>
      <c r="B21" s="147">
        <f>IFERROR('5d'!B21/'5d'!B$26*100,"..")</f>
        <v>90.521896440083765</v>
      </c>
      <c r="C21" s="147">
        <f>IFERROR('5d'!C21/'5d'!C$26*100,"..")</f>
        <v>86.350665302972146</v>
      </c>
      <c r="D21" s="147">
        <f>IFERROR('5d'!D21/'5d'!D$26*100,"..")</f>
        <v>75.550272257511878</v>
      </c>
      <c r="E21" s="147">
        <f>IFERROR('5d'!E21/'5d'!E$26*100,"..")</f>
        <v>75.352711475199413</v>
      </c>
      <c r="F21" s="147">
        <f>IFERROR('5d'!F21/'5d'!F$26*100,"..")</f>
        <v>68.81224776048748</v>
      </c>
      <c r="G21" s="147">
        <f>IFERROR('5d'!G21/'5d'!G$26*100,"..")</f>
        <v>81.691457706561948</v>
      </c>
      <c r="H21" s="147">
        <f>IFERROR('5d'!H21/'5d'!H$26*100,"..")</f>
        <v>74.146214314950299</v>
      </c>
      <c r="I21" s="147">
        <f>IFERROR('5d'!I21/'5d'!I$26*100,"..")</f>
        <v>95.677340028670244</v>
      </c>
    </row>
    <row r="22" spans="1:9">
      <c r="A22" s="66">
        <v>1998</v>
      </c>
      <c r="B22" s="147">
        <f>IFERROR('5d'!B22/'5d'!B$26*100,"..")</f>
        <v>91.996986869068536</v>
      </c>
      <c r="C22" s="147">
        <f>IFERROR('5d'!C22/'5d'!C$26*100,"..")</f>
        <v>90.808818626864806</v>
      </c>
      <c r="D22" s="147">
        <f>IFERROR('5d'!D22/'5d'!D$26*100,"..")</f>
        <v>80.381368274887848</v>
      </c>
      <c r="E22" s="147">
        <f>IFERROR('5d'!E22/'5d'!E$26*100,"..")</f>
        <v>81.033303209076138</v>
      </c>
      <c r="F22" s="147">
        <f>IFERROR('5d'!F22/'5d'!F$26*100,"..")</f>
        <v>75.481836482825088</v>
      </c>
      <c r="G22" s="147">
        <f>IFERROR('5d'!G22/'5d'!G$26*100,"..")</f>
        <v>84.80329087224851</v>
      </c>
      <c r="H22" s="147">
        <f>IFERROR('5d'!H22/'5d'!H$26*100,"..")</f>
        <v>78.445770140139871</v>
      </c>
      <c r="I22" s="147">
        <f>IFERROR('5d'!I22/'5d'!I$26*100,"..")</f>
        <v>97.952262713007983</v>
      </c>
    </row>
    <row r="23" spans="1:9">
      <c r="A23" s="66">
        <v>1999</v>
      </c>
      <c r="B23" s="147">
        <f>IFERROR('5d'!B23/'5d'!B$26*100,"..")</f>
        <v>94.774702769903314</v>
      </c>
      <c r="C23" s="147">
        <f>IFERROR('5d'!C23/'5d'!C$26*100,"..")</f>
        <v>94.832438035683253</v>
      </c>
      <c r="D23" s="147">
        <f>IFERROR('5d'!D23/'5d'!D$26*100,"..")</f>
        <v>80.736495046146644</v>
      </c>
      <c r="E23" s="147">
        <f>IFERROR('5d'!E23/'5d'!E$26*100,"..")</f>
        <v>77.696581555928717</v>
      </c>
      <c r="F23" s="147">
        <f>IFERROR('5d'!F23/'5d'!F$26*100,"..")</f>
        <v>74.26825160665139</v>
      </c>
      <c r="G23" s="147">
        <f>IFERROR('5d'!G23/'5d'!G$26*100,"..")</f>
        <v>89.399060877218091</v>
      </c>
      <c r="H23" s="147">
        <f>IFERROR('5d'!H23/'5d'!H$26*100,"..")</f>
        <v>85.630087735296328</v>
      </c>
      <c r="I23" s="147">
        <f>IFERROR('5d'!I23/'5d'!I$26*100,"..")</f>
        <v>93.138696138559112</v>
      </c>
    </row>
    <row r="24" spans="1:9">
      <c r="A24" s="66">
        <v>2000</v>
      </c>
      <c r="B24" s="147">
        <f>IFERROR('5d'!B24/'5d'!B$26*100,"..")</f>
        <v>97.789922530081682</v>
      </c>
      <c r="C24" s="147">
        <f>IFERROR('5d'!C24/'5d'!C$26*100,"..")</f>
        <v>100.13814607640495</v>
      </c>
      <c r="D24" s="147">
        <f>IFERROR('5d'!D24/'5d'!D$26*100,"..")</f>
        <v>87.199919140277402</v>
      </c>
      <c r="E24" s="147">
        <f>IFERROR('5d'!E24/'5d'!E$26*100,"..")</f>
        <v>86.759585641540042</v>
      </c>
      <c r="F24" s="147">
        <f>IFERROR('5d'!F24/'5d'!F$26*100,"..")</f>
        <v>81.606461099068696</v>
      </c>
      <c r="G24" s="147">
        <f>IFERROR('5d'!G24/'5d'!G$26*100,"..")</f>
        <v>94.12653225358946</v>
      </c>
      <c r="H24" s="147">
        <f>IFERROR('5d'!H24/'5d'!H$26*100,"..")</f>
        <v>93.330761703258034</v>
      </c>
      <c r="I24" s="147">
        <f>IFERROR('5d'!I24/'5d'!I$26*100,"..")</f>
        <v>89.00267169495288</v>
      </c>
    </row>
    <row r="25" spans="1:9">
      <c r="A25" s="66">
        <v>2001</v>
      </c>
      <c r="B25" s="147">
        <f>IFERROR('5d'!B25/'5d'!B$26*100,"..")</f>
        <v>98.607003079365796</v>
      </c>
      <c r="C25" s="147">
        <f>IFERROR('5d'!C25/'5d'!C$26*100,"..")</f>
        <v>97.843864908871609</v>
      </c>
      <c r="D25" s="147">
        <f>IFERROR('5d'!D25/'5d'!D$26*100,"..")</f>
        <v>90.884198518834737</v>
      </c>
      <c r="E25" s="147">
        <f>IFERROR('5d'!E25/'5d'!E$26*100,"..")</f>
        <v>97.653707153250352</v>
      </c>
      <c r="F25" s="147">
        <f>IFERROR('5d'!F25/'5d'!F$26*100,"..")</f>
        <v>88.112767858532877</v>
      </c>
      <c r="G25" s="147">
        <f>IFERROR('5d'!G25/'5d'!G$26*100,"..")</f>
        <v>89.59602961475359</v>
      </c>
      <c r="H25" s="147">
        <f>IFERROR('5d'!H25/'5d'!H$26*100,"..")</f>
        <v>87.208401046241079</v>
      </c>
      <c r="I25" s="147">
        <f>IFERROR('5d'!I25/'5d'!I$26*100,"..")</f>
        <v>93.565732151886266</v>
      </c>
    </row>
    <row r="26" spans="1:9">
      <c r="A26" s="66">
        <v>2002</v>
      </c>
      <c r="B26" s="147">
        <f>IFERROR('5d'!B26/'5d'!B$26*100,"..")</f>
        <v>100</v>
      </c>
      <c r="C26" s="147">
        <f>IFERROR('5d'!C26/'5d'!C$26*100,"..")</f>
        <v>100</v>
      </c>
      <c r="D26" s="147">
        <f>IFERROR('5d'!D26/'5d'!D$26*100,"..")</f>
        <v>100</v>
      </c>
      <c r="E26" s="147">
        <f>IFERROR('5d'!E26/'5d'!E$26*100,"..")</f>
        <v>100</v>
      </c>
      <c r="F26" s="147">
        <f>IFERROR('5d'!F26/'5d'!F$26*100,"..")</f>
        <v>100</v>
      </c>
      <c r="G26" s="147">
        <f>IFERROR('5d'!G26/'5d'!G$26*100,"..")</f>
        <v>100</v>
      </c>
      <c r="H26" s="147">
        <f>IFERROR('5d'!H26/'5d'!H$26*100,"..")</f>
        <v>100</v>
      </c>
      <c r="I26" s="147">
        <f>IFERROR('5d'!I26/'5d'!I$26*100,"..")</f>
        <v>100</v>
      </c>
    </row>
    <row r="27" spans="1:9">
      <c r="A27" s="66">
        <v>2003</v>
      </c>
      <c r="B27" s="147">
        <f>IFERROR('5d'!B27/'5d'!B$26*100,"..")</f>
        <v>100.60202833855926</v>
      </c>
      <c r="C27" s="147">
        <f>IFERROR('5d'!C27/'5d'!C$26*100,"..")</f>
        <v>99.63901918470458</v>
      </c>
      <c r="D27" s="147">
        <f>IFERROR('5d'!D27/'5d'!D$26*100,"..")</f>
        <v>100.06331083890581</v>
      </c>
      <c r="E27" s="147">
        <f>IFERROR('5d'!E27/'5d'!E$26*100,"..")</f>
        <v>96.247870403700247</v>
      </c>
      <c r="F27" s="147">
        <f>IFERROR('5d'!F27/'5d'!F$26*100,"..")</f>
        <v>102.27541634056297</v>
      </c>
      <c r="G27" s="147">
        <f>IFERROR('5d'!G27/'5d'!G$26*100,"..")</f>
        <v>99.597101303961537</v>
      </c>
      <c r="H27" s="147">
        <f>IFERROR('5d'!H27/'5d'!H$26*100,"..")</f>
        <v>98.402510212110414</v>
      </c>
      <c r="I27" s="147">
        <f>IFERROR('5d'!I27/'5d'!I$26*100,"..")</f>
        <v>101.96687195652569</v>
      </c>
    </row>
    <row r="28" spans="1:9">
      <c r="A28" s="66">
        <v>2004</v>
      </c>
      <c r="B28" s="147">
        <f>IFERROR('5d'!B28/'5d'!B$26*100,"..")</f>
        <v>100.99945186565687</v>
      </c>
      <c r="C28" s="147">
        <f>IFERROR('5d'!C28/'5d'!C$26*100,"..")</f>
        <v>100.45158619881296</v>
      </c>
      <c r="D28" s="147">
        <f>IFERROR('5d'!D28/'5d'!D$26*100,"..")</f>
        <v>102.8673204314585</v>
      </c>
      <c r="E28" s="147">
        <f>IFERROR('5d'!E28/'5d'!E$26*100,"..")</f>
        <v>107.41844161133416</v>
      </c>
      <c r="F28" s="147">
        <f>IFERROR('5d'!F28/'5d'!F$26*100,"..")</f>
        <v>105.32161653931642</v>
      </c>
      <c r="G28" s="147">
        <f>IFERROR('5d'!G28/'5d'!G$26*100,"..")</f>
        <v>97.979016878012743</v>
      </c>
      <c r="H28" s="147">
        <f>IFERROR('5d'!H28/'5d'!H$26*100,"..")</f>
        <v>98.210321647638963</v>
      </c>
      <c r="I28" s="147">
        <f>IFERROR('5d'!I28/'5d'!I$26*100,"..")</f>
        <v>97.563134110491362</v>
      </c>
    </row>
    <row r="29" spans="1:9">
      <c r="A29" s="66">
        <v>2005</v>
      </c>
      <c r="B29" s="147">
        <f>IFERROR('5d'!B29/'5d'!B$26*100,"..")</f>
        <v>103.35265822441093</v>
      </c>
      <c r="C29" s="147">
        <f>IFERROR('5d'!C29/'5d'!C$26*100,"..")</f>
        <v>104.27093595868084</v>
      </c>
      <c r="D29" s="147">
        <f>IFERROR('5d'!D29/'5d'!D$26*100,"..")</f>
        <v>109.38332542151397</v>
      </c>
      <c r="E29" s="147">
        <f>IFERROR('5d'!E29/'5d'!E$26*100,"..")</f>
        <v>111.96905244155305</v>
      </c>
      <c r="F29" s="147">
        <f>IFERROR('5d'!F29/'5d'!F$26*100,"..")</f>
        <v>115.98749269170851</v>
      </c>
      <c r="G29" s="147">
        <f>IFERROR('5d'!G29/'5d'!G$26*100,"..")</f>
        <v>101.58182891028176</v>
      </c>
      <c r="H29" s="147">
        <f>IFERROR('5d'!H29/'5d'!H$26*100,"..")</f>
        <v>105.91790395807968</v>
      </c>
      <c r="I29" s="147">
        <f>IFERROR('5d'!I29/'5d'!I$26*100,"..")</f>
        <v>94.609236929754715</v>
      </c>
    </row>
    <row r="30" spans="1:9">
      <c r="A30" s="66">
        <v>2006</v>
      </c>
      <c r="B30" s="147">
        <f>IFERROR('5d'!B30/'5d'!B$26*100,"..")</f>
        <v>104.61169275585102</v>
      </c>
      <c r="C30" s="147">
        <f>IFERROR('5d'!C30/'5d'!C$26*100,"..")</f>
        <v>107.05249622555731</v>
      </c>
      <c r="D30" s="147">
        <f>IFERROR('5d'!D30/'5d'!D$26*100,"..")</f>
        <v>110.15661934016343</v>
      </c>
      <c r="E30" s="147">
        <f>IFERROR('5d'!E30/'5d'!E$26*100,"..")</f>
        <v>113.98550386363861</v>
      </c>
      <c r="F30" s="147">
        <f>IFERROR('5d'!F30/'5d'!F$26*100,"..")</f>
        <v>123.55665157019777</v>
      </c>
      <c r="G30" s="147">
        <f>IFERROR('5d'!G30/'5d'!G$26*100,"..")</f>
        <v>95.591606429926074</v>
      </c>
      <c r="H30" s="147">
        <f>IFERROR('5d'!H30/'5d'!H$26*100,"..")</f>
        <v>99.065122351278916</v>
      </c>
      <c r="I30" s="147">
        <f>IFERROR('5d'!I30/'5d'!I$26*100,"..")</f>
        <v>90.062922040496829</v>
      </c>
    </row>
    <row r="31" spans="1:9">
      <c r="A31" s="66">
        <v>2007</v>
      </c>
      <c r="B31" s="147">
        <f>IFERROR('5d'!B31/'5d'!B$26*100,"..")</f>
        <v>104.72602440348157</v>
      </c>
      <c r="C31" s="147">
        <f>IFERROR('5d'!C31/'5d'!C$26*100,"..")</f>
        <v>107.58970722496008</v>
      </c>
      <c r="D31" s="147">
        <f>IFERROR('5d'!D31/'5d'!D$26*100,"..")</f>
        <v>112.45031940979815</v>
      </c>
      <c r="E31" s="147">
        <f>IFERROR('5d'!E31/'5d'!E$26*100,"..")</f>
        <v>108.48335438036894</v>
      </c>
      <c r="F31" s="147">
        <f>IFERROR('5d'!F31/'5d'!F$26*100,"..")</f>
        <v>128.94518809119236</v>
      </c>
      <c r="G31" s="147">
        <f>IFERROR('5d'!G31/'5d'!G$26*100,"..")</f>
        <v>98.170487387835024</v>
      </c>
      <c r="H31" s="147">
        <f>IFERROR('5d'!H31/'5d'!H$26*100,"..")</f>
        <v>104.20093108128532</v>
      </c>
      <c r="I31" s="147">
        <f>IFERROR('5d'!I31/'5d'!I$26*100,"..")</f>
        <v>88.372648424376877</v>
      </c>
    </row>
    <row r="32" spans="1:9">
      <c r="A32" s="66">
        <v>2008</v>
      </c>
      <c r="B32" s="147">
        <f>IFERROR('5d'!B32/'5d'!B$26*100,"..")</f>
        <v>104.6744672605944</v>
      </c>
      <c r="C32" s="147">
        <f>IFERROR('5d'!C32/'5d'!C$26*100,"..")</f>
        <v>106.53861110694811</v>
      </c>
      <c r="D32" s="147">
        <f>IFERROR('5d'!D32/'5d'!D$26*100,"..")</f>
        <v>118.24306939375984</v>
      </c>
      <c r="E32" s="147">
        <f>IFERROR('5d'!E32/'5d'!E$26*100,"..")</f>
        <v>135.19259614761108</v>
      </c>
      <c r="F32" s="147">
        <f>IFERROR('5d'!F32/'5d'!F$26*100,"..")</f>
        <v>131.76397207614437</v>
      </c>
      <c r="G32" s="147">
        <f>IFERROR('5d'!G32/'5d'!G$26*100,"..")</f>
        <v>97.754986616276469</v>
      </c>
      <c r="H32" s="147">
        <f>IFERROR('5d'!H32/'5d'!H$26*100,"..")</f>
        <v>104.66283188732881</v>
      </c>
      <c r="I32" s="147">
        <f>IFERROR('5d'!I32/'5d'!I$26*100,"..")</f>
        <v>87.020805832926683</v>
      </c>
    </row>
    <row r="33" spans="1:11">
      <c r="A33" s="66">
        <v>2009</v>
      </c>
      <c r="B33" s="147">
        <f>IFERROR('5d'!B33/'5d'!B$26*100,"..")</f>
        <v>104.99992807719335</v>
      </c>
      <c r="C33" s="147">
        <f>IFERROR('5d'!C33/'5d'!C$26*100,"..")</f>
        <v>104.05050310690811</v>
      </c>
      <c r="D33" s="147">
        <f>IFERROR('5d'!D33/'5d'!D$26*100,"..")</f>
        <v>111.46245719247551</v>
      </c>
      <c r="E33" s="147">
        <f>IFERROR('5d'!E33/'5d'!E$26*100,"..")</f>
        <v>112.47832211708008</v>
      </c>
      <c r="F33" s="147">
        <f>IFERROR('5d'!F33/'5d'!F$26*100,"..")</f>
        <v>128.2745794307078</v>
      </c>
      <c r="G33" s="147">
        <f>IFERROR('5d'!G33/'5d'!G$26*100,"..")</f>
        <v>94.348217799682274</v>
      </c>
      <c r="H33" s="147">
        <f>IFERROR('5d'!H33/'5d'!H$26*100,"..")</f>
        <v>94.506824509143868</v>
      </c>
      <c r="I33" s="147">
        <f>IFERROR('5d'!I33/'5d'!I$26*100,"..")</f>
        <v>93.89536763489329</v>
      </c>
    </row>
    <row r="34" spans="1:11">
      <c r="A34" s="66">
        <v>2010</v>
      </c>
      <c r="B34" s="147">
        <f>IFERROR('5d'!B34/'5d'!B$26*100,"..")</f>
        <v>106.57580909354134</v>
      </c>
      <c r="C34" s="147">
        <f>IFERROR('5d'!C34/'5d'!C$26*100,"..")</f>
        <v>108.43089186435175</v>
      </c>
      <c r="D34" s="147">
        <f>IFERROR('5d'!D34/'5d'!D$26*100,"..")</f>
        <v>117.85970115776847</v>
      </c>
      <c r="E34" s="147">
        <f>IFERROR('5d'!E34/'5d'!E$26*100,"..")</f>
        <v>122.24779117653475</v>
      </c>
      <c r="F34" s="147">
        <f>IFERROR('5d'!F34/'5d'!F$26*100,"..")</f>
        <v>138.43814863631542</v>
      </c>
      <c r="G34" s="147">
        <f>IFERROR('5d'!G34/'5d'!G$26*100,"..")</f>
        <v>96.677780292861243</v>
      </c>
      <c r="H34" s="147">
        <f>IFERROR('5d'!H34/'5d'!H$26*100,"..")</f>
        <v>98.507214026035456</v>
      </c>
      <c r="I34" s="147">
        <f>IFERROR('5d'!I34/'5d'!I$26*100,"..")</f>
        <v>93.497260574564351</v>
      </c>
    </row>
    <row r="35" spans="1:11">
      <c r="A35" s="66">
        <v>2011</v>
      </c>
      <c r="B35" s="147">
        <f>IFERROR('5d'!B35/'5d'!B$26*100,"..")</f>
        <v>107.70260863168464</v>
      </c>
      <c r="C35" s="147">
        <f>IFERROR('5d'!C35/'5d'!C$26*100,"..")</f>
        <v>110.59501387051318</v>
      </c>
      <c r="D35" s="147">
        <f>IFERROR('5d'!D35/'5d'!D$26*100,"..")</f>
        <v>119.5552237425747</v>
      </c>
      <c r="E35" s="147">
        <f>IFERROR('5d'!E35/'5d'!E$26*100,"..")</f>
        <v>125.39474702998514</v>
      </c>
      <c r="F35" s="147">
        <f>IFERROR('5d'!F35/'5d'!F$26*100,"..")</f>
        <v>140.55433071736709</v>
      </c>
      <c r="G35" s="147">
        <f>IFERROR('5d'!G35/'5d'!G$26*100,"..")</f>
        <v>97.625407328717444</v>
      </c>
      <c r="H35" s="147">
        <f>IFERROR('5d'!H35/'5d'!H$26*100,"..")</f>
        <v>100.58864566625982</v>
      </c>
      <c r="I35" s="147">
        <f>IFERROR('5d'!I35/'5d'!I$26*100,"..")</f>
        <v>93.646131579484987</v>
      </c>
    </row>
    <row r="36" spans="1:11">
      <c r="A36" s="66">
        <v>2012</v>
      </c>
      <c r="B36" s="147" t="str">
        <f>IFERROR('5d'!B36/'5d'!B$26*100,"..")</f>
        <v>..</v>
      </c>
      <c r="C36" s="147" t="str">
        <f>IFERROR('5d'!C36/'5d'!C$26*100,"..")</f>
        <v>..</v>
      </c>
      <c r="D36" s="147" t="str">
        <f>IFERROR('5d'!D36/'5d'!D$26*100,"..")</f>
        <v>..</v>
      </c>
      <c r="E36" s="147" t="str">
        <f>IFERROR('5d'!E36/'5d'!E$26*100,"..")</f>
        <v>..</v>
      </c>
      <c r="F36" s="147" t="str">
        <f>IFERROR('5d'!F36/'5d'!F$26*100,"..")</f>
        <v>..</v>
      </c>
      <c r="G36" s="147" t="str">
        <f>IFERROR('5d'!G36/'5d'!G$26*100,"..")</f>
        <v>..</v>
      </c>
      <c r="H36" s="147" t="str">
        <f>IFERROR('5d'!H36/'5d'!H$26*100,"..")</f>
        <v>..</v>
      </c>
      <c r="I36" s="147" t="str">
        <f>IFERROR('5d'!I36/'5d'!I$26*100,"..")</f>
        <v>..</v>
      </c>
    </row>
    <row r="37" spans="1:11">
      <c r="B37" s="56"/>
      <c r="C37" s="56"/>
      <c r="D37" s="56"/>
      <c r="E37" s="56"/>
      <c r="F37" s="56"/>
      <c r="G37" s="56"/>
      <c r="H37" s="56"/>
      <c r="I37" s="56"/>
    </row>
    <row r="38" spans="1:11">
      <c r="A38" s="66" t="s">
        <v>23</v>
      </c>
      <c r="B38" s="56"/>
      <c r="C38" s="56"/>
      <c r="D38" s="56"/>
      <c r="E38" s="56"/>
      <c r="F38" s="56"/>
      <c r="G38" s="56"/>
      <c r="H38" s="56"/>
      <c r="I38" s="56"/>
    </row>
    <row r="39" spans="1:11">
      <c r="A39" s="64" t="s">
        <v>1780</v>
      </c>
      <c r="B39" s="65">
        <f>((B35/B21)^(1/14)-1)*100</f>
        <v>1.2490363512932978</v>
      </c>
      <c r="C39" s="65">
        <f t="shared" ref="C39:I39" si="0">((C35/C21)^(1/14)-1)*100</f>
        <v>1.783274488465314</v>
      </c>
      <c r="D39" s="65">
        <f t="shared" si="0"/>
        <v>3.3327618726979313</v>
      </c>
      <c r="E39" s="65">
        <f t="shared" si="0"/>
        <v>3.70473933642117</v>
      </c>
      <c r="F39" s="65">
        <f t="shared" si="0"/>
        <v>5.2338855688357722</v>
      </c>
      <c r="G39" s="65">
        <f t="shared" si="0"/>
        <v>1.2809081041294412</v>
      </c>
      <c r="H39" s="65">
        <f t="shared" si="0"/>
        <v>2.2024782877089422</v>
      </c>
      <c r="I39" s="65">
        <f t="shared" si="0"/>
        <v>-0.15315665450829075</v>
      </c>
    </row>
    <row r="40" spans="1:11">
      <c r="A40" s="64" t="s">
        <v>2129</v>
      </c>
      <c r="B40" s="65">
        <f>((B25/B21)^(1/4)-1)*100</f>
        <v>2.1617982931620539</v>
      </c>
      <c r="C40" s="65">
        <f t="shared" ref="C40:I40" si="1">((C25/C21)^(1/4)-1)*100</f>
        <v>3.1732183133433844</v>
      </c>
      <c r="D40" s="65">
        <f t="shared" si="1"/>
        <v>4.728066828322719</v>
      </c>
      <c r="E40" s="65">
        <f t="shared" si="1"/>
        <v>6.6958340199813282</v>
      </c>
      <c r="F40" s="65">
        <f t="shared" si="1"/>
        <v>6.3759067061769592</v>
      </c>
      <c r="G40" s="65">
        <f t="shared" si="1"/>
        <v>2.3359038606396432</v>
      </c>
      <c r="H40" s="65">
        <f t="shared" si="1"/>
        <v>4.1399429494641149</v>
      </c>
      <c r="I40" s="65">
        <f t="shared" si="1"/>
        <v>-0.55637850349796736</v>
      </c>
      <c r="K40" s="138"/>
    </row>
    <row r="41" spans="1:11">
      <c r="A41" s="64" t="s">
        <v>2128</v>
      </c>
      <c r="B41" s="65">
        <f>((B35/B25)^(1/10)-1)*100</f>
        <v>0.88621908283805784</v>
      </c>
      <c r="C41" s="65">
        <f t="shared" ref="C41:H41" si="2">((C35/C25)^(1/10)-1)*100</f>
        <v>1.2325542307686899</v>
      </c>
      <c r="D41" s="65">
        <f t="shared" si="2"/>
        <v>2.7798589842709553</v>
      </c>
      <c r="E41" s="65">
        <f t="shared" si="2"/>
        <v>2.5319131290993058</v>
      </c>
      <c r="F41" s="65">
        <f t="shared" si="2"/>
        <v>4.7805174316133847</v>
      </c>
      <c r="G41" s="65">
        <f t="shared" si="2"/>
        <v>0.86196141589389708</v>
      </c>
      <c r="H41" s="65">
        <f t="shared" si="2"/>
        <v>1.4376229802653295</v>
      </c>
      <c r="I41" s="65">
        <f>((I35/I25)^(1/10)-1)*100</f>
        <v>8.5895075073949556E-3</v>
      </c>
      <c r="K41" s="138"/>
    </row>
    <row r="43" spans="1:11">
      <c r="A43" s="104" t="s">
        <v>661</v>
      </c>
      <c r="B43" s="104"/>
      <c r="C43" s="104"/>
      <c r="D43" s="104"/>
      <c r="E43" s="104"/>
      <c r="F43" s="104"/>
      <c r="G43" s="104"/>
      <c r="H43" s="104"/>
      <c r="I43" s="104"/>
    </row>
    <row r="44" spans="1:11">
      <c r="A44" s="92" t="s">
        <v>1024</v>
      </c>
      <c r="B44" s="92"/>
      <c r="C44" s="92"/>
      <c r="D44" s="92"/>
      <c r="E44" s="92"/>
      <c r="F44" s="92"/>
      <c r="G44" s="92"/>
      <c r="H44" s="92"/>
      <c r="I44" s="92"/>
    </row>
  </sheetData>
  <mergeCells count="11">
    <mergeCell ref="A43:I43"/>
    <mergeCell ref="A44:I44"/>
    <mergeCell ref="A1:I1"/>
    <mergeCell ref="A2:A4"/>
    <mergeCell ref="B2:B4"/>
    <mergeCell ref="C2:C4"/>
    <mergeCell ref="D2:I2"/>
    <mergeCell ref="D3:D4"/>
    <mergeCell ref="E3:E4"/>
    <mergeCell ref="F3:F4"/>
    <mergeCell ref="G3:I3"/>
  </mergeCells>
  <pageMargins left="0.7" right="0.7" top="0.75" bottom="0.75" header="0.3" footer="0.3"/>
  <pageSetup scale="74" orientation="portrait" horizontalDpi="0" verticalDpi="0" r:id="rId1"/>
</worksheet>
</file>

<file path=xl/worksheets/sheet4.xml><?xml version="1.0" encoding="utf-8"?>
<worksheet xmlns="http://schemas.openxmlformats.org/spreadsheetml/2006/main" xmlns:r="http://schemas.openxmlformats.org/officeDocument/2006/relationships">
  <dimension ref="A1:AZ361"/>
  <sheetViews>
    <sheetView view="pageBreakPreview" zoomScale="70" zoomScaleNormal="70" zoomScaleSheetLayoutView="70" workbookViewId="0">
      <pane xSplit="1" ySplit="6" topLeftCell="B7"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2" style="64" customWidth="1"/>
    <col min="2" max="2" width="13.42578125" style="64" customWidth="1"/>
    <col min="3" max="3" width="19.28515625" style="64" customWidth="1"/>
    <col min="4" max="4" width="13.140625" style="64" customWidth="1"/>
    <col min="5" max="5" width="14.140625" style="64" customWidth="1"/>
    <col min="6" max="6" width="18.28515625" style="64" customWidth="1"/>
    <col min="7" max="7" width="13.140625" style="64" customWidth="1"/>
    <col min="8" max="8" width="15.42578125" style="64" customWidth="1"/>
    <col min="9" max="9" width="10.42578125" style="64" customWidth="1"/>
    <col min="10" max="10" width="16.5703125" style="64" customWidth="1"/>
    <col min="11" max="11" width="17.28515625" style="64" customWidth="1"/>
    <col min="12" max="12" width="15.85546875" style="64" customWidth="1"/>
    <col min="13" max="13" width="9.140625" style="64"/>
    <col min="14" max="14" width="15.85546875" style="64" customWidth="1"/>
    <col min="15" max="15" width="17.7109375" style="64" customWidth="1"/>
    <col min="16" max="16" width="12.5703125" style="64" customWidth="1"/>
    <col min="17" max="18" width="9.140625" style="64"/>
    <col min="19" max="19" width="13.5703125" style="64" customWidth="1"/>
    <col min="20" max="20" width="13.85546875" style="64" customWidth="1"/>
    <col min="21" max="21" width="14.140625" style="64" customWidth="1"/>
    <col min="22" max="22" width="14" style="64" customWidth="1"/>
    <col min="23" max="23" width="16.7109375" style="64" customWidth="1"/>
    <col min="24" max="24" width="15.5703125" style="64" customWidth="1"/>
    <col min="25" max="25" width="19" style="64" customWidth="1"/>
    <col min="26" max="26" width="18.140625" style="64" bestFit="1" customWidth="1"/>
    <col min="27" max="27" width="10.85546875" style="64" hidden="1" customWidth="1" outlineLevel="1"/>
    <col min="28" max="29" width="9.140625" style="64" hidden="1" customWidth="1" outlineLevel="1"/>
    <col min="30" max="30" width="12.5703125" style="64" hidden="1" customWidth="1" outlineLevel="1"/>
    <col min="31" max="51" width="9.140625" style="64" hidden="1" customWidth="1" outlineLevel="1"/>
    <col min="52" max="52" width="9.140625" style="64" collapsed="1"/>
    <col min="53" max="16384" width="9.140625" style="64"/>
  </cols>
  <sheetData>
    <row r="1" spans="1:51">
      <c r="A1" s="108" t="s">
        <v>1947</v>
      </c>
      <c r="B1" s="108"/>
      <c r="C1" s="108"/>
      <c r="D1" s="108"/>
      <c r="E1" s="108"/>
      <c r="F1" s="108"/>
      <c r="G1" s="108"/>
      <c r="H1" s="108"/>
      <c r="I1" s="108"/>
      <c r="J1" s="108"/>
      <c r="K1" s="108"/>
      <c r="L1" s="108"/>
      <c r="M1" s="108"/>
      <c r="N1" s="108"/>
      <c r="O1" s="108"/>
      <c r="P1" s="108"/>
      <c r="Q1" s="108"/>
      <c r="R1" s="108"/>
      <c r="S1" s="108"/>
      <c r="T1" s="108"/>
      <c r="U1" s="108"/>
      <c r="V1" s="108"/>
      <c r="W1" s="108"/>
      <c r="X1" s="108"/>
      <c r="Y1" s="108"/>
      <c r="AB1" s="64" t="s">
        <v>585</v>
      </c>
    </row>
    <row r="2" spans="1:51">
      <c r="A2" s="96"/>
      <c r="B2" s="94" t="s">
        <v>7</v>
      </c>
      <c r="C2" s="123" t="s">
        <v>938</v>
      </c>
      <c r="D2" s="127" t="s">
        <v>37</v>
      </c>
      <c r="E2" s="128"/>
      <c r="F2" s="128"/>
      <c r="G2" s="128"/>
      <c r="H2" s="128"/>
      <c r="I2" s="128"/>
      <c r="J2" s="128"/>
      <c r="K2" s="128"/>
      <c r="L2" s="128"/>
      <c r="M2" s="128"/>
      <c r="N2" s="128"/>
      <c r="O2" s="128"/>
      <c r="P2" s="128"/>
      <c r="Q2" s="128"/>
      <c r="R2" s="128"/>
      <c r="S2" s="128"/>
      <c r="T2" s="128"/>
      <c r="U2" s="128"/>
      <c r="V2" s="128"/>
      <c r="W2" s="128"/>
      <c r="X2" s="128"/>
      <c r="Y2" s="129"/>
      <c r="Z2" s="124"/>
      <c r="AB2" s="94" t="s">
        <v>7</v>
      </c>
      <c r="AC2" s="177"/>
      <c r="AD2" s="127" t="s">
        <v>37</v>
      </c>
      <c r="AE2" s="128"/>
      <c r="AF2" s="128"/>
      <c r="AG2" s="128"/>
      <c r="AH2" s="128"/>
      <c r="AI2" s="128"/>
      <c r="AJ2" s="128"/>
      <c r="AK2" s="128"/>
      <c r="AL2" s="128"/>
      <c r="AM2" s="128"/>
      <c r="AN2" s="128"/>
      <c r="AO2" s="128"/>
      <c r="AP2" s="128"/>
      <c r="AQ2" s="128"/>
      <c r="AR2" s="128"/>
      <c r="AS2" s="128"/>
      <c r="AT2" s="128"/>
      <c r="AU2" s="128"/>
      <c r="AV2" s="128"/>
      <c r="AW2" s="128"/>
      <c r="AX2" s="128"/>
      <c r="AY2" s="129"/>
    </row>
    <row r="3" spans="1:51" ht="15" customHeight="1">
      <c r="A3" s="96"/>
      <c r="B3" s="94"/>
      <c r="C3" s="125"/>
      <c r="D3" s="123" t="s">
        <v>78</v>
      </c>
      <c r="E3" s="94" t="s">
        <v>0</v>
      </c>
      <c r="F3" s="112" t="s">
        <v>1</v>
      </c>
      <c r="G3" s="112"/>
      <c r="H3" s="112"/>
      <c r="I3" s="112"/>
      <c r="J3" s="112"/>
      <c r="K3" s="112"/>
      <c r="L3" s="112"/>
      <c r="M3" s="112"/>
      <c r="N3" s="112"/>
      <c r="O3" s="112" t="s">
        <v>2</v>
      </c>
      <c r="P3" s="112"/>
      <c r="Q3" s="112"/>
      <c r="R3" s="112"/>
      <c r="S3" s="112"/>
      <c r="T3" s="112"/>
      <c r="U3" s="112"/>
      <c r="V3" s="112"/>
      <c r="W3" s="112"/>
      <c r="X3" s="112"/>
      <c r="Y3" s="112"/>
      <c r="Z3" s="124"/>
      <c r="AB3" s="94"/>
      <c r="AC3" s="123" t="s">
        <v>938</v>
      </c>
      <c r="AD3" s="123" t="s">
        <v>78</v>
      </c>
      <c r="AE3" s="94" t="s">
        <v>0</v>
      </c>
      <c r="AF3" s="112" t="s">
        <v>1</v>
      </c>
      <c r="AG3" s="112"/>
      <c r="AH3" s="112"/>
      <c r="AI3" s="112"/>
      <c r="AJ3" s="112"/>
      <c r="AK3" s="112"/>
      <c r="AL3" s="112"/>
      <c r="AM3" s="112"/>
      <c r="AN3" s="112"/>
      <c r="AO3" s="112" t="s">
        <v>2</v>
      </c>
      <c r="AP3" s="112"/>
      <c r="AQ3" s="112"/>
      <c r="AR3" s="112"/>
      <c r="AS3" s="112"/>
      <c r="AT3" s="112"/>
      <c r="AU3" s="112"/>
      <c r="AV3" s="112"/>
      <c r="AW3" s="112"/>
      <c r="AX3" s="112"/>
      <c r="AY3" s="112"/>
    </row>
    <row r="4" spans="1:51">
      <c r="A4" s="96"/>
      <c r="B4" s="94"/>
      <c r="C4" s="125"/>
      <c r="D4" s="125"/>
      <c r="E4" s="94"/>
      <c r="F4" s="94" t="s">
        <v>560</v>
      </c>
      <c r="G4" s="97" t="s">
        <v>8</v>
      </c>
      <c r="H4" s="97" t="s">
        <v>9</v>
      </c>
      <c r="I4" s="97"/>
      <c r="J4" s="97"/>
      <c r="K4" s="97"/>
      <c r="L4" s="98" t="s">
        <v>11</v>
      </c>
      <c r="M4" s="100"/>
      <c r="N4" s="99"/>
      <c r="O4" s="94" t="s">
        <v>517</v>
      </c>
      <c r="P4" s="103" t="s">
        <v>13</v>
      </c>
      <c r="Q4" s="103"/>
      <c r="R4" s="103"/>
      <c r="S4" s="103"/>
      <c r="T4" s="103"/>
      <c r="U4" s="103"/>
      <c r="V4" s="97" t="s">
        <v>19</v>
      </c>
      <c r="W4" s="97"/>
      <c r="X4" s="97"/>
      <c r="Y4" s="97"/>
      <c r="Z4" s="62"/>
      <c r="AB4" s="94"/>
      <c r="AC4" s="125"/>
      <c r="AD4" s="125"/>
      <c r="AE4" s="94"/>
      <c r="AF4" s="94" t="s">
        <v>560</v>
      </c>
      <c r="AG4" s="97" t="s">
        <v>8</v>
      </c>
      <c r="AH4" s="97" t="s">
        <v>9</v>
      </c>
      <c r="AI4" s="97"/>
      <c r="AJ4" s="97"/>
      <c r="AK4" s="97"/>
      <c r="AL4" s="98" t="s">
        <v>11</v>
      </c>
      <c r="AM4" s="100"/>
      <c r="AN4" s="99"/>
      <c r="AO4" s="94" t="s">
        <v>517</v>
      </c>
      <c r="AP4" s="103" t="s">
        <v>13</v>
      </c>
      <c r="AQ4" s="103"/>
      <c r="AR4" s="103"/>
      <c r="AS4" s="103"/>
      <c r="AT4" s="103"/>
      <c r="AU4" s="103"/>
      <c r="AV4" s="97" t="s">
        <v>19</v>
      </c>
      <c r="AW4" s="97"/>
      <c r="AX4" s="97"/>
      <c r="AY4" s="97"/>
    </row>
    <row r="5" spans="1:51" ht="150">
      <c r="A5" s="96"/>
      <c r="B5" s="94"/>
      <c r="C5" s="126"/>
      <c r="D5" s="126"/>
      <c r="E5" s="94"/>
      <c r="F5" s="94"/>
      <c r="G5" s="97"/>
      <c r="H5" s="73" t="s">
        <v>558</v>
      </c>
      <c r="I5" s="73" t="s">
        <v>554</v>
      </c>
      <c r="J5" s="73" t="s">
        <v>10</v>
      </c>
      <c r="K5" s="73" t="s">
        <v>555</v>
      </c>
      <c r="L5" s="73" t="s">
        <v>559</v>
      </c>
      <c r="M5" s="73" t="s">
        <v>12</v>
      </c>
      <c r="N5" s="73" t="s">
        <v>556</v>
      </c>
      <c r="O5" s="94"/>
      <c r="P5" s="73" t="s">
        <v>561</v>
      </c>
      <c r="Q5" s="73" t="s">
        <v>14</v>
      </c>
      <c r="R5" s="73" t="s">
        <v>15</v>
      </c>
      <c r="S5" s="73" t="s">
        <v>16</v>
      </c>
      <c r="T5" s="73" t="s">
        <v>17</v>
      </c>
      <c r="U5" s="73" t="s">
        <v>18</v>
      </c>
      <c r="V5" s="73" t="s">
        <v>562</v>
      </c>
      <c r="W5" s="73" t="s">
        <v>20</v>
      </c>
      <c r="X5" s="73" t="s">
        <v>21</v>
      </c>
      <c r="Y5" s="73" t="s">
        <v>557</v>
      </c>
      <c r="Z5" s="62"/>
      <c r="AB5" s="94"/>
      <c r="AC5" s="126"/>
      <c r="AD5" s="126"/>
      <c r="AE5" s="94"/>
      <c r="AF5" s="94"/>
      <c r="AG5" s="97"/>
      <c r="AH5" s="73" t="s">
        <v>558</v>
      </c>
      <c r="AI5" s="73" t="s">
        <v>554</v>
      </c>
      <c r="AJ5" s="73" t="s">
        <v>10</v>
      </c>
      <c r="AK5" s="73" t="s">
        <v>555</v>
      </c>
      <c r="AL5" s="73" t="s">
        <v>559</v>
      </c>
      <c r="AM5" s="73" t="s">
        <v>12</v>
      </c>
      <c r="AN5" s="73" t="s">
        <v>556</v>
      </c>
      <c r="AO5" s="94"/>
      <c r="AP5" s="73" t="s">
        <v>561</v>
      </c>
      <c r="AQ5" s="73" t="s">
        <v>14</v>
      </c>
      <c r="AR5" s="73" t="s">
        <v>15</v>
      </c>
      <c r="AS5" s="73" t="s">
        <v>16</v>
      </c>
      <c r="AT5" s="73" t="s">
        <v>17</v>
      </c>
      <c r="AU5" s="73" t="s">
        <v>18</v>
      </c>
      <c r="AV5" s="73" t="s">
        <v>562</v>
      </c>
      <c r="AW5" s="73" t="s">
        <v>20</v>
      </c>
      <c r="AX5" s="73" t="s">
        <v>21</v>
      </c>
      <c r="AY5" s="73" t="s">
        <v>557</v>
      </c>
    </row>
    <row r="6" spans="1:51" hidden="1" outlineLevel="1">
      <c r="AB6" s="64" t="s">
        <v>563</v>
      </c>
      <c r="AE6" s="64" t="s">
        <v>564</v>
      </c>
      <c r="AF6" s="64" t="s">
        <v>565</v>
      </c>
      <c r="AG6" s="64" t="s">
        <v>566</v>
      </c>
      <c r="AH6" s="64" t="s">
        <v>567</v>
      </c>
      <c r="AI6" s="64" t="s">
        <v>568</v>
      </c>
      <c r="AJ6" s="64" t="s">
        <v>569</v>
      </c>
      <c r="AK6" s="64" t="s">
        <v>570</v>
      </c>
      <c r="AL6" s="64" t="s">
        <v>571</v>
      </c>
      <c r="AM6" s="64" t="s">
        <v>572</v>
      </c>
      <c r="AN6" s="64" t="s">
        <v>573</v>
      </c>
      <c r="AO6" s="64" t="s">
        <v>574</v>
      </c>
      <c r="AP6" s="64" t="s">
        <v>575</v>
      </c>
      <c r="AQ6" s="64" t="s">
        <v>576</v>
      </c>
      <c r="AR6" s="64" t="s">
        <v>577</v>
      </c>
      <c r="AS6" s="64" t="s">
        <v>578</v>
      </c>
      <c r="AT6" s="64" t="s">
        <v>579</v>
      </c>
      <c r="AU6" s="64" t="s">
        <v>580</v>
      </c>
      <c r="AV6" s="64" t="s">
        <v>581</v>
      </c>
      <c r="AW6" s="64" t="s">
        <v>582</v>
      </c>
      <c r="AX6" s="64" t="s">
        <v>583</v>
      </c>
      <c r="AY6" s="64" t="s">
        <v>584</v>
      </c>
    </row>
    <row r="7" spans="1:51" collapsed="1">
      <c r="A7" s="66">
        <v>1981</v>
      </c>
      <c r="B7" s="56">
        <f t="shared" ref="B7:B31" si="0">IFERROR(B8*(1/AB57),"..")</f>
        <v>724610.64801436022</v>
      </c>
      <c r="C7" s="56">
        <f t="shared" ref="C7:C32" si="1">IFERROR(C8*(1/AC57),"..")</f>
        <v>104162.27513256705</v>
      </c>
      <c r="D7" s="56" t="str">
        <f t="shared" ref="D7:D32" si="2">IFERROR(D8*(1/AD57),"..")</f>
        <v>..</v>
      </c>
      <c r="E7" s="56" t="str">
        <f t="shared" ref="E7:E32" si="3">IFERROR(E8*(1/AE57),"..")</f>
        <v>..</v>
      </c>
      <c r="F7" s="56">
        <f t="shared" ref="F7:F32" si="4">IFERROR(F8*(1/AF57),"..")</f>
        <v>4409.47446169254</v>
      </c>
      <c r="G7" s="56" t="str">
        <f t="shared" ref="G7:G32" si="5">IFERROR(G8*(1/AG57),"..")</f>
        <v>..</v>
      </c>
      <c r="H7" s="56" t="str">
        <f t="shared" ref="H7:H32" si="6">IFERROR(H8*(1/AH57),"..")</f>
        <v>..</v>
      </c>
      <c r="I7" s="56" t="s">
        <v>22</v>
      </c>
      <c r="J7" s="56" t="s">
        <v>22</v>
      </c>
      <c r="K7" s="56" t="s">
        <v>22</v>
      </c>
      <c r="L7" s="56" t="str">
        <f t="shared" ref="L7:L10" si="7">IFERROR(L8*(1/AL58),"..")</f>
        <v>..</v>
      </c>
      <c r="M7" s="56" t="s">
        <v>22</v>
      </c>
      <c r="N7" s="56" t="s">
        <v>22</v>
      </c>
      <c r="O7" s="56">
        <f t="shared" ref="O7:O19" si="8">IFERROR(O8*(1/AO57),"..")</f>
        <v>7771.9668141592892</v>
      </c>
      <c r="P7" s="56">
        <f t="shared" ref="P7:P19" si="9">IFERROR(P8*(1/AP57),"..")</f>
        <v>4910.586916862133</v>
      </c>
      <c r="Q7" s="56" t="s">
        <v>22</v>
      </c>
      <c r="R7" s="56" t="s">
        <v>22</v>
      </c>
      <c r="S7" s="56" t="s">
        <v>22</v>
      </c>
      <c r="T7" s="56" t="s">
        <v>22</v>
      </c>
      <c r="U7" s="56" t="s">
        <v>22</v>
      </c>
      <c r="V7" s="56">
        <f t="shared" ref="V7" si="10">IFERROR(V8*(1/AV57),"..")</f>
        <v>2980.8506616257109</v>
      </c>
      <c r="W7" s="56" t="s">
        <v>22</v>
      </c>
      <c r="X7" s="56" t="s">
        <v>22</v>
      </c>
      <c r="Y7" s="56" t="s">
        <v>22</v>
      </c>
      <c r="Z7" s="262"/>
      <c r="AA7" s="66">
        <v>1981</v>
      </c>
      <c r="AB7" s="56">
        <v>603241</v>
      </c>
      <c r="AC7" s="56">
        <v>101376</v>
      </c>
      <c r="AD7" s="57" t="s">
        <v>22</v>
      </c>
      <c r="AE7" s="56"/>
      <c r="AF7" s="56">
        <v>5487</v>
      </c>
      <c r="AG7" s="56" t="s">
        <v>22</v>
      </c>
      <c r="AH7" s="56" t="s">
        <v>22</v>
      </c>
      <c r="AI7" s="56" t="s">
        <v>22</v>
      </c>
      <c r="AJ7" s="56" t="s">
        <v>22</v>
      </c>
      <c r="AK7" s="56" t="s">
        <v>22</v>
      </c>
      <c r="AL7" s="56" t="s">
        <v>22</v>
      </c>
      <c r="AM7" s="56" t="s">
        <v>22</v>
      </c>
      <c r="AN7" s="56" t="s">
        <v>22</v>
      </c>
      <c r="AO7" s="56">
        <v>9093</v>
      </c>
      <c r="AP7" s="56">
        <v>6476</v>
      </c>
      <c r="AQ7" s="56" t="s">
        <v>22</v>
      </c>
      <c r="AR7" s="56" t="s">
        <v>22</v>
      </c>
      <c r="AS7" s="56" t="s">
        <v>22</v>
      </c>
      <c r="AT7" s="56" t="s">
        <v>22</v>
      </c>
      <c r="AU7" s="56" t="s">
        <v>22</v>
      </c>
      <c r="AV7" s="56">
        <v>2740</v>
      </c>
      <c r="AW7" s="56" t="s">
        <v>22</v>
      </c>
      <c r="AX7" s="56" t="s">
        <v>22</v>
      </c>
      <c r="AY7" s="56" t="s">
        <v>22</v>
      </c>
    </row>
    <row r="8" spans="1:51">
      <c r="A8" s="66">
        <v>1982</v>
      </c>
      <c r="B8" s="56">
        <f t="shared" si="0"/>
        <v>705699.01892691746</v>
      </c>
      <c r="C8" s="56">
        <f t="shared" si="1"/>
        <v>92771.581259069979</v>
      </c>
      <c r="D8" s="56" t="str">
        <f t="shared" si="2"/>
        <v>..</v>
      </c>
      <c r="E8" s="56" t="str">
        <f t="shared" si="3"/>
        <v>..</v>
      </c>
      <c r="F8" s="56">
        <f t="shared" si="4"/>
        <v>3700.6797696544827</v>
      </c>
      <c r="G8" s="56" t="str">
        <f t="shared" si="5"/>
        <v>..</v>
      </c>
      <c r="H8" s="56" t="str">
        <f t="shared" si="6"/>
        <v>..</v>
      </c>
      <c r="I8" s="56" t="s">
        <v>22</v>
      </c>
      <c r="J8" s="56" t="s">
        <v>22</v>
      </c>
      <c r="K8" s="56" t="s">
        <v>22</v>
      </c>
      <c r="L8" s="56" t="str">
        <f t="shared" si="7"/>
        <v>..</v>
      </c>
      <c r="M8" s="56" t="s">
        <v>22</v>
      </c>
      <c r="N8" s="56" t="s">
        <v>22</v>
      </c>
      <c r="O8" s="56">
        <f t="shared" si="8"/>
        <v>6908.6998525073723</v>
      </c>
      <c r="P8" s="56">
        <f t="shared" si="9"/>
        <v>4427.5659369298946</v>
      </c>
      <c r="Q8" s="56" t="s">
        <v>22</v>
      </c>
      <c r="R8" s="56" t="s">
        <v>22</v>
      </c>
      <c r="S8" s="56" t="s">
        <v>22</v>
      </c>
      <c r="T8" s="56" t="s">
        <v>22</v>
      </c>
      <c r="U8" s="56" t="s">
        <v>22</v>
      </c>
      <c r="V8" s="56">
        <f t="shared" ref="V8:V31" si="11">IFERROR(V9*(1/AV58),"..")</f>
        <v>2476.0642722117223</v>
      </c>
      <c r="W8" s="56" t="s">
        <v>22</v>
      </c>
      <c r="X8" s="56" t="s">
        <v>22</v>
      </c>
      <c r="Y8" s="56" t="s">
        <v>22</v>
      </c>
      <c r="AA8" s="66">
        <v>1982</v>
      </c>
      <c r="AB8" s="56">
        <v>587497</v>
      </c>
      <c r="AC8" s="56">
        <v>90290</v>
      </c>
      <c r="AD8" s="57" t="s">
        <v>22</v>
      </c>
      <c r="AE8" s="56"/>
      <c r="AF8" s="56">
        <v>4605</v>
      </c>
      <c r="AG8" s="56" t="s">
        <v>22</v>
      </c>
      <c r="AH8" s="56" t="s">
        <v>22</v>
      </c>
      <c r="AI8" s="56" t="s">
        <v>22</v>
      </c>
      <c r="AJ8" s="56" t="s">
        <v>22</v>
      </c>
      <c r="AK8" s="56" t="s">
        <v>22</v>
      </c>
      <c r="AL8" s="56" t="s">
        <v>22</v>
      </c>
      <c r="AM8" s="56" t="s">
        <v>22</v>
      </c>
      <c r="AN8" s="56" t="s">
        <v>22</v>
      </c>
      <c r="AO8" s="56">
        <v>8083</v>
      </c>
      <c r="AP8" s="56">
        <v>5839</v>
      </c>
      <c r="AQ8" s="56" t="s">
        <v>22</v>
      </c>
      <c r="AR8" s="56" t="s">
        <v>22</v>
      </c>
      <c r="AS8" s="56" t="s">
        <v>22</v>
      </c>
      <c r="AT8" s="56" t="s">
        <v>22</v>
      </c>
      <c r="AU8" s="56" t="s">
        <v>22</v>
      </c>
      <c r="AV8" s="56">
        <v>2276</v>
      </c>
      <c r="AW8" s="56" t="s">
        <v>22</v>
      </c>
      <c r="AX8" s="56" t="s">
        <v>22</v>
      </c>
      <c r="AY8" s="56" t="s">
        <v>22</v>
      </c>
    </row>
    <row r="9" spans="1:51">
      <c r="A9" s="66">
        <v>1983</v>
      </c>
      <c r="B9" s="56">
        <f t="shared" si="0"/>
        <v>724616.65399412636</v>
      </c>
      <c r="C9" s="56">
        <f t="shared" si="1"/>
        <v>97686.039927384656</v>
      </c>
      <c r="D9" s="56" t="str">
        <f t="shared" si="2"/>
        <v>..</v>
      </c>
      <c r="E9" s="56" t="str">
        <f t="shared" si="3"/>
        <v>..</v>
      </c>
      <c r="F9" s="56">
        <f t="shared" si="4"/>
        <v>4571.0025037556343</v>
      </c>
      <c r="G9" s="56" t="str">
        <f t="shared" si="5"/>
        <v>..</v>
      </c>
      <c r="H9" s="56" t="str">
        <f t="shared" si="6"/>
        <v>..</v>
      </c>
      <c r="I9" s="56" t="s">
        <v>22</v>
      </c>
      <c r="J9" s="56" t="s">
        <v>22</v>
      </c>
      <c r="K9" s="56" t="s">
        <v>22</v>
      </c>
      <c r="L9" s="56" t="str">
        <f t="shared" si="7"/>
        <v>..</v>
      </c>
      <c r="M9" s="56" t="s">
        <v>22</v>
      </c>
      <c r="N9" s="56" t="s">
        <v>22</v>
      </c>
      <c r="O9" s="56">
        <f t="shared" si="8"/>
        <v>7724.9572271386405</v>
      </c>
      <c r="P9" s="56">
        <f t="shared" si="9"/>
        <v>4946.9841021631501</v>
      </c>
      <c r="Q9" s="56" t="s">
        <v>22</v>
      </c>
      <c r="R9" s="56" t="s">
        <v>22</v>
      </c>
      <c r="S9" s="56" t="s">
        <v>22</v>
      </c>
      <c r="T9" s="56" t="s">
        <v>22</v>
      </c>
      <c r="U9" s="56" t="s">
        <v>22</v>
      </c>
      <c r="V9" s="56">
        <f t="shared" si="11"/>
        <v>2780.6767485822329</v>
      </c>
      <c r="W9" s="56" t="s">
        <v>22</v>
      </c>
      <c r="X9" s="56" t="s">
        <v>22</v>
      </c>
      <c r="Y9" s="56" t="s">
        <v>22</v>
      </c>
      <c r="Z9" s="262"/>
      <c r="AA9" s="66">
        <v>1983</v>
      </c>
      <c r="AB9" s="56">
        <v>603246</v>
      </c>
      <c r="AC9" s="56">
        <v>95073</v>
      </c>
      <c r="AD9" s="56" t="s">
        <v>22</v>
      </c>
      <c r="AE9" s="56"/>
      <c r="AF9" s="56">
        <v>5688</v>
      </c>
      <c r="AG9" s="56" t="s">
        <v>22</v>
      </c>
      <c r="AH9" s="56" t="s">
        <v>22</v>
      </c>
      <c r="AI9" s="56" t="s">
        <v>22</v>
      </c>
      <c r="AJ9" s="56" t="s">
        <v>22</v>
      </c>
      <c r="AK9" s="56" t="s">
        <v>22</v>
      </c>
      <c r="AL9" s="56" t="s">
        <v>22</v>
      </c>
      <c r="AM9" s="56" t="s">
        <v>22</v>
      </c>
      <c r="AN9" s="56" t="s">
        <v>22</v>
      </c>
      <c r="AO9" s="56">
        <v>9038</v>
      </c>
      <c r="AP9" s="56">
        <v>6524</v>
      </c>
      <c r="AQ9" s="56" t="s">
        <v>22</v>
      </c>
      <c r="AR9" s="56" t="s">
        <v>22</v>
      </c>
      <c r="AS9" s="56" t="s">
        <v>22</v>
      </c>
      <c r="AT9" s="56" t="s">
        <v>22</v>
      </c>
      <c r="AU9" s="56" t="s">
        <v>22</v>
      </c>
      <c r="AV9" s="56">
        <v>2556</v>
      </c>
      <c r="AW9" s="56" t="s">
        <v>22</v>
      </c>
      <c r="AX9" s="56" t="s">
        <v>22</v>
      </c>
      <c r="AY9" s="56" t="s">
        <v>22</v>
      </c>
    </row>
    <row r="10" spans="1:51">
      <c r="A10" s="66">
        <v>1984</v>
      </c>
      <c r="B10" s="56">
        <f t="shared" si="0"/>
        <v>764129.99487518764</v>
      </c>
      <c r="C10" s="56">
        <f t="shared" si="1"/>
        <v>110794.68799143621</v>
      </c>
      <c r="D10" s="56" t="str">
        <f t="shared" si="2"/>
        <v>..</v>
      </c>
      <c r="E10" s="56" t="str">
        <f t="shared" si="3"/>
        <v>..</v>
      </c>
      <c r="F10" s="56">
        <f t="shared" si="4"/>
        <v>5122.2872642296797</v>
      </c>
      <c r="G10" s="56" t="str">
        <f t="shared" si="5"/>
        <v>..</v>
      </c>
      <c r="H10" s="56" t="str">
        <f t="shared" si="6"/>
        <v>..</v>
      </c>
      <c r="I10" s="56" t="s">
        <v>22</v>
      </c>
      <c r="J10" s="56" t="s">
        <v>22</v>
      </c>
      <c r="K10" s="56" t="s">
        <v>22</v>
      </c>
      <c r="L10" s="56" t="str">
        <f t="shared" si="7"/>
        <v>..</v>
      </c>
      <c r="M10" s="56" t="s">
        <v>22</v>
      </c>
      <c r="N10" s="56" t="s">
        <v>22</v>
      </c>
      <c r="O10" s="56">
        <f t="shared" si="8"/>
        <v>8067.6998525073723</v>
      </c>
      <c r="P10" s="56">
        <f t="shared" si="9"/>
        <v>5201.7643992702642</v>
      </c>
      <c r="Q10" s="56" t="s">
        <v>22</v>
      </c>
      <c r="R10" s="56" t="s">
        <v>22</v>
      </c>
      <c r="S10" s="56" t="s">
        <v>22</v>
      </c>
      <c r="T10" s="56" t="s">
        <v>22</v>
      </c>
      <c r="U10" s="56" t="s">
        <v>22</v>
      </c>
      <c r="V10" s="56">
        <f t="shared" si="11"/>
        <v>2812.2258979206072</v>
      </c>
      <c r="W10" s="56" t="s">
        <v>22</v>
      </c>
      <c r="X10" s="56" t="s">
        <v>22</v>
      </c>
      <c r="Y10" s="56" t="s">
        <v>22</v>
      </c>
      <c r="Z10" s="262"/>
      <c r="AA10" s="66">
        <v>1984</v>
      </c>
      <c r="AB10" s="56">
        <v>636141</v>
      </c>
      <c r="AC10" s="56">
        <v>107831</v>
      </c>
      <c r="AD10" s="56" t="s">
        <v>22</v>
      </c>
      <c r="AE10" s="56"/>
      <c r="AF10" s="56">
        <v>6374</v>
      </c>
      <c r="AG10" s="56" t="s">
        <v>22</v>
      </c>
      <c r="AH10" s="56" t="s">
        <v>22</v>
      </c>
      <c r="AI10" s="56" t="s">
        <v>22</v>
      </c>
      <c r="AJ10" s="56" t="s">
        <v>22</v>
      </c>
      <c r="AK10" s="56" t="s">
        <v>22</v>
      </c>
      <c r="AL10" s="56" t="s">
        <v>22</v>
      </c>
      <c r="AM10" s="56" t="s">
        <v>22</v>
      </c>
      <c r="AN10" s="56" t="s">
        <v>22</v>
      </c>
      <c r="AO10" s="56">
        <v>9439</v>
      </c>
      <c r="AP10" s="56">
        <v>6860</v>
      </c>
      <c r="AQ10" s="56" t="s">
        <v>22</v>
      </c>
      <c r="AR10" s="56" t="s">
        <v>22</v>
      </c>
      <c r="AS10" s="56" t="s">
        <v>22</v>
      </c>
      <c r="AT10" s="56" t="s">
        <v>22</v>
      </c>
      <c r="AU10" s="56" t="s">
        <v>22</v>
      </c>
      <c r="AV10" s="56">
        <v>2585</v>
      </c>
      <c r="AW10" s="56" t="s">
        <v>22</v>
      </c>
      <c r="AX10" s="56" t="s">
        <v>22</v>
      </c>
      <c r="AY10" s="56" t="s">
        <v>22</v>
      </c>
    </row>
    <row r="11" spans="1:51">
      <c r="A11" s="66">
        <v>1985</v>
      </c>
      <c r="B11" s="56">
        <f t="shared" si="0"/>
        <v>802851.74762307934</v>
      </c>
      <c r="C11" s="56">
        <f t="shared" si="1"/>
        <v>116359.5443885912</v>
      </c>
      <c r="D11" s="56" t="str">
        <f t="shared" si="2"/>
        <v>..</v>
      </c>
      <c r="E11" s="56" t="str">
        <f t="shared" si="3"/>
        <v>..</v>
      </c>
      <c r="F11" s="56">
        <f t="shared" si="4"/>
        <v>5810.1877816725109</v>
      </c>
      <c r="G11" s="56" t="str">
        <f t="shared" si="5"/>
        <v>..</v>
      </c>
      <c r="H11" s="56" t="str">
        <f t="shared" si="6"/>
        <v>..</v>
      </c>
      <c r="I11" s="56" t="s">
        <v>22</v>
      </c>
      <c r="J11" s="56" t="s">
        <v>22</v>
      </c>
      <c r="K11" s="56" t="s">
        <v>22</v>
      </c>
      <c r="L11" s="56" t="str">
        <f>IFERROR(L12*(1/AL63),"..")</f>
        <v>..</v>
      </c>
      <c r="M11" s="56" t="s">
        <v>22</v>
      </c>
      <c r="N11" s="56" t="s">
        <v>22</v>
      </c>
      <c r="O11" s="56">
        <f t="shared" si="8"/>
        <v>8020.6902654867245</v>
      </c>
      <c r="P11" s="56">
        <f t="shared" si="9"/>
        <v>5178.2578837633582</v>
      </c>
      <c r="Q11" s="56" t="s">
        <v>22</v>
      </c>
      <c r="R11" s="56" t="s">
        <v>22</v>
      </c>
      <c r="S11" s="56" t="s">
        <v>22</v>
      </c>
      <c r="T11" s="56" t="s">
        <v>22</v>
      </c>
      <c r="U11" s="56" t="s">
        <v>22</v>
      </c>
      <c r="V11" s="56">
        <f t="shared" si="11"/>
        <v>2774.1493383742936</v>
      </c>
      <c r="W11" s="56" t="s">
        <v>22</v>
      </c>
      <c r="X11" s="56" t="s">
        <v>22</v>
      </c>
      <c r="Y11" s="56" t="s">
        <v>22</v>
      </c>
      <c r="Z11" s="262"/>
      <c r="AA11" s="66">
        <v>1985</v>
      </c>
      <c r="AB11" s="56">
        <v>668377</v>
      </c>
      <c r="AC11" s="56">
        <v>113247</v>
      </c>
      <c r="AD11" s="56" t="s">
        <v>22</v>
      </c>
      <c r="AE11" s="56"/>
      <c r="AF11" s="56">
        <v>7230</v>
      </c>
      <c r="AG11" s="56" t="s">
        <v>22</v>
      </c>
      <c r="AH11" s="56" t="s">
        <v>22</v>
      </c>
      <c r="AI11" s="56" t="s">
        <v>22</v>
      </c>
      <c r="AJ11" s="56" t="s">
        <v>22</v>
      </c>
      <c r="AK11" s="56" t="s">
        <v>22</v>
      </c>
      <c r="AL11" s="56" t="s">
        <v>22</v>
      </c>
      <c r="AM11" s="56" t="s">
        <v>22</v>
      </c>
      <c r="AN11" s="56" t="s">
        <v>22</v>
      </c>
      <c r="AO11" s="56">
        <v>9384</v>
      </c>
      <c r="AP11" s="56">
        <v>6829</v>
      </c>
      <c r="AQ11" s="56" t="s">
        <v>22</v>
      </c>
      <c r="AR11" s="56" t="s">
        <v>22</v>
      </c>
      <c r="AS11" s="56" t="s">
        <v>22</v>
      </c>
      <c r="AT11" s="56" t="s">
        <v>22</v>
      </c>
      <c r="AU11" s="56" t="s">
        <v>22</v>
      </c>
      <c r="AV11" s="56">
        <v>2550</v>
      </c>
      <c r="AW11" s="56" t="s">
        <v>22</v>
      </c>
      <c r="AX11" s="56" t="s">
        <v>22</v>
      </c>
      <c r="AY11" s="56" t="s">
        <v>22</v>
      </c>
    </row>
    <row r="12" spans="1:51">
      <c r="A12" s="66">
        <v>1986</v>
      </c>
      <c r="B12" s="56">
        <f t="shared" si="0"/>
        <v>824968.16751370404</v>
      </c>
      <c r="C12" s="56">
        <f t="shared" si="1"/>
        <v>117601.77322613927</v>
      </c>
      <c r="D12" s="56">
        <f t="shared" si="2"/>
        <v>18243.632084500063</v>
      </c>
      <c r="E12" s="56">
        <f t="shared" si="3"/>
        <v>4138.2249674902432</v>
      </c>
      <c r="F12" s="56">
        <f t="shared" si="4"/>
        <v>5839.1181772659011</v>
      </c>
      <c r="G12" s="56" t="str">
        <f t="shared" si="5"/>
        <v>..</v>
      </c>
      <c r="H12" s="56" t="str">
        <f t="shared" si="6"/>
        <v>..</v>
      </c>
      <c r="I12" s="56" t="s">
        <v>22</v>
      </c>
      <c r="J12" s="56" t="s">
        <v>22</v>
      </c>
      <c r="K12" s="56" t="s">
        <v>22</v>
      </c>
      <c r="L12" s="56" t="str">
        <f>IFERROR(L13*(1/AL64),"..")</f>
        <v>..</v>
      </c>
      <c r="M12" s="56" t="s">
        <v>22</v>
      </c>
      <c r="N12" s="56" t="s">
        <v>22</v>
      </c>
      <c r="O12" s="56">
        <f t="shared" si="8"/>
        <v>8301.8930678466058</v>
      </c>
      <c r="P12" s="56">
        <f t="shared" si="9"/>
        <v>5436.0712796455582</v>
      </c>
      <c r="Q12" s="56" t="s">
        <v>22</v>
      </c>
      <c r="R12" s="56" t="s">
        <v>22</v>
      </c>
      <c r="S12" s="56" t="s">
        <v>22</v>
      </c>
      <c r="T12" s="56" t="s">
        <v>22</v>
      </c>
      <c r="U12" s="56" t="s">
        <v>22</v>
      </c>
      <c r="V12" s="56">
        <f t="shared" si="11"/>
        <v>2662.0954631379982</v>
      </c>
      <c r="W12" s="56" t="s">
        <v>22</v>
      </c>
      <c r="X12" s="56" t="s">
        <v>22</v>
      </c>
      <c r="Y12" s="56" t="s">
        <v>22</v>
      </c>
      <c r="Z12" s="262"/>
      <c r="AA12" s="66">
        <v>1986</v>
      </c>
      <c r="AB12" s="56">
        <v>686789</v>
      </c>
      <c r="AC12" s="56">
        <v>114456</v>
      </c>
      <c r="AD12" s="56">
        <f t="shared" ref="AD12:AD37" si="12">AE12+AF12+AO12</f>
        <v>22274</v>
      </c>
      <c r="AE12" s="56">
        <v>5295</v>
      </c>
      <c r="AF12" s="56">
        <v>7266</v>
      </c>
      <c r="AG12" s="56" t="s">
        <v>22</v>
      </c>
      <c r="AH12" s="56" t="s">
        <v>22</v>
      </c>
      <c r="AI12" s="56" t="s">
        <v>22</v>
      </c>
      <c r="AJ12" s="56" t="s">
        <v>22</v>
      </c>
      <c r="AK12" s="56" t="s">
        <v>22</v>
      </c>
      <c r="AL12" s="56" t="s">
        <v>22</v>
      </c>
      <c r="AM12" s="56" t="s">
        <v>22</v>
      </c>
      <c r="AN12" s="56" t="s">
        <v>22</v>
      </c>
      <c r="AO12" s="56">
        <v>9713</v>
      </c>
      <c r="AP12" s="56">
        <v>7169</v>
      </c>
      <c r="AQ12" s="56" t="s">
        <v>22</v>
      </c>
      <c r="AR12" s="56" t="s">
        <v>22</v>
      </c>
      <c r="AS12" s="56" t="s">
        <v>22</v>
      </c>
      <c r="AT12" s="56" t="s">
        <v>22</v>
      </c>
      <c r="AU12" s="56" t="s">
        <v>22</v>
      </c>
      <c r="AV12" s="56">
        <v>2447</v>
      </c>
      <c r="AW12" s="56" t="s">
        <v>22</v>
      </c>
      <c r="AX12" s="56" t="s">
        <v>22</v>
      </c>
      <c r="AY12" s="56" t="s">
        <v>22</v>
      </c>
    </row>
    <row r="13" spans="1:51">
      <c r="A13" s="66">
        <v>1987</v>
      </c>
      <c r="B13" s="56">
        <f t="shared" si="0"/>
        <v>857396.8546626938</v>
      </c>
      <c r="C13" s="56">
        <f t="shared" si="1"/>
        <v>122961.1327105485</v>
      </c>
      <c r="D13" s="56">
        <f t="shared" si="2"/>
        <v>20241.307340587682</v>
      </c>
      <c r="E13" s="56">
        <f t="shared" si="3"/>
        <v>4961.1807542262632</v>
      </c>
      <c r="F13" s="56">
        <f t="shared" si="4"/>
        <v>6697.3865798698071</v>
      </c>
      <c r="G13" s="56" t="str">
        <f t="shared" si="5"/>
        <v>..</v>
      </c>
      <c r="H13" s="56" t="str">
        <f t="shared" si="6"/>
        <v>..</v>
      </c>
      <c r="I13" s="56" t="s">
        <v>22</v>
      </c>
      <c r="J13" s="56" t="s">
        <v>22</v>
      </c>
      <c r="K13" s="56" t="s">
        <v>22</v>
      </c>
      <c r="L13" s="56" t="str">
        <f>IFERROR(L14*(1/AL65),"..")</f>
        <v>..</v>
      </c>
      <c r="M13" s="56" t="s">
        <v>22</v>
      </c>
      <c r="N13" s="56" t="s">
        <v>22</v>
      </c>
      <c r="O13" s="56">
        <f t="shared" si="8"/>
        <v>8573.6939528023595</v>
      </c>
      <c r="P13" s="56">
        <f t="shared" si="9"/>
        <v>5636.2557988011486</v>
      </c>
      <c r="Q13" s="56" t="s">
        <v>22</v>
      </c>
      <c r="R13" s="56" t="s">
        <v>22</v>
      </c>
      <c r="S13" s="56" t="s">
        <v>22</v>
      </c>
      <c r="T13" s="56" t="s">
        <v>22</v>
      </c>
      <c r="U13" s="56" t="s">
        <v>22</v>
      </c>
      <c r="V13" s="56">
        <f t="shared" si="11"/>
        <v>2699.0841209829887</v>
      </c>
      <c r="W13" s="56" t="s">
        <v>22</v>
      </c>
      <c r="X13" s="56" t="s">
        <v>22</v>
      </c>
      <c r="Y13" s="56" t="s">
        <v>22</v>
      </c>
      <c r="Z13" s="262"/>
      <c r="AA13" s="66">
        <v>1987</v>
      </c>
      <c r="AB13" s="56">
        <v>713786</v>
      </c>
      <c r="AC13" s="56">
        <v>119672</v>
      </c>
      <c r="AD13" s="56">
        <f t="shared" si="12"/>
        <v>24713</v>
      </c>
      <c r="AE13" s="56">
        <v>6348</v>
      </c>
      <c r="AF13" s="56">
        <v>8334</v>
      </c>
      <c r="AG13" s="56" t="s">
        <v>22</v>
      </c>
      <c r="AH13" s="56" t="s">
        <v>22</v>
      </c>
      <c r="AI13" s="56" t="s">
        <v>22</v>
      </c>
      <c r="AJ13" s="56" t="s">
        <v>22</v>
      </c>
      <c r="AK13" s="56" t="s">
        <v>22</v>
      </c>
      <c r="AL13" s="56" t="s">
        <v>22</v>
      </c>
      <c r="AM13" s="56" t="s">
        <v>22</v>
      </c>
      <c r="AN13" s="56" t="s">
        <v>22</v>
      </c>
      <c r="AO13" s="56">
        <v>10031</v>
      </c>
      <c r="AP13" s="56">
        <v>7433</v>
      </c>
      <c r="AQ13" s="56" t="s">
        <v>22</v>
      </c>
      <c r="AR13" s="56" t="s">
        <v>22</v>
      </c>
      <c r="AS13" s="56" t="s">
        <v>22</v>
      </c>
      <c r="AT13" s="56" t="s">
        <v>22</v>
      </c>
      <c r="AU13" s="56" t="s">
        <v>22</v>
      </c>
      <c r="AV13" s="56">
        <v>2481</v>
      </c>
      <c r="AW13" s="56" t="s">
        <v>22</v>
      </c>
      <c r="AX13" s="56" t="s">
        <v>22</v>
      </c>
      <c r="AY13" s="56" t="s">
        <v>22</v>
      </c>
    </row>
    <row r="14" spans="1:51">
      <c r="A14" s="66">
        <v>1988</v>
      </c>
      <c r="B14" s="56">
        <f t="shared" si="0"/>
        <v>895337.83004099468</v>
      </c>
      <c r="C14" s="56">
        <f t="shared" si="1"/>
        <v>130984.75966870641</v>
      </c>
      <c r="D14" s="56">
        <f t="shared" si="2"/>
        <v>20482.109523978317</v>
      </c>
      <c r="E14" s="56">
        <f t="shared" si="3"/>
        <v>4901.7841352405676</v>
      </c>
      <c r="F14" s="56">
        <f t="shared" si="4"/>
        <v>6922.4007678183971</v>
      </c>
      <c r="G14" s="56" t="str">
        <f t="shared" si="5"/>
        <v>..</v>
      </c>
      <c r="H14" s="56" t="str">
        <f t="shared" si="6"/>
        <v>..</v>
      </c>
      <c r="I14" s="56" t="s">
        <v>22</v>
      </c>
      <c r="J14" s="56" t="s">
        <v>22</v>
      </c>
      <c r="K14" s="56" t="s">
        <v>22</v>
      </c>
      <c r="L14" s="56" t="str">
        <f>IFERROR(L15*(1/AL66),"..")</f>
        <v>..</v>
      </c>
      <c r="M14" s="56" t="s">
        <v>22</v>
      </c>
      <c r="N14" s="56" t="s">
        <v>22</v>
      </c>
      <c r="O14" s="56">
        <f t="shared" si="8"/>
        <v>8650.6187315634215</v>
      </c>
      <c r="P14" s="56">
        <f t="shared" si="9"/>
        <v>5668.1033359395378</v>
      </c>
      <c r="Q14" s="56" t="s">
        <v>22</v>
      </c>
      <c r="R14" s="56" t="s">
        <v>22</v>
      </c>
      <c r="S14" s="56" t="s">
        <v>22</v>
      </c>
      <c r="T14" s="56" t="s">
        <v>22</v>
      </c>
      <c r="U14" s="56" t="s">
        <v>22</v>
      </c>
      <c r="V14" s="56">
        <f t="shared" si="11"/>
        <v>2769.797731569</v>
      </c>
      <c r="W14" s="56" t="s">
        <v>22</v>
      </c>
      <c r="X14" s="56" t="s">
        <v>22</v>
      </c>
      <c r="Y14" s="56" t="s">
        <v>22</v>
      </c>
      <c r="Z14" s="262"/>
      <c r="AA14" s="66">
        <v>1988</v>
      </c>
      <c r="AB14" s="56">
        <v>745372</v>
      </c>
      <c r="AC14" s="56">
        <v>127481</v>
      </c>
      <c r="AD14" s="56">
        <f t="shared" si="12"/>
        <v>25007</v>
      </c>
      <c r="AE14" s="56">
        <v>6272</v>
      </c>
      <c r="AF14" s="56">
        <v>8614</v>
      </c>
      <c r="AG14" s="56" t="s">
        <v>22</v>
      </c>
      <c r="AH14" s="56" t="s">
        <v>22</v>
      </c>
      <c r="AI14" s="56" t="s">
        <v>22</v>
      </c>
      <c r="AJ14" s="56" t="s">
        <v>22</v>
      </c>
      <c r="AK14" s="56" t="s">
        <v>22</v>
      </c>
      <c r="AL14" s="56" t="s">
        <v>22</v>
      </c>
      <c r="AM14" s="56" t="s">
        <v>22</v>
      </c>
      <c r="AN14" s="56" t="s">
        <v>22</v>
      </c>
      <c r="AO14" s="56">
        <v>10121</v>
      </c>
      <c r="AP14" s="56">
        <v>7475</v>
      </c>
      <c r="AQ14" s="56" t="s">
        <v>22</v>
      </c>
      <c r="AR14" s="56" t="s">
        <v>22</v>
      </c>
      <c r="AS14" s="56" t="s">
        <v>22</v>
      </c>
      <c r="AT14" s="56" t="s">
        <v>22</v>
      </c>
      <c r="AU14" s="56" t="s">
        <v>22</v>
      </c>
      <c r="AV14" s="56">
        <v>2546</v>
      </c>
      <c r="AW14" s="56" t="s">
        <v>22</v>
      </c>
      <c r="AX14" s="56" t="s">
        <v>22</v>
      </c>
      <c r="AY14" s="56" t="s">
        <v>22</v>
      </c>
    </row>
    <row r="15" spans="1:51">
      <c r="A15" s="66">
        <v>1989</v>
      </c>
      <c r="B15" s="56">
        <f t="shared" si="0"/>
        <v>916674.67375798186</v>
      </c>
      <c r="C15" s="56">
        <f t="shared" si="1"/>
        <v>133126.03749951714</v>
      </c>
      <c r="D15" s="56">
        <f t="shared" si="2"/>
        <v>19944.809414099891</v>
      </c>
      <c r="E15" s="56">
        <f t="shared" si="3"/>
        <v>4753.2925877763291</v>
      </c>
      <c r="F15" s="56">
        <f t="shared" si="4"/>
        <v>6756.8546152562203</v>
      </c>
      <c r="G15" s="56" t="str">
        <f t="shared" si="5"/>
        <v>..</v>
      </c>
      <c r="H15" s="56" t="str">
        <f t="shared" si="6"/>
        <v>..</v>
      </c>
      <c r="I15" s="56" t="s">
        <v>22</v>
      </c>
      <c r="J15" s="56" t="s">
        <v>22</v>
      </c>
      <c r="K15" s="56" t="s">
        <v>22</v>
      </c>
      <c r="L15" s="56" t="str">
        <f>IFERROR(L16*(1/AL67),"..")</f>
        <v>..</v>
      </c>
      <c r="M15" s="56" t="s">
        <v>22</v>
      </c>
      <c r="N15" s="56" t="s">
        <v>22</v>
      </c>
      <c r="O15" s="56">
        <f t="shared" si="8"/>
        <v>8428.3915929203522</v>
      </c>
      <c r="P15" s="56">
        <f t="shared" si="9"/>
        <v>5441.3792025019557</v>
      </c>
      <c r="Q15" s="56" t="s">
        <v>22</v>
      </c>
      <c r="R15" s="56" t="s">
        <v>22</v>
      </c>
      <c r="S15" s="56" t="s">
        <v>22</v>
      </c>
      <c r="T15" s="56" t="s">
        <v>22</v>
      </c>
      <c r="U15" s="56" t="s">
        <v>22</v>
      </c>
      <c r="V15" s="56">
        <f t="shared" si="11"/>
        <v>2878.5879017013249</v>
      </c>
      <c r="W15" s="56" t="s">
        <v>22</v>
      </c>
      <c r="X15" s="56" t="s">
        <v>22</v>
      </c>
      <c r="Y15" s="56" t="s">
        <v>22</v>
      </c>
      <c r="Z15" s="262"/>
      <c r="AA15" s="66">
        <v>1989</v>
      </c>
      <c r="AB15" s="56">
        <v>763135</v>
      </c>
      <c r="AC15" s="56">
        <v>129565</v>
      </c>
      <c r="AD15" s="56">
        <f t="shared" si="12"/>
        <v>24351</v>
      </c>
      <c r="AE15" s="56">
        <v>6082</v>
      </c>
      <c r="AF15" s="56">
        <v>8408</v>
      </c>
      <c r="AG15" s="56" t="s">
        <v>22</v>
      </c>
      <c r="AH15" s="56" t="s">
        <v>22</v>
      </c>
      <c r="AI15" s="56" t="s">
        <v>22</v>
      </c>
      <c r="AJ15" s="56" t="s">
        <v>22</v>
      </c>
      <c r="AK15" s="56" t="s">
        <v>22</v>
      </c>
      <c r="AL15" s="56" t="s">
        <v>22</v>
      </c>
      <c r="AM15" s="56" t="s">
        <v>22</v>
      </c>
      <c r="AN15" s="56" t="s">
        <v>22</v>
      </c>
      <c r="AO15" s="56">
        <v>9861</v>
      </c>
      <c r="AP15" s="56">
        <v>7176</v>
      </c>
      <c r="AQ15" s="56" t="s">
        <v>22</v>
      </c>
      <c r="AR15" s="56" t="s">
        <v>22</v>
      </c>
      <c r="AS15" s="56" t="s">
        <v>22</v>
      </c>
      <c r="AT15" s="56" t="s">
        <v>22</v>
      </c>
      <c r="AU15" s="56" t="s">
        <v>22</v>
      </c>
      <c r="AV15" s="56">
        <v>2646</v>
      </c>
      <c r="AW15" s="56" t="s">
        <v>22</v>
      </c>
      <c r="AX15" s="56" t="s">
        <v>22</v>
      </c>
      <c r="AY15" s="56" t="s">
        <v>22</v>
      </c>
    </row>
    <row r="16" spans="1:51">
      <c r="A16" s="66">
        <v>1990</v>
      </c>
      <c r="B16" s="56">
        <f t="shared" si="0"/>
        <v>921523.90182111738</v>
      </c>
      <c r="C16" s="56">
        <f t="shared" si="1"/>
        <v>128240.34839898687</v>
      </c>
      <c r="D16" s="56">
        <f t="shared" si="2"/>
        <v>18647.426221954425</v>
      </c>
      <c r="E16" s="56">
        <f t="shared" si="3"/>
        <v>4102.2743823146911</v>
      </c>
      <c r="F16" s="56">
        <f t="shared" si="4"/>
        <v>6286.7356868636325</v>
      </c>
      <c r="G16" s="56" t="str">
        <f t="shared" si="5"/>
        <v>..</v>
      </c>
      <c r="H16" s="56" t="str">
        <f t="shared" si="6"/>
        <v>..</v>
      </c>
      <c r="I16" s="56" t="s">
        <v>22</v>
      </c>
      <c r="J16" s="56" t="s">
        <v>22</v>
      </c>
      <c r="K16" s="56" t="s">
        <v>22</v>
      </c>
      <c r="L16" s="56" t="str">
        <f>IFERROR(L17*(1/#REF!),"..")</f>
        <v>..</v>
      </c>
      <c r="M16" s="56" t="s">
        <v>22</v>
      </c>
      <c r="N16" s="56" t="s">
        <v>22</v>
      </c>
      <c r="O16" s="56">
        <f t="shared" si="8"/>
        <v>8286.5081120943923</v>
      </c>
      <c r="P16" s="56">
        <f t="shared" si="9"/>
        <v>5369.3431065936938</v>
      </c>
      <c r="Q16" s="56" t="s">
        <v>22</v>
      </c>
      <c r="R16" s="56" t="s">
        <v>22</v>
      </c>
      <c r="S16" s="56" t="s">
        <v>22</v>
      </c>
      <c r="T16" s="56" t="s">
        <v>22</v>
      </c>
      <c r="U16" s="56" t="s">
        <v>22</v>
      </c>
      <c r="V16" s="56">
        <f t="shared" si="11"/>
        <v>2785.0283553875256</v>
      </c>
      <c r="W16" s="56" t="s">
        <v>22</v>
      </c>
      <c r="X16" s="56" t="s">
        <v>22</v>
      </c>
      <c r="Y16" s="56" t="s">
        <v>22</v>
      </c>
      <c r="Z16" s="262"/>
      <c r="AA16" s="66">
        <v>1990</v>
      </c>
      <c r="AB16" s="56">
        <v>767172</v>
      </c>
      <c r="AC16" s="56">
        <v>124810</v>
      </c>
      <c r="AD16" s="56">
        <f t="shared" si="12"/>
        <v>22767</v>
      </c>
      <c r="AE16" s="56">
        <v>5249</v>
      </c>
      <c r="AF16" s="56">
        <v>7823</v>
      </c>
      <c r="AG16" s="56" t="s">
        <v>22</v>
      </c>
      <c r="AH16" s="56" t="s">
        <v>22</v>
      </c>
      <c r="AI16" s="56" t="s">
        <v>22</v>
      </c>
      <c r="AJ16" s="56" t="s">
        <v>22</v>
      </c>
      <c r="AK16" s="56" t="s">
        <v>22</v>
      </c>
      <c r="AL16" s="56" t="s">
        <v>22</v>
      </c>
      <c r="AM16" s="56" t="s">
        <v>22</v>
      </c>
      <c r="AN16" s="56" t="s">
        <v>22</v>
      </c>
      <c r="AO16" s="56">
        <v>9695</v>
      </c>
      <c r="AP16" s="56">
        <v>7081</v>
      </c>
      <c r="AQ16" s="56" t="s">
        <v>22</v>
      </c>
      <c r="AR16" s="56" t="s">
        <v>22</v>
      </c>
      <c r="AS16" s="56" t="s">
        <v>22</v>
      </c>
      <c r="AT16" s="56" t="s">
        <v>22</v>
      </c>
      <c r="AU16" s="56" t="s">
        <v>22</v>
      </c>
      <c r="AV16" s="56">
        <v>2560</v>
      </c>
      <c r="AW16" s="56" t="s">
        <v>22</v>
      </c>
      <c r="AX16" s="56" t="s">
        <v>22</v>
      </c>
      <c r="AY16" s="56" t="s">
        <v>22</v>
      </c>
    </row>
    <row r="17" spans="1:51">
      <c r="A17" s="66">
        <v>1991</v>
      </c>
      <c r="B17" s="56">
        <f t="shared" si="0"/>
        <v>908333.56905884552</v>
      </c>
      <c r="C17" s="56">
        <f t="shared" si="1"/>
        <v>119203.62166099242</v>
      </c>
      <c r="D17" s="56">
        <f t="shared" si="2"/>
        <v>16911.029525396101</v>
      </c>
      <c r="E17" s="56">
        <f t="shared" si="3"/>
        <v>3533.317295188554</v>
      </c>
      <c r="F17" s="56">
        <f t="shared" si="4"/>
        <v>5569.9047738274112</v>
      </c>
      <c r="G17" s="56" t="str">
        <f t="shared" si="5"/>
        <v>..</v>
      </c>
      <c r="H17" s="56" t="str">
        <f t="shared" si="6"/>
        <v>..</v>
      </c>
      <c r="I17" s="56" t="s">
        <v>22</v>
      </c>
      <c r="J17" s="56" t="s">
        <v>22</v>
      </c>
      <c r="K17" s="56" t="s">
        <v>22</v>
      </c>
      <c r="L17" s="56" t="str">
        <f>IFERROR(L18*(1/AL68),"..")</f>
        <v>..</v>
      </c>
      <c r="M17" s="56" t="s">
        <v>22</v>
      </c>
      <c r="N17" s="56" t="s">
        <v>22</v>
      </c>
      <c r="O17" s="56">
        <f t="shared" si="8"/>
        <v>7859.1482300884927</v>
      </c>
      <c r="P17" s="56">
        <f t="shared" si="9"/>
        <v>5033.4274172530631</v>
      </c>
      <c r="Q17" s="56" t="s">
        <v>22</v>
      </c>
      <c r="R17" s="56" t="s">
        <v>22</v>
      </c>
      <c r="S17" s="56" t="s">
        <v>22</v>
      </c>
      <c r="T17" s="56" t="s">
        <v>22</v>
      </c>
      <c r="U17" s="56" t="s">
        <v>22</v>
      </c>
      <c r="V17" s="56">
        <f t="shared" si="11"/>
        <v>2776.3251417769393</v>
      </c>
      <c r="W17" s="56" t="s">
        <v>22</v>
      </c>
      <c r="X17" s="56" t="s">
        <v>22</v>
      </c>
      <c r="Y17" s="56" t="s">
        <v>22</v>
      </c>
      <c r="Z17" s="262"/>
      <c r="AA17" s="66">
        <v>1991</v>
      </c>
      <c r="AB17" s="56">
        <v>756191</v>
      </c>
      <c r="AC17" s="56">
        <v>116015</v>
      </c>
      <c r="AD17" s="56">
        <f t="shared" si="12"/>
        <v>20647</v>
      </c>
      <c r="AE17" s="56">
        <v>4521</v>
      </c>
      <c r="AF17" s="56">
        <v>6931</v>
      </c>
      <c r="AG17" s="56" t="s">
        <v>22</v>
      </c>
      <c r="AH17" s="56" t="s">
        <v>22</v>
      </c>
      <c r="AI17" s="56" t="s">
        <v>22</v>
      </c>
      <c r="AJ17" s="56" t="s">
        <v>22</v>
      </c>
      <c r="AK17" s="56" t="s">
        <v>22</v>
      </c>
      <c r="AL17" s="56" t="s">
        <v>22</v>
      </c>
      <c r="AM17" s="56" t="s">
        <v>22</v>
      </c>
      <c r="AN17" s="56" t="s">
        <v>22</v>
      </c>
      <c r="AO17" s="56">
        <v>9195</v>
      </c>
      <c r="AP17" s="56">
        <v>6638</v>
      </c>
      <c r="AQ17" s="56" t="s">
        <v>22</v>
      </c>
      <c r="AR17" s="56" t="s">
        <v>22</v>
      </c>
      <c r="AS17" s="56" t="s">
        <v>22</v>
      </c>
      <c r="AT17" s="56" t="s">
        <v>22</v>
      </c>
      <c r="AU17" s="56" t="s">
        <v>22</v>
      </c>
      <c r="AV17" s="56">
        <v>2552</v>
      </c>
      <c r="AW17" s="56" t="s">
        <v>22</v>
      </c>
      <c r="AX17" s="56" t="s">
        <v>22</v>
      </c>
      <c r="AY17" s="56" t="s">
        <v>22</v>
      </c>
    </row>
    <row r="18" spans="1:51">
      <c r="A18" s="66">
        <v>1992</v>
      </c>
      <c r="B18" s="56">
        <f t="shared" si="0"/>
        <v>916074.07578137366</v>
      </c>
      <c r="C18" s="56">
        <f t="shared" si="1"/>
        <v>120996.5822246991</v>
      </c>
      <c r="D18" s="56">
        <f t="shared" si="2"/>
        <v>17470.444121504275</v>
      </c>
      <c r="E18" s="56">
        <f t="shared" si="3"/>
        <v>3580.2093628088401</v>
      </c>
      <c r="F18" s="56">
        <f t="shared" si="4"/>
        <v>5866.44132865966</v>
      </c>
      <c r="G18" s="56" t="str">
        <f t="shared" si="5"/>
        <v>..</v>
      </c>
      <c r="H18" s="56" t="str">
        <f t="shared" si="6"/>
        <v>..</v>
      </c>
      <c r="I18" s="56" t="s">
        <v>22</v>
      </c>
      <c r="J18" s="56" t="s">
        <v>22</v>
      </c>
      <c r="K18" s="56" t="s">
        <v>22</v>
      </c>
      <c r="L18" s="56" t="str">
        <f>IFERROR(L19*(1/AL69),"..")</f>
        <v>..</v>
      </c>
      <c r="M18" s="56" t="s">
        <v>22</v>
      </c>
      <c r="N18" s="56" t="s">
        <v>22</v>
      </c>
      <c r="O18" s="56">
        <f t="shared" si="8"/>
        <v>8076.24705014749</v>
      </c>
      <c r="P18" s="56">
        <f t="shared" si="9"/>
        <v>5210.1054209017475</v>
      </c>
      <c r="Q18" s="56" t="s">
        <v>22</v>
      </c>
      <c r="R18" s="56" t="s">
        <v>22</v>
      </c>
      <c r="S18" s="56" t="s">
        <v>22</v>
      </c>
      <c r="T18" s="56" t="s">
        <v>22</v>
      </c>
      <c r="U18" s="56" t="s">
        <v>22</v>
      </c>
      <c r="V18" s="56">
        <f t="shared" si="11"/>
        <v>2769.7977315689996</v>
      </c>
      <c r="W18" s="56" t="s">
        <v>22</v>
      </c>
      <c r="X18" s="56" t="s">
        <v>22</v>
      </c>
      <c r="Y18" s="56" t="s">
        <v>22</v>
      </c>
      <c r="Z18" s="262"/>
      <c r="AA18" s="66">
        <v>1992</v>
      </c>
      <c r="AB18" s="56">
        <v>762635</v>
      </c>
      <c r="AC18" s="56">
        <v>117760</v>
      </c>
      <c r="AD18" s="56">
        <f t="shared" si="12"/>
        <v>21330</v>
      </c>
      <c r="AE18" s="56">
        <v>4581</v>
      </c>
      <c r="AF18" s="56">
        <v>7300</v>
      </c>
      <c r="AG18" s="56" t="s">
        <v>22</v>
      </c>
      <c r="AH18" s="56" t="s">
        <v>22</v>
      </c>
      <c r="AI18" s="56" t="s">
        <v>22</v>
      </c>
      <c r="AJ18" s="56" t="s">
        <v>22</v>
      </c>
      <c r="AK18" s="56" t="s">
        <v>22</v>
      </c>
      <c r="AL18" s="56" t="s">
        <v>22</v>
      </c>
      <c r="AM18" s="56" t="s">
        <v>22</v>
      </c>
      <c r="AN18" s="56" t="s">
        <v>22</v>
      </c>
      <c r="AO18" s="56">
        <v>9449</v>
      </c>
      <c r="AP18" s="56">
        <v>6871</v>
      </c>
      <c r="AQ18" s="56" t="s">
        <v>22</v>
      </c>
      <c r="AR18" s="56" t="s">
        <v>22</v>
      </c>
      <c r="AS18" s="56" t="s">
        <v>22</v>
      </c>
      <c r="AT18" s="56" t="s">
        <v>22</v>
      </c>
      <c r="AU18" s="56" t="s">
        <v>22</v>
      </c>
      <c r="AV18" s="56">
        <v>2546</v>
      </c>
      <c r="AW18" s="56" t="s">
        <v>22</v>
      </c>
      <c r="AX18" s="56" t="s">
        <v>22</v>
      </c>
      <c r="AY18" s="56" t="s">
        <v>22</v>
      </c>
    </row>
    <row r="19" spans="1:51">
      <c r="A19" s="66">
        <v>1993</v>
      </c>
      <c r="B19" s="56">
        <f t="shared" si="0"/>
        <v>938494.39824816224</v>
      </c>
      <c r="C19" s="56">
        <f t="shared" si="1"/>
        <v>127625.91262987707</v>
      </c>
      <c r="D19" s="56">
        <f t="shared" si="2"/>
        <v>18607.292524722649</v>
      </c>
      <c r="E19" s="56">
        <f t="shared" si="3"/>
        <v>3842.023407022104</v>
      </c>
      <c r="F19" s="56">
        <f t="shared" si="4"/>
        <v>6154.9416624937448</v>
      </c>
      <c r="G19" s="56" t="str">
        <f t="shared" si="5"/>
        <v>..</v>
      </c>
      <c r="H19" s="56" t="str">
        <f t="shared" si="6"/>
        <v>..</v>
      </c>
      <c r="I19" s="56" t="s">
        <v>22</v>
      </c>
      <c r="J19" s="56" t="s">
        <v>22</v>
      </c>
      <c r="K19" s="56" t="s">
        <v>22</v>
      </c>
      <c r="L19" s="56" t="str">
        <f>IFERROR(L20*(1/#REF!),"..")</f>
        <v>..</v>
      </c>
      <c r="M19" s="56" t="s">
        <v>22</v>
      </c>
      <c r="N19" s="56" t="s">
        <v>22</v>
      </c>
      <c r="O19" s="56">
        <f t="shared" si="8"/>
        <v>8669.4225663716788</v>
      </c>
      <c r="P19" s="56">
        <f t="shared" si="9"/>
        <v>5590.7593171748777</v>
      </c>
      <c r="Q19" s="56" t="s">
        <v>22</v>
      </c>
      <c r="R19" s="56" t="s">
        <v>22</v>
      </c>
      <c r="S19" s="56" t="s">
        <v>22</v>
      </c>
      <c r="T19" s="56" t="s">
        <v>22</v>
      </c>
      <c r="U19" s="56" t="s">
        <v>22</v>
      </c>
      <c r="V19" s="56">
        <f t="shared" si="11"/>
        <v>2973.2353497164477</v>
      </c>
      <c r="W19" s="56" t="s">
        <v>22</v>
      </c>
      <c r="X19" s="56" t="s">
        <v>22</v>
      </c>
      <c r="Y19" s="56" t="s">
        <v>22</v>
      </c>
      <c r="Z19" s="262"/>
      <c r="AA19" s="66">
        <v>1993</v>
      </c>
      <c r="AB19" s="56">
        <v>781300</v>
      </c>
      <c r="AC19" s="56">
        <v>124212</v>
      </c>
      <c r="AD19" s="56">
        <f t="shared" si="12"/>
        <v>22718</v>
      </c>
      <c r="AE19" s="56">
        <v>4916</v>
      </c>
      <c r="AF19" s="56">
        <v>7659</v>
      </c>
      <c r="AG19" s="56" t="s">
        <v>22</v>
      </c>
      <c r="AH19" s="56" t="s">
        <v>22</v>
      </c>
      <c r="AI19" s="56" t="s">
        <v>22</v>
      </c>
      <c r="AJ19" s="56" t="s">
        <v>22</v>
      </c>
      <c r="AK19" s="56" t="s">
        <v>22</v>
      </c>
      <c r="AL19" s="56" t="s">
        <v>22</v>
      </c>
      <c r="AM19" s="56" t="s">
        <v>22</v>
      </c>
      <c r="AN19" s="56" t="s">
        <v>22</v>
      </c>
      <c r="AO19" s="56">
        <v>10143</v>
      </c>
      <c r="AP19" s="56">
        <v>7373</v>
      </c>
      <c r="AQ19" s="56" t="s">
        <v>22</v>
      </c>
      <c r="AR19" s="56" t="s">
        <v>22</v>
      </c>
      <c r="AS19" s="56" t="s">
        <v>22</v>
      </c>
      <c r="AT19" s="56" t="s">
        <v>22</v>
      </c>
      <c r="AU19" s="56" t="s">
        <v>22</v>
      </c>
      <c r="AV19" s="56">
        <v>2733</v>
      </c>
      <c r="AW19" s="56" t="s">
        <v>22</v>
      </c>
      <c r="AX19" s="56" t="s">
        <v>22</v>
      </c>
      <c r="AY19" s="56" t="s">
        <v>22</v>
      </c>
    </row>
    <row r="20" spans="1:51">
      <c r="A20" s="66">
        <v>1994</v>
      </c>
      <c r="B20" s="56">
        <f t="shared" si="0"/>
        <v>980706.82643610146</v>
      </c>
      <c r="C20" s="56">
        <f t="shared" si="1"/>
        <v>137234.94826986847</v>
      </c>
      <c r="D20" s="56">
        <f t="shared" si="2"/>
        <v>19297.755928118248</v>
      </c>
      <c r="E20" s="56">
        <f t="shared" si="3"/>
        <v>3991.2964889466821</v>
      </c>
      <c r="F20" s="56">
        <f t="shared" si="4"/>
        <v>6262.6270238691422</v>
      </c>
      <c r="G20" s="56" t="str">
        <f t="shared" si="5"/>
        <v>..</v>
      </c>
      <c r="H20" s="56" t="str">
        <f t="shared" si="6"/>
        <v>..</v>
      </c>
      <c r="I20" s="56" t="s">
        <v>22</v>
      </c>
      <c r="J20" s="56" t="s">
        <v>22</v>
      </c>
      <c r="K20" s="56" t="s">
        <v>22</v>
      </c>
      <c r="L20" s="56" t="str">
        <f>IFERROR(L21*(1/AL70),"..")</f>
        <v>..</v>
      </c>
      <c r="M20" s="56" t="s">
        <v>22</v>
      </c>
      <c r="N20" s="56" t="s">
        <v>22</v>
      </c>
      <c r="O20" s="56">
        <f t="shared" ref="O20:O31" si="13">IFERROR(O21*(1/AO70),"..")</f>
        <v>9112.1674041297902</v>
      </c>
      <c r="P20" s="56">
        <f t="shared" ref="P20:P31" si="14">IFERROR(P21*(1/AP70),"..")</f>
        <v>5853.1223612197045</v>
      </c>
      <c r="Q20" s="56" t="s">
        <v>22</v>
      </c>
      <c r="R20" s="56" t="s">
        <v>22</v>
      </c>
      <c r="S20" s="56" t="s">
        <v>22</v>
      </c>
      <c r="T20" s="56" t="s">
        <v>22</v>
      </c>
      <c r="U20" s="56" t="s">
        <v>22</v>
      </c>
      <c r="V20" s="56">
        <f t="shared" si="11"/>
        <v>3161.4423440453706</v>
      </c>
      <c r="W20" s="56" t="s">
        <v>22</v>
      </c>
      <c r="X20" s="56" t="s">
        <v>22</v>
      </c>
      <c r="Y20" s="56" t="s">
        <v>22</v>
      </c>
      <c r="Z20" s="262"/>
      <c r="AA20" s="66">
        <v>1994</v>
      </c>
      <c r="AB20" s="56">
        <v>816442</v>
      </c>
      <c r="AC20" s="56">
        <v>133564</v>
      </c>
      <c r="AD20" s="56">
        <f t="shared" si="12"/>
        <v>23561</v>
      </c>
      <c r="AE20" s="56">
        <v>5107</v>
      </c>
      <c r="AF20" s="56">
        <v>7793</v>
      </c>
      <c r="AG20" s="56" t="s">
        <v>22</v>
      </c>
      <c r="AH20" s="56" t="s">
        <v>22</v>
      </c>
      <c r="AI20" s="56" t="s">
        <v>22</v>
      </c>
      <c r="AJ20" s="56" t="s">
        <v>22</v>
      </c>
      <c r="AK20" s="56" t="s">
        <v>22</v>
      </c>
      <c r="AL20" s="56" t="s">
        <v>22</v>
      </c>
      <c r="AM20" s="56" t="s">
        <v>22</v>
      </c>
      <c r="AN20" s="56" t="s">
        <v>22</v>
      </c>
      <c r="AO20" s="56">
        <v>10661</v>
      </c>
      <c r="AP20" s="56">
        <v>7719</v>
      </c>
      <c r="AQ20" s="56" t="s">
        <v>22</v>
      </c>
      <c r="AR20" s="56" t="s">
        <v>22</v>
      </c>
      <c r="AS20" s="56" t="s">
        <v>22</v>
      </c>
      <c r="AT20" s="56" t="s">
        <v>22</v>
      </c>
      <c r="AU20" s="56" t="s">
        <v>22</v>
      </c>
      <c r="AV20" s="56">
        <v>2906</v>
      </c>
      <c r="AW20" s="56" t="s">
        <v>22</v>
      </c>
      <c r="AX20" s="56" t="s">
        <v>22</v>
      </c>
      <c r="AY20" s="56" t="s">
        <v>22</v>
      </c>
    </row>
    <row r="21" spans="1:51">
      <c r="A21" s="66">
        <v>1995</v>
      </c>
      <c r="B21" s="56">
        <f t="shared" si="0"/>
        <v>1006391.9995037329</v>
      </c>
      <c r="C21" s="56">
        <f t="shared" si="1"/>
        <v>144120.12233141492</v>
      </c>
      <c r="D21" s="56">
        <f t="shared" si="2"/>
        <v>19296.117818027156</v>
      </c>
      <c r="E21" s="56">
        <f t="shared" si="3"/>
        <v>4120.2496749024685</v>
      </c>
      <c r="F21" s="56">
        <f t="shared" si="4"/>
        <v>6214.4096978801581</v>
      </c>
      <c r="G21" s="56" t="str">
        <f t="shared" si="5"/>
        <v>..</v>
      </c>
      <c r="H21" s="56" t="str">
        <f t="shared" si="6"/>
        <v>..</v>
      </c>
      <c r="I21" s="56" t="s">
        <v>22</v>
      </c>
      <c r="J21" s="56" t="s">
        <v>22</v>
      </c>
      <c r="K21" s="56" t="s">
        <v>22</v>
      </c>
      <c r="L21" s="56" t="str">
        <f>IFERROR(L22*(1/AL71),"..")</f>
        <v>..</v>
      </c>
      <c r="M21" s="56" t="s">
        <v>22</v>
      </c>
      <c r="N21" s="56" t="s">
        <v>22</v>
      </c>
      <c r="O21" s="56">
        <f t="shared" si="13"/>
        <v>9020.7123893805292</v>
      </c>
      <c r="P21" s="56">
        <f t="shared" si="14"/>
        <v>5582.4182955433944</v>
      </c>
      <c r="Q21" s="56" t="s">
        <v>22</v>
      </c>
      <c r="R21" s="56" t="s">
        <v>22</v>
      </c>
      <c r="S21" s="56" t="s">
        <v>22</v>
      </c>
      <c r="T21" s="56" t="s">
        <v>22</v>
      </c>
      <c r="U21" s="56" t="s">
        <v>22</v>
      </c>
      <c r="V21" s="56">
        <f t="shared" si="11"/>
        <v>3416.0113421550118</v>
      </c>
      <c r="W21" s="56" t="s">
        <v>22</v>
      </c>
      <c r="X21" s="56" t="s">
        <v>22</v>
      </c>
      <c r="Y21" s="56" t="s">
        <v>22</v>
      </c>
      <c r="Z21" s="262"/>
      <c r="AA21" s="66">
        <v>1995</v>
      </c>
      <c r="AB21" s="56">
        <v>837825</v>
      </c>
      <c r="AC21" s="56">
        <v>140265</v>
      </c>
      <c r="AD21" s="56">
        <f t="shared" si="12"/>
        <v>23559</v>
      </c>
      <c r="AE21" s="56">
        <v>5272</v>
      </c>
      <c r="AF21" s="56">
        <v>7733</v>
      </c>
      <c r="AG21" s="56" t="s">
        <v>22</v>
      </c>
      <c r="AH21" s="56" t="s">
        <v>22</v>
      </c>
      <c r="AI21" s="56" t="s">
        <v>22</v>
      </c>
      <c r="AJ21" s="56" t="s">
        <v>22</v>
      </c>
      <c r="AK21" s="56" t="s">
        <v>22</v>
      </c>
      <c r="AL21" s="56" t="s">
        <v>22</v>
      </c>
      <c r="AM21" s="56" t="s">
        <v>22</v>
      </c>
      <c r="AN21" s="56" t="s">
        <v>22</v>
      </c>
      <c r="AO21" s="56">
        <v>10554</v>
      </c>
      <c r="AP21" s="56">
        <v>7362</v>
      </c>
      <c r="AQ21" s="56" t="s">
        <v>22</v>
      </c>
      <c r="AR21" s="56" t="s">
        <v>22</v>
      </c>
      <c r="AS21" s="56" t="s">
        <v>22</v>
      </c>
      <c r="AT21" s="56" t="s">
        <v>22</v>
      </c>
      <c r="AU21" s="56" t="s">
        <v>22</v>
      </c>
      <c r="AV21" s="56">
        <v>3140</v>
      </c>
      <c r="AW21" s="56" t="s">
        <v>22</v>
      </c>
      <c r="AX21" s="56" t="s">
        <v>22</v>
      </c>
      <c r="AY21" s="56" t="s">
        <v>22</v>
      </c>
    </row>
    <row r="22" spans="1:51">
      <c r="A22" s="66">
        <v>1996</v>
      </c>
      <c r="B22" s="56">
        <f t="shared" si="0"/>
        <v>1020674.2193874788</v>
      </c>
      <c r="C22" s="56">
        <f t="shared" si="1"/>
        <v>145695.25616761114</v>
      </c>
      <c r="D22" s="56">
        <f t="shared" si="2"/>
        <v>19269.089001524124</v>
      </c>
      <c r="E22" s="56">
        <f t="shared" si="3"/>
        <v>3770.1222366709994</v>
      </c>
      <c r="F22" s="56">
        <f t="shared" si="4"/>
        <v>6402.457269237193</v>
      </c>
      <c r="G22" s="56" t="str">
        <f t="shared" si="5"/>
        <v>..</v>
      </c>
      <c r="H22" s="56" t="str">
        <f t="shared" si="6"/>
        <v>..</v>
      </c>
      <c r="I22" s="56" t="s">
        <v>22</v>
      </c>
      <c r="J22" s="56" t="s">
        <v>22</v>
      </c>
      <c r="K22" s="56" t="s">
        <v>22</v>
      </c>
      <c r="L22" s="56" t="str">
        <f>IFERROR(L23*(1/AL72),"..")</f>
        <v>..</v>
      </c>
      <c r="M22" s="56" t="s">
        <v>22</v>
      </c>
      <c r="N22" s="56" t="s">
        <v>22</v>
      </c>
      <c r="O22" s="56">
        <f t="shared" si="13"/>
        <v>9175.4166666666642</v>
      </c>
      <c r="P22" s="56">
        <f t="shared" si="14"/>
        <v>5495.2167057597089</v>
      </c>
      <c r="Q22" s="56" t="s">
        <v>22</v>
      </c>
      <c r="R22" s="56" t="s">
        <v>22</v>
      </c>
      <c r="S22" s="56" t="s">
        <v>22</v>
      </c>
      <c r="T22" s="56" t="s">
        <v>22</v>
      </c>
      <c r="U22" s="56" t="s">
        <v>22</v>
      </c>
      <c r="V22" s="56">
        <f t="shared" si="11"/>
        <v>3726.0633270321387</v>
      </c>
      <c r="W22" s="56"/>
      <c r="X22" s="56"/>
      <c r="Y22" s="56" t="s">
        <v>22</v>
      </c>
      <c r="Z22" s="262"/>
      <c r="AA22" s="66">
        <v>1996</v>
      </c>
      <c r="AB22" s="56">
        <v>849715</v>
      </c>
      <c r="AC22" s="56">
        <v>141798</v>
      </c>
      <c r="AD22" s="56">
        <f t="shared" si="12"/>
        <v>23526</v>
      </c>
      <c r="AE22" s="56">
        <v>4824</v>
      </c>
      <c r="AF22" s="56">
        <v>7967</v>
      </c>
      <c r="AG22" s="56" t="s">
        <v>22</v>
      </c>
      <c r="AH22" s="56" t="s">
        <v>22</v>
      </c>
      <c r="AI22" s="56" t="s">
        <v>22</v>
      </c>
      <c r="AJ22" s="56" t="s">
        <v>22</v>
      </c>
      <c r="AK22" s="56" t="s">
        <v>22</v>
      </c>
      <c r="AL22" s="56" t="s">
        <v>22</v>
      </c>
      <c r="AM22" s="56" t="s">
        <v>22</v>
      </c>
      <c r="AN22" s="56" t="s">
        <v>22</v>
      </c>
      <c r="AO22" s="56">
        <v>10735</v>
      </c>
      <c r="AP22" s="56">
        <v>7247</v>
      </c>
      <c r="AQ22" s="56" t="s">
        <v>22</v>
      </c>
      <c r="AR22" s="56" t="s">
        <v>22</v>
      </c>
      <c r="AS22" s="56" t="s">
        <v>22</v>
      </c>
      <c r="AT22" s="56" t="s">
        <v>22</v>
      </c>
      <c r="AU22" s="56" t="s">
        <v>22</v>
      </c>
      <c r="AV22" s="56">
        <v>3425</v>
      </c>
      <c r="AW22" s="56"/>
      <c r="AX22" s="56"/>
      <c r="AY22" s="56" t="s">
        <v>22</v>
      </c>
    </row>
    <row r="23" spans="1:51">
      <c r="A23" s="66">
        <v>1997</v>
      </c>
      <c r="B23" s="56">
        <f t="shared" si="0"/>
        <v>1063585.7436201901</v>
      </c>
      <c r="C23" s="56">
        <f t="shared" si="1"/>
        <v>155200.51586666593</v>
      </c>
      <c r="D23" s="56">
        <f t="shared" si="2"/>
        <v>20642.644312905402</v>
      </c>
      <c r="E23" s="56">
        <f t="shared" si="3"/>
        <v>3976.4473342002584</v>
      </c>
      <c r="F23" s="56">
        <f t="shared" si="4"/>
        <v>7453.5949757970329</v>
      </c>
      <c r="G23" s="56">
        <f t="shared" si="5"/>
        <v>3611.8667085822058</v>
      </c>
      <c r="H23" s="56">
        <f t="shared" si="6"/>
        <v>1381.0505206324713</v>
      </c>
      <c r="I23" s="56">
        <v>618</v>
      </c>
      <c r="J23" s="56">
        <v>200</v>
      </c>
      <c r="K23" s="56">
        <v>865</v>
      </c>
      <c r="L23" s="56">
        <f t="shared" ref="L23:L31" si="15">IFERROR(L24*(1/AL73),"..")</f>
        <v>2078.2477700693762</v>
      </c>
      <c r="M23" s="56">
        <v>1127</v>
      </c>
      <c r="N23" s="56">
        <v>749</v>
      </c>
      <c r="O23" s="56">
        <f t="shared" si="13"/>
        <v>9265.1622418879033</v>
      </c>
      <c r="P23" s="56">
        <f t="shared" si="14"/>
        <v>5724.9739379723751</v>
      </c>
      <c r="Q23" s="56">
        <v>1550</v>
      </c>
      <c r="R23" s="56">
        <v>5059</v>
      </c>
      <c r="S23" s="56">
        <v>1877</v>
      </c>
      <c r="T23" s="56">
        <v>3180</v>
      </c>
      <c r="U23" s="56">
        <v>1006</v>
      </c>
      <c r="V23" s="56">
        <f t="shared" si="11"/>
        <v>3520.4499054820435</v>
      </c>
      <c r="W23" s="56">
        <v>1906</v>
      </c>
      <c r="X23" s="56">
        <v>652</v>
      </c>
      <c r="Y23" s="56">
        <v>772</v>
      </c>
      <c r="Z23" s="262"/>
      <c r="AA23" s="66">
        <v>1997</v>
      </c>
      <c r="AB23" s="56">
        <v>885439</v>
      </c>
      <c r="AC23" s="56">
        <v>151049</v>
      </c>
      <c r="AD23" s="56">
        <f t="shared" si="12"/>
        <v>25203</v>
      </c>
      <c r="AE23" s="56">
        <v>5088</v>
      </c>
      <c r="AF23" s="56">
        <v>9275</v>
      </c>
      <c r="AG23" s="56">
        <v>5576</v>
      </c>
      <c r="AH23" s="56">
        <v>1686</v>
      </c>
      <c r="AI23" s="56">
        <v>618</v>
      </c>
      <c r="AJ23" s="56">
        <v>200</v>
      </c>
      <c r="AK23" s="56">
        <v>865</v>
      </c>
      <c r="AL23" s="56">
        <v>1859</v>
      </c>
      <c r="AM23" s="56">
        <v>1127</v>
      </c>
      <c r="AN23" s="56">
        <v>749</v>
      </c>
      <c r="AO23" s="56">
        <v>10840</v>
      </c>
      <c r="AP23" s="56">
        <v>7550</v>
      </c>
      <c r="AQ23" s="56">
        <v>1550</v>
      </c>
      <c r="AR23" s="56">
        <v>5059</v>
      </c>
      <c r="AS23" s="56">
        <v>1877</v>
      </c>
      <c r="AT23" s="56">
        <v>3180</v>
      </c>
      <c r="AU23" s="56">
        <v>1006</v>
      </c>
      <c r="AV23" s="56">
        <v>3236</v>
      </c>
      <c r="AW23" s="56">
        <v>1906</v>
      </c>
      <c r="AX23" s="56">
        <v>652</v>
      </c>
      <c r="AY23" s="56">
        <v>772</v>
      </c>
    </row>
    <row r="24" spans="1:51">
      <c r="A24" s="66">
        <v>1998</v>
      </c>
      <c r="B24" s="56">
        <f t="shared" si="0"/>
        <v>1105515.8907591235</v>
      </c>
      <c r="C24" s="56">
        <f t="shared" si="1"/>
        <v>162953.91438456316</v>
      </c>
      <c r="D24" s="56">
        <f t="shared" si="2"/>
        <v>20799.902881650309</v>
      </c>
      <c r="E24" s="56">
        <f t="shared" si="3"/>
        <v>4031.9362808842634</v>
      </c>
      <c r="F24" s="56">
        <f t="shared" si="4"/>
        <v>7791.1162577199175</v>
      </c>
      <c r="G24" s="56">
        <f t="shared" si="5"/>
        <v>3798.4193649795657</v>
      </c>
      <c r="H24" s="56">
        <f t="shared" si="6"/>
        <v>1440.846895487851</v>
      </c>
      <c r="I24" s="56">
        <v>595</v>
      </c>
      <c r="J24" s="56">
        <v>220</v>
      </c>
      <c r="K24" s="56">
        <v>949</v>
      </c>
      <c r="L24" s="56">
        <f t="shared" si="15"/>
        <v>2122.9653121902879</v>
      </c>
      <c r="M24" s="56">
        <v>1176</v>
      </c>
      <c r="N24" s="56">
        <v>738</v>
      </c>
      <c r="O24" s="56">
        <f t="shared" si="13"/>
        <v>9009.6010324483741</v>
      </c>
      <c r="P24" s="56">
        <f t="shared" si="14"/>
        <v>5441.3792025019548</v>
      </c>
      <c r="Q24" s="56">
        <v>1563</v>
      </c>
      <c r="R24" s="56">
        <v>4718</v>
      </c>
      <c r="S24" s="56">
        <v>1807</v>
      </c>
      <c r="T24" s="56">
        <v>2919</v>
      </c>
      <c r="U24" s="56">
        <v>945</v>
      </c>
      <c r="V24" s="56">
        <f t="shared" si="11"/>
        <v>3674.9319470699456</v>
      </c>
      <c r="W24" s="56">
        <v>1840</v>
      </c>
      <c r="X24" s="56">
        <v>740</v>
      </c>
      <c r="Y24" s="56">
        <v>865</v>
      </c>
      <c r="Z24" s="262"/>
      <c r="AA24" s="66">
        <v>1998</v>
      </c>
      <c r="AB24" s="56">
        <v>920346</v>
      </c>
      <c r="AC24" s="56">
        <v>158595</v>
      </c>
      <c r="AD24" s="56">
        <f t="shared" si="12"/>
        <v>25395</v>
      </c>
      <c r="AE24" s="56">
        <v>5159</v>
      </c>
      <c r="AF24" s="56">
        <v>9695</v>
      </c>
      <c r="AG24" s="56">
        <v>5864</v>
      </c>
      <c r="AH24" s="56">
        <v>1759</v>
      </c>
      <c r="AI24" s="56">
        <v>595</v>
      </c>
      <c r="AJ24" s="56">
        <v>220</v>
      </c>
      <c r="AK24" s="56">
        <v>949</v>
      </c>
      <c r="AL24" s="56">
        <v>1899</v>
      </c>
      <c r="AM24" s="56">
        <v>1176</v>
      </c>
      <c r="AN24" s="56">
        <v>738</v>
      </c>
      <c r="AO24" s="56">
        <v>10541</v>
      </c>
      <c r="AP24" s="56">
        <v>7176</v>
      </c>
      <c r="AQ24" s="56">
        <v>1563</v>
      </c>
      <c r="AR24" s="56">
        <v>4718</v>
      </c>
      <c r="AS24" s="56">
        <v>1807</v>
      </c>
      <c r="AT24" s="56">
        <v>2919</v>
      </c>
      <c r="AU24" s="56">
        <v>945</v>
      </c>
      <c r="AV24" s="56">
        <v>3378</v>
      </c>
      <c r="AW24" s="56">
        <v>1840</v>
      </c>
      <c r="AX24" s="56">
        <v>740</v>
      </c>
      <c r="AY24" s="56">
        <v>865</v>
      </c>
    </row>
    <row r="25" spans="1:51">
      <c r="A25" s="66">
        <v>1999</v>
      </c>
      <c r="B25" s="56">
        <f t="shared" si="0"/>
        <v>1167491.5959653363</v>
      </c>
      <c r="C25" s="56">
        <f t="shared" si="1"/>
        <v>176192.02550364455</v>
      </c>
      <c r="D25" s="56">
        <f t="shared" si="2"/>
        <v>22275.021018679341</v>
      </c>
      <c r="E25" s="56">
        <f t="shared" si="3"/>
        <v>4180.4278283485028</v>
      </c>
      <c r="F25" s="56">
        <f t="shared" si="4"/>
        <v>8291.7728259055293</v>
      </c>
      <c r="G25" s="56">
        <f t="shared" si="5"/>
        <v>3871.6153725243626</v>
      </c>
      <c r="H25" s="56">
        <f t="shared" si="6"/>
        <v>1672.6602391052827</v>
      </c>
      <c r="I25" s="56">
        <v>703</v>
      </c>
      <c r="J25" s="56">
        <v>216</v>
      </c>
      <c r="K25" s="56">
        <v>1128</v>
      </c>
      <c r="L25" s="56">
        <f t="shared" si="15"/>
        <v>2466.1724479682857</v>
      </c>
      <c r="M25" s="56">
        <v>1425</v>
      </c>
      <c r="N25" s="56">
        <v>791</v>
      </c>
      <c r="O25" s="56">
        <f t="shared" si="13"/>
        <v>9854.0641592920329</v>
      </c>
      <c r="P25" s="56">
        <f t="shared" si="14"/>
        <v>6135.2005473025802</v>
      </c>
      <c r="Q25" s="56">
        <v>1846</v>
      </c>
      <c r="R25" s="56">
        <v>5188</v>
      </c>
      <c r="S25" s="56">
        <v>1852</v>
      </c>
      <c r="T25" s="56">
        <v>3321</v>
      </c>
      <c r="U25" s="56">
        <v>1135</v>
      </c>
      <c r="V25" s="56">
        <f t="shared" si="11"/>
        <v>3649.9102079395102</v>
      </c>
      <c r="W25" s="56">
        <v>1714</v>
      </c>
      <c r="X25" s="56">
        <v>803</v>
      </c>
      <c r="Y25" s="56">
        <v>879</v>
      </c>
      <c r="Z25" s="262"/>
      <c r="AA25" s="66">
        <v>1999</v>
      </c>
      <c r="AB25" s="56">
        <v>971941</v>
      </c>
      <c r="AC25" s="56">
        <v>171479</v>
      </c>
      <c r="AD25" s="56">
        <f t="shared" si="12"/>
        <v>27196</v>
      </c>
      <c r="AE25" s="56">
        <v>5349</v>
      </c>
      <c r="AF25" s="56">
        <v>10318</v>
      </c>
      <c r="AG25" s="56">
        <v>5977</v>
      </c>
      <c r="AH25" s="56">
        <v>2042</v>
      </c>
      <c r="AI25" s="56">
        <v>703</v>
      </c>
      <c r="AJ25" s="56">
        <v>216</v>
      </c>
      <c r="AK25" s="56">
        <v>1128</v>
      </c>
      <c r="AL25" s="56">
        <v>2206</v>
      </c>
      <c r="AM25" s="56">
        <v>1425</v>
      </c>
      <c r="AN25" s="56">
        <v>791</v>
      </c>
      <c r="AO25" s="56">
        <v>11529</v>
      </c>
      <c r="AP25" s="56">
        <v>8091</v>
      </c>
      <c r="AQ25" s="56">
        <v>1846</v>
      </c>
      <c r="AR25" s="56">
        <v>5188</v>
      </c>
      <c r="AS25" s="56">
        <v>1852</v>
      </c>
      <c r="AT25" s="56">
        <v>3321</v>
      </c>
      <c r="AU25" s="56">
        <v>1135</v>
      </c>
      <c r="AV25" s="56">
        <v>3355</v>
      </c>
      <c r="AW25" s="56">
        <v>1714</v>
      </c>
      <c r="AX25" s="56">
        <v>803</v>
      </c>
      <c r="AY25" s="56">
        <v>879</v>
      </c>
    </row>
    <row r="26" spans="1:51">
      <c r="A26" s="66">
        <v>2000</v>
      </c>
      <c r="B26" s="56">
        <f t="shared" si="0"/>
        <v>1231910.5337403917</v>
      </c>
      <c r="C26" s="56">
        <f t="shared" si="1"/>
        <v>195867.32741448664</v>
      </c>
      <c r="D26" s="56">
        <f t="shared" si="2"/>
        <v>23842.692375855109</v>
      </c>
      <c r="E26" s="56">
        <f t="shared" si="3"/>
        <v>4427.3927178153426</v>
      </c>
      <c r="F26" s="56">
        <f t="shared" si="4"/>
        <v>9197.454932398603</v>
      </c>
      <c r="G26" s="56">
        <f t="shared" si="5"/>
        <v>4254.4369695064433</v>
      </c>
      <c r="H26" s="56">
        <f t="shared" si="6"/>
        <v>1804.5399151561892</v>
      </c>
      <c r="I26" s="56">
        <v>800</v>
      </c>
      <c r="J26" s="56">
        <v>230</v>
      </c>
      <c r="K26" s="56">
        <v>1171</v>
      </c>
      <c r="L26" s="56">
        <f t="shared" si="15"/>
        <v>2896.5787908820621</v>
      </c>
      <c r="M26" s="56">
        <v>1685</v>
      </c>
      <c r="N26" s="56">
        <v>917</v>
      </c>
      <c r="O26" s="56">
        <f t="shared" si="13"/>
        <v>10256.637168141591</v>
      </c>
      <c r="P26" s="56">
        <f t="shared" si="14"/>
        <v>6533.2947615324474</v>
      </c>
      <c r="Q26" s="56">
        <v>1905</v>
      </c>
      <c r="R26" s="56">
        <v>5679</v>
      </c>
      <c r="S26" s="56">
        <v>2150</v>
      </c>
      <c r="T26" s="56">
        <v>3534</v>
      </c>
      <c r="U26" s="56">
        <v>1062</v>
      </c>
      <c r="V26" s="56">
        <f t="shared" si="11"/>
        <v>3505.2192816635179</v>
      </c>
      <c r="W26" s="56">
        <v>1641</v>
      </c>
      <c r="X26" s="56">
        <v>770</v>
      </c>
      <c r="Y26" s="56">
        <v>849</v>
      </c>
      <c r="Z26" s="262"/>
      <c r="AA26" s="66">
        <v>2000</v>
      </c>
      <c r="AB26" s="56">
        <v>1025570</v>
      </c>
      <c r="AC26" s="56">
        <v>190628</v>
      </c>
      <c r="AD26" s="56">
        <f t="shared" si="12"/>
        <v>29110</v>
      </c>
      <c r="AE26" s="56">
        <v>5665</v>
      </c>
      <c r="AF26" s="56">
        <v>11445</v>
      </c>
      <c r="AG26" s="56">
        <v>6568</v>
      </c>
      <c r="AH26" s="56">
        <v>2203</v>
      </c>
      <c r="AI26" s="56">
        <v>800</v>
      </c>
      <c r="AJ26" s="56">
        <v>230</v>
      </c>
      <c r="AK26" s="56">
        <v>1171</v>
      </c>
      <c r="AL26" s="56">
        <v>2591</v>
      </c>
      <c r="AM26" s="56">
        <v>1685</v>
      </c>
      <c r="AN26" s="56">
        <v>917</v>
      </c>
      <c r="AO26" s="56">
        <v>12000</v>
      </c>
      <c r="AP26" s="56">
        <v>8616</v>
      </c>
      <c r="AQ26" s="56">
        <v>1905</v>
      </c>
      <c r="AR26" s="56">
        <v>5679</v>
      </c>
      <c r="AS26" s="56">
        <v>2150</v>
      </c>
      <c r="AT26" s="56">
        <v>3534</v>
      </c>
      <c r="AU26" s="56">
        <v>1062</v>
      </c>
      <c r="AV26" s="56">
        <v>3222</v>
      </c>
      <c r="AW26" s="56">
        <v>1641</v>
      </c>
      <c r="AX26" s="56">
        <v>770</v>
      </c>
      <c r="AY26" s="56">
        <v>849</v>
      </c>
    </row>
    <row r="27" spans="1:51">
      <c r="A27" s="66">
        <v>2001</v>
      </c>
      <c r="B27" s="56">
        <f t="shared" si="0"/>
        <v>1250963.903950314</v>
      </c>
      <c r="C27" s="56">
        <f t="shared" si="1"/>
        <v>186265.48416644134</v>
      </c>
      <c r="D27" s="56">
        <f t="shared" si="2"/>
        <v>22799.216247829019</v>
      </c>
      <c r="E27" s="56">
        <f t="shared" si="3"/>
        <v>4442.2418725617672</v>
      </c>
      <c r="F27" s="56">
        <f t="shared" si="4"/>
        <v>8734.5686029043609</v>
      </c>
      <c r="G27" s="56">
        <f t="shared" si="5"/>
        <v>3896.8777114115051</v>
      </c>
      <c r="H27" s="56">
        <f t="shared" si="6"/>
        <v>1805.3590435788658</v>
      </c>
      <c r="I27" s="56">
        <v>792</v>
      </c>
      <c r="J27" s="56">
        <v>263</v>
      </c>
      <c r="K27" s="56">
        <v>1148</v>
      </c>
      <c r="L27" s="56">
        <f t="shared" si="15"/>
        <v>2956.9474727452925</v>
      </c>
      <c r="M27" s="56">
        <v>1756</v>
      </c>
      <c r="N27" s="56">
        <v>894</v>
      </c>
      <c r="O27" s="56">
        <f t="shared" si="13"/>
        <v>9643.8030973451314</v>
      </c>
      <c r="P27" s="56">
        <f t="shared" si="14"/>
        <v>5859.946833463644</v>
      </c>
      <c r="Q27" s="56">
        <v>1760</v>
      </c>
      <c r="R27" s="56">
        <v>5004</v>
      </c>
      <c r="S27" s="56">
        <v>1890</v>
      </c>
      <c r="T27" s="56">
        <v>3118</v>
      </c>
      <c r="U27" s="56">
        <v>1010</v>
      </c>
      <c r="V27" s="56">
        <f t="shared" si="11"/>
        <v>3862.0510396975442</v>
      </c>
      <c r="W27" s="56">
        <v>1738</v>
      </c>
      <c r="X27" s="56">
        <v>1007</v>
      </c>
      <c r="Y27" s="56">
        <v>829</v>
      </c>
      <c r="Z27" s="262"/>
      <c r="AA27" s="66">
        <v>2001</v>
      </c>
      <c r="AB27" s="56">
        <v>1041432</v>
      </c>
      <c r="AC27" s="56">
        <v>181283</v>
      </c>
      <c r="AD27" s="56">
        <f t="shared" si="12"/>
        <v>27836</v>
      </c>
      <c r="AE27" s="56">
        <v>5684</v>
      </c>
      <c r="AF27" s="56">
        <v>10869</v>
      </c>
      <c r="AG27" s="56">
        <v>6016</v>
      </c>
      <c r="AH27" s="56">
        <v>2204</v>
      </c>
      <c r="AI27" s="56">
        <v>792</v>
      </c>
      <c r="AJ27" s="56">
        <v>263</v>
      </c>
      <c r="AK27" s="56">
        <v>1148</v>
      </c>
      <c r="AL27" s="56">
        <v>2645</v>
      </c>
      <c r="AM27" s="56">
        <v>1756</v>
      </c>
      <c r="AN27" s="56">
        <v>894</v>
      </c>
      <c r="AO27" s="56">
        <v>11283</v>
      </c>
      <c r="AP27" s="56">
        <v>7728</v>
      </c>
      <c r="AQ27" s="56">
        <v>1760</v>
      </c>
      <c r="AR27" s="56">
        <v>5004</v>
      </c>
      <c r="AS27" s="56">
        <v>1890</v>
      </c>
      <c r="AT27" s="56">
        <v>3118</v>
      </c>
      <c r="AU27" s="56">
        <v>1010</v>
      </c>
      <c r="AV27" s="56">
        <v>3550</v>
      </c>
      <c r="AW27" s="56">
        <v>1738</v>
      </c>
      <c r="AX27" s="56">
        <v>1007</v>
      </c>
      <c r="AY27" s="56">
        <v>829</v>
      </c>
    </row>
    <row r="28" spans="1:51">
      <c r="A28" s="66">
        <v>2002</v>
      </c>
      <c r="B28" s="56">
        <f t="shared" si="0"/>
        <v>1283799.7965274442</v>
      </c>
      <c r="C28" s="56">
        <f t="shared" si="1"/>
        <v>187758.41923753923</v>
      </c>
      <c r="D28" s="56">
        <f t="shared" si="2"/>
        <v>24438.964449012874</v>
      </c>
      <c r="E28" s="56">
        <f t="shared" si="3"/>
        <v>4605.5825747724311</v>
      </c>
      <c r="F28" s="56">
        <f t="shared" si="4"/>
        <v>9707.7549657820109</v>
      </c>
      <c r="G28" s="56">
        <f t="shared" si="5"/>
        <v>4322.4509588179808</v>
      </c>
      <c r="H28" s="56">
        <f t="shared" si="6"/>
        <v>2046.1827998457381</v>
      </c>
      <c r="I28" s="56">
        <v>880</v>
      </c>
      <c r="J28" s="56">
        <v>354</v>
      </c>
      <c r="K28" s="56">
        <v>1264</v>
      </c>
      <c r="L28" s="56">
        <f t="shared" si="15"/>
        <v>3252.0832507433111</v>
      </c>
      <c r="M28" s="56">
        <v>1990</v>
      </c>
      <c r="N28" s="56">
        <v>919</v>
      </c>
      <c r="O28" s="56">
        <f t="shared" si="13"/>
        <v>10141.249999999998</v>
      </c>
      <c r="P28" s="56">
        <f t="shared" si="14"/>
        <v>6152.6408652593182</v>
      </c>
      <c r="Q28" s="56">
        <v>1798</v>
      </c>
      <c r="R28" s="56">
        <v>5390</v>
      </c>
      <c r="S28" s="56">
        <v>2014</v>
      </c>
      <c r="T28" s="56">
        <v>3376</v>
      </c>
      <c r="U28" s="56">
        <v>926</v>
      </c>
      <c r="V28" s="56">
        <f t="shared" si="11"/>
        <v>4080.7192816635179</v>
      </c>
      <c r="W28" s="56">
        <v>1720</v>
      </c>
      <c r="X28" s="56">
        <v>1115</v>
      </c>
      <c r="Y28" s="56">
        <v>916</v>
      </c>
      <c r="Z28" s="262"/>
      <c r="AA28" s="66">
        <v>2002</v>
      </c>
      <c r="AB28" s="56">
        <v>1068768</v>
      </c>
      <c r="AC28" s="56">
        <v>182736</v>
      </c>
      <c r="AD28" s="56">
        <f t="shared" si="12"/>
        <v>29838</v>
      </c>
      <c r="AE28" s="56">
        <v>5893</v>
      </c>
      <c r="AF28" s="56">
        <v>12080</v>
      </c>
      <c r="AG28" s="56">
        <v>6673</v>
      </c>
      <c r="AH28" s="56">
        <v>2498</v>
      </c>
      <c r="AI28" s="56">
        <v>880</v>
      </c>
      <c r="AJ28" s="56">
        <v>354</v>
      </c>
      <c r="AK28" s="56">
        <v>1264</v>
      </c>
      <c r="AL28" s="56">
        <v>2909</v>
      </c>
      <c r="AM28" s="56">
        <v>1990</v>
      </c>
      <c r="AN28" s="56">
        <v>919</v>
      </c>
      <c r="AO28" s="56">
        <v>11865</v>
      </c>
      <c r="AP28" s="56">
        <v>8114</v>
      </c>
      <c r="AQ28" s="56">
        <v>1798</v>
      </c>
      <c r="AR28" s="56">
        <v>5390</v>
      </c>
      <c r="AS28" s="56">
        <v>2014</v>
      </c>
      <c r="AT28" s="56">
        <v>3376</v>
      </c>
      <c r="AU28" s="56">
        <v>926</v>
      </c>
      <c r="AV28" s="56">
        <v>3751</v>
      </c>
      <c r="AW28" s="56">
        <v>1720</v>
      </c>
      <c r="AX28" s="56">
        <v>1115</v>
      </c>
      <c r="AY28" s="56">
        <v>916</v>
      </c>
    </row>
    <row r="29" spans="1:51">
      <c r="A29" s="66">
        <v>2003</v>
      </c>
      <c r="B29" s="56">
        <f t="shared" si="0"/>
        <v>1311078.9566249943</v>
      </c>
      <c r="C29" s="56">
        <f t="shared" si="1"/>
        <v>186197.67018523524</v>
      </c>
      <c r="D29" s="56">
        <f t="shared" si="2"/>
        <v>24399.649806826645</v>
      </c>
      <c r="E29" s="56">
        <f t="shared" si="3"/>
        <v>4504.7646293888165</v>
      </c>
      <c r="F29" s="56">
        <f t="shared" si="4"/>
        <v>9752.7578033717273</v>
      </c>
      <c r="G29" s="56">
        <f t="shared" si="5"/>
        <v>4246.0161898773968</v>
      </c>
      <c r="H29" s="56">
        <f t="shared" si="6"/>
        <v>2132.1912842267639</v>
      </c>
      <c r="I29" s="56">
        <v>813</v>
      </c>
      <c r="J29" s="56">
        <v>398</v>
      </c>
      <c r="K29" s="56">
        <v>1392</v>
      </c>
      <c r="L29" s="56">
        <f t="shared" si="15"/>
        <v>3329.2210109018838</v>
      </c>
      <c r="M29" s="56">
        <v>2002</v>
      </c>
      <c r="N29" s="56">
        <v>976</v>
      </c>
      <c r="O29" s="56">
        <f t="shared" si="13"/>
        <v>10162.617994100294</v>
      </c>
      <c r="P29" s="56">
        <f t="shared" si="14"/>
        <v>6094.2537138389371</v>
      </c>
      <c r="Q29" s="56">
        <v>1705</v>
      </c>
      <c r="R29" s="56">
        <v>5470</v>
      </c>
      <c r="S29" s="56">
        <v>2577</v>
      </c>
      <c r="T29" s="56">
        <v>2893</v>
      </c>
      <c r="U29" s="56">
        <v>862</v>
      </c>
      <c r="V29" s="56">
        <f t="shared" si="11"/>
        <v>4191.6852551984894</v>
      </c>
      <c r="W29" s="56">
        <v>1784</v>
      </c>
      <c r="X29" s="56">
        <v>1134</v>
      </c>
      <c r="Y29" s="56">
        <v>935</v>
      </c>
      <c r="Z29" s="262"/>
      <c r="AA29" s="66">
        <v>2003</v>
      </c>
      <c r="AB29" s="56">
        <v>1091478</v>
      </c>
      <c r="AC29" s="56">
        <v>181217</v>
      </c>
      <c r="AD29" s="56">
        <f t="shared" si="12"/>
        <v>29790</v>
      </c>
      <c r="AE29" s="56">
        <v>5764</v>
      </c>
      <c r="AF29" s="56">
        <v>12136</v>
      </c>
      <c r="AG29" s="56">
        <v>6555</v>
      </c>
      <c r="AH29" s="56">
        <v>2603</v>
      </c>
      <c r="AI29" s="56">
        <v>813</v>
      </c>
      <c r="AJ29" s="56">
        <v>398</v>
      </c>
      <c r="AK29" s="56">
        <v>1392</v>
      </c>
      <c r="AL29" s="56">
        <v>2978</v>
      </c>
      <c r="AM29" s="56">
        <v>2002</v>
      </c>
      <c r="AN29" s="56">
        <v>976</v>
      </c>
      <c r="AO29" s="56">
        <v>11890</v>
      </c>
      <c r="AP29" s="56">
        <v>8037</v>
      </c>
      <c r="AQ29" s="56">
        <v>1705</v>
      </c>
      <c r="AR29" s="56">
        <v>5470</v>
      </c>
      <c r="AS29" s="56">
        <v>2577</v>
      </c>
      <c r="AT29" s="56">
        <v>2893</v>
      </c>
      <c r="AU29" s="56">
        <v>862</v>
      </c>
      <c r="AV29" s="56">
        <v>3853</v>
      </c>
      <c r="AW29" s="56">
        <v>1784</v>
      </c>
      <c r="AX29" s="56">
        <v>1134</v>
      </c>
      <c r="AY29" s="56">
        <v>935</v>
      </c>
    </row>
    <row r="30" spans="1:51">
      <c r="A30" s="66">
        <v>2004</v>
      </c>
      <c r="B30" s="56">
        <f t="shared" si="0"/>
        <v>1352648.7449779627</v>
      </c>
      <c r="C30" s="56">
        <f t="shared" si="1"/>
        <v>189851.40529385471</v>
      </c>
      <c r="D30" s="56">
        <f t="shared" si="2"/>
        <v>25210.514301917559</v>
      </c>
      <c r="E30" s="56">
        <f t="shared" si="3"/>
        <v>4820.5045513654095</v>
      </c>
      <c r="F30" s="56">
        <f t="shared" si="4"/>
        <v>10124.834835586717</v>
      </c>
      <c r="G30" s="56">
        <f t="shared" si="5"/>
        <v>4376.8621502672113</v>
      </c>
      <c r="H30" s="56">
        <f t="shared" si="6"/>
        <v>2204.2745854222903</v>
      </c>
      <c r="I30" s="56">
        <v>819</v>
      </c>
      <c r="J30" s="56">
        <v>421</v>
      </c>
      <c r="K30" s="56">
        <v>1451</v>
      </c>
      <c r="L30" s="56">
        <f t="shared" si="15"/>
        <v>3522.6243805748272</v>
      </c>
      <c r="M30" s="56">
        <v>2144</v>
      </c>
      <c r="N30" s="56">
        <v>1007</v>
      </c>
      <c r="O30" s="56">
        <f t="shared" si="13"/>
        <v>10267.748525073745</v>
      </c>
      <c r="P30" s="56">
        <f t="shared" si="14"/>
        <v>6254.2496742246549</v>
      </c>
      <c r="Q30" s="56">
        <v>1852</v>
      </c>
      <c r="R30" s="56">
        <v>5556</v>
      </c>
      <c r="S30" s="56">
        <v>2752</v>
      </c>
      <c r="T30" s="56">
        <v>2804</v>
      </c>
      <c r="U30" s="56">
        <v>840</v>
      </c>
      <c r="V30" s="56">
        <f t="shared" si="11"/>
        <v>4095.9499054820426</v>
      </c>
      <c r="W30" s="56">
        <v>1747</v>
      </c>
      <c r="X30" s="56">
        <v>1093</v>
      </c>
      <c r="Y30" s="56">
        <v>925</v>
      </c>
      <c r="Z30" s="262"/>
      <c r="AA30" s="66">
        <v>2004</v>
      </c>
      <c r="AB30" s="56">
        <v>1126085</v>
      </c>
      <c r="AC30" s="56">
        <v>184773</v>
      </c>
      <c r="AD30" s="56">
        <f t="shared" si="12"/>
        <v>30780</v>
      </c>
      <c r="AE30" s="56">
        <v>6168</v>
      </c>
      <c r="AF30" s="56">
        <v>12599</v>
      </c>
      <c r="AG30" s="56">
        <v>6757</v>
      </c>
      <c r="AH30" s="56">
        <v>2691</v>
      </c>
      <c r="AI30" s="56">
        <v>819</v>
      </c>
      <c r="AJ30" s="56">
        <v>421</v>
      </c>
      <c r="AK30" s="56">
        <v>1451</v>
      </c>
      <c r="AL30" s="56">
        <v>3151</v>
      </c>
      <c r="AM30" s="56">
        <v>2144</v>
      </c>
      <c r="AN30" s="56">
        <v>1007</v>
      </c>
      <c r="AO30" s="56">
        <v>12013</v>
      </c>
      <c r="AP30" s="56">
        <v>8248</v>
      </c>
      <c r="AQ30" s="56">
        <v>1852</v>
      </c>
      <c r="AR30" s="56">
        <v>5556</v>
      </c>
      <c r="AS30" s="56">
        <v>2752</v>
      </c>
      <c r="AT30" s="56">
        <v>2804</v>
      </c>
      <c r="AU30" s="56">
        <v>840</v>
      </c>
      <c r="AV30" s="56">
        <v>3765</v>
      </c>
      <c r="AW30" s="56">
        <v>1747</v>
      </c>
      <c r="AX30" s="56">
        <v>1093</v>
      </c>
      <c r="AY30" s="56">
        <v>925</v>
      </c>
    </row>
    <row r="31" spans="1:51">
      <c r="A31" s="66">
        <v>2005</v>
      </c>
      <c r="B31" s="56">
        <f t="shared" si="0"/>
        <v>1395810.117968943</v>
      </c>
      <c r="C31" s="56">
        <f t="shared" si="1"/>
        <v>193211.27981724779</v>
      </c>
      <c r="D31" s="56">
        <f t="shared" si="2"/>
        <v>26011.550136461919</v>
      </c>
      <c r="E31" s="56">
        <f t="shared" si="3"/>
        <v>4865.8335500650192</v>
      </c>
      <c r="F31" s="56">
        <f t="shared" si="4"/>
        <v>10787.019445835422</v>
      </c>
      <c r="G31" s="56">
        <f t="shared" si="5"/>
        <v>4856.1988368437596</v>
      </c>
      <c r="H31" s="56">
        <f t="shared" si="6"/>
        <v>2420.5244890088698</v>
      </c>
      <c r="I31" s="56">
        <v>919</v>
      </c>
      <c r="J31" s="56">
        <v>433</v>
      </c>
      <c r="K31" s="56">
        <v>1603</v>
      </c>
      <c r="L31" s="56">
        <f t="shared" si="15"/>
        <v>3321.3954410307238</v>
      </c>
      <c r="M31" s="56">
        <v>1987</v>
      </c>
      <c r="N31" s="56">
        <v>984</v>
      </c>
      <c r="O31" s="56">
        <f t="shared" si="13"/>
        <v>10349.801622418878</v>
      </c>
      <c r="P31" s="56">
        <f t="shared" si="14"/>
        <v>6402.8715142038045</v>
      </c>
      <c r="Q31" s="56">
        <v>1810</v>
      </c>
      <c r="R31" s="56">
        <v>5815</v>
      </c>
      <c r="S31" s="56">
        <v>2777</v>
      </c>
      <c r="T31" s="56">
        <v>3038</v>
      </c>
      <c r="U31" s="56">
        <v>819</v>
      </c>
      <c r="V31" s="56">
        <f t="shared" si="11"/>
        <v>3987.1597353497173</v>
      </c>
      <c r="W31" s="56">
        <v>1643</v>
      </c>
      <c r="X31" s="56">
        <v>1118</v>
      </c>
      <c r="Y31" s="56">
        <v>904</v>
      </c>
      <c r="Z31" s="262"/>
      <c r="AA31" s="66">
        <v>2005</v>
      </c>
      <c r="AB31" s="56">
        <v>1162017</v>
      </c>
      <c r="AC31" s="56">
        <v>188043</v>
      </c>
      <c r="AD31" s="56">
        <f t="shared" si="12"/>
        <v>31758</v>
      </c>
      <c r="AE31" s="56">
        <v>6226</v>
      </c>
      <c r="AF31" s="56">
        <v>13423</v>
      </c>
      <c r="AG31" s="56">
        <v>7497</v>
      </c>
      <c r="AH31" s="56">
        <v>2955</v>
      </c>
      <c r="AI31" s="56">
        <v>919</v>
      </c>
      <c r="AJ31" s="56">
        <v>433</v>
      </c>
      <c r="AK31" s="56">
        <v>1603</v>
      </c>
      <c r="AL31" s="56">
        <v>2971</v>
      </c>
      <c r="AM31" s="56">
        <v>1987</v>
      </c>
      <c r="AN31" s="56">
        <v>984</v>
      </c>
      <c r="AO31" s="56">
        <v>12109</v>
      </c>
      <c r="AP31" s="56">
        <v>8444</v>
      </c>
      <c r="AQ31" s="56">
        <v>1810</v>
      </c>
      <c r="AR31" s="56">
        <v>5815</v>
      </c>
      <c r="AS31" s="56">
        <v>2777</v>
      </c>
      <c r="AT31" s="56">
        <v>3038</v>
      </c>
      <c r="AU31" s="56">
        <v>819</v>
      </c>
      <c r="AV31" s="56">
        <v>3665</v>
      </c>
      <c r="AW31" s="56">
        <v>1643</v>
      </c>
      <c r="AX31" s="56">
        <v>1118</v>
      </c>
      <c r="AY31" s="56">
        <v>904</v>
      </c>
    </row>
    <row r="32" spans="1:51">
      <c r="A32" s="66">
        <v>2006</v>
      </c>
      <c r="B32" s="56">
        <f>IFERROR(B33*(1/AB82),"..")</f>
        <v>1434149.8904037119</v>
      </c>
      <c r="C32" s="56">
        <f t="shared" si="1"/>
        <v>190447.34634081743</v>
      </c>
      <c r="D32" s="56">
        <f t="shared" si="2"/>
        <v>24613.423173714247</v>
      </c>
      <c r="E32" s="56">
        <f t="shared" si="3"/>
        <v>4639.18855656697</v>
      </c>
      <c r="F32" s="56">
        <f t="shared" si="4"/>
        <v>10672.905107661494</v>
      </c>
      <c r="G32" s="56">
        <f t="shared" si="5"/>
        <v>4723.4096196164728</v>
      </c>
      <c r="H32" s="56">
        <f t="shared" si="6"/>
        <v>2404.1419205553411</v>
      </c>
      <c r="I32" s="56">
        <v>872</v>
      </c>
      <c r="J32" s="56">
        <v>445</v>
      </c>
      <c r="K32" s="56">
        <v>1618</v>
      </c>
      <c r="L32" s="56">
        <f t="shared" ref="L32" si="16">IFERROR(L33*(1/AL82),"..")</f>
        <v>3414.1843409316157</v>
      </c>
      <c r="M32" s="56">
        <v>2031</v>
      </c>
      <c r="N32" s="56">
        <v>1023</v>
      </c>
      <c r="O32" s="56">
        <f t="shared" ref="O32:P32" si="17">IFERROR(O33*(1/AO82),"..")</f>
        <v>9260.0339233038339</v>
      </c>
      <c r="P32" s="56">
        <f t="shared" si="17"/>
        <v>5681.7522804274167</v>
      </c>
      <c r="Q32" s="56">
        <v>1676</v>
      </c>
      <c r="R32" s="56">
        <v>5033</v>
      </c>
      <c r="S32" s="56">
        <v>2285</v>
      </c>
      <c r="T32" s="56">
        <v>2748</v>
      </c>
      <c r="U32" s="56">
        <v>784</v>
      </c>
      <c r="V32" s="56">
        <f t="shared" ref="V32" si="18">IFERROR(V33*(1/AV82),"..")</f>
        <v>3634.6795841209832</v>
      </c>
      <c r="W32" s="56">
        <v>1541</v>
      </c>
      <c r="X32" s="56">
        <v>948</v>
      </c>
      <c r="Y32" s="56">
        <v>852</v>
      </c>
      <c r="Z32" s="262"/>
      <c r="AA32" s="66">
        <v>2006</v>
      </c>
      <c r="AB32" s="56">
        <v>1193935</v>
      </c>
      <c r="AC32" s="56">
        <v>185353</v>
      </c>
      <c r="AD32" s="56">
        <f t="shared" si="12"/>
        <v>30051</v>
      </c>
      <c r="AE32" s="56">
        <v>5936</v>
      </c>
      <c r="AF32" s="56">
        <v>13281</v>
      </c>
      <c r="AG32" s="56">
        <v>7292</v>
      </c>
      <c r="AH32" s="56">
        <v>2935</v>
      </c>
      <c r="AI32" s="56">
        <v>872</v>
      </c>
      <c r="AJ32" s="56">
        <v>445</v>
      </c>
      <c r="AK32" s="56">
        <v>1618</v>
      </c>
      <c r="AL32" s="56">
        <v>3054</v>
      </c>
      <c r="AM32" s="56">
        <v>2031</v>
      </c>
      <c r="AN32" s="56">
        <v>1023</v>
      </c>
      <c r="AO32" s="56">
        <v>10834</v>
      </c>
      <c r="AP32" s="56">
        <v>7493</v>
      </c>
      <c r="AQ32" s="56">
        <v>1676</v>
      </c>
      <c r="AR32" s="56">
        <v>5033</v>
      </c>
      <c r="AS32" s="56">
        <v>2285</v>
      </c>
      <c r="AT32" s="56">
        <v>2748</v>
      </c>
      <c r="AU32" s="56">
        <v>784</v>
      </c>
      <c r="AV32" s="56">
        <v>3341</v>
      </c>
      <c r="AW32" s="56">
        <v>1541</v>
      </c>
      <c r="AX32" s="56">
        <v>948</v>
      </c>
      <c r="AY32" s="56">
        <v>852</v>
      </c>
    </row>
    <row r="33" spans="1:51">
      <c r="A33" s="66">
        <v>2007</v>
      </c>
      <c r="B33" s="56">
        <f>AB98</f>
        <v>1466802</v>
      </c>
      <c r="C33" s="56">
        <f>AC98</f>
        <v>186210</v>
      </c>
      <c r="D33" s="56">
        <f t="shared" ref="D33:D38" si="19">E33+F33+O33</f>
        <v>23108</v>
      </c>
      <c r="E33" s="56">
        <f>AE98</f>
        <v>4207</v>
      </c>
      <c r="F33" s="56">
        <f t="shared" ref="F33:H33" si="20">AF98</f>
        <v>9629</v>
      </c>
      <c r="G33" s="56">
        <f t="shared" si="20"/>
        <v>4121</v>
      </c>
      <c r="H33" s="56">
        <f t="shared" si="20"/>
        <v>2124</v>
      </c>
      <c r="I33" s="56">
        <v>751</v>
      </c>
      <c r="J33" s="56">
        <v>430</v>
      </c>
      <c r="K33" s="56">
        <v>1412</v>
      </c>
      <c r="L33" s="56">
        <f t="shared" ref="L33:L38" si="21">AL98</f>
        <v>3384</v>
      </c>
      <c r="M33" s="56">
        <v>2018</v>
      </c>
      <c r="N33" s="56">
        <v>1009</v>
      </c>
      <c r="O33" s="56">
        <f t="shared" ref="O33:P33" si="22">AO98</f>
        <v>9272</v>
      </c>
      <c r="P33" s="56">
        <f t="shared" si="22"/>
        <v>5819</v>
      </c>
      <c r="Q33" s="56">
        <v>1744</v>
      </c>
      <c r="R33" s="56">
        <v>5170</v>
      </c>
      <c r="S33" s="56">
        <v>2467</v>
      </c>
      <c r="T33" s="56">
        <v>2703</v>
      </c>
      <c r="U33" s="56">
        <v>760</v>
      </c>
      <c r="V33" s="56">
        <f t="shared" ref="V33:V38" si="23">AV98</f>
        <v>3453</v>
      </c>
      <c r="W33" s="56">
        <v>1488</v>
      </c>
      <c r="X33" s="56">
        <v>857</v>
      </c>
      <c r="Y33" s="56">
        <v>829</v>
      </c>
      <c r="Z33" s="262"/>
      <c r="AA33" s="66">
        <v>2007</v>
      </c>
      <c r="AB33" s="56">
        <v>1221118</v>
      </c>
      <c r="AC33" s="56">
        <v>181229</v>
      </c>
      <c r="AD33" s="56">
        <f t="shared" si="12"/>
        <v>28213</v>
      </c>
      <c r="AE33" s="56">
        <v>5383</v>
      </c>
      <c r="AF33" s="56">
        <v>11982</v>
      </c>
      <c r="AG33" s="56">
        <v>6362</v>
      </c>
      <c r="AH33" s="56">
        <v>2593</v>
      </c>
      <c r="AI33" s="56">
        <v>751</v>
      </c>
      <c r="AJ33" s="56">
        <v>430</v>
      </c>
      <c r="AK33" s="56">
        <v>1412</v>
      </c>
      <c r="AL33" s="56">
        <v>3027</v>
      </c>
      <c r="AM33" s="56">
        <v>2018</v>
      </c>
      <c r="AN33" s="56">
        <v>1009</v>
      </c>
      <c r="AO33" s="56">
        <v>10848</v>
      </c>
      <c r="AP33" s="56">
        <v>7674</v>
      </c>
      <c r="AQ33" s="56">
        <v>1744</v>
      </c>
      <c r="AR33" s="56">
        <v>5170</v>
      </c>
      <c r="AS33" s="56">
        <v>2467</v>
      </c>
      <c r="AT33" s="56">
        <v>2703</v>
      </c>
      <c r="AU33" s="56">
        <v>760</v>
      </c>
      <c r="AV33" s="56">
        <v>3174</v>
      </c>
      <c r="AW33" s="56">
        <v>1488</v>
      </c>
      <c r="AX33" s="56">
        <v>857</v>
      </c>
      <c r="AY33" s="56">
        <v>829</v>
      </c>
    </row>
    <row r="34" spans="1:51">
      <c r="A34" s="66">
        <v>2008</v>
      </c>
      <c r="B34" s="56">
        <f t="shared" ref="B34:C34" si="24">AB99</f>
        <v>1481327</v>
      </c>
      <c r="C34" s="56">
        <f t="shared" si="24"/>
        <v>176288</v>
      </c>
      <c r="D34" s="56">
        <f t="shared" si="19"/>
        <v>21114</v>
      </c>
      <c r="E34" s="56">
        <f t="shared" ref="E34:E38" si="25">AE99</f>
        <v>3950</v>
      </c>
      <c r="F34" s="56">
        <f t="shared" ref="F34:F38" si="26">AF99</f>
        <v>8584</v>
      </c>
      <c r="G34" s="56">
        <f t="shared" ref="G34:G38" si="27">AG99</f>
        <v>3640</v>
      </c>
      <c r="H34" s="56">
        <f t="shared" ref="H34:H38" si="28">AH99</f>
        <v>1820</v>
      </c>
      <c r="I34" s="56">
        <v>665</v>
      </c>
      <c r="J34" s="56">
        <v>396</v>
      </c>
      <c r="K34" s="56">
        <v>972</v>
      </c>
      <c r="L34" s="56">
        <f t="shared" si="21"/>
        <v>3124</v>
      </c>
      <c r="M34" s="56">
        <v>1923</v>
      </c>
      <c r="N34" s="56">
        <v>935</v>
      </c>
      <c r="O34" s="56">
        <f t="shared" ref="O34:O38" si="29">AO99</f>
        <v>8580</v>
      </c>
      <c r="P34" s="56">
        <f t="shared" ref="P34:P38" si="30">AP99</f>
        <v>5310</v>
      </c>
      <c r="Q34" s="56">
        <v>1544</v>
      </c>
      <c r="R34" s="56">
        <v>4574</v>
      </c>
      <c r="S34" s="56">
        <v>2292</v>
      </c>
      <c r="T34" s="56">
        <v>2282</v>
      </c>
      <c r="U34" s="56">
        <v>787</v>
      </c>
      <c r="V34" s="56">
        <f t="shared" si="23"/>
        <v>3270</v>
      </c>
      <c r="W34" s="56">
        <v>1364</v>
      </c>
      <c r="X34" s="56">
        <v>820</v>
      </c>
      <c r="Y34" s="56">
        <v>834</v>
      </c>
      <c r="Z34" s="262"/>
      <c r="AA34" s="66">
        <v>2008</v>
      </c>
      <c r="AB34" s="56">
        <v>1230654</v>
      </c>
      <c r="AC34" s="56">
        <v>169059</v>
      </c>
      <c r="AD34" s="56">
        <f t="shared" si="12"/>
        <v>25365</v>
      </c>
      <c r="AE34" s="56">
        <v>4908</v>
      </c>
      <c r="AF34" s="56">
        <v>10534</v>
      </c>
      <c r="AG34" s="56">
        <v>5643</v>
      </c>
      <c r="AH34" s="56">
        <v>2033</v>
      </c>
      <c r="AI34" s="56">
        <v>665</v>
      </c>
      <c r="AJ34" s="56">
        <v>396</v>
      </c>
      <c r="AK34" s="56">
        <v>972</v>
      </c>
      <c r="AL34" s="56">
        <v>2858</v>
      </c>
      <c r="AM34" s="56">
        <v>1923</v>
      </c>
      <c r="AN34" s="56">
        <v>935</v>
      </c>
      <c r="AO34" s="56">
        <v>9923</v>
      </c>
      <c r="AP34" s="56">
        <v>6905</v>
      </c>
      <c r="AQ34" s="56">
        <v>1544</v>
      </c>
      <c r="AR34" s="56">
        <v>4574</v>
      </c>
      <c r="AS34" s="56">
        <v>2292</v>
      </c>
      <c r="AT34" s="56">
        <v>2282</v>
      </c>
      <c r="AU34" s="56">
        <v>787</v>
      </c>
      <c r="AV34" s="56">
        <v>3018</v>
      </c>
      <c r="AW34" s="56">
        <v>1364</v>
      </c>
      <c r="AX34" s="56">
        <v>820</v>
      </c>
      <c r="AY34" s="56">
        <v>834</v>
      </c>
    </row>
    <row r="35" spans="1:51">
      <c r="A35" s="66">
        <v>2009</v>
      </c>
      <c r="B35" s="56">
        <f t="shared" ref="B35:C35" si="31">AB100</f>
        <v>1435990</v>
      </c>
      <c r="C35" s="56">
        <f t="shared" si="31"/>
        <v>152791</v>
      </c>
      <c r="D35" s="56">
        <f t="shared" si="19"/>
        <v>17169</v>
      </c>
      <c r="E35" s="56">
        <f t="shared" si="25"/>
        <v>3030</v>
      </c>
      <c r="F35" s="56">
        <f t="shared" si="26"/>
        <v>7032</v>
      </c>
      <c r="G35" s="56">
        <f t="shared" si="27"/>
        <v>2892</v>
      </c>
      <c r="H35" s="56">
        <f t="shared" si="28"/>
        <v>1597</v>
      </c>
      <c r="I35" s="56">
        <v>520</v>
      </c>
      <c r="J35" s="56">
        <v>338</v>
      </c>
      <c r="K35" s="56">
        <v>954</v>
      </c>
      <c r="L35" s="56">
        <f t="shared" si="21"/>
        <v>2543</v>
      </c>
      <c r="M35" s="56">
        <v>1611</v>
      </c>
      <c r="N35" s="56">
        <v>743</v>
      </c>
      <c r="O35" s="56">
        <f t="shared" si="29"/>
        <v>7107</v>
      </c>
      <c r="P35" s="56">
        <f t="shared" si="30"/>
        <v>4066</v>
      </c>
      <c r="Q35" s="56">
        <v>1305</v>
      </c>
      <c r="R35" s="56">
        <v>3759</v>
      </c>
      <c r="S35" s="56">
        <v>1997</v>
      </c>
      <c r="T35" s="56">
        <v>1762</v>
      </c>
      <c r="U35" s="56">
        <v>643</v>
      </c>
      <c r="V35" s="56">
        <f t="shared" si="23"/>
        <v>3041</v>
      </c>
      <c r="W35" s="56">
        <v>1317</v>
      </c>
      <c r="X35" s="56">
        <v>902</v>
      </c>
      <c r="Y35" s="56">
        <v>756</v>
      </c>
      <c r="Z35" s="262"/>
      <c r="AA35" s="66">
        <v>2009</v>
      </c>
      <c r="AB35" s="56">
        <v>1192006</v>
      </c>
      <c r="AC35" s="56">
        <v>145553</v>
      </c>
      <c r="AD35" s="56">
        <f t="shared" si="12"/>
        <v>21608</v>
      </c>
      <c r="AE35" s="56">
        <v>4018</v>
      </c>
      <c r="AF35" s="56">
        <v>8908</v>
      </c>
      <c r="AG35" s="56">
        <v>4742</v>
      </c>
      <c r="AH35" s="56">
        <v>1812</v>
      </c>
      <c r="AI35" s="56">
        <v>520</v>
      </c>
      <c r="AJ35" s="56">
        <v>338</v>
      </c>
      <c r="AK35" s="56">
        <v>954</v>
      </c>
      <c r="AL35" s="56">
        <v>2354</v>
      </c>
      <c r="AM35" s="56">
        <v>1611</v>
      </c>
      <c r="AN35" s="56">
        <v>743</v>
      </c>
      <c r="AO35" s="56">
        <v>8682</v>
      </c>
      <c r="AP35" s="56">
        <v>5707</v>
      </c>
      <c r="AQ35" s="56">
        <v>1305</v>
      </c>
      <c r="AR35" s="56">
        <v>3759</v>
      </c>
      <c r="AS35" s="56">
        <v>1997</v>
      </c>
      <c r="AT35" s="56">
        <v>1762</v>
      </c>
      <c r="AU35" s="56">
        <v>643</v>
      </c>
      <c r="AV35" s="56">
        <v>2975</v>
      </c>
      <c r="AW35" s="56">
        <v>1317</v>
      </c>
      <c r="AX35" s="56">
        <v>902</v>
      </c>
      <c r="AY35" s="56">
        <v>756</v>
      </c>
    </row>
    <row r="36" spans="1:51">
      <c r="A36" s="66">
        <v>2010</v>
      </c>
      <c r="B36" s="56">
        <f t="shared" ref="B36:C36" si="32">AB101</f>
        <v>1484210</v>
      </c>
      <c r="C36" s="56">
        <f t="shared" si="32"/>
        <v>161958</v>
      </c>
      <c r="D36" s="56">
        <f t="shared" si="19"/>
        <v>18513</v>
      </c>
      <c r="E36" s="56">
        <f t="shared" si="25"/>
        <v>3553</v>
      </c>
      <c r="F36" s="56">
        <f t="shared" si="26"/>
        <v>7772</v>
      </c>
      <c r="G36" s="56">
        <f t="shared" si="27"/>
        <v>3324</v>
      </c>
      <c r="H36" s="56">
        <f t="shared" si="28"/>
        <v>1801</v>
      </c>
      <c r="I36" s="56">
        <v>521</v>
      </c>
      <c r="J36" s="56">
        <v>435</v>
      </c>
      <c r="K36" s="56">
        <v>1041</v>
      </c>
      <c r="L36" s="56">
        <f t="shared" si="21"/>
        <v>2647</v>
      </c>
      <c r="M36" s="56">
        <v>1629</v>
      </c>
      <c r="N36" s="56">
        <v>805</v>
      </c>
      <c r="O36" s="56">
        <f t="shared" si="29"/>
        <v>7188</v>
      </c>
      <c r="P36" s="56">
        <f t="shared" si="30"/>
        <v>4165</v>
      </c>
      <c r="Q36" s="56">
        <v>1426</v>
      </c>
      <c r="R36" s="56">
        <v>3705</v>
      </c>
      <c r="S36" s="56">
        <v>1834</v>
      </c>
      <c r="T36" s="56">
        <v>1871</v>
      </c>
      <c r="U36" s="56">
        <v>675</v>
      </c>
      <c r="V36" s="56">
        <f t="shared" si="23"/>
        <v>3023</v>
      </c>
      <c r="W36" s="56">
        <v>1361</v>
      </c>
      <c r="X36" s="56">
        <v>886</v>
      </c>
      <c r="Y36" s="56">
        <v>715</v>
      </c>
      <c r="Z36" s="262"/>
      <c r="AA36" s="66">
        <v>2010</v>
      </c>
      <c r="AB36" s="56">
        <v>1234880</v>
      </c>
      <c r="AC36" s="56">
        <v>155746</v>
      </c>
      <c r="AD36" s="56">
        <f t="shared" si="12"/>
        <v>23450</v>
      </c>
      <c r="AE36" s="56">
        <v>4781</v>
      </c>
      <c r="AF36" s="56">
        <v>9901</v>
      </c>
      <c r="AG36" s="56">
        <v>5470</v>
      </c>
      <c r="AH36" s="56">
        <v>1997</v>
      </c>
      <c r="AI36" s="56">
        <v>521</v>
      </c>
      <c r="AJ36" s="56">
        <v>435</v>
      </c>
      <c r="AK36" s="56">
        <v>1041</v>
      </c>
      <c r="AL36" s="56">
        <v>2434</v>
      </c>
      <c r="AM36" s="56">
        <v>1629</v>
      </c>
      <c r="AN36" s="56">
        <v>805</v>
      </c>
      <c r="AO36" s="56">
        <v>8768</v>
      </c>
      <c r="AP36" s="56">
        <v>5806</v>
      </c>
      <c r="AQ36" s="56">
        <v>1426</v>
      </c>
      <c r="AR36" s="56">
        <v>3705</v>
      </c>
      <c r="AS36" s="56">
        <v>1834</v>
      </c>
      <c r="AT36" s="56">
        <v>1871</v>
      </c>
      <c r="AU36" s="56">
        <v>675</v>
      </c>
      <c r="AV36" s="56">
        <v>2962</v>
      </c>
      <c r="AW36" s="56">
        <v>1361</v>
      </c>
      <c r="AX36" s="56">
        <v>886</v>
      </c>
      <c r="AY36" s="56">
        <v>715</v>
      </c>
    </row>
    <row r="37" spans="1:51">
      <c r="A37" s="66">
        <v>2011</v>
      </c>
      <c r="B37" s="56">
        <f t="shared" ref="B37:C37" si="33">AB102</f>
        <v>1522143</v>
      </c>
      <c r="C37" s="56">
        <f t="shared" si="33"/>
        <v>165899</v>
      </c>
      <c r="D37" s="56">
        <f t="shared" si="19"/>
        <v>18736</v>
      </c>
      <c r="E37" s="56">
        <f t="shared" si="25"/>
        <v>3881</v>
      </c>
      <c r="F37" s="56">
        <f t="shared" si="26"/>
        <v>7828</v>
      </c>
      <c r="G37" s="56">
        <f t="shared" si="27"/>
        <v>3373</v>
      </c>
      <c r="H37" s="56">
        <f t="shared" si="28"/>
        <v>1761</v>
      </c>
      <c r="I37" s="56">
        <v>587</v>
      </c>
      <c r="J37" s="56">
        <v>403</v>
      </c>
      <c r="K37" s="56">
        <v>940</v>
      </c>
      <c r="L37" s="56">
        <f t="shared" si="21"/>
        <v>2694</v>
      </c>
      <c r="M37" s="56">
        <v>1537</v>
      </c>
      <c r="N37" s="56">
        <v>904</v>
      </c>
      <c r="O37" s="56">
        <f t="shared" si="29"/>
        <v>7027</v>
      </c>
      <c r="P37" s="56">
        <f t="shared" si="30"/>
        <v>4008</v>
      </c>
      <c r="Q37" s="56">
        <v>1414</v>
      </c>
      <c r="R37" s="56">
        <v>3490</v>
      </c>
      <c r="S37" s="56">
        <v>1722</v>
      </c>
      <c r="T37" s="56">
        <v>1768</v>
      </c>
      <c r="U37" s="56">
        <v>668</v>
      </c>
      <c r="V37" s="56">
        <f t="shared" si="23"/>
        <v>3019</v>
      </c>
      <c r="W37" s="56">
        <v>1348</v>
      </c>
      <c r="X37" s="56">
        <v>924</v>
      </c>
      <c r="Y37" s="56">
        <v>684</v>
      </c>
      <c r="Z37" s="262"/>
      <c r="AA37" s="66">
        <v>2011</v>
      </c>
      <c r="AB37" s="56">
        <v>1267516</v>
      </c>
      <c r="AC37" s="56">
        <v>160329</v>
      </c>
      <c r="AD37" s="56">
        <f t="shared" si="12"/>
        <v>23712</v>
      </c>
      <c r="AE37" s="56">
        <v>5266</v>
      </c>
      <c r="AF37" s="56">
        <v>9918</v>
      </c>
      <c r="AG37" s="56">
        <v>5547</v>
      </c>
      <c r="AH37" s="56">
        <v>1930</v>
      </c>
      <c r="AI37" s="56">
        <v>587</v>
      </c>
      <c r="AJ37" s="56">
        <v>403</v>
      </c>
      <c r="AK37" s="56">
        <v>940</v>
      </c>
      <c r="AL37" s="56">
        <v>2441</v>
      </c>
      <c r="AM37" s="56">
        <v>1537</v>
      </c>
      <c r="AN37" s="56">
        <v>904</v>
      </c>
      <c r="AO37" s="56">
        <v>8528</v>
      </c>
      <c r="AP37" s="56">
        <v>5572</v>
      </c>
      <c r="AQ37" s="56">
        <v>1414</v>
      </c>
      <c r="AR37" s="56">
        <v>3490</v>
      </c>
      <c r="AS37" s="56">
        <v>1722</v>
      </c>
      <c r="AT37" s="56">
        <v>1768</v>
      </c>
      <c r="AU37" s="56">
        <v>668</v>
      </c>
      <c r="AV37" s="56">
        <v>2956</v>
      </c>
      <c r="AW37" s="56">
        <v>1348</v>
      </c>
      <c r="AX37" s="56">
        <v>924</v>
      </c>
      <c r="AY37" s="56">
        <v>684</v>
      </c>
    </row>
    <row r="38" spans="1:51">
      <c r="A38" s="66">
        <v>2012</v>
      </c>
      <c r="B38" s="56">
        <f t="shared" ref="B38:C38" si="34">AB103</f>
        <v>1548858</v>
      </c>
      <c r="C38" s="56">
        <f t="shared" si="34"/>
        <v>169175</v>
      </c>
      <c r="D38" s="56">
        <f t="shared" si="19"/>
        <v>18629</v>
      </c>
      <c r="E38" s="56">
        <f t="shared" si="25"/>
        <v>3769</v>
      </c>
      <c r="F38" s="56">
        <f t="shared" si="26"/>
        <v>8127</v>
      </c>
      <c r="G38" s="56">
        <f t="shared" si="27"/>
        <v>3502</v>
      </c>
      <c r="H38" s="56">
        <f t="shared" si="28"/>
        <v>1841</v>
      </c>
      <c r="I38" s="56" t="s">
        <v>22</v>
      </c>
      <c r="J38" s="56" t="s">
        <v>22</v>
      </c>
      <c r="K38" s="56" t="s">
        <v>22</v>
      </c>
      <c r="L38" s="56">
        <f t="shared" si="21"/>
        <v>2784</v>
      </c>
      <c r="M38" s="56" t="s">
        <v>22</v>
      </c>
      <c r="N38" s="56" t="s">
        <v>22</v>
      </c>
      <c r="O38" s="56">
        <f t="shared" si="29"/>
        <v>6733</v>
      </c>
      <c r="P38" s="56">
        <f t="shared" si="30"/>
        <v>3666</v>
      </c>
      <c r="Q38" s="56" t="s">
        <v>22</v>
      </c>
      <c r="R38" s="56" t="s">
        <v>22</v>
      </c>
      <c r="S38" s="56" t="s">
        <v>22</v>
      </c>
      <c r="T38" s="56" t="s">
        <v>22</v>
      </c>
      <c r="U38" s="56" t="s">
        <v>22</v>
      </c>
      <c r="V38" s="56">
        <f t="shared" si="23"/>
        <v>3067</v>
      </c>
      <c r="W38" s="56" t="s">
        <v>22</v>
      </c>
      <c r="X38" s="56" t="s">
        <v>22</v>
      </c>
      <c r="Y38" s="56" t="s">
        <v>22</v>
      </c>
      <c r="AA38" s="176"/>
    </row>
    <row r="39" spans="1:51">
      <c r="B39" s="57"/>
      <c r="C39" s="57"/>
      <c r="D39" s="56"/>
      <c r="E39" s="57"/>
      <c r="F39" s="57"/>
      <c r="G39" s="57"/>
      <c r="H39" s="57"/>
      <c r="I39" s="57"/>
      <c r="J39" s="57"/>
      <c r="K39" s="57"/>
      <c r="L39" s="57"/>
      <c r="M39" s="57"/>
      <c r="N39" s="57"/>
      <c r="O39" s="57"/>
      <c r="P39" s="57"/>
      <c r="Q39" s="57"/>
      <c r="R39" s="57"/>
      <c r="S39" s="57"/>
      <c r="T39" s="57"/>
      <c r="U39" s="57"/>
      <c r="V39" s="57"/>
      <c r="W39" s="57"/>
      <c r="X39" s="57"/>
      <c r="Y39" s="57"/>
      <c r="AA39" s="176"/>
    </row>
    <row r="40" spans="1:51">
      <c r="A40" s="132" t="s">
        <v>23</v>
      </c>
      <c r="B40" s="57"/>
      <c r="C40" s="57"/>
      <c r="D40" s="57"/>
      <c r="E40" s="57"/>
      <c r="F40" s="57"/>
      <c r="G40" s="57"/>
      <c r="H40" s="57"/>
      <c r="I40" s="57"/>
      <c r="J40" s="57"/>
      <c r="K40" s="57"/>
      <c r="L40" s="57"/>
      <c r="M40" s="57"/>
      <c r="N40" s="57"/>
      <c r="O40" s="57"/>
      <c r="P40" s="57"/>
      <c r="Q40" s="57"/>
      <c r="R40" s="57"/>
      <c r="S40" s="57"/>
      <c r="T40" s="57"/>
      <c r="U40" s="57"/>
      <c r="V40" s="57"/>
      <c r="W40" s="57"/>
      <c r="X40" s="57"/>
      <c r="Y40" s="57"/>
      <c r="AA40" s="286"/>
    </row>
    <row r="41" spans="1:51">
      <c r="A41" s="64" t="s">
        <v>2117</v>
      </c>
      <c r="B41" s="65">
        <f>IFERROR(((B38/B7)^(1/31)-1)*100,"n.a.")</f>
        <v>2.4807175978173168</v>
      </c>
      <c r="C41" s="65">
        <f t="shared" ref="C41:Y41" si="35">IFERROR(((C38/C7)^(1/31)-1)*100,"n.a.")</f>
        <v>1.576765220975207</v>
      </c>
      <c r="D41" s="65" t="str">
        <f t="shared" si="35"/>
        <v>n.a.</v>
      </c>
      <c r="E41" s="65" t="str">
        <f t="shared" si="35"/>
        <v>n.a.</v>
      </c>
      <c r="F41" s="65">
        <f t="shared" si="35"/>
        <v>1.9919551262217894</v>
      </c>
      <c r="G41" s="65" t="str">
        <f t="shared" si="35"/>
        <v>n.a.</v>
      </c>
      <c r="H41" s="65" t="str">
        <f t="shared" si="35"/>
        <v>n.a.</v>
      </c>
      <c r="I41" s="65" t="str">
        <f t="shared" si="35"/>
        <v>n.a.</v>
      </c>
      <c r="J41" s="65" t="str">
        <f t="shared" si="35"/>
        <v>n.a.</v>
      </c>
      <c r="K41" s="65" t="str">
        <f t="shared" si="35"/>
        <v>n.a.</v>
      </c>
      <c r="L41" s="65" t="str">
        <f t="shared" si="35"/>
        <v>n.a.</v>
      </c>
      <c r="M41" s="65" t="str">
        <f t="shared" si="35"/>
        <v>n.a.</v>
      </c>
      <c r="N41" s="65" t="str">
        <f t="shared" si="35"/>
        <v>n.a.</v>
      </c>
      <c r="O41" s="65">
        <f t="shared" si="35"/>
        <v>-0.46184135330175069</v>
      </c>
      <c r="P41" s="65">
        <f t="shared" si="35"/>
        <v>-0.93844729128865767</v>
      </c>
      <c r="Q41" s="65" t="str">
        <f t="shared" si="35"/>
        <v>n.a.</v>
      </c>
      <c r="R41" s="65" t="str">
        <f t="shared" si="35"/>
        <v>n.a.</v>
      </c>
      <c r="S41" s="65" t="str">
        <f t="shared" si="35"/>
        <v>n.a.</v>
      </c>
      <c r="T41" s="65" t="str">
        <f t="shared" si="35"/>
        <v>n.a.</v>
      </c>
      <c r="U41" s="65" t="str">
        <f t="shared" si="35"/>
        <v>n.a.</v>
      </c>
      <c r="V41" s="65">
        <f t="shared" si="35"/>
        <v>9.1949242351008209E-2</v>
      </c>
      <c r="W41" s="65" t="str">
        <f t="shared" si="35"/>
        <v>n.a.</v>
      </c>
      <c r="X41" s="65" t="str">
        <f t="shared" si="35"/>
        <v>n.a.</v>
      </c>
      <c r="Y41" s="65" t="str">
        <f t="shared" si="35"/>
        <v>n.a.</v>
      </c>
      <c r="AA41" s="59"/>
      <c r="AB41" s="287"/>
      <c r="AC41" s="287"/>
      <c r="AD41" s="287"/>
      <c r="AE41" s="287"/>
      <c r="AF41" s="287"/>
      <c r="AG41" s="56"/>
      <c r="AH41" s="56"/>
      <c r="AI41" s="56"/>
      <c r="AJ41" s="56"/>
      <c r="AK41" s="56"/>
      <c r="AL41" s="56"/>
      <c r="AM41" s="56"/>
      <c r="AN41" s="56"/>
      <c r="AO41" s="287"/>
      <c r="AP41" s="287"/>
      <c r="AQ41" s="56"/>
      <c r="AR41" s="56"/>
      <c r="AS41" s="56"/>
      <c r="AT41" s="56"/>
      <c r="AU41" s="56"/>
      <c r="AV41" s="287"/>
      <c r="AW41" s="56" t="s">
        <v>22</v>
      </c>
      <c r="AX41" s="56" t="s">
        <v>22</v>
      </c>
      <c r="AY41" s="56" t="s">
        <v>22</v>
      </c>
    </row>
    <row r="42" spans="1:51">
      <c r="A42" s="64" t="s">
        <v>25</v>
      </c>
      <c r="B42" s="65">
        <f t="shared" ref="B42:Y42" si="36">IFERROR(((B15/B7)^(1/8)-1)*100,"n.a.")</f>
        <v>2.9825911966540497</v>
      </c>
      <c r="C42" s="65">
        <f t="shared" si="36"/>
        <v>3.1143405149335335</v>
      </c>
      <c r="D42" s="65" t="str">
        <f t="shared" si="36"/>
        <v>n.a.</v>
      </c>
      <c r="E42" s="65" t="str">
        <f>IFERROR(((E15/E7)^(1/8)-1)*100,"n.a.")</f>
        <v>n.a.</v>
      </c>
      <c r="F42" s="65">
        <f t="shared" si="36"/>
        <v>5.4799020555611255</v>
      </c>
      <c r="G42" s="65" t="str">
        <f t="shared" si="36"/>
        <v>n.a.</v>
      </c>
      <c r="H42" s="65" t="str">
        <f t="shared" si="36"/>
        <v>n.a.</v>
      </c>
      <c r="I42" s="65" t="str">
        <f t="shared" si="36"/>
        <v>n.a.</v>
      </c>
      <c r="J42" s="65" t="str">
        <f t="shared" si="36"/>
        <v>n.a.</v>
      </c>
      <c r="K42" s="65" t="str">
        <f t="shared" si="36"/>
        <v>n.a.</v>
      </c>
      <c r="L42" s="65" t="str">
        <f t="shared" si="36"/>
        <v>n.a.</v>
      </c>
      <c r="M42" s="65" t="str">
        <f t="shared" si="36"/>
        <v>n.a.</v>
      </c>
      <c r="N42" s="65" t="str">
        <f t="shared" si="36"/>
        <v>n.a.</v>
      </c>
      <c r="O42" s="65">
        <f t="shared" si="36"/>
        <v>1.0186873570714017</v>
      </c>
      <c r="P42" s="65">
        <f t="shared" si="36"/>
        <v>1.2912542217725642</v>
      </c>
      <c r="Q42" s="65" t="str">
        <f t="shared" si="36"/>
        <v>n.a.</v>
      </c>
      <c r="R42" s="65" t="str">
        <f t="shared" si="36"/>
        <v>n.a.</v>
      </c>
      <c r="S42" s="65" t="str">
        <f t="shared" si="36"/>
        <v>n.a.</v>
      </c>
      <c r="T42" s="65" t="str">
        <f t="shared" si="36"/>
        <v>n.a.</v>
      </c>
      <c r="U42" s="65" t="str">
        <f t="shared" si="36"/>
        <v>n.a.</v>
      </c>
      <c r="V42" s="65">
        <f t="shared" si="36"/>
        <v>-0.43541001389415523</v>
      </c>
      <c r="W42" s="65" t="str">
        <f t="shared" si="36"/>
        <v>n.a.</v>
      </c>
      <c r="X42" s="65" t="str">
        <f t="shared" si="36"/>
        <v>n.a.</v>
      </c>
      <c r="Y42" s="65" t="str">
        <f t="shared" si="36"/>
        <v>n.a.</v>
      </c>
      <c r="AA42" s="59"/>
      <c r="AB42" s="287"/>
      <c r="AC42" s="287"/>
      <c r="AD42" s="287"/>
      <c r="AE42" s="287"/>
      <c r="AF42" s="287"/>
      <c r="AG42" s="56"/>
      <c r="AH42" s="56"/>
      <c r="AI42" s="56"/>
      <c r="AJ42" s="56"/>
      <c r="AK42" s="56"/>
      <c r="AL42" s="56"/>
      <c r="AM42" s="56"/>
      <c r="AN42" s="56"/>
      <c r="AO42" s="287"/>
      <c r="AP42" s="287"/>
      <c r="AQ42" s="56"/>
      <c r="AR42" s="56"/>
      <c r="AS42" s="56"/>
      <c r="AT42" s="56"/>
      <c r="AU42" s="56"/>
      <c r="AV42" s="287"/>
      <c r="AW42" s="56" t="s">
        <v>22</v>
      </c>
      <c r="AX42" s="56" t="s">
        <v>22</v>
      </c>
      <c r="AY42" s="56" t="s">
        <v>22</v>
      </c>
    </row>
    <row r="43" spans="1:51">
      <c r="A43" s="64" t="s">
        <v>26</v>
      </c>
      <c r="B43" s="65">
        <f t="shared" ref="B43:Y43" si="37">IFERROR(((B26/B15)^(1/11)-1)*100,"n.a.")</f>
        <v>2.7234149578314382</v>
      </c>
      <c r="C43" s="65">
        <f t="shared" si="37"/>
        <v>3.5727155137633471</v>
      </c>
      <c r="D43" s="65">
        <f t="shared" si="37"/>
        <v>1.6360466893644343</v>
      </c>
      <c r="E43" s="65">
        <f>IFERROR(((E26/E15)^(1/11)-1)*100,"n.a.")</f>
        <v>-0.64361708024993636</v>
      </c>
      <c r="F43" s="65">
        <f t="shared" si="37"/>
        <v>2.8430212902807783</v>
      </c>
      <c r="G43" s="65" t="str">
        <f t="shared" si="37"/>
        <v>n.a.</v>
      </c>
      <c r="H43" s="65" t="str">
        <f t="shared" si="37"/>
        <v>n.a.</v>
      </c>
      <c r="I43" s="65" t="str">
        <f t="shared" si="37"/>
        <v>n.a.</v>
      </c>
      <c r="J43" s="65" t="str">
        <f t="shared" si="37"/>
        <v>n.a.</v>
      </c>
      <c r="K43" s="65" t="str">
        <f t="shared" si="37"/>
        <v>n.a.</v>
      </c>
      <c r="L43" s="65" t="str">
        <f t="shared" si="37"/>
        <v>n.a.</v>
      </c>
      <c r="M43" s="65" t="str">
        <f t="shared" si="37"/>
        <v>n.a.</v>
      </c>
      <c r="N43" s="65" t="str">
        <f t="shared" si="37"/>
        <v>n.a.</v>
      </c>
      <c r="O43" s="65">
        <f t="shared" si="37"/>
        <v>1.8007400611685487</v>
      </c>
      <c r="P43" s="65">
        <f t="shared" si="37"/>
        <v>1.6764316979771765</v>
      </c>
      <c r="Q43" s="65" t="str">
        <f t="shared" si="37"/>
        <v>n.a.</v>
      </c>
      <c r="R43" s="65" t="str">
        <f t="shared" si="37"/>
        <v>n.a.</v>
      </c>
      <c r="S43" s="65" t="str">
        <f t="shared" si="37"/>
        <v>n.a.</v>
      </c>
      <c r="T43" s="65" t="str">
        <f t="shared" si="37"/>
        <v>n.a.</v>
      </c>
      <c r="U43" s="65" t="str">
        <f t="shared" si="37"/>
        <v>n.a.</v>
      </c>
      <c r="V43" s="65">
        <f t="shared" si="37"/>
        <v>1.8066090672923085</v>
      </c>
      <c r="W43" s="65" t="str">
        <f t="shared" si="37"/>
        <v>n.a.</v>
      </c>
      <c r="X43" s="65" t="str">
        <f t="shared" si="37"/>
        <v>n.a.</v>
      </c>
      <c r="Y43" s="65" t="str">
        <f t="shared" si="37"/>
        <v>n.a.</v>
      </c>
      <c r="Z43" s="262"/>
      <c r="AA43" s="59"/>
      <c r="AB43" s="287"/>
      <c r="AC43" s="287"/>
      <c r="AD43" s="287"/>
      <c r="AE43" s="287"/>
      <c r="AF43" s="287"/>
      <c r="AG43" s="56"/>
      <c r="AH43" s="56"/>
      <c r="AI43" s="56"/>
      <c r="AJ43" s="56"/>
      <c r="AK43" s="56"/>
      <c r="AL43" s="56"/>
      <c r="AM43" s="56"/>
      <c r="AN43" s="56"/>
      <c r="AO43" s="287"/>
      <c r="AP43" s="287"/>
      <c r="AQ43" s="56"/>
      <c r="AR43" s="56"/>
      <c r="AS43" s="56"/>
      <c r="AT43" s="56"/>
      <c r="AU43" s="56"/>
      <c r="AV43" s="287"/>
      <c r="AW43" s="56" t="s">
        <v>22</v>
      </c>
      <c r="AX43" s="56" t="s">
        <v>22</v>
      </c>
      <c r="AY43" s="56" t="s">
        <v>22</v>
      </c>
    </row>
    <row r="44" spans="1:51">
      <c r="A44" s="64" t="s">
        <v>1779</v>
      </c>
      <c r="B44" s="65">
        <f>IFERROR(((B34/B26)^(1/8)-1)*100,"n.a.")</f>
        <v>2.3314130723286919</v>
      </c>
      <c r="C44" s="65">
        <f t="shared" ref="C44:Y44" si="38">IFERROR(((C34/C26)^(1/8)-1)*100,"n.a.")</f>
        <v>-1.3078536339653835</v>
      </c>
      <c r="D44" s="65">
        <f t="shared" si="38"/>
        <v>-1.5077853908865624</v>
      </c>
      <c r="E44" s="65">
        <f>IFERROR(((E34/E26)^(1/8)-1)*100,"n.a.")</f>
        <v>-1.4160690799823739</v>
      </c>
      <c r="F44" s="65">
        <f t="shared" si="38"/>
        <v>-0.85912329499707729</v>
      </c>
      <c r="G44" s="65">
        <f t="shared" si="38"/>
        <v>-1.93084997955284</v>
      </c>
      <c r="H44" s="65">
        <f t="shared" si="38"/>
        <v>0.10669233138338452</v>
      </c>
      <c r="I44" s="65">
        <f t="shared" si="38"/>
        <v>-2.2838252994084041</v>
      </c>
      <c r="J44" s="65">
        <f t="shared" si="38"/>
        <v>7.0276324993827188</v>
      </c>
      <c r="K44" s="65">
        <f t="shared" si="38"/>
        <v>-2.3013255799963717</v>
      </c>
      <c r="L44" s="65">
        <f t="shared" si="38"/>
        <v>0.94927629869454577</v>
      </c>
      <c r="M44" s="65">
        <f t="shared" si="38"/>
        <v>1.6652241183072958</v>
      </c>
      <c r="N44" s="65">
        <f t="shared" si="38"/>
        <v>0.24328366851980032</v>
      </c>
      <c r="O44" s="65">
        <f t="shared" si="38"/>
        <v>-2.2064330669006038</v>
      </c>
      <c r="P44" s="65">
        <f t="shared" si="38"/>
        <v>-2.558203217092514</v>
      </c>
      <c r="Q44" s="65">
        <f t="shared" si="38"/>
        <v>-2.592131640304951</v>
      </c>
      <c r="R44" s="65">
        <f t="shared" si="38"/>
        <v>-2.6685851630871893</v>
      </c>
      <c r="S44" s="65">
        <f t="shared" si="38"/>
        <v>0.80266618920590282</v>
      </c>
      <c r="T44" s="65">
        <f t="shared" si="38"/>
        <v>-5.3204605190762315</v>
      </c>
      <c r="U44" s="65">
        <f t="shared" si="38"/>
        <v>-3.676716852331452</v>
      </c>
      <c r="V44" s="65">
        <f t="shared" si="38"/>
        <v>-0.86452996228763013</v>
      </c>
      <c r="W44" s="65">
        <f t="shared" si="38"/>
        <v>-2.2845528629330869</v>
      </c>
      <c r="X44" s="65">
        <f t="shared" si="38"/>
        <v>0.78952324403029905</v>
      </c>
      <c r="Y44" s="65">
        <f t="shared" si="38"/>
        <v>-0.22257423480389615</v>
      </c>
      <c r="AA44" s="59"/>
      <c r="AB44" s="287"/>
      <c r="AC44" s="287"/>
      <c r="AD44" s="287"/>
      <c r="AE44" s="287"/>
      <c r="AF44" s="287"/>
      <c r="AG44" s="56"/>
      <c r="AH44" s="56"/>
      <c r="AI44" s="56"/>
      <c r="AJ44" s="56"/>
      <c r="AK44" s="56"/>
      <c r="AL44" s="56"/>
      <c r="AM44" s="56"/>
      <c r="AN44" s="56"/>
      <c r="AO44" s="287"/>
      <c r="AP44" s="287"/>
      <c r="AQ44" s="56"/>
      <c r="AR44" s="56"/>
      <c r="AS44" s="56"/>
      <c r="AT44" s="56"/>
      <c r="AU44" s="56"/>
      <c r="AV44" s="287"/>
      <c r="AW44" s="56" t="s">
        <v>22</v>
      </c>
      <c r="AX44" s="56" t="s">
        <v>22</v>
      </c>
      <c r="AY44" s="56" t="s">
        <v>22</v>
      </c>
    </row>
    <row r="45" spans="1:51">
      <c r="A45" s="64" t="s">
        <v>2028</v>
      </c>
      <c r="B45" s="65">
        <f>IFERROR(((B38/B26)^(1/12)-1)*100,"n.a.")</f>
        <v>1.9262476445692123</v>
      </c>
      <c r="C45" s="65">
        <f t="shared" ref="C45:Y45" si="39">IFERROR(((C38/C26)^(1/12)-1)*100,"n.a.")</f>
        <v>-1.2134430660937001</v>
      </c>
      <c r="D45" s="65">
        <f t="shared" si="39"/>
        <v>-2.0353208116431154</v>
      </c>
      <c r="E45" s="65">
        <f t="shared" si="39"/>
        <v>-1.3327158526983518</v>
      </c>
      <c r="F45" s="65">
        <f t="shared" si="39"/>
        <v>-1.0258267700156032</v>
      </c>
      <c r="G45" s="65">
        <f t="shared" si="39"/>
        <v>-1.6088196408142408</v>
      </c>
      <c r="H45" s="65">
        <f t="shared" si="39"/>
        <v>0.16683265781920475</v>
      </c>
      <c r="I45" s="65" t="str">
        <f>IFERROR(((I38/I26)^(1/12)-1)*100,"n.a.")</f>
        <v>n.a.</v>
      </c>
      <c r="J45" s="65" t="str">
        <f t="shared" si="39"/>
        <v>n.a.</v>
      </c>
      <c r="K45" s="65" t="str">
        <f t="shared" si="39"/>
        <v>n.a.</v>
      </c>
      <c r="L45" s="65">
        <f t="shared" si="39"/>
        <v>-0.32980137997995485</v>
      </c>
      <c r="M45" s="65" t="str">
        <f t="shared" si="39"/>
        <v>n.a.</v>
      </c>
      <c r="N45" s="65" t="str">
        <f t="shared" si="39"/>
        <v>n.a.</v>
      </c>
      <c r="O45" s="65">
        <f t="shared" si="39"/>
        <v>-3.4467340581532668</v>
      </c>
      <c r="P45" s="65">
        <f t="shared" si="39"/>
        <v>-4.7009984238917664</v>
      </c>
      <c r="Q45" s="65" t="str">
        <f t="shared" si="39"/>
        <v>n.a.</v>
      </c>
      <c r="R45" s="65" t="str">
        <f t="shared" si="39"/>
        <v>n.a.</v>
      </c>
      <c r="S45" s="65" t="str">
        <f t="shared" si="39"/>
        <v>n.a.</v>
      </c>
      <c r="T45" s="65" t="str">
        <f t="shared" si="39"/>
        <v>n.a.</v>
      </c>
      <c r="U45" s="65" t="str">
        <f t="shared" si="39"/>
        <v>n.a.</v>
      </c>
      <c r="V45" s="65">
        <f t="shared" si="39"/>
        <v>-1.1067729973163631</v>
      </c>
      <c r="W45" s="65" t="str">
        <f t="shared" si="39"/>
        <v>n.a.</v>
      </c>
      <c r="X45" s="65" t="str">
        <f t="shared" si="39"/>
        <v>n.a.</v>
      </c>
      <c r="Y45" s="65" t="str">
        <f t="shared" si="39"/>
        <v>n.a.</v>
      </c>
      <c r="AA45" s="59"/>
      <c r="AB45" s="287"/>
      <c r="AC45" s="287"/>
      <c r="AD45" s="287"/>
      <c r="AE45" s="287"/>
      <c r="AF45" s="287"/>
      <c r="AG45" s="56"/>
      <c r="AH45" s="56"/>
      <c r="AI45" s="56"/>
      <c r="AJ45" s="56"/>
      <c r="AK45" s="56"/>
      <c r="AL45" s="56"/>
      <c r="AM45" s="56"/>
      <c r="AN45" s="56"/>
      <c r="AO45" s="287"/>
      <c r="AP45" s="287"/>
      <c r="AQ45" s="56"/>
      <c r="AR45" s="56"/>
      <c r="AS45" s="56"/>
      <c r="AT45" s="56"/>
      <c r="AU45" s="56"/>
      <c r="AV45" s="287"/>
      <c r="AW45" s="56" t="s">
        <v>22</v>
      </c>
      <c r="AX45" s="56" t="s">
        <v>22</v>
      </c>
      <c r="AY45" s="56" t="s">
        <v>22</v>
      </c>
    </row>
    <row r="46" spans="1:51">
      <c r="A46" s="64" t="s">
        <v>2115</v>
      </c>
      <c r="B46" s="65">
        <f>IFERROR(((B38/B23)^(1/15)-1)*100,"n.a.")</f>
        <v>2.5374721007109358</v>
      </c>
      <c r="C46" s="65">
        <f t="shared" ref="C46:Y46" si="40">IFERROR(((C38/C23)^(1/15)-1)*100,"n.a.")</f>
        <v>0.57642665157564554</v>
      </c>
      <c r="D46" s="65">
        <f t="shared" si="40"/>
        <v>-0.68192786070777611</v>
      </c>
      <c r="E46" s="65">
        <f t="shared" si="40"/>
        <v>-0.3565566668803033</v>
      </c>
      <c r="F46" s="65">
        <f t="shared" si="40"/>
        <v>0.57830166971093444</v>
      </c>
      <c r="G46" s="65">
        <f t="shared" si="40"/>
        <v>-0.205724753448433</v>
      </c>
      <c r="H46" s="65">
        <f t="shared" si="40"/>
        <v>1.9349110239195166</v>
      </c>
      <c r="I46" s="65" t="str">
        <f t="shared" si="40"/>
        <v>n.a.</v>
      </c>
      <c r="J46" s="65" t="str">
        <f t="shared" si="40"/>
        <v>n.a.</v>
      </c>
      <c r="K46" s="65" t="str">
        <f t="shared" si="40"/>
        <v>n.a.</v>
      </c>
      <c r="L46" s="65">
        <f t="shared" si="40"/>
        <v>1.9682096006789829</v>
      </c>
      <c r="M46" s="65" t="str">
        <f t="shared" si="40"/>
        <v>n.a.</v>
      </c>
      <c r="N46" s="65" t="str">
        <f t="shared" si="40"/>
        <v>n.a.</v>
      </c>
      <c r="O46" s="65">
        <f t="shared" si="40"/>
        <v>-2.105782550608104</v>
      </c>
      <c r="P46" s="65">
        <f t="shared" si="40"/>
        <v>-2.9278616779377931</v>
      </c>
      <c r="Q46" s="65" t="str">
        <f t="shared" si="40"/>
        <v>n.a.</v>
      </c>
      <c r="R46" s="65" t="str">
        <f t="shared" si="40"/>
        <v>n.a.</v>
      </c>
      <c r="S46" s="65" t="str">
        <f t="shared" si="40"/>
        <v>n.a.</v>
      </c>
      <c r="T46" s="65" t="str">
        <f t="shared" si="40"/>
        <v>n.a.</v>
      </c>
      <c r="U46" s="65" t="str">
        <f t="shared" si="40"/>
        <v>n.a.</v>
      </c>
      <c r="V46" s="65">
        <f t="shared" si="40"/>
        <v>-0.91504713032419804</v>
      </c>
      <c r="W46" s="65" t="str">
        <f t="shared" si="40"/>
        <v>n.a.</v>
      </c>
      <c r="X46" s="65" t="str">
        <f t="shared" si="40"/>
        <v>n.a.</v>
      </c>
      <c r="Y46" s="65" t="str">
        <f t="shared" si="40"/>
        <v>n.a.</v>
      </c>
      <c r="AA46" s="59"/>
      <c r="AB46" s="287"/>
      <c r="AC46" s="287"/>
      <c r="AD46" s="287"/>
      <c r="AE46" s="287"/>
      <c r="AF46" s="287"/>
      <c r="AG46" s="56"/>
      <c r="AH46" s="56"/>
      <c r="AI46" s="56"/>
      <c r="AJ46" s="56"/>
      <c r="AK46" s="56"/>
      <c r="AL46" s="56"/>
      <c r="AM46" s="56"/>
      <c r="AN46" s="56"/>
      <c r="AO46" s="287"/>
      <c r="AP46" s="287"/>
      <c r="AQ46" s="56"/>
      <c r="AR46" s="56"/>
      <c r="AS46" s="56"/>
      <c r="AT46" s="56"/>
      <c r="AU46" s="56"/>
      <c r="AV46" s="287"/>
      <c r="AW46" s="56" t="s">
        <v>22</v>
      </c>
      <c r="AX46" s="56" t="s">
        <v>22</v>
      </c>
      <c r="AY46" s="56" t="s">
        <v>22</v>
      </c>
    </row>
    <row r="47" spans="1:51">
      <c r="B47" s="65"/>
      <c r="C47" s="65"/>
      <c r="D47" s="65"/>
      <c r="E47" s="65"/>
      <c r="F47" s="65"/>
      <c r="G47" s="65"/>
      <c r="H47" s="65"/>
      <c r="I47" s="65"/>
      <c r="J47" s="65"/>
      <c r="K47" s="65"/>
      <c r="L47" s="65"/>
      <c r="M47" s="65"/>
      <c r="N47" s="65"/>
      <c r="O47" s="65"/>
      <c r="P47" s="65"/>
      <c r="Q47" s="65"/>
      <c r="R47" s="65"/>
      <c r="S47" s="65"/>
      <c r="T47" s="65"/>
      <c r="U47" s="65"/>
      <c r="V47" s="65"/>
      <c r="W47" s="65"/>
      <c r="X47" s="65"/>
      <c r="Y47" s="65"/>
      <c r="AA47" s="59"/>
      <c r="AB47" s="287"/>
      <c r="AC47" s="287"/>
      <c r="AD47" s="287"/>
      <c r="AE47" s="287"/>
      <c r="AF47" s="287"/>
      <c r="AG47" s="56"/>
      <c r="AH47" s="56"/>
      <c r="AI47" s="56"/>
      <c r="AJ47" s="56"/>
      <c r="AK47" s="56"/>
      <c r="AL47" s="56"/>
      <c r="AM47" s="56"/>
      <c r="AN47" s="56"/>
      <c r="AO47" s="287"/>
      <c r="AP47" s="287"/>
      <c r="AQ47" s="56"/>
      <c r="AR47" s="56"/>
      <c r="AS47" s="56"/>
      <c r="AT47" s="56"/>
      <c r="AU47" s="56"/>
      <c r="AV47" s="287"/>
      <c r="AW47" s="56" t="s">
        <v>22</v>
      </c>
      <c r="AX47" s="56" t="s">
        <v>22</v>
      </c>
      <c r="AY47" s="56" t="s">
        <v>22</v>
      </c>
    </row>
    <row r="48" spans="1:51">
      <c r="A48" s="66" t="s">
        <v>986</v>
      </c>
      <c r="B48" s="65"/>
      <c r="C48" s="65"/>
      <c r="D48" s="65"/>
      <c r="E48" s="65"/>
      <c r="F48" s="65"/>
      <c r="G48" s="65"/>
      <c r="H48" s="65"/>
      <c r="I48" s="65"/>
      <c r="J48" s="65"/>
      <c r="K48" s="65"/>
      <c r="L48" s="65"/>
      <c r="M48" s="65"/>
      <c r="N48" s="65"/>
      <c r="O48" s="65"/>
      <c r="P48" s="65"/>
      <c r="Q48" s="65"/>
      <c r="R48" s="65"/>
      <c r="S48" s="65"/>
      <c r="T48" s="65"/>
      <c r="U48" s="65"/>
      <c r="V48" s="65"/>
      <c r="W48" s="65"/>
      <c r="X48" s="65"/>
      <c r="Y48" s="65"/>
      <c r="AA48" s="59"/>
      <c r="AB48" s="287"/>
      <c r="AC48" s="287"/>
      <c r="AD48" s="287"/>
      <c r="AE48" s="287"/>
      <c r="AF48" s="287"/>
      <c r="AG48" s="56"/>
      <c r="AH48" s="56"/>
      <c r="AI48" s="56"/>
      <c r="AJ48" s="56"/>
      <c r="AK48" s="56"/>
      <c r="AL48" s="56"/>
      <c r="AM48" s="56"/>
      <c r="AN48" s="56"/>
      <c r="AO48" s="287"/>
      <c r="AP48" s="287"/>
      <c r="AQ48" s="56"/>
      <c r="AR48" s="56"/>
      <c r="AS48" s="56"/>
      <c r="AT48" s="56"/>
      <c r="AU48" s="56"/>
      <c r="AV48" s="287"/>
      <c r="AW48" s="56" t="s">
        <v>22</v>
      </c>
      <c r="AX48" s="56" t="s">
        <v>22</v>
      </c>
      <c r="AY48" s="56" t="s">
        <v>22</v>
      </c>
    </row>
    <row r="49" spans="1:51">
      <c r="A49" s="64" t="s">
        <v>1781</v>
      </c>
      <c r="B49" s="65">
        <f t="shared" ref="B49:Y49" si="41">IFERROR((B37-B7)/B7*100,"n.a.")</f>
        <v>110.06357057698584</v>
      </c>
      <c r="C49" s="65">
        <f t="shared" si="41"/>
        <v>59.26975461016071</v>
      </c>
      <c r="D49" s="65" t="str">
        <f t="shared" si="41"/>
        <v>n.a.</v>
      </c>
      <c r="E49" s="65" t="str">
        <f>IFERROR((E37-E7)/E7*100,"n.a.")</f>
        <v>n.a.</v>
      </c>
      <c r="F49" s="65">
        <f t="shared" si="41"/>
        <v>77.526824749888391</v>
      </c>
      <c r="G49" s="65" t="str">
        <f t="shared" si="41"/>
        <v>n.a.</v>
      </c>
      <c r="H49" s="65" t="str">
        <f t="shared" si="41"/>
        <v>n.a.</v>
      </c>
      <c r="I49" s="65" t="str">
        <f t="shared" si="41"/>
        <v>n.a.</v>
      </c>
      <c r="J49" s="65" t="str">
        <f t="shared" si="41"/>
        <v>n.a.</v>
      </c>
      <c r="K49" s="65" t="str">
        <f t="shared" si="41"/>
        <v>n.a.</v>
      </c>
      <c r="L49" s="65" t="str">
        <f t="shared" si="41"/>
        <v>n.a.</v>
      </c>
      <c r="M49" s="65" t="str">
        <f t="shared" si="41"/>
        <v>n.a.</v>
      </c>
      <c r="N49" s="65" t="str">
        <f t="shared" si="41"/>
        <v>n.a.</v>
      </c>
      <c r="O49" s="65">
        <f t="shared" si="41"/>
        <v>-9.5853061647416968</v>
      </c>
      <c r="P49" s="65">
        <f t="shared" si="41"/>
        <v>-18.380428493441396</v>
      </c>
      <c r="Q49" s="65" t="str">
        <f t="shared" si="41"/>
        <v>n.a.</v>
      </c>
      <c r="R49" s="65" t="str">
        <f t="shared" si="41"/>
        <v>n.a.</v>
      </c>
      <c r="S49" s="65" t="str">
        <f t="shared" si="41"/>
        <v>n.a.</v>
      </c>
      <c r="T49" s="65" t="str">
        <f t="shared" si="41"/>
        <v>n.a.</v>
      </c>
      <c r="U49" s="65" t="str">
        <f t="shared" si="41"/>
        <v>n.a.</v>
      </c>
      <c r="V49" s="65">
        <f t="shared" si="41"/>
        <v>1.2798138083671389</v>
      </c>
      <c r="W49" s="65" t="str">
        <f t="shared" si="41"/>
        <v>n.a.</v>
      </c>
      <c r="X49" s="65" t="str">
        <f t="shared" si="41"/>
        <v>n.a.</v>
      </c>
      <c r="Y49" s="65" t="str">
        <f t="shared" si="41"/>
        <v>n.a.</v>
      </c>
      <c r="AA49" s="59"/>
      <c r="AB49" s="287"/>
      <c r="AC49" s="287"/>
      <c r="AD49" s="287"/>
      <c r="AE49" s="287"/>
      <c r="AF49" s="287"/>
      <c r="AG49" s="56"/>
      <c r="AH49" s="56"/>
      <c r="AI49" s="56"/>
      <c r="AJ49" s="56"/>
      <c r="AK49" s="56"/>
      <c r="AL49" s="56"/>
      <c r="AM49" s="56"/>
      <c r="AN49" s="56"/>
      <c r="AO49" s="287"/>
      <c r="AP49" s="287"/>
      <c r="AQ49" s="56"/>
      <c r="AR49" s="56"/>
      <c r="AS49" s="56"/>
      <c r="AT49" s="56"/>
      <c r="AU49" s="56"/>
      <c r="AV49" s="287"/>
      <c r="AW49" s="56" t="s">
        <v>22</v>
      </c>
      <c r="AX49" s="56" t="s">
        <v>22</v>
      </c>
      <c r="AY49" s="56" t="s">
        <v>22</v>
      </c>
    </row>
    <row r="50" spans="1:51">
      <c r="A50" s="64" t="s">
        <v>1780</v>
      </c>
      <c r="B50" s="65">
        <f t="shared" ref="B50:Y50" si="42">IFERROR((B37/B23-1)*100,"n.a.")</f>
        <v>43.114272556812509</v>
      </c>
      <c r="C50" s="65">
        <f t="shared" si="42"/>
        <v>6.8933302660702633</v>
      </c>
      <c r="D50" s="65">
        <f t="shared" si="42"/>
        <v>-9.2364344606441939</v>
      </c>
      <c r="E50" s="65">
        <f>IFERROR((E37/E23-1)*100,"n.a.")</f>
        <v>-2.4003168199750569</v>
      </c>
      <c r="F50" s="65">
        <f t="shared" si="42"/>
        <v>5.023146889772212</v>
      </c>
      <c r="G50" s="65">
        <f t="shared" si="42"/>
        <v>-6.6133865907795357</v>
      </c>
      <c r="H50" s="65">
        <f t="shared" si="42"/>
        <v>27.511627829047526</v>
      </c>
      <c r="I50" s="65">
        <f t="shared" si="42"/>
        <v>-5.0161812297734638</v>
      </c>
      <c r="J50" s="65">
        <f t="shared" si="42"/>
        <v>101.50000000000001</v>
      </c>
      <c r="K50" s="65">
        <f t="shared" si="42"/>
        <v>8.6705202312138638</v>
      </c>
      <c r="L50" s="65">
        <f t="shared" si="42"/>
        <v>29.628432124340431</v>
      </c>
      <c r="M50" s="65">
        <f t="shared" si="42"/>
        <v>36.379769299023955</v>
      </c>
      <c r="N50" s="65">
        <f t="shared" si="42"/>
        <v>20.694259012016026</v>
      </c>
      <c r="O50" s="65">
        <f t="shared" si="42"/>
        <v>-24.15675174870815</v>
      </c>
      <c r="P50" s="65">
        <f t="shared" si="42"/>
        <v>-29.990947671990263</v>
      </c>
      <c r="Q50" s="65">
        <f t="shared" si="42"/>
        <v>-8.7741935483870996</v>
      </c>
      <c r="R50" s="65">
        <f t="shared" si="42"/>
        <v>-31.014034394149036</v>
      </c>
      <c r="S50" s="65">
        <f t="shared" si="42"/>
        <v>-8.2578582844965336</v>
      </c>
      <c r="T50" s="65">
        <f t="shared" si="42"/>
        <v>-44.40251572327044</v>
      </c>
      <c r="U50" s="65">
        <f t="shared" si="42"/>
        <v>-33.598409542743532</v>
      </c>
      <c r="V50" s="65">
        <f t="shared" si="42"/>
        <v>-14.243915378576633</v>
      </c>
      <c r="W50" s="65">
        <f t="shared" si="42"/>
        <v>-29.275970619097592</v>
      </c>
      <c r="X50" s="65">
        <f t="shared" si="42"/>
        <v>41.717791411042946</v>
      </c>
      <c r="Y50" s="65">
        <f t="shared" si="42"/>
        <v>-11.398963730569944</v>
      </c>
      <c r="AA50" s="59"/>
      <c r="AB50" s="287"/>
      <c r="AC50" s="287"/>
      <c r="AD50" s="287"/>
      <c r="AE50" s="287"/>
      <c r="AF50" s="287"/>
      <c r="AG50" s="56"/>
      <c r="AH50" s="56"/>
      <c r="AI50" s="56"/>
      <c r="AJ50" s="56"/>
      <c r="AK50" s="56"/>
      <c r="AL50" s="56"/>
      <c r="AM50" s="56"/>
      <c r="AN50" s="56"/>
      <c r="AO50" s="287"/>
      <c r="AP50" s="287"/>
      <c r="AQ50" s="56"/>
      <c r="AR50" s="56"/>
      <c r="AS50" s="56"/>
      <c r="AT50" s="56"/>
      <c r="AU50" s="56"/>
      <c r="AV50" s="287"/>
      <c r="AW50" s="56" t="s">
        <v>22</v>
      </c>
      <c r="AX50" s="56" t="s">
        <v>22</v>
      </c>
      <c r="AY50" s="56" t="s">
        <v>22</v>
      </c>
    </row>
    <row r="51" spans="1:51">
      <c r="B51" s="65"/>
      <c r="C51" s="65"/>
      <c r="D51" s="65"/>
      <c r="E51" s="65"/>
      <c r="F51" s="65"/>
      <c r="G51" s="65"/>
      <c r="H51" s="65"/>
      <c r="I51" s="65"/>
      <c r="J51" s="65"/>
      <c r="K51" s="65"/>
      <c r="L51" s="65"/>
      <c r="M51" s="65"/>
      <c r="N51" s="65"/>
      <c r="O51" s="65"/>
      <c r="P51" s="65"/>
      <c r="Q51" s="65"/>
      <c r="R51" s="65"/>
      <c r="S51" s="65"/>
      <c r="T51" s="65"/>
      <c r="U51" s="65"/>
      <c r="V51" s="65"/>
      <c r="W51" s="65"/>
      <c r="X51" s="65"/>
      <c r="Y51" s="65"/>
      <c r="AA51" s="59"/>
      <c r="AB51" s="287"/>
      <c r="AC51" s="287"/>
      <c r="AD51" s="287"/>
      <c r="AE51" s="287"/>
      <c r="AF51" s="287"/>
      <c r="AG51" s="56"/>
      <c r="AH51" s="56"/>
      <c r="AI51" s="56"/>
      <c r="AJ51" s="56"/>
      <c r="AK51" s="56"/>
      <c r="AL51" s="56"/>
      <c r="AM51" s="56"/>
      <c r="AN51" s="56"/>
      <c r="AO51" s="287"/>
      <c r="AP51" s="287"/>
      <c r="AQ51" s="56"/>
      <c r="AR51" s="56"/>
      <c r="AS51" s="56"/>
      <c r="AT51" s="56"/>
      <c r="AU51" s="56"/>
      <c r="AV51" s="287"/>
      <c r="AW51" s="56"/>
      <c r="AX51" s="56"/>
      <c r="AY51" s="56"/>
    </row>
    <row r="52" spans="1:51">
      <c r="A52" s="137" t="s">
        <v>1864</v>
      </c>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AA52" s="59"/>
      <c r="AB52" s="287"/>
      <c r="AC52" s="287"/>
      <c r="AD52" s="287"/>
      <c r="AE52" s="287"/>
      <c r="AF52" s="287"/>
      <c r="AG52" s="56"/>
      <c r="AH52" s="56"/>
      <c r="AI52" s="56"/>
      <c r="AJ52" s="56"/>
      <c r="AK52" s="56"/>
      <c r="AL52" s="56"/>
      <c r="AM52" s="56"/>
      <c r="AN52" s="56"/>
      <c r="AO52" s="287"/>
      <c r="AP52" s="287"/>
      <c r="AQ52" s="56"/>
      <c r="AR52" s="56"/>
      <c r="AS52" s="56"/>
      <c r="AT52" s="56"/>
      <c r="AU52" s="56"/>
      <c r="AV52" s="287"/>
      <c r="AW52" s="56" t="s">
        <v>22</v>
      </c>
      <c r="AX52" s="56" t="s">
        <v>22</v>
      </c>
      <c r="AY52" s="56" t="s">
        <v>22</v>
      </c>
    </row>
    <row r="53" spans="1:51">
      <c r="A53" s="137" t="s">
        <v>193</v>
      </c>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AA53" s="59"/>
      <c r="AB53" s="287"/>
      <c r="AC53" s="287"/>
      <c r="AD53" s="287"/>
      <c r="AE53" s="287"/>
      <c r="AF53" s="287"/>
      <c r="AG53" s="56"/>
      <c r="AH53" s="56"/>
      <c r="AI53" s="56"/>
      <c r="AJ53" s="56"/>
      <c r="AK53" s="56"/>
      <c r="AL53" s="56"/>
      <c r="AM53" s="56"/>
      <c r="AN53" s="56"/>
      <c r="AO53" s="287"/>
      <c r="AP53" s="287"/>
      <c r="AQ53" s="56"/>
      <c r="AR53" s="56"/>
      <c r="AS53" s="56"/>
      <c r="AT53" s="56"/>
      <c r="AU53" s="56"/>
      <c r="AV53" s="287"/>
      <c r="AW53" s="56" t="s">
        <v>22</v>
      </c>
      <c r="AX53" s="56" t="s">
        <v>22</v>
      </c>
      <c r="AY53" s="56" t="s">
        <v>22</v>
      </c>
    </row>
    <row r="54" spans="1:51">
      <c r="A54" s="137" t="s">
        <v>1020</v>
      </c>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AA54" s="59"/>
      <c r="AB54" s="287"/>
      <c r="AC54" s="287"/>
      <c r="AD54" s="287"/>
      <c r="AE54" s="287"/>
      <c r="AF54" s="287"/>
      <c r="AG54" s="56"/>
      <c r="AH54" s="56"/>
      <c r="AI54" s="56"/>
      <c r="AJ54" s="56"/>
      <c r="AK54" s="56"/>
      <c r="AL54" s="56"/>
      <c r="AM54" s="56"/>
      <c r="AN54" s="56"/>
      <c r="AO54" s="287"/>
      <c r="AP54" s="287"/>
      <c r="AQ54" s="56"/>
      <c r="AR54" s="56"/>
      <c r="AS54" s="56"/>
      <c r="AT54" s="56"/>
      <c r="AU54" s="56"/>
      <c r="AV54" s="287"/>
      <c r="AW54" s="56"/>
      <c r="AX54" s="56"/>
      <c r="AY54" s="56"/>
    </row>
    <row r="55" spans="1:51">
      <c r="A55" s="137" t="s">
        <v>2077</v>
      </c>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AA55" s="59"/>
      <c r="AB55" s="287"/>
      <c r="AC55" s="287"/>
      <c r="AD55" s="287"/>
      <c r="AE55" s="287"/>
      <c r="AF55" s="287"/>
      <c r="AG55" s="56"/>
      <c r="AH55" s="56"/>
      <c r="AI55" s="56"/>
      <c r="AJ55" s="56"/>
      <c r="AK55" s="56"/>
      <c r="AL55" s="56"/>
      <c r="AM55" s="56"/>
      <c r="AN55" s="56"/>
      <c r="AO55" s="287"/>
      <c r="AP55" s="287"/>
      <c r="AQ55" s="56"/>
      <c r="AR55" s="56"/>
      <c r="AS55" s="56"/>
      <c r="AT55" s="56"/>
      <c r="AU55" s="56"/>
      <c r="AV55" s="287"/>
      <c r="AW55" s="56" t="s">
        <v>22</v>
      </c>
      <c r="AX55" s="56" t="s">
        <v>22</v>
      </c>
      <c r="AY55" s="56" t="s">
        <v>22</v>
      </c>
    </row>
    <row r="56" spans="1:51">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262"/>
      <c r="AA56" s="286" t="s">
        <v>1826</v>
      </c>
      <c r="AB56" s="287"/>
      <c r="AC56" s="287"/>
      <c r="AD56" s="287"/>
      <c r="AE56" s="287"/>
      <c r="AF56" s="287"/>
      <c r="AG56" s="56"/>
      <c r="AH56" s="56"/>
      <c r="AI56" s="56"/>
      <c r="AJ56" s="56"/>
      <c r="AK56" s="56"/>
      <c r="AL56" s="56"/>
      <c r="AM56" s="56"/>
      <c r="AN56" s="56"/>
      <c r="AO56" s="287"/>
      <c r="AP56" s="287"/>
      <c r="AQ56" s="56"/>
      <c r="AR56" s="56"/>
      <c r="AS56" s="56"/>
      <c r="AT56" s="56"/>
      <c r="AU56" s="56"/>
      <c r="AV56" s="287"/>
      <c r="AW56" s="56" t="s">
        <v>22</v>
      </c>
      <c r="AX56" s="56" t="s">
        <v>22</v>
      </c>
      <c r="AY56" s="56" t="s">
        <v>22</v>
      </c>
    </row>
    <row r="57" spans="1:51">
      <c r="E57" s="56"/>
      <c r="AA57" s="59" t="s">
        <v>1853</v>
      </c>
      <c r="AB57" s="287">
        <f>IFERROR(AB8/AB7,"..")</f>
        <v>0.97390097821600319</v>
      </c>
      <c r="AC57" s="287">
        <f t="shared" ref="AC57:AY68" si="43">IFERROR(AC8/AC7,"..")</f>
        <v>0.89064472853535348</v>
      </c>
      <c r="AD57" s="287" t="str">
        <f t="shared" si="43"/>
        <v>..</v>
      </c>
      <c r="AE57" s="287" t="str">
        <f t="shared" si="43"/>
        <v>..</v>
      </c>
      <c r="AF57" s="287">
        <f t="shared" si="43"/>
        <v>0.83925642427556046</v>
      </c>
      <c r="AG57" s="287" t="str">
        <f t="shared" si="43"/>
        <v>..</v>
      </c>
      <c r="AH57" s="287" t="str">
        <f t="shared" si="43"/>
        <v>..</v>
      </c>
      <c r="AI57" s="287" t="str">
        <f t="shared" si="43"/>
        <v>..</v>
      </c>
      <c r="AJ57" s="287" t="str">
        <f t="shared" si="43"/>
        <v>..</v>
      </c>
      <c r="AK57" s="287" t="str">
        <f t="shared" si="43"/>
        <v>..</v>
      </c>
      <c r="AL57" s="287" t="str">
        <f t="shared" si="43"/>
        <v>..</v>
      </c>
      <c r="AM57" s="287" t="str">
        <f t="shared" si="43"/>
        <v>..</v>
      </c>
      <c r="AN57" s="287" t="str">
        <f t="shared" si="43"/>
        <v>..</v>
      </c>
      <c r="AO57" s="287">
        <f t="shared" si="43"/>
        <v>0.8889255471241615</v>
      </c>
      <c r="AP57" s="287">
        <f t="shared" si="43"/>
        <v>0.90163681284743669</v>
      </c>
      <c r="AQ57" s="287" t="str">
        <f t="shared" si="43"/>
        <v>..</v>
      </c>
      <c r="AR57" s="287" t="str">
        <f t="shared" si="43"/>
        <v>..</v>
      </c>
      <c r="AS57" s="287" t="str">
        <f t="shared" si="43"/>
        <v>..</v>
      </c>
      <c r="AT57" s="287" t="str">
        <f t="shared" si="43"/>
        <v>..</v>
      </c>
      <c r="AU57" s="287" t="str">
        <f t="shared" si="43"/>
        <v>..</v>
      </c>
      <c r="AV57" s="287">
        <f t="shared" si="43"/>
        <v>0.83065693430656939</v>
      </c>
      <c r="AW57" s="287" t="str">
        <f t="shared" si="43"/>
        <v>..</v>
      </c>
      <c r="AX57" s="287" t="str">
        <f t="shared" si="43"/>
        <v>..</v>
      </c>
      <c r="AY57" s="287" t="str">
        <f t="shared" si="43"/>
        <v>..</v>
      </c>
    </row>
    <row r="58" spans="1:51">
      <c r="E58" s="56"/>
      <c r="AA58" s="59" t="s">
        <v>1854</v>
      </c>
      <c r="AB58" s="287">
        <f t="shared" ref="AB58:AQ84" si="44">IFERROR(AB9/AB8,"..")</f>
        <v>1.026806945397168</v>
      </c>
      <c r="AC58" s="287">
        <f t="shared" si="44"/>
        <v>1.0529737512459851</v>
      </c>
      <c r="AD58" s="287" t="str">
        <f t="shared" si="44"/>
        <v>..</v>
      </c>
      <c r="AE58" s="287" t="str">
        <f t="shared" si="44"/>
        <v>..</v>
      </c>
      <c r="AF58" s="287">
        <f t="shared" si="44"/>
        <v>1.2351791530944625</v>
      </c>
      <c r="AG58" s="287" t="str">
        <f t="shared" si="44"/>
        <v>..</v>
      </c>
      <c r="AH58" s="287" t="str">
        <f t="shared" si="44"/>
        <v>..</v>
      </c>
      <c r="AI58" s="287" t="str">
        <f t="shared" si="44"/>
        <v>..</v>
      </c>
      <c r="AJ58" s="287" t="str">
        <f t="shared" si="44"/>
        <v>..</v>
      </c>
      <c r="AK58" s="287" t="str">
        <f t="shared" si="44"/>
        <v>..</v>
      </c>
      <c r="AL58" s="287" t="str">
        <f t="shared" si="44"/>
        <v>..</v>
      </c>
      <c r="AM58" s="287" t="str">
        <f t="shared" si="44"/>
        <v>..</v>
      </c>
      <c r="AN58" s="287" t="str">
        <f t="shared" si="44"/>
        <v>..</v>
      </c>
      <c r="AO58" s="287">
        <f t="shared" si="44"/>
        <v>1.1181492020289496</v>
      </c>
      <c r="AP58" s="287">
        <f t="shared" si="44"/>
        <v>1.1173146086658674</v>
      </c>
      <c r="AQ58" s="287" t="str">
        <f t="shared" si="44"/>
        <v>..</v>
      </c>
      <c r="AR58" s="287" t="str">
        <f t="shared" si="43"/>
        <v>..</v>
      </c>
      <c r="AS58" s="287" t="str">
        <f t="shared" si="43"/>
        <v>..</v>
      </c>
      <c r="AT58" s="287" t="str">
        <f t="shared" si="43"/>
        <v>..</v>
      </c>
      <c r="AU58" s="287" t="str">
        <f t="shared" si="43"/>
        <v>..</v>
      </c>
      <c r="AV58" s="287">
        <f t="shared" si="43"/>
        <v>1.1230228471001757</v>
      </c>
      <c r="AW58" s="287" t="str">
        <f t="shared" si="43"/>
        <v>..</v>
      </c>
      <c r="AX58" s="287" t="str">
        <f t="shared" si="43"/>
        <v>..</v>
      </c>
      <c r="AY58" s="287" t="str">
        <f t="shared" si="43"/>
        <v>..</v>
      </c>
    </row>
    <row r="59" spans="1:51">
      <c r="E59" s="56"/>
      <c r="AA59" s="59" t="s">
        <v>1855</v>
      </c>
      <c r="AB59" s="287">
        <f t="shared" si="44"/>
        <v>1.0545299927392804</v>
      </c>
      <c r="AC59" s="287">
        <f t="shared" si="43"/>
        <v>1.1341916211753074</v>
      </c>
      <c r="AD59" s="287" t="str">
        <f t="shared" si="43"/>
        <v>..</v>
      </c>
      <c r="AE59" s="287" t="str">
        <f t="shared" si="43"/>
        <v>..</v>
      </c>
      <c r="AF59" s="287">
        <f t="shared" si="43"/>
        <v>1.1206047819971872</v>
      </c>
      <c r="AG59" s="287" t="str">
        <f t="shared" si="43"/>
        <v>..</v>
      </c>
      <c r="AH59" s="287" t="str">
        <f t="shared" si="43"/>
        <v>..</v>
      </c>
      <c r="AI59" s="287" t="str">
        <f t="shared" si="43"/>
        <v>..</v>
      </c>
      <c r="AJ59" s="287" t="str">
        <f t="shared" si="43"/>
        <v>..</v>
      </c>
      <c r="AK59" s="287" t="str">
        <f t="shared" si="43"/>
        <v>..</v>
      </c>
      <c r="AL59" s="287" t="str">
        <f t="shared" si="43"/>
        <v>..</v>
      </c>
      <c r="AM59" s="287" t="str">
        <f t="shared" si="43"/>
        <v>..</v>
      </c>
      <c r="AN59" s="287" t="str">
        <f t="shared" si="43"/>
        <v>..</v>
      </c>
      <c r="AO59" s="287">
        <f t="shared" si="43"/>
        <v>1.0443682230581988</v>
      </c>
      <c r="AP59" s="287">
        <f t="shared" si="43"/>
        <v>1.0515021459227467</v>
      </c>
      <c r="AQ59" s="287" t="str">
        <f t="shared" si="43"/>
        <v>..</v>
      </c>
      <c r="AR59" s="287" t="str">
        <f t="shared" si="43"/>
        <v>..</v>
      </c>
      <c r="AS59" s="287" t="str">
        <f t="shared" si="43"/>
        <v>..</v>
      </c>
      <c r="AT59" s="287" t="str">
        <f t="shared" si="43"/>
        <v>..</v>
      </c>
      <c r="AU59" s="287" t="str">
        <f t="shared" si="43"/>
        <v>..</v>
      </c>
      <c r="AV59" s="287">
        <f t="shared" si="43"/>
        <v>1.0113458528951487</v>
      </c>
      <c r="AW59" s="287" t="str">
        <f t="shared" si="43"/>
        <v>..</v>
      </c>
      <c r="AX59" s="287" t="str">
        <f t="shared" si="43"/>
        <v>..</v>
      </c>
      <c r="AY59" s="287" t="str">
        <f t="shared" si="43"/>
        <v>..</v>
      </c>
    </row>
    <row r="60" spans="1:51">
      <c r="AA60" s="59" t="s">
        <v>1856</v>
      </c>
      <c r="AB60" s="287">
        <f t="shared" si="44"/>
        <v>1.0506743001944538</v>
      </c>
      <c r="AC60" s="287">
        <f t="shared" si="43"/>
        <v>1.0502267437007911</v>
      </c>
      <c r="AD60" s="287" t="str">
        <f t="shared" si="43"/>
        <v>..</v>
      </c>
      <c r="AE60" s="287" t="str">
        <f t="shared" si="43"/>
        <v>..</v>
      </c>
      <c r="AF60" s="287">
        <f t="shared" si="43"/>
        <v>1.1342955757765925</v>
      </c>
      <c r="AG60" s="287" t="str">
        <f t="shared" si="43"/>
        <v>..</v>
      </c>
      <c r="AH60" s="287" t="str">
        <f t="shared" si="43"/>
        <v>..</v>
      </c>
      <c r="AI60" s="287" t="str">
        <f t="shared" si="43"/>
        <v>..</v>
      </c>
      <c r="AJ60" s="287" t="str">
        <f t="shared" si="43"/>
        <v>..</v>
      </c>
      <c r="AK60" s="287" t="str">
        <f t="shared" si="43"/>
        <v>..</v>
      </c>
      <c r="AL60" s="287" t="str">
        <f t="shared" si="43"/>
        <v>..</v>
      </c>
      <c r="AM60" s="287" t="str">
        <f t="shared" si="43"/>
        <v>..</v>
      </c>
      <c r="AN60" s="287" t="str">
        <f t="shared" si="43"/>
        <v>..</v>
      </c>
      <c r="AO60" s="287">
        <f t="shared" si="43"/>
        <v>0.9941731115584278</v>
      </c>
      <c r="AP60" s="287">
        <f t="shared" si="43"/>
        <v>0.99548104956268224</v>
      </c>
      <c r="AQ60" s="287" t="str">
        <f t="shared" si="43"/>
        <v>..</v>
      </c>
      <c r="AR60" s="287" t="str">
        <f t="shared" si="43"/>
        <v>..</v>
      </c>
      <c r="AS60" s="287" t="str">
        <f t="shared" si="43"/>
        <v>..</v>
      </c>
      <c r="AT60" s="287" t="str">
        <f t="shared" si="43"/>
        <v>..</v>
      </c>
      <c r="AU60" s="287" t="str">
        <f t="shared" si="43"/>
        <v>..</v>
      </c>
      <c r="AV60" s="287">
        <f t="shared" si="43"/>
        <v>0.98646034816247585</v>
      </c>
      <c r="AW60" s="287" t="str">
        <f t="shared" si="43"/>
        <v>..</v>
      </c>
      <c r="AX60" s="287" t="str">
        <f t="shared" si="43"/>
        <v>..</v>
      </c>
      <c r="AY60" s="287" t="str">
        <f t="shared" si="43"/>
        <v>..</v>
      </c>
    </row>
    <row r="61" spans="1:51">
      <c r="E61" s="56"/>
      <c r="AA61" s="59" t="s">
        <v>1857</v>
      </c>
      <c r="AB61" s="287">
        <f t="shared" si="44"/>
        <v>1.0275473273317304</v>
      </c>
      <c r="AC61" s="287">
        <f t="shared" si="43"/>
        <v>1.0106757794908474</v>
      </c>
      <c r="AD61" s="287" t="str">
        <f t="shared" si="43"/>
        <v>..</v>
      </c>
      <c r="AE61" s="287" t="str">
        <f t="shared" si="43"/>
        <v>..</v>
      </c>
      <c r="AF61" s="287">
        <f t="shared" si="43"/>
        <v>1.0049792531120332</v>
      </c>
      <c r="AG61" s="287" t="str">
        <f t="shared" si="43"/>
        <v>..</v>
      </c>
      <c r="AH61" s="287" t="str">
        <f t="shared" si="43"/>
        <v>..</v>
      </c>
      <c r="AI61" s="287" t="str">
        <f t="shared" si="43"/>
        <v>..</v>
      </c>
      <c r="AJ61" s="287" t="str">
        <f t="shared" si="43"/>
        <v>..</v>
      </c>
      <c r="AK61" s="287" t="str">
        <f t="shared" si="43"/>
        <v>..</v>
      </c>
      <c r="AL61" s="287" t="str">
        <f t="shared" si="43"/>
        <v>..</v>
      </c>
      <c r="AM61" s="287" t="str">
        <f t="shared" si="43"/>
        <v>..</v>
      </c>
      <c r="AN61" s="287" t="str">
        <f t="shared" si="43"/>
        <v>..</v>
      </c>
      <c r="AO61" s="287">
        <f t="shared" si="43"/>
        <v>1.0350596760443307</v>
      </c>
      <c r="AP61" s="287">
        <f t="shared" si="43"/>
        <v>1.0497876702299018</v>
      </c>
      <c r="AQ61" s="287" t="str">
        <f t="shared" si="43"/>
        <v>..</v>
      </c>
      <c r="AR61" s="287" t="str">
        <f t="shared" si="43"/>
        <v>..</v>
      </c>
      <c r="AS61" s="287" t="str">
        <f t="shared" si="43"/>
        <v>..</v>
      </c>
      <c r="AT61" s="287" t="str">
        <f t="shared" si="43"/>
        <v>..</v>
      </c>
      <c r="AU61" s="287" t="str">
        <f t="shared" si="43"/>
        <v>..</v>
      </c>
      <c r="AV61" s="287">
        <f t="shared" si="43"/>
        <v>0.95960784313725489</v>
      </c>
      <c r="AW61" s="287" t="str">
        <f t="shared" si="43"/>
        <v>..</v>
      </c>
      <c r="AX61" s="287" t="str">
        <f t="shared" si="43"/>
        <v>..</v>
      </c>
      <c r="AY61" s="287" t="str">
        <f t="shared" si="43"/>
        <v>..</v>
      </c>
    </row>
    <row r="62" spans="1:51">
      <c r="E62" s="56"/>
      <c r="AA62" s="59" t="s">
        <v>1858</v>
      </c>
      <c r="AB62" s="287">
        <f t="shared" si="44"/>
        <v>1.0393090163063183</v>
      </c>
      <c r="AC62" s="287">
        <f t="shared" si="43"/>
        <v>1.0455720975746139</v>
      </c>
      <c r="AD62" s="287">
        <f t="shared" si="43"/>
        <v>1.1094998653138188</v>
      </c>
      <c r="AE62" s="287">
        <f t="shared" si="43"/>
        <v>1.1988668555240793</v>
      </c>
      <c r="AF62" s="287">
        <f t="shared" si="43"/>
        <v>1.1469859620148637</v>
      </c>
      <c r="AG62" s="287" t="str">
        <f t="shared" si="43"/>
        <v>..</v>
      </c>
      <c r="AH62" s="287" t="str">
        <f t="shared" si="43"/>
        <v>..</v>
      </c>
      <c r="AI62" s="287" t="str">
        <f t="shared" si="43"/>
        <v>..</v>
      </c>
      <c r="AJ62" s="287" t="str">
        <f t="shared" si="43"/>
        <v>..</v>
      </c>
      <c r="AK62" s="287" t="str">
        <f t="shared" si="43"/>
        <v>..</v>
      </c>
      <c r="AL62" s="287" t="str">
        <f t="shared" si="43"/>
        <v>..</v>
      </c>
      <c r="AM62" s="287" t="str">
        <f t="shared" si="43"/>
        <v>..</v>
      </c>
      <c r="AN62" s="287" t="str">
        <f t="shared" si="43"/>
        <v>..</v>
      </c>
      <c r="AO62" s="287">
        <f t="shared" si="43"/>
        <v>1.0327396273036138</v>
      </c>
      <c r="AP62" s="287">
        <f t="shared" si="43"/>
        <v>1.0368252196959129</v>
      </c>
      <c r="AQ62" s="287" t="str">
        <f t="shared" si="43"/>
        <v>..</v>
      </c>
      <c r="AR62" s="287" t="str">
        <f t="shared" si="43"/>
        <v>..</v>
      </c>
      <c r="AS62" s="287" t="str">
        <f t="shared" si="43"/>
        <v>..</v>
      </c>
      <c r="AT62" s="287" t="str">
        <f t="shared" si="43"/>
        <v>..</v>
      </c>
      <c r="AU62" s="287" t="str">
        <f t="shared" si="43"/>
        <v>..</v>
      </c>
      <c r="AV62" s="287">
        <f t="shared" si="43"/>
        <v>1.0138945647731916</v>
      </c>
      <c r="AW62" s="287" t="str">
        <f t="shared" si="43"/>
        <v>..</v>
      </c>
      <c r="AX62" s="287" t="str">
        <f t="shared" si="43"/>
        <v>..</v>
      </c>
      <c r="AY62" s="287" t="str">
        <f t="shared" si="43"/>
        <v>..</v>
      </c>
    </row>
    <row r="63" spans="1:51">
      <c r="E63" s="56"/>
      <c r="AA63" s="59" t="s">
        <v>1861</v>
      </c>
      <c r="AB63" s="287">
        <f t="shared" si="44"/>
        <v>1.044251358250232</v>
      </c>
      <c r="AC63" s="287">
        <f t="shared" si="43"/>
        <v>1.0652533591817634</v>
      </c>
      <c r="AD63" s="287">
        <f t="shared" si="43"/>
        <v>1.0118965726540687</v>
      </c>
      <c r="AE63" s="287">
        <f t="shared" si="43"/>
        <v>0.98802772526780092</v>
      </c>
      <c r="AF63" s="287">
        <f t="shared" si="43"/>
        <v>1.0335973122150228</v>
      </c>
      <c r="AG63" s="287" t="str">
        <f t="shared" si="43"/>
        <v>..</v>
      </c>
      <c r="AH63" s="287" t="str">
        <f t="shared" si="43"/>
        <v>..</v>
      </c>
      <c r="AI63" s="287" t="str">
        <f t="shared" si="43"/>
        <v>..</v>
      </c>
      <c r="AJ63" s="287" t="str">
        <f t="shared" si="43"/>
        <v>..</v>
      </c>
      <c r="AK63" s="287" t="str">
        <f t="shared" si="43"/>
        <v>..</v>
      </c>
      <c r="AL63" s="287" t="str">
        <f t="shared" si="43"/>
        <v>..</v>
      </c>
      <c r="AM63" s="287" t="str">
        <f t="shared" si="43"/>
        <v>..</v>
      </c>
      <c r="AN63" s="287" t="str">
        <f t="shared" si="43"/>
        <v>..</v>
      </c>
      <c r="AO63" s="287">
        <f t="shared" si="43"/>
        <v>1.0089721862227097</v>
      </c>
      <c r="AP63" s="287">
        <f t="shared" si="43"/>
        <v>1.0056504775998925</v>
      </c>
      <c r="AQ63" s="287" t="str">
        <f t="shared" si="43"/>
        <v>..</v>
      </c>
      <c r="AR63" s="287" t="str">
        <f t="shared" si="43"/>
        <v>..</v>
      </c>
      <c r="AS63" s="287" t="str">
        <f t="shared" si="43"/>
        <v>..</v>
      </c>
      <c r="AT63" s="287" t="str">
        <f t="shared" si="43"/>
        <v>..</v>
      </c>
      <c r="AU63" s="287" t="str">
        <f t="shared" si="43"/>
        <v>..</v>
      </c>
      <c r="AV63" s="287">
        <f t="shared" si="43"/>
        <v>1.0261991132607819</v>
      </c>
      <c r="AW63" s="287" t="str">
        <f t="shared" si="43"/>
        <v>..</v>
      </c>
      <c r="AX63" s="287" t="str">
        <f t="shared" si="43"/>
        <v>..</v>
      </c>
      <c r="AY63" s="287" t="str">
        <f t="shared" si="43"/>
        <v>..</v>
      </c>
    </row>
    <row r="64" spans="1:51">
      <c r="E64" s="56"/>
      <c r="AA64" s="59" t="s">
        <v>1859</v>
      </c>
      <c r="AB64" s="287">
        <f t="shared" si="44"/>
        <v>1.0238310534873862</v>
      </c>
      <c r="AC64" s="287">
        <f t="shared" si="43"/>
        <v>1.0163475341423427</v>
      </c>
      <c r="AD64" s="287">
        <f t="shared" si="43"/>
        <v>0.97376734514335983</v>
      </c>
      <c r="AE64" s="287">
        <f t="shared" si="43"/>
        <v>0.96970663265306123</v>
      </c>
      <c r="AF64" s="287">
        <f t="shared" si="43"/>
        <v>0.97608544230322736</v>
      </c>
      <c r="AG64" s="287" t="str">
        <f t="shared" si="43"/>
        <v>..</v>
      </c>
      <c r="AH64" s="287" t="str">
        <f t="shared" si="43"/>
        <v>..</v>
      </c>
      <c r="AI64" s="287" t="str">
        <f t="shared" si="43"/>
        <v>..</v>
      </c>
      <c r="AJ64" s="287" t="str">
        <f t="shared" si="43"/>
        <v>..</v>
      </c>
      <c r="AK64" s="287" t="str">
        <f t="shared" si="43"/>
        <v>..</v>
      </c>
      <c r="AL64" s="287" t="str">
        <f t="shared" si="43"/>
        <v>..</v>
      </c>
      <c r="AM64" s="287" t="str">
        <f t="shared" si="43"/>
        <v>..</v>
      </c>
      <c r="AN64" s="287" t="str">
        <f t="shared" si="43"/>
        <v>..</v>
      </c>
      <c r="AO64" s="287">
        <f t="shared" si="43"/>
        <v>0.97431083884991598</v>
      </c>
      <c r="AP64" s="287">
        <f t="shared" si="43"/>
        <v>0.96</v>
      </c>
      <c r="AQ64" s="287" t="str">
        <f t="shared" si="43"/>
        <v>..</v>
      </c>
      <c r="AR64" s="287" t="str">
        <f t="shared" si="43"/>
        <v>..</v>
      </c>
      <c r="AS64" s="287" t="str">
        <f t="shared" si="43"/>
        <v>..</v>
      </c>
      <c r="AT64" s="287" t="str">
        <f t="shared" si="43"/>
        <v>..</v>
      </c>
      <c r="AU64" s="287" t="str">
        <f t="shared" si="43"/>
        <v>..</v>
      </c>
      <c r="AV64" s="287">
        <f t="shared" si="43"/>
        <v>1.0392772977219167</v>
      </c>
      <c r="AW64" s="287" t="str">
        <f t="shared" si="43"/>
        <v>..</v>
      </c>
      <c r="AX64" s="287" t="str">
        <f t="shared" si="43"/>
        <v>..</v>
      </c>
      <c r="AY64" s="287" t="str">
        <f t="shared" si="43"/>
        <v>..</v>
      </c>
    </row>
    <row r="65" spans="5:51">
      <c r="E65" s="56"/>
      <c r="AA65" s="59" t="s">
        <v>1860</v>
      </c>
      <c r="AB65" s="287">
        <f t="shared" si="44"/>
        <v>1.0052900207695885</v>
      </c>
      <c r="AC65" s="287">
        <f t="shared" si="43"/>
        <v>0.96330027399374829</v>
      </c>
      <c r="AD65" s="287">
        <f t="shared" si="43"/>
        <v>0.93495133670075148</v>
      </c>
      <c r="AE65" s="287">
        <f t="shared" si="43"/>
        <v>0.86303847418612301</v>
      </c>
      <c r="AF65" s="287">
        <f t="shared" si="43"/>
        <v>0.93042340627973363</v>
      </c>
      <c r="AG65" s="287" t="str">
        <f t="shared" si="43"/>
        <v>..</v>
      </c>
      <c r="AH65" s="287" t="str">
        <f t="shared" si="43"/>
        <v>..</v>
      </c>
      <c r="AI65" s="287" t="str">
        <f t="shared" si="43"/>
        <v>..</v>
      </c>
      <c r="AJ65" s="287" t="str">
        <f t="shared" si="43"/>
        <v>..</v>
      </c>
      <c r="AK65" s="287" t="str">
        <f t="shared" si="43"/>
        <v>..</v>
      </c>
      <c r="AL65" s="287" t="str">
        <f t="shared" si="43"/>
        <v>..</v>
      </c>
      <c r="AM65" s="287" t="str">
        <f t="shared" si="43"/>
        <v>..</v>
      </c>
      <c r="AN65" s="287" t="str">
        <f t="shared" si="43"/>
        <v>..</v>
      </c>
      <c r="AO65" s="287">
        <f t="shared" si="43"/>
        <v>0.98316600750430994</v>
      </c>
      <c r="AP65" s="287">
        <f t="shared" si="43"/>
        <v>0.9867614269788183</v>
      </c>
      <c r="AQ65" s="287" t="str">
        <f t="shared" si="43"/>
        <v>..</v>
      </c>
      <c r="AR65" s="287" t="str">
        <f t="shared" si="43"/>
        <v>..</v>
      </c>
      <c r="AS65" s="287" t="str">
        <f t="shared" si="43"/>
        <v>..</v>
      </c>
      <c r="AT65" s="287" t="str">
        <f t="shared" si="43"/>
        <v>..</v>
      </c>
      <c r="AU65" s="287" t="str">
        <f t="shared" si="43"/>
        <v>..</v>
      </c>
      <c r="AV65" s="287">
        <f t="shared" si="43"/>
        <v>0.96749811035525324</v>
      </c>
      <c r="AW65" s="287" t="str">
        <f t="shared" si="43"/>
        <v>..</v>
      </c>
      <c r="AX65" s="287" t="str">
        <f t="shared" si="43"/>
        <v>..</v>
      </c>
      <c r="AY65" s="287" t="str">
        <f t="shared" si="43"/>
        <v>..</v>
      </c>
    </row>
    <row r="66" spans="5:51">
      <c r="E66" s="56"/>
      <c r="AA66" s="59" t="s">
        <v>1846</v>
      </c>
      <c r="AB66" s="287">
        <f t="shared" si="44"/>
        <v>0.98568639105702505</v>
      </c>
      <c r="AC66" s="287">
        <f t="shared" si="43"/>
        <v>0.92953288999278905</v>
      </c>
      <c r="AD66" s="287">
        <f t="shared" si="43"/>
        <v>0.90688276891992792</v>
      </c>
      <c r="AE66" s="287">
        <f t="shared" si="43"/>
        <v>0.86130691560297201</v>
      </c>
      <c r="AF66" s="287">
        <f t="shared" si="43"/>
        <v>0.88597724658059573</v>
      </c>
      <c r="AG66" s="287" t="str">
        <f t="shared" si="43"/>
        <v>..</v>
      </c>
      <c r="AH66" s="287" t="str">
        <f t="shared" si="43"/>
        <v>..</v>
      </c>
      <c r="AI66" s="287" t="str">
        <f t="shared" si="43"/>
        <v>..</v>
      </c>
      <c r="AJ66" s="287" t="str">
        <f t="shared" si="43"/>
        <v>..</v>
      </c>
      <c r="AK66" s="287" t="str">
        <f t="shared" si="43"/>
        <v>..</v>
      </c>
      <c r="AL66" s="287" t="str">
        <f t="shared" si="43"/>
        <v>..</v>
      </c>
      <c r="AM66" s="287" t="str">
        <f t="shared" si="43"/>
        <v>..</v>
      </c>
      <c r="AN66" s="287" t="str">
        <f t="shared" si="43"/>
        <v>..</v>
      </c>
      <c r="AO66" s="287">
        <f t="shared" si="43"/>
        <v>0.94842702423929859</v>
      </c>
      <c r="AP66" s="287">
        <f t="shared" si="43"/>
        <v>0.93743821494139246</v>
      </c>
      <c r="AQ66" s="287" t="str">
        <f t="shared" si="43"/>
        <v>..</v>
      </c>
      <c r="AR66" s="287" t="str">
        <f t="shared" si="43"/>
        <v>..</v>
      </c>
      <c r="AS66" s="287" t="str">
        <f t="shared" si="43"/>
        <v>..</v>
      </c>
      <c r="AT66" s="287" t="str">
        <f t="shared" si="43"/>
        <v>..</v>
      </c>
      <c r="AU66" s="287" t="str">
        <f t="shared" si="43"/>
        <v>..</v>
      </c>
      <c r="AV66" s="287">
        <f t="shared" si="43"/>
        <v>0.99687499999999996</v>
      </c>
      <c r="AW66" s="287" t="str">
        <f t="shared" si="43"/>
        <v>..</v>
      </c>
      <c r="AX66" s="287" t="str">
        <f t="shared" si="43"/>
        <v>..</v>
      </c>
      <c r="AY66" s="287" t="str">
        <f t="shared" si="43"/>
        <v>..</v>
      </c>
    </row>
    <row r="67" spans="5:51">
      <c r="E67" s="56"/>
      <c r="AA67" s="59" t="s">
        <v>1847</v>
      </c>
      <c r="AB67" s="287">
        <f t="shared" si="44"/>
        <v>1.0085216565656032</v>
      </c>
      <c r="AC67" s="287">
        <f t="shared" si="43"/>
        <v>1.0150411584708874</v>
      </c>
      <c r="AD67" s="287">
        <f t="shared" si="43"/>
        <v>1.0330798663244054</v>
      </c>
      <c r="AE67" s="287">
        <f t="shared" si="43"/>
        <v>1.0132714001327141</v>
      </c>
      <c r="AF67" s="287">
        <f t="shared" si="43"/>
        <v>1.0532390708411485</v>
      </c>
      <c r="AG67" s="287" t="str">
        <f t="shared" si="43"/>
        <v>..</v>
      </c>
      <c r="AH67" s="287" t="str">
        <f t="shared" si="43"/>
        <v>..</v>
      </c>
      <c r="AI67" s="287" t="str">
        <f t="shared" si="43"/>
        <v>..</v>
      </c>
      <c r="AJ67" s="287" t="str">
        <f t="shared" si="43"/>
        <v>..</v>
      </c>
      <c r="AK67" s="287" t="str">
        <f t="shared" si="43"/>
        <v>..</v>
      </c>
      <c r="AL67" s="287" t="str">
        <f t="shared" si="43"/>
        <v>..</v>
      </c>
      <c r="AM67" s="287" t="str">
        <f t="shared" si="43"/>
        <v>..</v>
      </c>
      <c r="AN67" s="287" t="str">
        <f t="shared" si="43"/>
        <v>..</v>
      </c>
      <c r="AO67" s="287">
        <f t="shared" si="43"/>
        <v>1.0276237085372486</v>
      </c>
      <c r="AP67" s="287">
        <f t="shared" si="43"/>
        <v>1.03510093401627</v>
      </c>
      <c r="AQ67" s="287" t="str">
        <f t="shared" si="43"/>
        <v>..</v>
      </c>
      <c r="AR67" s="287" t="str">
        <f t="shared" si="43"/>
        <v>..</v>
      </c>
      <c r="AS67" s="287" t="str">
        <f t="shared" si="43"/>
        <v>..</v>
      </c>
      <c r="AT67" s="287" t="str">
        <f t="shared" si="43"/>
        <v>..</v>
      </c>
      <c r="AU67" s="287" t="str">
        <f t="shared" si="43"/>
        <v>..</v>
      </c>
      <c r="AV67" s="287">
        <f t="shared" si="43"/>
        <v>0.99764890282131657</v>
      </c>
      <c r="AW67" s="287" t="str">
        <f t="shared" si="43"/>
        <v>..</v>
      </c>
      <c r="AX67" s="287" t="str">
        <f t="shared" si="43"/>
        <v>..</v>
      </c>
      <c r="AY67" s="287" t="str">
        <f t="shared" si="43"/>
        <v>..</v>
      </c>
    </row>
    <row r="68" spans="5:51">
      <c r="E68" s="56"/>
      <c r="Z68" s="262"/>
      <c r="AA68" s="59" t="s">
        <v>1848</v>
      </c>
      <c r="AB68" s="287">
        <f t="shared" si="44"/>
        <v>1.0244743553600346</v>
      </c>
      <c r="AC68" s="287">
        <f t="shared" si="43"/>
        <v>1.054789402173913</v>
      </c>
      <c r="AD68" s="287">
        <f t="shared" si="43"/>
        <v>1.0650726676043132</v>
      </c>
      <c r="AE68" s="287">
        <f t="shared" si="43"/>
        <v>1.0731281379611439</v>
      </c>
      <c r="AF68" s="287">
        <f t="shared" si="43"/>
        <v>1.0491780821917809</v>
      </c>
      <c r="AG68" s="287" t="str">
        <f t="shared" si="43"/>
        <v>..</v>
      </c>
      <c r="AH68" s="287" t="str">
        <f t="shared" si="43"/>
        <v>..</v>
      </c>
      <c r="AI68" s="287" t="str">
        <f t="shared" si="43"/>
        <v>..</v>
      </c>
      <c r="AJ68" s="287" t="str">
        <f t="shared" si="43"/>
        <v>..</v>
      </c>
      <c r="AK68" s="287" t="str">
        <f t="shared" si="43"/>
        <v>..</v>
      </c>
      <c r="AL68" s="287" t="str">
        <f t="shared" si="43"/>
        <v>..</v>
      </c>
      <c r="AM68" s="287" t="str">
        <f t="shared" si="43"/>
        <v>..</v>
      </c>
      <c r="AN68" s="287" t="str">
        <f t="shared" si="43"/>
        <v>..</v>
      </c>
      <c r="AO68" s="287">
        <f t="shared" si="43"/>
        <v>1.0734469256005927</v>
      </c>
      <c r="AP68" s="287">
        <f t="shared" si="43"/>
        <v>1.0730606898559161</v>
      </c>
      <c r="AQ68" s="287" t="str">
        <f t="shared" si="43"/>
        <v>..</v>
      </c>
      <c r="AR68" s="287" t="str">
        <f t="shared" si="43"/>
        <v>..</v>
      </c>
      <c r="AS68" s="287" t="str">
        <f t="shared" si="43"/>
        <v>..</v>
      </c>
      <c r="AT68" s="287" t="str">
        <f t="shared" ref="AC68:AY79" si="45">IFERROR(AT19/AT18,"..")</f>
        <v>..</v>
      </c>
      <c r="AU68" s="287" t="str">
        <f t="shared" si="45"/>
        <v>..</v>
      </c>
      <c r="AV68" s="287">
        <f t="shared" si="45"/>
        <v>1.0734485467399844</v>
      </c>
      <c r="AW68" s="287" t="str">
        <f t="shared" si="45"/>
        <v>..</v>
      </c>
      <c r="AX68" s="287" t="str">
        <f t="shared" si="45"/>
        <v>..</v>
      </c>
      <c r="AY68" s="287" t="str">
        <f t="shared" si="45"/>
        <v>..</v>
      </c>
    </row>
    <row r="69" spans="5:51">
      <c r="E69" s="56"/>
      <c r="AA69" s="59" t="s">
        <v>1849</v>
      </c>
      <c r="AB69" s="287">
        <f t="shared" si="44"/>
        <v>1.0449788813515934</v>
      </c>
      <c r="AC69" s="287">
        <f t="shared" si="45"/>
        <v>1.0752906321450424</v>
      </c>
      <c r="AD69" s="287">
        <f t="shared" si="45"/>
        <v>1.0371071397130029</v>
      </c>
      <c r="AE69" s="287">
        <f t="shared" si="45"/>
        <v>1.038852725793328</v>
      </c>
      <c r="AF69" s="287">
        <f t="shared" si="45"/>
        <v>1.0174957566261915</v>
      </c>
      <c r="AG69" s="287" t="str">
        <f t="shared" si="45"/>
        <v>..</v>
      </c>
      <c r="AH69" s="287" t="str">
        <f t="shared" si="45"/>
        <v>..</v>
      </c>
      <c r="AI69" s="287" t="str">
        <f t="shared" si="45"/>
        <v>..</v>
      </c>
      <c r="AJ69" s="287" t="str">
        <f t="shared" si="45"/>
        <v>..</v>
      </c>
      <c r="AK69" s="287" t="str">
        <f t="shared" si="45"/>
        <v>..</v>
      </c>
      <c r="AL69" s="287" t="str">
        <f t="shared" si="45"/>
        <v>..</v>
      </c>
      <c r="AM69" s="287" t="str">
        <f t="shared" si="45"/>
        <v>..</v>
      </c>
      <c r="AN69" s="287" t="str">
        <f t="shared" si="45"/>
        <v>..</v>
      </c>
      <c r="AO69" s="287">
        <f t="shared" si="45"/>
        <v>1.0510697032436163</v>
      </c>
      <c r="AP69" s="287">
        <f t="shared" si="45"/>
        <v>1.0469279804692797</v>
      </c>
      <c r="AQ69" s="287" t="str">
        <f t="shared" si="45"/>
        <v>..</v>
      </c>
      <c r="AR69" s="287" t="str">
        <f t="shared" si="45"/>
        <v>..</v>
      </c>
      <c r="AS69" s="287" t="str">
        <f t="shared" si="45"/>
        <v>..</v>
      </c>
      <c r="AT69" s="287" t="str">
        <f t="shared" si="45"/>
        <v>..</v>
      </c>
      <c r="AU69" s="287" t="str">
        <f t="shared" si="45"/>
        <v>..</v>
      </c>
      <c r="AV69" s="287">
        <f t="shared" si="45"/>
        <v>1.0633004024881083</v>
      </c>
      <c r="AW69" s="287" t="str">
        <f t="shared" si="45"/>
        <v>..</v>
      </c>
      <c r="AX69" s="287" t="str">
        <f t="shared" si="45"/>
        <v>..</v>
      </c>
      <c r="AY69" s="287" t="str">
        <f t="shared" si="45"/>
        <v>..</v>
      </c>
    </row>
    <row r="70" spans="5:51">
      <c r="E70" s="56"/>
      <c r="AA70" s="59" t="s">
        <v>1850</v>
      </c>
      <c r="AB70" s="287">
        <f t="shared" si="44"/>
        <v>1.0261904703579678</v>
      </c>
      <c r="AC70" s="287">
        <f t="shared" si="45"/>
        <v>1.0501707046809021</v>
      </c>
      <c r="AD70" s="287">
        <f t="shared" si="45"/>
        <v>0.99991511395950938</v>
      </c>
      <c r="AE70" s="287">
        <f t="shared" si="45"/>
        <v>1.0323085960446445</v>
      </c>
      <c r="AF70" s="287">
        <f t="shared" si="45"/>
        <v>0.99230078275375333</v>
      </c>
      <c r="AG70" s="287" t="str">
        <f t="shared" si="45"/>
        <v>..</v>
      </c>
      <c r="AH70" s="287" t="str">
        <f t="shared" si="45"/>
        <v>..</v>
      </c>
      <c r="AI70" s="287" t="str">
        <f t="shared" si="45"/>
        <v>..</v>
      </c>
      <c r="AJ70" s="287" t="str">
        <f t="shared" si="45"/>
        <v>..</v>
      </c>
      <c r="AK70" s="287" t="str">
        <f t="shared" si="45"/>
        <v>..</v>
      </c>
      <c r="AL70" s="287" t="str">
        <f t="shared" si="45"/>
        <v>..</v>
      </c>
      <c r="AM70" s="287" t="str">
        <f t="shared" si="45"/>
        <v>..</v>
      </c>
      <c r="AN70" s="287" t="str">
        <f t="shared" si="45"/>
        <v>..</v>
      </c>
      <c r="AO70" s="287">
        <f t="shared" si="45"/>
        <v>0.98996341806584753</v>
      </c>
      <c r="AP70" s="287">
        <f t="shared" si="45"/>
        <v>0.95375048581422461</v>
      </c>
      <c r="AQ70" s="287" t="str">
        <f t="shared" si="45"/>
        <v>..</v>
      </c>
      <c r="AR70" s="287" t="str">
        <f t="shared" si="45"/>
        <v>..</v>
      </c>
      <c r="AS70" s="287" t="str">
        <f t="shared" si="45"/>
        <v>..</v>
      </c>
      <c r="AT70" s="287" t="str">
        <f t="shared" si="45"/>
        <v>..</v>
      </c>
      <c r="AU70" s="287" t="str">
        <f t="shared" si="45"/>
        <v>..</v>
      </c>
      <c r="AV70" s="287">
        <f t="shared" si="45"/>
        <v>1.0805230557467309</v>
      </c>
      <c r="AW70" s="287" t="str">
        <f t="shared" si="45"/>
        <v>..</v>
      </c>
      <c r="AX70" s="287" t="str">
        <f t="shared" si="45"/>
        <v>..</v>
      </c>
      <c r="AY70" s="287" t="str">
        <f t="shared" si="45"/>
        <v>..</v>
      </c>
    </row>
    <row r="71" spans="5:51" ht="15" customHeight="1">
      <c r="E71" s="56"/>
      <c r="AA71" s="59" t="s">
        <v>1851</v>
      </c>
      <c r="AB71" s="287">
        <f t="shared" si="44"/>
        <v>1.014191507773103</v>
      </c>
      <c r="AC71" s="287">
        <f t="shared" si="45"/>
        <v>1.0109293123730083</v>
      </c>
      <c r="AD71" s="287">
        <f t="shared" si="45"/>
        <v>0.99859926142875333</v>
      </c>
      <c r="AE71" s="287">
        <f t="shared" si="45"/>
        <v>0.91502276176024278</v>
      </c>
      <c r="AF71" s="287">
        <f t="shared" si="45"/>
        <v>1.030259924996767</v>
      </c>
      <c r="AG71" s="287" t="str">
        <f t="shared" si="45"/>
        <v>..</v>
      </c>
      <c r="AH71" s="287" t="str">
        <f t="shared" si="45"/>
        <v>..</v>
      </c>
      <c r="AI71" s="287" t="str">
        <f t="shared" si="45"/>
        <v>..</v>
      </c>
      <c r="AJ71" s="287" t="str">
        <f t="shared" si="45"/>
        <v>..</v>
      </c>
      <c r="AK71" s="287" t="str">
        <f t="shared" si="45"/>
        <v>..</v>
      </c>
      <c r="AL71" s="287" t="str">
        <f t="shared" si="45"/>
        <v>..</v>
      </c>
      <c r="AM71" s="287" t="str">
        <f t="shared" si="45"/>
        <v>..</v>
      </c>
      <c r="AN71" s="287" t="str">
        <f t="shared" si="45"/>
        <v>..</v>
      </c>
      <c r="AO71" s="287">
        <f t="shared" si="45"/>
        <v>1.0171498957741141</v>
      </c>
      <c r="AP71" s="287">
        <f t="shared" si="45"/>
        <v>0.98437924477044281</v>
      </c>
      <c r="AQ71" s="287" t="str">
        <f t="shared" si="45"/>
        <v>..</v>
      </c>
      <c r="AR71" s="287" t="str">
        <f t="shared" si="45"/>
        <v>..</v>
      </c>
      <c r="AS71" s="287" t="str">
        <f t="shared" si="45"/>
        <v>..</v>
      </c>
      <c r="AT71" s="287" t="str">
        <f t="shared" si="45"/>
        <v>..</v>
      </c>
      <c r="AU71" s="287" t="str">
        <f t="shared" si="45"/>
        <v>..</v>
      </c>
      <c r="AV71" s="287">
        <f t="shared" si="45"/>
        <v>1.0907643312101911</v>
      </c>
      <c r="AW71" s="287" t="str">
        <f t="shared" si="45"/>
        <v>..</v>
      </c>
      <c r="AX71" s="287" t="str">
        <f t="shared" si="45"/>
        <v>..</v>
      </c>
      <c r="AY71" s="287" t="str">
        <f t="shared" si="45"/>
        <v>..</v>
      </c>
    </row>
    <row r="72" spans="5:51" ht="15" customHeight="1">
      <c r="E72" s="56"/>
      <c r="AA72" s="59" t="s">
        <v>1852</v>
      </c>
      <c r="AB72" s="287">
        <f t="shared" si="44"/>
        <v>1.042042331840676</v>
      </c>
      <c r="AC72" s="287">
        <f t="shared" si="45"/>
        <v>1.0652406945090904</v>
      </c>
      <c r="AD72" s="287">
        <f t="shared" si="45"/>
        <v>1.0712828360112217</v>
      </c>
      <c r="AE72" s="287">
        <f t="shared" si="45"/>
        <v>1.0547263681592041</v>
      </c>
      <c r="AF72" s="287">
        <f t="shared" si="45"/>
        <v>1.1641772310781975</v>
      </c>
      <c r="AG72" s="287" t="str">
        <f t="shared" si="45"/>
        <v>..</v>
      </c>
      <c r="AH72" s="287" t="str">
        <f t="shared" si="45"/>
        <v>..</v>
      </c>
      <c r="AI72" s="287" t="str">
        <f t="shared" si="45"/>
        <v>..</v>
      </c>
      <c r="AJ72" s="287" t="str">
        <f t="shared" si="45"/>
        <v>..</v>
      </c>
      <c r="AK72" s="287" t="str">
        <f t="shared" si="45"/>
        <v>..</v>
      </c>
      <c r="AL72" s="287" t="str">
        <f t="shared" si="45"/>
        <v>..</v>
      </c>
      <c r="AM72" s="287" t="str">
        <f t="shared" si="45"/>
        <v>..</v>
      </c>
      <c r="AN72" s="287" t="str">
        <f t="shared" si="45"/>
        <v>..</v>
      </c>
      <c r="AO72" s="287">
        <f t="shared" si="45"/>
        <v>1.0097810898928739</v>
      </c>
      <c r="AP72" s="287">
        <f t="shared" si="45"/>
        <v>1.0418104043052296</v>
      </c>
      <c r="AQ72" s="287" t="str">
        <f t="shared" si="45"/>
        <v>..</v>
      </c>
      <c r="AR72" s="287" t="str">
        <f t="shared" si="45"/>
        <v>..</v>
      </c>
      <c r="AS72" s="287" t="str">
        <f t="shared" si="45"/>
        <v>..</v>
      </c>
      <c r="AT72" s="287" t="str">
        <f t="shared" si="45"/>
        <v>..</v>
      </c>
      <c r="AU72" s="287" t="str">
        <f t="shared" si="45"/>
        <v>..</v>
      </c>
      <c r="AV72" s="287">
        <f t="shared" si="45"/>
        <v>0.94481751824817517</v>
      </c>
      <c r="AW72" s="287" t="str">
        <f t="shared" si="45"/>
        <v>..</v>
      </c>
      <c r="AX72" s="287" t="str">
        <f t="shared" si="45"/>
        <v>..</v>
      </c>
      <c r="AY72" s="287" t="str">
        <f t="shared" si="45"/>
        <v>..</v>
      </c>
    </row>
    <row r="73" spans="5:51" ht="15" customHeight="1">
      <c r="E73" s="56"/>
      <c r="AA73" s="59" t="s">
        <v>1837</v>
      </c>
      <c r="AB73" s="287">
        <f t="shared" si="44"/>
        <v>1.0394233820737511</v>
      </c>
      <c r="AC73" s="287">
        <f t="shared" si="45"/>
        <v>1.0499572986249495</v>
      </c>
      <c r="AD73" s="287">
        <f t="shared" si="45"/>
        <v>1.007618140697536</v>
      </c>
      <c r="AE73" s="287">
        <f t="shared" si="45"/>
        <v>1.0139544025157232</v>
      </c>
      <c r="AF73" s="287">
        <f t="shared" si="45"/>
        <v>1.0452830188679245</v>
      </c>
      <c r="AG73" s="287">
        <f t="shared" si="45"/>
        <v>1.0516499282639886</v>
      </c>
      <c r="AH73" s="287">
        <f t="shared" si="45"/>
        <v>1.0432977461447213</v>
      </c>
      <c r="AI73" s="287">
        <f t="shared" si="45"/>
        <v>0.96278317152103565</v>
      </c>
      <c r="AJ73" s="287">
        <f t="shared" si="45"/>
        <v>1.1000000000000001</v>
      </c>
      <c r="AK73" s="287">
        <f t="shared" si="45"/>
        <v>1.0971098265895953</v>
      </c>
      <c r="AL73" s="287">
        <f t="shared" si="45"/>
        <v>1.0215169445938677</v>
      </c>
      <c r="AM73" s="287">
        <f t="shared" si="45"/>
        <v>1.0434782608695652</v>
      </c>
      <c r="AN73" s="287">
        <f t="shared" si="45"/>
        <v>0.9853137516688919</v>
      </c>
      <c r="AO73" s="287">
        <f t="shared" si="45"/>
        <v>0.97241697416974171</v>
      </c>
      <c r="AP73" s="287">
        <f t="shared" si="45"/>
        <v>0.95046357615894039</v>
      </c>
      <c r="AQ73" s="287">
        <f t="shared" si="45"/>
        <v>1.0083870967741935</v>
      </c>
      <c r="AR73" s="287">
        <f t="shared" si="45"/>
        <v>0.93259537457995656</v>
      </c>
      <c r="AS73" s="287">
        <f t="shared" si="45"/>
        <v>0.96270644645711245</v>
      </c>
      <c r="AT73" s="287">
        <f t="shared" si="45"/>
        <v>0.91792452830188676</v>
      </c>
      <c r="AU73" s="287">
        <f t="shared" si="45"/>
        <v>0.93936381709741545</v>
      </c>
      <c r="AV73" s="287">
        <f t="shared" si="45"/>
        <v>1.0438813349814586</v>
      </c>
      <c r="AW73" s="287">
        <f t="shared" si="45"/>
        <v>0.9653725078698846</v>
      </c>
      <c r="AX73" s="287">
        <f t="shared" si="45"/>
        <v>1.1349693251533743</v>
      </c>
      <c r="AY73" s="287">
        <f t="shared" si="45"/>
        <v>1.1204663212435233</v>
      </c>
    </row>
    <row r="74" spans="5:51" ht="15" customHeight="1">
      <c r="E74" s="56"/>
      <c r="AA74" s="59" t="s">
        <v>1827</v>
      </c>
      <c r="AB74" s="287">
        <f t="shared" si="44"/>
        <v>1.0560604381395693</v>
      </c>
      <c r="AC74" s="287">
        <f t="shared" si="45"/>
        <v>1.0812383744758662</v>
      </c>
      <c r="AD74" s="287">
        <f t="shared" si="45"/>
        <v>1.0709194723370743</v>
      </c>
      <c r="AE74" s="287">
        <f t="shared" si="45"/>
        <v>1.036828842798992</v>
      </c>
      <c r="AF74" s="287">
        <f t="shared" si="45"/>
        <v>1.064259927797834</v>
      </c>
      <c r="AG74" s="287">
        <f t="shared" si="45"/>
        <v>1.0192701227830832</v>
      </c>
      <c r="AH74" s="287">
        <f t="shared" si="45"/>
        <v>1.1608868675383741</v>
      </c>
      <c r="AI74" s="287">
        <f t="shared" si="45"/>
        <v>1.1815126050420168</v>
      </c>
      <c r="AJ74" s="287">
        <f t="shared" si="45"/>
        <v>0.98181818181818181</v>
      </c>
      <c r="AK74" s="287">
        <f t="shared" si="45"/>
        <v>1.1886195995785036</v>
      </c>
      <c r="AL74" s="287">
        <f t="shared" si="45"/>
        <v>1.1616640337019484</v>
      </c>
      <c r="AM74" s="287">
        <f t="shared" si="45"/>
        <v>1.2117346938775511</v>
      </c>
      <c r="AN74" s="287">
        <f t="shared" si="45"/>
        <v>1.0718157181571815</v>
      </c>
      <c r="AO74" s="287">
        <f t="shared" si="45"/>
        <v>1.0937292476994593</v>
      </c>
      <c r="AP74" s="287">
        <f t="shared" si="45"/>
        <v>1.1275083612040133</v>
      </c>
      <c r="AQ74" s="287">
        <f t="shared" si="45"/>
        <v>1.1810620601407549</v>
      </c>
      <c r="AR74" s="287">
        <f t="shared" si="45"/>
        <v>1.0996184824077999</v>
      </c>
      <c r="AS74" s="287">
        <f t="shared" si="45"/>
        <v>1.0249031543995573</v>
      </c>
      <c r="AT74" s="287">
        <f t="shared" si="45"/>
        <v>1.1377183967112026</v>
      </c>
      <c r="AU74" s="287">
        <f t="shared" si="45"/>
        <v>1.2010582010582012</v>
      </c>
      <c r="AV74" s="287">
        <f t="shared" si="45"/>
        <v>0.99319123741859083</v>
      </c>
      <c r="AW74" s="287">
        <f t="shared" si="45"/>
        <v>0.93152173913043479</v>
      </c>
      <c r="AX74" s="287">
        <f t="shared" si="45"/>
        <v>1.085135135135135</v>
      </c>
      <c r="AY74" s="287">
        <f t="shared" si="45"/>
        <v>1.016184971098266</v>
      </c>
    </row>
    <row r="75" spans="5:51" ht="15" customHeight="1">
      <c r="E75" s="56"/>
      <c r="AA75" s="59" t="s">
        <v>1828</v>
      </c>
      <c r="AB75" s="287">
        <f t="shared" si="44"/>
        <v>1.0551772175471557</v>
      </c>
      <c r="AC75" s="287">
        <f t="shared" si="45"/>
        <v>1.1116696505111414</v>
      </c>
      <c r="AD75" s="287">
        <f t="shared" si="45"/>
        <v>1.07037799676423</v>
      </c>
      <c r="AE75" s="287">
        <f t="shared" si="45"/>
        <v>1.0590764628902598</v>
      </c>
      <c r="AF75" s="287">
        <f t="shared" si="45"/>
        <v>1.1092265943012212</v>
      </c>
      <c r="AG75" s="287">
        <f t="shared" si="45"/>
        <v>1.0988790363058389</v>
      </c>
      <c r="AH75" s="287">
        <f t="shared" si="45"/>
        <v>1.0788442703232126</v>
      </c>
      <c r="AI75" s="287">
        <f t="shared" si="45"/>
        <v>1.1379800853485065</v>
      </c>
      <c r="AJ75" s="287">
        <f t="shared" si="45"/>
        <v>1.0648148148148149</v>
      </c>
      <c r="AK75" s="287">
        <f t="shared" si="45"/>
        <v>1.0381205673758864</v>
      </c>
      <c r="AL75" s="287">
        <f t="shared" si="45"/>
        <v>1.1745240253853129</v>
      </c>
      <c r="AM75" s="287">
        <f t="shared" si="45"/>
        <v>1.1824561403508771</v>
      </c>
      <c r="AN75" s="287">
        <f t="shared" si="45"/>
        <v>1.1592920353982301</v>
      </c>
      <c r="AO75" s="287">
        <f t="shared" si="45"/>
        <v>1.0408534998698933</v>
      </c>
      <c r="AP75" s="287">
        <f t="shared" si="45"/>
        <v>1.0648869113830182</v>
      </c>
      <c r="AQ75" s="287">
        <f t="shared" si="45"/>
        <v>1.0319609967497292</v>
      </c>
      <c r="AR75" s="287">
        <f t="shared" si="45"/>
        <v>1.0946414803392444</v>
      </c>
      <c r="AS75" s="287">
        <f t="shared" si="45"/>
        <v>1.1609071274298055</v>
      </c>
      <c r="AT75" s="287">
        <f t="shared" si="45"/>
        <v>1.0641373080397472</v>
      </c>
      <c r="AU75" s="287">
        <f t="shared" si="45"/>
        <v>0.93568281938325992</v>
      </c>
      <c r="AV75" s="287">
        <f t="shared" si="45"/>
        <v>0.9603576751117735</v>
      </c>
      <c r="AW75" s="287">
        <f t="shared" si="45"/>
        <v>0.95740956826137691</v>
      </c>
      <c r="AX75" s="287">
        <f t="shared" si="45"/>
        <v>0.95890410958904104</v>
      </c>
      <c r="AY75" s="287">
        <f t="shared" si="45"/>
        <v>0.96587030716723554</v>
      </c>
    </row>
    <row r="76" spans="5:51" ht="15" customHeight="1">
      <c r="E76" s="56"/>
      <c r="AA76" s="59" t="s">
        <v>1829</v>
      </c>
      <c r="AB76" s="287">
        <f t="shared" si="44"/>
        <v>1.0154665210565832</v>
      </c>
      <c r="AC76" s="287">
        <f t="shared" si="45"/>
        <v>0.95097782067692049</v>
      </c>
      <c r="AD76" s="287">
        <f t="shared" si="45"/>
        <v>0.9562349708004122</v>
      </c>
      <c r="AE76" s="287">
        <f t="shared" si="45"/>
        <v>1.0033539276257724</v>
      </c>
      <c r="AF76" s="287">
        <f t="shared" si="45"/>
        <v>0.94967234600262118</v>
      </c>
      <c r="AG76" s="287">
        <f t="shared" si="45"/>
        <v>0.9159561510353228</v>
      </c>
      <c r="AH76" s="287">
        <f t="shared" si="45"/>
        <v>1.000453926463913</v>
      </c>
      <c r="AI76" s="287">
        <f t="shared" si="45"/>
        <v>0.99</v>
      </c>
      <c r="AJ76" s="287">
        <f t="shared" si="45"/>
        <v>1.1434782608695653</v>
      </c>
      <c r="AK76" s="287">
        <f t="shared" si="45"/>
        <v>0.98035866780529457</v>
      </c>
      <c r="AL76" s="287">
        <f t="shared" si="45"/>
        <v>1.0208413739868776</v>
      </c>
      <c r="AM76" s="287">
        <f t="shared" si="45"/>
        <v>1.0421364985163204</v>
      </c>
      <c r="AN76" s="287">
        <f t="shared" si="45"/>
        <v>0.97491821155943292</v>
      </c>
      <c r="AO76" s="287">
        <f t="shared" si="45"/>
        <v>0.94025000000000003</v>
      </c>
      <c r="AP76" s="287">
        <f t="shared" si="45"/>
        <v>0.89693593314763231</v>
      </c>
      <c r="AQ76" s="287">
        <f t="shared" si="45"/>
        <v>0.92388451443569553</v>
      </c>
      <c r="AR76" s="287">
        <f t="shared" si="45"/>
        <v>0.88114104595879561</v>
      </c>
      <c r="AS76" s="287">
        <f t="shared" si="45"/>
        <v>0.87906976744186049</v>
      </c>
      <c r="AT76" s="287">
        <f t="shared" si="45"/>
        <v>0.8822863610639502</v>
      </c>
      <c r="AU76" s="287">
        <f t="shared" si="45"/>
        <v>0.95103578154425616</v>
      </c>
      <c r="AV76" s="287">
        <f t="shared" si="45"/>
        <v>1.1018001241464928</v>
      </c>
      <c r="AW76" s="287">
        <f t="shared" si="45"/>
        <v>1.0591102985984155</v>
      </c>
      <c r="AX76" s="287">
        <f t="shared" si="45"/>
        <v>1.3077922077922077</v>
      </c>
      <c r="AY76" s="287">
        <f t="shared" si="45"/>
        <v>0.97644287396937579</v>
      </c>
    </row>
    <row r="77" spans="5:51" ht="15" customHeight="1">
      <c r="E77" s="56"/>
      <c r="AA77" s="59" t="s">
        <v>1830</v>
      </c>
      <c r="AB77" s="287">
        <f t="shared" si="44"/>
        <v>1.0262484732560551</v>
      </c>
      <c r="AC77" s="287">
        <f t="shared" si="45"/>
        <v>1.0080150924245517</v>
      </c>
      <c r="AD77" s="287">
        <f t="shared" si="45"/>
        <v>1.0719212530535998</v>
      </c>
      <c r="AE77" s="287">
        <f t="shared" si="45"/>
        <v>1.0367698803659395</v>
      </c>
      <c r="AF77" s="287">
        <f t="shared" si="45"/>
        <v>1.1114177937252736</v>
      </c>
      <c r="AG77" s="287">
        <f t="shared" si="45"/>
        <v>1.1092087765957446</v>
      </c>
      <c r="AH77" s="287">
        <f t="shared" si="45"/>
        <v>1.133393829401089</v>
      </c>
      <c r="AI77" s="287">
        <f t="shared" si="45"/>
        <v>1.1111111111111112</v>
      </c>
      <c r="AJ77" s="287">
        <f t="shared" si="45"/>
        <v>1.3460076045627376</v>
      </c>
      <c r="AK77" s="287">
        <f t="shared" si="45"/>
        <v>1.1010452961672474</v>
      </c>
      <c r="AL77" s="287">
        <f t="shared" si="45"/>
        <v>1.0998109640831759</v>
      </c>
      <c r="AM77" s="287">
        <f t="shared" si="45"/>
        <v>1.1332574031890661</v>
      </c>
      <c r="AN77" s="287">
        <f t="shared" si="45"/>
        <v>1.0279642058165548</v>
      </c>
      <c r="AO77" s="287">
        <f t="shared" si="45"/>
        <v>1.0515820260568998</v>
      </c>
      <c r="AP77" s="287">
        <f t="shared" si="45"/>
        <v>1.0499482401656315</v>
      </c>
      <c r="AQ77" s="287">
        <f t="shared" si="45"/>
        <v>1.021590909090909</v>
      </c>
      <c r="AR77" s="287">
        <f t="shared" si="45"/>
        <v>1.0771382893685051</v>
      </c>
      <c r="AS77" s="287">
        <f t="shared" si="45"/>
        <v>1.0656084656084657</v>
      </c>
      <c r="AT77" s="287">
        <f t="shared" si="45"/>
        <v>1.0827453495830661</v>
      </c>
      <c r="AU77" s="287">
        <f t="shared" si="45"/>
        <v>0.91683168316831687</v>
      </c>
      <c r="AV77" s="287">
        <f t="shared" si="45"/>
        <v>1.0566197183098591</v>
      </c>
      <c r="AW77" s="287">
        <f t="shared" si="45"/>
        <v>0.98964326812428083</v>
      </c>
      <c r="AX77" s="287">
        <f t="shared" si="45"/>
        <v>1.1072492552135054</v>
      </c>
      <c r="AY77" s="287">
        <f t="shared" si="45"/>
        <v>1.1049457177322075</v>
      </c>
    </row>
    <row r="78" spans="5:51" ht="15" customHeight="1">
      <c r="E78" s="56"/>
      <c r="AA78" s="59" t="s">
        <v>1831</v>
      </c>
      <c r="AB78" s="287">
        <f t="shared" si="44"/>
        <v>1.0212487649330819</v>
      </c>
      <c r="AC78" s="287">
        <f t="shared" si="45"/>
        <v>0.99168746169337185</v>
      </c>
      <c r="AD78" s="287">
        <f t="shared" si="45"/>
        <v>0.99839131309068974</v>
      </c>
      <c r="AE78" s="287">
        <f t="shared" si="45"/>
        <v>0.97810962158493131</v>
      </c>
      <c r="AF78" s="287">
        <f t="shared" si="45"/>
        <v>1.0046357615894039</v>
      </c>
      <c r="AG78" s="287">
        <f t="shared" si="45"/>
        <v>0.98231679904091118</v>
      </c>
      <c r="AH78" s="287">
        <f t="shared" si="45"/>
        <v>1.0420336269015211</v>
      </c>
      <c r="AI78" s="287">
        <f t="shared" si="45"/>
        <v>0.92386363636363633</v>
      </c>
      <c r="AJ78" s="287">
        <f t="shared" si="45"/>
        <v>1.1242937853107344</v>
      </c>
      <c r="AK78" s="287">
        <f t="shared" si="45"/>
        <v>1.1012658227848102</v>
      </c>
      <c r="AL78" s="287">
        <f t="shared" si="45"/>
        <v>1.023719491234101</v>
      </c>
      <c r="AM78" s="287">
        <f t="shared" si="45"/>
        <v>1.0060301507537688</v>
      </c>
      <c r="AN78" s="287">
        <f t="shared" si="45"/>
        <v>1.0620239390642001</v>
      </c>
      <c r="AO78" s="287">
        <f t="shared" si="45"/>
        <v>1.0021070375052676</v>
      </c>
      <c r="AP78" s="287">
        <f t="shared" si="45"/>
        <v>0.99051022923342369</v>
      </c>
      <c r="AQ78" s="287">
        <f t="shared" si="45"/>
        <v>0.94827586206896552</v>
      </c>
      <c r="AR78" s="287">
        <f t="shared" si="45"/>
        <v>1.0148423005565863</v>
      </c>
      <c r="AS78" s="287">
        <f t="shared" si="45"/>
        <v>1.2795431976166831</v>
      </c>
      <c r="AT78" s="287">
        <f t="shared" si="45"/>
        <v>0.85693127962085303</v>
      </c>
      <c r="AU78" s="287">
        <f t="shared" si="45"/>
        <v>0.93088552915766742</v>
      </c>
      <c r="AV78" s="287">
        <f t="shared" si="45"/>
        <v>1.0271927486003731</v>
      </c>
      <c r="AW78" s="287">
        <f t="shared" si="45"/>
        <v>1.0372093023255815</v>
      </c>
      <c r="AX78" s="287">
        <f t="shared" si="45"/>
        <v>1.0170403587443946</v>
      </c>
      <c r="AY78" s="287">
        <f t="shared" si="45"/>
        <v>1.0207423580786026</v>
      </c>
    </row>
    <row r="79" spans="5:51" ht="15" customHeight="1">
      <c r="E79" s="56"/>
      <c r="AA79" s="59" t="s">
        <v>1832</v>
      </c>
      <c r="AB79" s="287">
        <f t="shared" si="44"/>
        <v>1.0317065483683592</v>
      </c>
      <c r="AC79" s="287">
        <f t="shared" si="45"/>
        <v>1.0196228830628473</v>
      </c>
      <c r="AD79" s="287">
        <f t="shared" si="45"/>
        <v>1.0332326283987916</v>
      </c>
      <c r="AE79" s="287">
        <f t="shared" si="45"/>
        <v>1.0700902151283831</v>
      </c>
      <c r="AF79" s="287">
        <f t="shared" si="45"/>
        <v>1.0381509558338826</v>
      </c>
      <c r="AG79" s="287">
        <f t="shared" si="45"/>
        <v>1.0308161708619374</v>
      </c>
      <c r="AH79" s="287">
        <f t="shared" si="45"/>
        <v>1.0338071456012294</v>
      </c>
      <c r="AI79" s="287">
        <f t="shared" si="45"/>
        <v>1.0073800738007379</v>
      </c>
      <c r="AJ79" s="287">
        <f t="shared" si="45"/>
        <v>1.0577889447236182</v>
      </c>
      <c r="AK79" s="287">
        <f t="shared" si="45"/>
        <v>1.0423850574712643</v>
      </c>
      <c r="AL79" s="287">
        <f t="shared" si="45"/>
        <v>1.0580926796507724</v>
      </c>
      <c r="AM79" s="287">
        <f t="shared" si="45"/>
        <v>1.0709290709290709</v>
      </c>
      <c r="AN79" s="287">
        <f t="shared" si="45"/>
        <v>1.0317622950819672</v>
      </c>
      <c r="AO79" s="287">
        <f t="shared" si="45"/>
        <v>1.0103448275862068</v>
      </c>
      <c r="AP79" s="287">
        <f t="shared" si="45"/>
        <v>1.0262535772054249</v>
      </c>
      <c r="AQ79" s="287">
        <f t="shared" si="45"/>
        <v>1.0862170087976539</v>
      </c>
      <c r="AR79" s="287">
        <f t="shared" si="45"/>
        <v>1.0157221206581353</v>
      </c>
      <c r="AS79" s="287">
        <f t="shared" si="45"/>
        <v>1.0679084206441598</v>
      </c>
      <c r="AT79" s="287">
        <f t="shared" si="45"/>
        <v>0.96923608710680953</v>
      </c>
      <c r="AU79" s="287">
        <f t="shared" si="45"/>
        <v>0.97447795823665895</v>
      </c>
      <c r="AV79" s="287">
        <f t="shared" ref="AC79:AY84" si="46">IFERROR(AV30/AV29,"..")</f>
        <v>0.9771606540358162</v>
      </c>
      <c r="AW79" s="287">
        <f t="shared" si="46"/>
        <v>0.97926008968609868</v>
      </c>
      <c r="AX79" s="287">
        <f t="shared" si="46"/>
        <v>0.96384479717813054</v>
      </c>
      <c r="AY79" s="287">
        <f t="shared" si="46"/>
        <v>0.98930481283422456</v>
      </c>
    </row>
    <row r="80" spans="5:51" ht="15" customHeight="1">
      <c r="E80" s="56"/>
      <c r="AA80" s="59" t="s">
        <v>1833</v>
      </c>
      <c r="AB80" s="287">
        <f t="shared" si="44"/>
        <v>1.0319087813086933</v>
      </c>
      <c r="AC80" s="287">
        <f t="shared" si="46"/>
        <v>1.0176973908525597</v>
      </c>
      <c r="AD80" s="287">
        <f t="shared" si="46"/>
        <v>1.0317738791423001</v>
      </c>
      <c r="AE80" s="287">
        <f t="shared" si="46"/>
        <v>1.0094033722438391</v>
      </c>
      <c r="AF80" s="287">
        <f t="shared" si="46"/>
        <v>1.0654020160330184</v>
      </c>
      <c r="AG80" s="287">
        <f t="shared" si="46"/>
        <v>1.1095160574219327</v>
      </c>
      <c r="AH80" s="287">
        <f t="shared" si="46"/>
        <v>1.0981047937569677</v>
      </c>
      <c r="AI80" s="287">
        <f t="shared" si="46"/>
        <v>1.1221001221001221</v>
      </c>
      <c r="AJ80" s="287">
        <f t="shared" si="46"/>
        <v>1.0285035629453683</v>
      </c>
      <c r="AK80" s="287">
        <f t="shared" si="46"/>
        <v>1.1047553411440385</v>
      </c>
      <c r="AL80" s="287">
        <f t="shared" si="46"/>
        <v>0.94287527768962232</v>
      </c>
      <c r="AM80" s="287">
        <f t="shared" si="46"/>
        <v>0.92677238805970152</v>
      </c>
      <c r="AN80" s="287">
        <f t="shared" si="46"/>
        <v>0.97715988083416083</v>
      </c>
      <c r="AO80" s="287">
        <f t="shared" si="46"/>
        <v>1.0079913427120619</v>
      </c>
      <c r="AP80" s="287">
        <f t="shared" si="46"/>
        <v>1.0237633365664403</v>
      </c>
      <c r="AQ80" s="287">
        <f t="shared" si="46"/>
        <v>0.97732181425485964</v>
      </c>
      <c r="AR80" s="287">
        <f t="shared" si="46"/>
        <v>1.0466162706983442</v>
      </c>
      <c r="AS80" s="287">
        <f t="shared" si="46"/>
        <v>1.0090843023255813</v>
      </c>
      <c r="AT80" s="287">
        <f t="shared" si="46"/>
        <v>1.0834522111269616</v>
      </c>
      <c r="AU80" s="287">
        <f t="shared" si="46"/>
        <v>0.97499999999999998</v>
      </c>
      <c r="AV80" s="287">
        <f t="shared" si="46"/>
        <v>0.97343957503320055</v>
      </c>
      <c r="AW80" s="287">
        <f t="shared" si="46"/>
        <v>0.94046937607326841</v>
      </c>
      <c r="AX80" s="287">
        <f t="shared" si="46"/>
        <v>1.0228728270814273</v>
      </c>
      <c r="AY80" s="287">
        <f t="shared" si="46"/>
        <v>0.97729729729729731</v>
      </c>
    </row>
    <row r="81" spans="5:51" ht="15" customHeight="1">
      <c r="E81" s="56"/>
      <c r="AA81" s="59" t="s">
        <v>1834</v>
      </c>
      <c r="AB81" s="287">
        <f t="shared" si="44"/>
        <v>1.0274677564958172</v>
      </c>
      <c r="AC81" s="287">
        <f t="shared" si="46"/>
        <v>0.98569476130459521</v>
      </c>
      <c r="AD81" s="287">
        <f t="shared" si="46"/>
        <v>0.9462497638390327</v>
      </c>
      <c r="AE81" s="287">
        <f t="shared" si="46"/>
        <v>0.95342113716672017</v>
      </c>
      <c r="AF81" s="287">
        <f t="shared" si="46"/>
        <v>0.98942114281457205</v>
      </c>
      <c r="AG81" s="287">
        <f t="shared" si="46"/>
        <v>0.97265572895824992</v>
      </c>
      <c r="AH81" s="287">
        <f t="shared" si="46"/>
        <v>0.99323181049069376</v>
      </c>
      <c r="AI81" s="287">
        <f t="shared" si="46"/>
        <v>0.94885745375408048</v>
      </c>
      <c r="AJ81" s="287">
        <f t="shared" si="46"/>
        <v>1.0277136258660509</v>
      </c>
      <c r="AK81" s="287">
        <f t="shared" si="46"/>
        <v>1.0093574547723019</v>
      </c>
      <c r="AL81" s="287">
        <f t="shared" si="46"/>
        <v>1.0279367216425446</v>
      </c>
      <c r="AM81" s="287">
        <f t="shared" si="46"/>
        <v>1.0221439355812783</v>
      </c>
      <c r="AN81" s="287">
        <f t="shared" si="46"/>
        <v>1.0396341463414633</v>
      </c>
      <c r="AO81" s="287">
        <f t="shared" si="46"/>
        <v>0.89470641671484019</v>
      </c>
      <c r="AP81" s="287">
        <f t="shared" si="46"/>
        <v>0.88737565135007102</v>
      </c>
      <c r="AQ81" s="287">
        <f t="shared" si="46"/>
        <v>0.92596685082872932</v>
      </c>
      <c r="AR81" s="287">
        <f t="shared" si="46"/>
        <v>0.86552020636285465</v>
      </c>
      <c r="AS81" s="287">
        <f t="shared" si="46"/>
        <v>0.82283039250990275</v>
      </c>
      <c r="AT81" s="287">
        <f t="shared" si="46"/>
        <v>0.90454246214614875</v>
      </c>
      <c r="AU81" s="287">
        <f t="shared" si="46"/>
        <v>0.95726495726495731</v>
      </c>
      <c r="AV81" s="287">
        <f t="shared" si="46"/>
        <v>0.91159618008185539</v>
      </c>
      <c r="AW81" s="287">
        <f t="shared" si="46"/>
        <v>0.93791844187461959</v>
      </c>
      <c r="AX81" s="287">
        <f t="shared" si="46"/>
        <v>0.84794275491949911</v>
      </c>
      <c r="AY81" s="287">
        <f t="shared" si="46"/>
        <v>0.94247787610619471</v>
      </c>
    </row>
    <row r="82" spans="5:51" ht="15" customHeight="1">
      <c r="E82" s="56"/>
      <c r="AA82" s="59" t="s">
        <v>1839</v>
      </c>
      <c r="AB82" s="287">
        <f t="shared" si="44"/>
        <v>1.0227675710989292</v>
      </c>
      <c r="AC82" s="287">
        <f t="shared" si="46"/>
        <v>0.97775056244031655</v>
      </c>
      <c r="AD82" s="287">
        <f t="shared" si="46"/>
        <v>0.93883730990649228</v>
      </c>
      <c r="AE82" s="287">
        <f t="shared" si="46"/>
        <v>0.90683962264150941</v>
      </c>
      <c r="AF82" s="287">
        <f t="shared" si="46"/>
        <v>0.90219110006776593</v>
      </c>
      <c r="AG82" s="287">
        <f t="shared" si="46"/>
        <v>0.87246297312122878</v>
      </c>
      <c r="AH82" s="287">
        <f t="shared" si="46"/>
        <v>0.88347529812606473</v>
      </c>
      <c r="AI82" s="287">
        <f t="shared" si="46"/>
        <v>0.86123853211009171</v>
      </c>
      <c r="AJ82" s="287">
        <f t="shared" si="46"/>
        <v>0.9662921348314607</v>
      </c>
      <c r="AK82" s="287">
        <f t="shared" si="46"/>
        <v>0.87268232385661315</v>
      </c>
      <c r="AL82" s="287">
        <f t="shared" si="46"/>
        <v>0.99115913555992141</v>
      </c>
      <c r="AM82" s="287">
        <f t="shared" si="46"/>
        <v>0.99359921221073366</v>
      </c>
      <c r="AN82" s="287">
        <f t="shared" si="46"/>
        <v>0.98631476050830891</v>
      </c>
      <c r="AO82" s="287">
        <f t="shared" si="46"/>
        <v>1.0012922281705741</v>
      </c>
      <c r="AP82" s="287">
        <f t="shared" si="46"/>
        <v>1.0241558788202323</v>
      </c>
      <c r="AQ82" s="287">
        <f t="shared" si="46"/>
        <v>1.0405727923627686</v>
      </c>
      <c r="AR82" s="287">
        <f t="shared" si="46"/>
        <v>1.0272203457182596</v>
      </c>
      <c r="AS82" s="287">
        <f t="shared" si="46"/>
        <v>1.0796498905908096</v>
      </c>
      <c r="AT82" s="287">
        <f t="shared" si="46"/>
        <v>0.98362445414847166</v>
      </c>
      <c r="AU82" s="287">
        <f t="shared" si="46"/>
        <v>0.96938775510204078</v>
      </c>
      <c r="AV82" s="287">
        <f t="shared" si="46"/>
        <v>0.95001496557916787</v>
      </c>
      <c r="AW82" s="287">
        <f t="shared" si="46"/>
        <v>0.96560674886437381</v>
      </c>
      <c r="AX82" s="287">
        <f t="shared" si="46"/>
        <v>0.90400843881856541</v>
      </c>
      <c r="AY82" s="287">
        <f t="shared" si="46"/>
        <v>0.97300469483568075</v>
      </c>
    </row>
    <row r="83" spans="5:51" ht="15" customHeight="1">
      <c r="E83" s="56"/>
      <c r="AA83" s="59" t="s">
        <v>1835</v>
      </c>
      <c r="AB83" s="287">
        <f t="shared" si="44"/>
        <v>1.0078092371089444</v>
      </c>
      <c r="AC83" s="287">
        <f t="shared" si="46"/>
        <v>0.93284739197369071</v>
      </c>
      <c r="AD83" s="287">
        <f t="shared" si="46"/>
        <v>0.89905362776025233</v>
      </c>
      <c r="AE83" s="287">
        <f t="shared" si="46"/>
        <v>0.91175924205833181</v>
      </c>
      <c r="AF83" s="287">
        <f t="shared" si="46"/>
        <v>0.87915206142547153</v>
      </c>
      <c r="AG83" s="287">
        <f t="shared" si="46"/>
        <v>0.8869852247720843</v>
      </c>
      <c r="AH83" s="287">
        <f t="shared" si="46"/>
        <v>0.78403393752410333</v>
      </c>
      <c r="AI83" s="287">
        <f t="shared" si="46"/>
        <v>0.88548601864181087</v>
      </c>
      <c r="AJ83" s="287">
        <f t="shared" si="46"/>
        <v>0.92093023255813955</v>
      </c>
      <c r="AK83" s="287">
        <f t="shared" si="46"/>
        <v>0.68838526912181308</v>
      </c>
      <c r="AL83" s="287">
        <f t="shared" si="46"/>
        <v>0.94416914436736044</v>
      </c>
      <c r="AM83" s="287">
        <f t="shared" si="46"/>
        <v>0.95292368681863227</v>
      </c>
      <c r="AN83" s="287">
        <f t="shared" si="46"/>
        <v>0.92666005946481667</v>
      </c>
      <c r="AO83" s="287">
        <f t="shared" si="46"/>
        <v>0.91473082595870203</v>
      </c>
      <c r="AP83" s="287">
        <f t="shared" si="46"/>
        <v>0.89979150377899397</v>
      </c>
      <c r="AQ83" s="287">
        <f t="shared" si="46"/>
        <v>0.88532110091743121</v>
      </c>
      <c r="AR83" s="287">
        <f t="shared" si="46"/>
        <v>0.8847195357833656</v>
      </c>
      <c r="AS83" s="287">
        <f t="shared" si="46"/>
        <v>0.92906364004864206</v>
      </c>
      <c r="AT83" s="287">
        <f t="shared" si="46"/>
        <v>0.84424713281539032</v>
      </c>
      <c r="AU83" s="287">
        <f t="shared" si="46"/>
        <v>1.0355263157894736</v>
      </c>
      <c r="AV83" s="287">
        <f t="shared" si="46"/>
        <v>0.95085066162570886</v>
      </c>
      <c r="AW83" s="287">
        <f t="shared" si="46"/>
        <v>0.91666666666666663</v>
      </c>
      <c r="AX83" s="287">
        <f t="shared" si="46"/>
        <v>0.95682613768961489</v>
      </c>
      <c r="AY83" s="287">
        <f t="shared" si="46"/>
        <v>1.006031363088058</v>
      </c>
    </row>
    <row r="84" spans="5:51" ht="15" customHeight="1">
      <c r="E84" s="56"/>
      <c r="AA84" s="59" t="s">
        <v>1836</v>
      </c>
      <c r="AB84" s="287">
        <f t="shared" si="44"/>
        <v>0.96859555975928247</v>
      </c>
      <c r="AC84" s="287">
        <f t="shared" si="46"/>
        <v>0.86095978327092904</v>
      </c>
      <c r="AD84" s="287">
        <f t="shared" si="46"/>
        <v>0.85188251527695646</v>
      </c>
      <c r="AE84" s="287">
        <f t="shared" si="46"/>
        <v>0.81866340668296655</v>
      </c>
      <c r="AF84" s="287">
        <f t="shared" si="46"/>
        <v>0.84564268084298466</v>
      </c>
      <c r="AG84" s="287">
        <f t="shared" si="46"/>
        <v>0.84033315612262982</v>
      </c>
      <c r="AH84" s="287">
        <f t="shared" si="46"/>
        <v>0.89129365469749144</v>
      </c>
      <c r="AI84" s="287">
        <f t="shared" si="46"/>
        <v>0.78195488721804507</v>
      </c>
      <c r="AJ84" s="287">
        <f t="shared" si="46"/>
        <v>0.85353535353535348</v>
      </c>
      <c r="AK84" s="287">
        <f t="shared" si="46"/>
        <v>0.98148148148148151</v>
      </c>
      <c r="AL84" s="287">
        <f t="shared" si="46"/>
        <v>0.82365290412876135</v>
      </c>
      <c r="AM84" s="287">
        <f t="shared" si="46"/>
        <v>0.83775351014040567</v>
      </c>
      <c r="AN84" s="287">
        <f t="shared" si="46"/>
        <v>0.79465240641711232</v>
      </c>
      <c r="AO84" s="287">
        <f t="shared" si="46"/>
        <v>0.87493701501562027</v>
      </c>
      <c r="AP84" s="287">
        <f t="shared" si="46"/>
        <v>0.8265025343953657</v>
      </c>
      <c r="AQ84" s="287">
        <f t="shared" si="46"/>
        <v>0.84520725388601037</v>
      </c>
      <c r="AR84" s="287">
        <f t="shared" si="46"/>
        <v>0.82181897682553562</v>
      </c>
      <c r="AS84" s="287">
        <f t="shared" si="46"/>
        <v>0.87129144851657936</v>
      </c>
      <c r="AT84" s="287">
        <f t="shared" si="46"/>
        <v>0.77212971078001758</v>
      </c>
      <c r="AU84" s="287">
        <f t="shared" si="46"/>
        <v>0.81702668360864039</v>
      </c>
      <c r="AV84" s="287">
        <f t="shared" si="46"/>
        <v>0.98575215374420144</v>
      </c>
      <c r="AW84" s="287">
        <f t="shared" si="46"/>
        <v>0.96554252199413493</v>
      </c>
      <c r="AX84" s="287">
        <f t="shared" si="46"/>
        <v>1.1000000000000001</v>
      </c>
      <c r="AY84" s="287">
        <f t="shared" si="46"/>
        <v>0.90647482014388492</v>
      </c>
    </row>
    <row r="85" spans="5:51" ht="15" customHeight="1">
      <c r="E85" s="56"/>
      <c r="AA85" s="59"/>
    </row>
    <row r="86" spans="5:51" ht="15" customHeight="1">
      <c r="E86" s="56"/>
      <c r="AA86" s="59"/>
    </row>
    <row r="87" spans="5:51" ht="15" customHeight="1">
      <c r="E87" s="56"/>
      <c r="AA87" s="59"/>
    </row>
    <row r="88" spans="5:51" ht="15" customHeight="1">
      <c r="E88" s="56"/>
      <c r="AA88" s="59"/>
    </row>
    <row r="89" spans="5:51" ht="15" customHeight="1">
      <c r="E89" s="56"/>
      <c r="AA89" s="59"/>
    </row>
    <row r="90" spans="5:51" ht="15" customHeight="1">
      <c r="E90" s="56"/>
      <c r="AA90" s="59"/>
    </row>
    <row r="91" spans="5:51" ht="15" customHeight="1">
      <c r="E91" s="56"/>
      <c r="AA91" s="59"/>
    </row>
    <row r="92" spans="5:51" ht="15" customHeight="1">
      <c r="E92" s="56"/>
      <c r="AA92" s="59"/>
    </row>
    <row r="93" spans="5:51" ht="15" customHeight="1">
      <c r="E93" s="56"/>
      <c r="Z93" s="59" t="s">
        <v>1838</v>
      </c>
      <c r="AA93" s="59" t="s">
        <v>1838</v>
      </c>
    </row>
    <row r="94" spans="5:51" ht="15" customHeight="1">
      <c r="E94" s="56"/>
      <c r="AB94" s="94" t="s">
        <v>7</v>
      </c>
      <c r="AC94" s="177"/>
      <c r="AD94" s="127" t="s">
        <v>37</v>
      </c>
      <c r="AE94" s="128"/>
      <c r="AF94" s="128"/>
      <c r="AG94" s="128"/>
      <c r="AH94" s="128"/>
      <c r="AI94" s="128"/>
      <c r="AJ94" s="128"/>
      <c r="AK94" s="128"/>
      <c r="AL94" s="128"/>
      <c r="AM94" s="128"/>
      <c r="AN94" s="128"/>
      <c r="AO94" s="128"/>
      <c r="AP94" s="128"/>
      <c r="AQ94" s="128"/>
      <c r="AR94" s="128"/>
      <c r="AS94" s="128"/>
      <c r="AT94" s="128"/>
      <c r="AU94" s="128"/>
      <c r="AV94" s="128"/>
      <c r="AW94" s="128"/>
      <c r="AX94" s="128"/>
      <c r="AY94" s="129"/>
    </row>
    <row r="95" spans="5:51" ht="15" customHeight="1">
      <c r="E95" s="56"/>
      <c r="AB95" s="94"/>
      <c r="AC95" s="123" t="s">
        <v>938</v>
      </c>
      <c r="AD95" s="123" t="s">
        <v>78</v>
      </c>
      <c r="AE95" s="94" t="s">
        <v>0</v>
      </c>
      <c r="AF95" s="112" t="s">
        <v>1</v>
      </c>
      <c r="AG95" s="112"/>
      <c r="AH95" s="112"/>
      <c r="AI95" s="112"/>
      <c r="AJ95" s="112"/>
      <c r="AK95" s="112"/>
      <c r="AL95" s="112"/>
      <c r="AM95" s="112"/>
      <c r="AN95" s="112"/>
      <c r="AO95" s="112" t="s">
        <v>2</v>
      </c>
      <c r="AP95" s="112"/>
      <c r="AQ95" s="112"/>
      <c r="AR95" s="112"/>
      <c r="AS95" s="112"/>
      <c r="AT95" s="112"/>
      <c r="AU95" s="112"/>
      <c r="AV95" s="112"/>
      <c r="AW95" s="112"/>
      <c r="AX95" s="112"/>
      <c r="AY95" s="112"/>
    </row>
    <row r="96" spans="5:51" ht="15" customHeight="1">
      <c r="E96" s="56"/>
      <c r="AB96" s="94"/>
      <c r="AC96" s="125"/>
      <c r="AD96" s="125"/>
      <c r="AE96" s="94"/>
      <c r="AF96" s="94" t="s">
        <v>560</v>
      </c>
      <c r="AG96" s="97" t="s">
        <v>8</v>
      </c>
      <c r="AH96" s="97" t="s">
        <v>9</v>
      </c>
      <c r="AI96" s="97"/>
      <c r="AJ96" s="97"/>
      <c r="AK96" s="97"/>
      <c r="AL96" s="98" t="s">
        <v>11</v>
      </c>
      <c r="AM96" s="100"/>
      <c r="AN96" s="99"/>
      <c r="AO96" s="94" t="s">
        <v>517</v>
      </c>
      <c r="AP96" s="103" t="s">
        <v>13</v>
      </c>
      <c r="AQ96" s="103"/>
      <c r="AR96" s="103"/>
      <c r="AS96" s="103"/>
      <c r="AT96" s="103"/>
      <c r="AU96" s="103"/>
      <c r="AV96" s="97" t="s">
        <v>19</v>
      </c>
      <c r="AW96" s="97"/>
      <c r="AX96" s="97"/>
      <c r="AY96" s="97"/>
    </row>
    <row r="97" spans="5:51" ht="150">
      <c r="AB97" s="94"/>
      <c r="AC97" s="126"/>
      <c r="AD97" s="126"/>
      <c r="AE97" s="94"/>
      <c r="AF97" s="94"/>
      <c r="AG97" s="97"/>
      <c r="AH97" s="73" t="s">
        <v>558</v>
      </c>
      <c r="AI97" s="73" t="s">
        <v>554</v>
      </c>
      <c r="AJ97" s="73" t="s">
        <v>10</v>
      </c>
      <c r="AK97" s="73" t="s">
        <v>555</v>
      </c>
      <c r="AL97" s="73" t="s">
        <v>559</v>
      </c>
      <c r="AM97" s="73" t="s">
        <v>12</v>
      </c>
      <c r="AN97" s="73" t="s">
        <v>556</v>
      </c>
      <c r="AO97" s="94"/>
      <c r="AP97" s="73" t="s">
        <v>561</v>
      </c>
      <c r="AQ97" s="73" t="s">
        <v>14</v>
      </c>
      <c r="AR97" s="73" t="s">
        <v>15</v>
      </c>
      <c r="AS97" s="73" t="s">
        <v>16</v>
      </c>
      <c r="AT97" s="73" t="s">
        <v>17</v>
      </c>
      <c r="AU97" s="73" t="s">
        <v>18</v>
      </c>
      <c r="AV97" s="73" t="s">
        <v>562</v>
      </c>
      <c r="AW97" s="73" t="s">
        <v>20</v>
      </c>
      <c r="AX97" s="73" t="s">
        <v>21</v>
      </c>
      <c r="AY97" s="73" t="s">
        <v>557</v>
      </c>
    </row>
    <row r="98" spans="5:51">
      <c r="E98" s="56"/>
      <c r="AA98" s="286">
        <v>2007</v>
      </c>
      <c r="AB98" s="109">
        <v>1466802</v>
      </c>
      <c r="AC98" s="64">
        <v>186210</v>
      </c>
      <c r="AE98" s="64">
        <v>4207</v>
      </c>
      <c r="AF98" s="64">
        <v>9629</v>
      </c>
      <c r="AG98" s="64">
        <v>4121</v>
      </c>
      <c r="AH98" s="64">
        <v>2124</v>
      </c>
      <c r="AL98" s="64">
        <v>3384</v>
      </c>
      <c r="AO98" s="64">
        <v>9272</v>
      </c>
      <c r="AP98" s="64">
        <v>5819</v>
      </c>
      <c r="AV98" s="64">
        <v>3453</v>
      </c>
    </row>
    <row r="99" spans="5:51">
      <c r="E99" s="56"/>
      <c r="AA99" s="286" t="s">
        <v>1818</v>
      </c>
      <c r="AB99" s="109">
        <v>1481327</v>
      </c>
      <c r="AC99" s="64">
        <v>176288</v>
      </c>
      <c r="AE99" s="64">
        <v>3950</v>
      </c>
      <c r="AF99" s="64">
        <v>8584</v>
      </c>
      <c r="AG99" s="64">
        <v>3640</v>
      </c>
      <c r="AH99" s="64">
        <v>1820</v>
      </c>
      <c r="AL99" s="64">
        <v>3124</v>
      </c>
      <c r="AO99" s="64">
        <v>8580</v>
      </c>
      <c r="AP99" s="64">
        <v>5310</v>
      </c>
      <c r="AV99" s="64">
        <v>3270</v>
      </c>
    </row>
    <row r="100" spans="5:51">
      <c r="E100" s="56"/>
      <c r="AA100" s="286" t="s">
        <v>1819</v>
      </c>
      <c r="AB100" s="109">
        <v>1435990</v>
      </c>
      <c r="AC100" s="64">
        <v>152791</v>
      </c>
      <c r="AE100" s="64">
        <v>3030</v>
      </c>
      <c r="AF100" s="64">
        <v>7032</v>
      </c>
      <c r="AG100" s="64">
        <v>2892</v>
      </c>
      <c r="AH100" s="64">
        <v>1597</v>
      </c>
      <c r="AL100" s="64">
        <v>2543</v>
      </c>
      <c r="AO100" s="64">
        <v>7107</v>
      </c>
      <c r="AP100" s="64">
        <v>4066</v>
      </c>
      <c r="AV100" s="64">
        <v>3041</v>
      </c>
    </row>
    <row r="101" spans="5:51">
      <c r="E101" s="56"/>
      <c r="Z101" s="262"/>
      <c r="AA101" s="286" t="s">
        <v>1820</v>
      </c>
      <c r="AB101" s="109">
        <v>1484210</v>
      </c>
      <c r="AC101" s="64">
        <v>161958</v>
      </c>
      <c r="AE101" s="64">
        <v>3553</v>
      </c>
      <c r="AF101" s="64">
        <v>7772</v>
      </c>
      <c r="AG101" s="64">
        <v>3324</v>
      </c>
      <c r="AH101" s="64">
        <v>1801</v>
      </c>
      <c r="AL101" s="64">
        <v>2647</v>
      </c>
      <c r="AO101" s="64">
        <v>7188</v>
      </c>
      <c r="AP101" s="64">
        <v>4165</v>
      </c>
      <c r="AV101" s="64">
        <v>3023</v>
      </c>
    </row>
    <row r="102" spans="5:51">
      <c r="E102" s="56"/>
      <c r="AA102" s="286" t="s">
        <v>1862</v>
      </c>
      <c r="AB102" s="109">
        <v>1522143</v>
      </c>
      <c r="AC102" s="64">
        <v>165899</v>
      </c>
      <c r="AE102" s="64">
        <v>3881</v>
      </c>
      <c r="AF102" s="64">
        <v>7828</v>
      </c>
      <c r="AG102" s="64">
        <v>3373</v>
      </c>
      <c r="AH102" s="64">
        <v>1761</v>
      </c>
      <c r="AL102" s="64">
        <v>2694</v>
      </c>
      <c r="AO102" s="64">
        <v>7027</v>
      </c>
      <c r="AP102" s="64">
        <v>4008</v>
      </c>
      <c r="AV102" s="64">
        <v>3019</v>
      </c>
    </row>
    <row r="103" spans="5:51">
      <c r="E103" s="56"/>
      <c r="AA103" s="286" t="s">
        <v>1863</v>
      </c>
      <c r="AB103" s="109">
        <v>1548858</v>
      </c>
      <c r="AC103" s="64">
        <v>169175</v>
      </c>
      <c r="AE103" s="64">
        <v>3769</v>
      </c>
      <c r="AF103" s="64">
        <v>8127</v>
      </c>
      <c r="AG103" s="64">
        <v>3502</v>
      </c>
      <c r="AH103" s="64">
        <v>1841</v>
      </c>
      <c r="AL103" s="64">
        <v>2784</v>
      </c>
      <c r="AO103" s="64">
        <v>6733</v>
      </c>
      <c r="AP103" s="64">
        <v>3666</v>
      </c>
      <c r="AV103" s="64">
        <v>3067</v>
      </c>
    </row>
    <row r="104" spans="5:51">
      <c r="AA104" s="288"/>
      <c r="AB104" s="109"/>
    </row>
    <row r="105" spans="5:51">
      <c r="AA105" s="288"/>
    </row>
    <row r="106" spans="5:51">
      <c r="AA106" s="288"/>
    </row>
    <row r="107" spans="5:51">
      <c r="AA107" s="176"/>
    </row>
    <row r="108" spans="5:51">
      <c r="AA108" s="176"/>
    </row>
    <row r="109" spans="5:51">
      <c r="AA109" s="176"/>
    </row>
    <row r="110" spans="5:51">
      <c r="AA110" s="176"/>
    </row>
    <row r="111" spans="5:51">
      <c r="AA111" s="176"/>
    </row>
    <row r="112" spans="5:51">
      <c r="AA112" s="176"/>
    </row>
    <row r="113" spans="26:27">
      <c r="Z113" s="262"/>
      <c r="AA113" s="176"/>
    </row>
    <row r="114" spans="26:27">
      <c r="AA114" s="176"/>
    </row>
    <row r="115" spans="26:27">
      <c r="AA115" s="176"/>
    </row>
    <row r="116" spans="26:27">
      <c r="AA116" s="176"/>
    </row>
    <row r="117" spans="26:27">
      <c r="AA117" s="176"/>
    </row>
    <row r="118" spans="26:27">
      <c r="AA118" s="176"/>
    </row>
    <row r="119" spans="26:27">
      <c r="AA119" s="176"/>
    </row>
    <row r="120" spans="26:27">
      <c r="AA120" s="176"/>
    </row>
    <row r="121" spans="26:27">
      <c r="AA121" s="176"/>
    </row>
    <row r="122" spans="26:27">
      <c r="AA122" s="176"/>
    </row>
    <row r="123" spans="26:27">
      <c r="AA123" s="176"/>
    </row>
    <row r="124" spans="26:27">
      <c r="AA124" s="176"/>
    </row>
    <row r="125" spans="26:27">
      <c r="Z125" s="262"/>
      <c r="AA125" s="176"/>
    </row>
    <row r="126" spans="26:27">
      <c r="AA126" s="176"/>
    </row>
    <row r="127" spans="26:27">
      <c r="AA127" s="176"/>
    </row>
    <row r="128" spans="26:27">
      <c r="AA128" s="176"/>
    </row>
    <row r="129" spans="26:27">
      <c r="AA129" s="176"/>
    </row>
    <row r="130" spans="26:27">
      <c r="AA130" s="176"/>
    </row>
    <row r="131" spans="26:27">
      <c r="AA131" s="176"/>
    </row>
    <row r="132" spans="26:27">
      <c r="AA132" s="176"/>
    </row>
    <row r="133" spans="26:27">
      <c r="AA133" s="176"/>
    </row>
    <row r="134" spans="26:27">
      <c r="AA134" s="176"/>
    </row>
    <row r="135" spans="26:27">
      <c r="AA135" s="176"/>
    </row>
    <row r="136" spans="26:27">
      <c r="AA136" s="176"/>
    </row>
    <row r="137" spans="26:27">
      <c r="Z137" s="262"/>
      <c r="AA137" s="176"/>
    </row>
    <row r="138" spans="26:27">
      <c r="AA138" s="176"/>
    </row>
    <row r="139" spans="26:27">
      <c r="AA139" s="176"/>
    </row>
    <row r="140" spans="26:27">
      <c r="AA140" s="176"/>
    </row>
    <row r="141" spans="26:27">
      <c r="AA141" s="176"/>
    </row>
    <row r="142" spans="26:27">
      <c r="AA142" s="176"/>
    </row>
    <row r="143" spans="26:27">
      <c r="AA143" s="176"/>
    </row>
    <row r="144" spans="26:27">
      <c r="AA144" s="176"/>
    </row>
    <row r="145" spans="26:27">
      <c r="AA145" s="176"/>
    </row>
    <row r="146" spans="26:27">
      <c r="AA146" s="176"/>
    </row>
    <row r="147" spans="26:27">
      <c r="AA147" s="176"/>
    </row>
    <row r="148" spans="26:27">
      <c r="AA148" s="176"/>
    </row>
    <row r="149" spans="26:27">
      <c r="Z149" s="262"/>
      <c r="AA149" s="176"/>
    </row>
    <row r="150" spans="26:27">
      <c r="AA150" s="176"/>
    </row>
    <row r="151" spans="26:27">
      <c r="AA151" s="176"/>
    </row>
    <row r="152" spans="26:27">
      <c r="AA152" s="176"/>
    </row>
    <row r="153" spans="26:27">
      <c r="AA153" s="176"/>
    </row>
    <row r="154" spans="26:27">
      <c r="AA154" s="176"/>
    </row>
    <row r="155" spans="26:27">
      <c r="AA155" s="176"/>
    </row>
    <row r="156" spans="26:27">
      <c r="AA156" s="176"/>
    </row>
    <row r="157" spans="26:27">
      <c r="AA157" s="176"/>
    </row>
    <row r="158" spans="26:27">
      <c r="AA158" s="176"/>
    </row>
    <row r="159" spans="26:27">
      <c r="AA159" s="176"/>
    </row>
    <row r="160" spans="26:27">
      <c r="AA160" s="176"/>
    </row>
    <row r="161" spans="26:27">
      <c r="Z161" s="262"/>
      <c r="AA161" s="176"/>
    </row>
    <row r="162" spans="26:27">
      <c r="AA162" s="176"/>
    </row>
    <row r="163" spans="26:27">
      <c r="AA163" s="176"/>
    </row>
    <row r="164" spans="26:27">
      <c r="AA164" s="176"/>
    </row>
    <row r="165" spans="26:27">
      <c r="AA165" s="176"/>
    </row>
    <row r="166" spans="26:27">
      <c r="AA166" s="176"/>
    </row>
    <row r="167" spans="26:27">
      <c r="AA167" s="176"/>
    </row>
    <row r="168" spans="26:27">
      <c r="AA168" s="176"/>
    </row>
    <row r="169" spans="26:27">
      <c r="AA169" s="176"/>
    </row>
    <row r="170" spans="26:27">
      <c r="AA170" s="176"/>
    </row>
    <row r="171" spans="26:27">
      <c r="AA171" s="176"/>
    </row>
    <row r="172" spans="26:27">
      <c r="AA172" s="176"/>
    </row>
    <row r="173" spans="26:27">
      <c r="Z173" s="262"/>
      <c r="AA173" s="176"/>
    </row>
    <row r="174" spans="26:27">
      <c r="AA174" s="176"/>
    </row>
    <row r="175" spans="26:27">
      <c r="AA175" s="176"/>
    </row>
    <row r="176" spans="26:27">
      <c r="AA176" s="176"/>
    </row>
    <row r="177" spans="26:27">
      <c r="AA177" s="176"/>
    </row>
    <row r="178" spans="26:27">
      <c r="AA178" s="176"/>
    </row>
    <row r="179" spans="26:27">
      <c r="AA179" s="176"/>
    </row>
    <row r="180" spans="26:27">
      <c r="AA180" s="176"/>
    </row>
    <row r="181" spans="26:27">
      <c r="AA181" s="176"/>
    </row>
    <row r="182" spans="26:27">
      <c r="AA182" s="176"/>
    </row>
    <row r="183" spans="26:27">
      <c r="AA183" s="176"/>
    </row>
    <row r="184" spans="26:27">
      <c r="AA184" s="176"/>
    </row>
    <row r="185" spans="26:27">
      <c r="Z185" s="262"/>
      <c r="AA185" s="176"/>
    </row>
    <row r="186" spans="26:27">
      <c r="AA186" s="176"/>
    </row>
    <row r="187" spans="26:27">
      <c r="AA187" s="176"/>
    </row>
    <row r="188" spans="26:27">
      <c r="AA188" s="176"/>
    </row>
    <row r="189" spans="26:27">
      <c r="AA189" s="176"/>
    </row>
    <row r="190" spans="26:27">
      <c r="AA190" s="176"/>
    </row>
    <row r="191" spans="26:27">
      <c r="AA191" s="176"/>
    </row>
    <row r="192" spans="26:27">
      <c r="AA192" s="176"/>
    </row>
    <row r="193" spans="26:27">
      <c r="AA193" s="176"/>
    </row>
    <row r="194" spans="26:27">
      <c r="AA194" s="176"/>
    </row>
    <row r="195" spans="26:27">
      <c r="AA195" s="176"/>
    </row>
    <row r="196" spans="26:27">
      <c r="AA196" s="176"/>
    </row>
    <row r="197" spans="26:27">
      <c r="Z197" s="262"/>
      <c r="AA197" s="176"/>
    </row>
    <row r="198" spans="26:27">
      <c r="AA198" s="176"/>
    </row>
    <row r="199" spans="26:27">
      <c r="AA199" s="176"/>
    </row>
    <row r="200" spans="26:27">
      <c r="AA200" s="176"/>
    </row>
    <row r="201" spans="26:27">
      <c r="AA201" s="176"/>
    </row>
    <row r="202" spans="26:27">
      <c r="AA202" s="176"/>
    </row>
    <row r="203" spans="26:27">
      <c r="AA203" s="176"/>
    </row>
    <row r="204" spans="26:27">
      <c r="AA204" s="176"/>
    </row>
    <row r="205" spans="26:27">
      <c r="AA205" s="176"/>
    </row>
    <row r="206" spans="26:27">
      <c r="AA206" s="176"/>
    </row>
    <row r="207" spans="26:27">
      <c r="AA207" s="176"/>
    </row>
    <row r="208" spans="26:27">
      <c r="AA208" s="176"/>
    </row>
    <row r="209" spans="26:27">
      <c r="Z209" s="262"/>
      <c r="AA209" s="176"/>
    </row>
    <row r="210" spans="26:27">
      <c r="AA210" s="176"/>
    </row>
    <row r="211" spans="26:27">
      <c r="AA211" s="176"/>
    </row>
    <row r="212" spans="26:27">
      <c r="AA212" s="176"/>
    </row>
    <row r="213" spans="26:27">
      <c r="AA213" s="176"/>
    </row>
    <row r="214" spans="26:27">
      <c r="AA214" s="176"/>
    </row>
    <row r="215" spans="26:27">
      <c r="AA215" s="176"/>
    </row>
    <row r="216" spans="26:27">
      <c r="AA216" s="176"/>
    </row>
    <row r="217" spans="26:27">
      <c r="AA217" s="176"/>
    </row>
    <row r="218" spans="26:27">
      <c r="AA218" s="176"/>
    </row>
    <row r="219" spans="26:27">
      <c r="AA219" s="176"/>
    </row>
    <row r="220" spans="26:27">
      <c r="AA220" s="176"/>
    </row>
    <row r="221" spans="26:27">
      <c r="Z221" s="262"/>
      <c r="AA221" s="176"/>
    </row>
    <row r="222" spans="26:27">
      <c r="AA222" s="176"/>
    </row>
    <row r="223" spans="26:27">
      <c r="AA223" s="176"/>
    </row>
    <row r="224" spans="26:27">
      <c r="AA224" s="176"/>
    </row>
    <row r="225" spans="26:27">
      <c r="AA225" s="176"/>
    </row>
    <row r="226" spans="26:27">
      <c r="AA226" s="176"/>
    </row>
    <row r="227" spans="26:27">
      <c r="AA227" s="176"/>
    </row>
    <row r="228" spans="26:27">
      <c r="AA228" s="176"/>
    </row>
    <row r="229" spans="26:27">
      <c r="AA229" s="176"/>
    </row>
    <row r="230" spans="26:27">
      <c r="AA230" s="176"/>
    </row>
    <row r="231" spans="26:27">
      <c r="AA231" s="176"/>
    </row>
    <row r="232" spans="26:27">
      <c r="AA232" s="176"/>
    </row>
    <row r="233" spans="26:27">
      <c r="Z233" s="262"/>
      <c r="AA233" s="176"/>
    </row>
    <row r="234" spans="26:27">
      <c r="AA234" s="176"/>
    </row>
    <row r="235" spans="26:27">
      <c r="AA235" s="176"/>
    </row>
    <row r="236" spans="26:27">
      <c r="AA236" s="176"/>
    </row>
    <row r="237" spans="26:27">
      <c r="AA237" s="176"/>
    </row>
    <row r="238" spans="26:27">
      <c r="AA238" s="176"/>
    </row>
    <row r="239" spans="26:27">
      <c r="AA239" s="176"/>
    </row>
    <row r="240" spans="26:27">
      <c r="AA240" s="176"/>
    </row>
    <row r="241" spans="26:27">
      <c r="AA241" s="176"/>
    </row>
    <row r="242" spans="26:27">
      <c r="AA242" s="176"/>
    </row>
    <row r="243" spans="26:27">
      <c r="AA243" s="176"/>
    </row>
    <row r="244" spans="26:27">
      <c r="AA244" s="176"/>
    </row>
    <row r="245" spans="26:27">
      <c r="Z245" s="262"/>
      <c r="AA245" s="176"/>
    </row>
    <row r="246" spans="26:27">
      <c r="AA246" s="176"/>
    </row>
    <row r="247" spans="26:27">
      <c r="AA247" s="176"/>
    </row>
    <row r="248" spans="26:27">
      <c r="AA248" s="176"/>
    </row>
    <row r="249" spans="26:27">
      <c r="AA249" s="176"/>
    </row>
    <row r="250" spans="26:27">
      <c r="AA250" s="176"/>
    </row>
    <row r="251" spans="26:27">
      <c r="AA251" s="176"/>
    </row>
    <row r="252" spans="26:27">
      <c r="AA252" s="176"/>
    </row>
    <row r="253" spans="26:27">
      <c r="AA253" s="176"/>
    </row>
    <row r="254" spans="26:27">
      <c r="AA254" s="176"/>
    </row>
    <row r="255" spans="26:27">
      <c r="AA255" s="176"/>
    </row>
    <row r="256" spans="26:27">
      <c r="AA256" s="176"/>
    </row>
    <row r="257" spans="26:27">
      <c r="Z257" s="262"/>
      <c r="AA257" s="176"/>
    </row>
    <row r="258" spans="26:27">
      <c r="AA258" s="176"/>
    </row>
    <row r="259" spans="26:27">
      <c r="AA259" s="176"/>
    </row>
    <row r="260" spans="26:27">
      <c r="AA260" s="176"/>
    </row>
    <row r="261" spans="26:27">
      <c r="AA261" s="176"/>
    </row>
    <row r="262" spans="26:27">
      <c r="AA262" s="176"/>
    </row>
    <row r="263" spans="26:27">
      <c r="AA263" s="176"/>
    </row>
    <row r="264" spans="26:27">
      <c r="AA264" s="176"/>
    </row>
    <row r="265" spans="26:27">
      <c r="AA265" s="176"/>
    </row>
    <row r="266" spans="26:27">
      <c r="AA266" s="176"/>
    </row>
    <row r="267" spans="26:27">
      <c r="AA267" s="176"/>
    </row>
    <row r="268" spans="26:27">
      <c r="AA268" s="176"/>
    </row>
    <row r="269" spans="26:27">
      <c r="Z269" s="262"/>
      <c r="AA269" s="176"/>
    </row>
    <row r="270" spans="26:27">
      <c r="AA270" s="176"/>
    </row>
    <row r="271" spans="26:27">
      <c r="AA271" s="176"/>
    </row>
    <row r="272" spans="26:27">
      <c r="AA272" s="176"/>
    </row>
    <row r="273" spans="27:27">
      <c r="AA273" s="176"/>
    </row>
    <row r="274" spans="27:27">
      <c r="AA274" s="176"/>
    </row>
    <row r="275" spans="27:27">
      <c r="AA275" s="176"/>
    </row>
    <row r="276" spans="27:27">
      <c r="AA276" s="176"/>
    </row>
    <row r="277" spans="27:27">
      <c r="AA277" s="176"/>
    </row>
    <row r="278" spans="27:27">
      <c r="AA278" s="176"/>
    </row>
    <row r="279" spans="27:27">
      <c r="AA279" s="176"/>
    </row>
    <row r="280" spans="27:27">
      <c r="AA280" s="176"/>
    </row>
    <row r="281" spans="27:27">
      <c r="AA281" s="176"/>
    </row>
    <row r="282" spans="27:27">
      <c r="AA282" s="176"/>
    </row>
    <row r="283" spans="27:27">
      <c r="AA283" s="176"/>
    </row>
    <row r="284" spans="27:27">
      <c r="AA284" s="176"/>
    </row>
    <row r="285" spans="27:27">
      <c r="AA285" s="176"/>
    </row>
    <row r="286" spans="27:27">
      <c r="AA286" s="176"/>
    </row>
    <row r="287" spans="27:27">
      <c r="AA287" s="176"/>
    </row>
    <row r="288" spans="27:27">
      <c r="AA288" s="176"/>
    </row>
    <row r="289" spans="27:27">
      <c r="AA289" s="176"/>
    </row>
    <row r="290" spans="27:27">
      <c r="AA290" s="176"/>
    </row>
    <row r="291" spans="27:27">
      <c r="AA291" s="176"/>
    </row>
    <row r="292" spans="27:27">
      <c r="AA292" s="176"/>
    </row>
    <row r="293" spans="27:27">
      <c r="AA293" s="176"/>
    </row>
    <row r="294" spans="27:27">
      <c r="AA294" s="176"/>
    </row>
    <row r="295" spans="27:27">
      <c r="AA295" s="176"/>
    </row>
    <row r="296" spans="27:27">
      <c r="AA296" s="176"/>
    </row>
    <row r="297" spans="27:27">
      <c r="AA297" s="176"/>
    </row>
    <row r="298" spans="27:27">
      <c r="AA298" s="176"/>
    </row>
    <row r="299" spans="27:27">
      <c r="AA299" s="176"/>
    </row>
    <row r="300" spans="27:27">
      <c r="AA300" s="176"/>
    </row>
    <row r="301" spans="27:27">
      <c r="AA301" s="176"/>
    </row>
    <row r="302" spans="27:27">
      <c r="AA302" s="176"/>
    </row>
    <row r="303" spans="27:27">
      <c r="AA303" s="176"/>
    </row>
    <row r="304" spans="27:27">
      <c r="AA304" s="176"/>
    </row>
    <row r="305" spans="27:27">
      <c r="AA305" s="176"/>
    </row>
    <row r="306" spans="27:27">
      <c r="AA306" s="176"/>
    </row>
    <row r="307" spans="27:27">
      <c r="AA307" s="176"/>
    </row>
    <row r="308" spans="27:27">
      <c r="AA308" s="176"/>
    </row>
    <row r="309" spans="27:27">
      <c r="AA309" s="176"/>
    </row>
    <row r="310" spans="27:27">
      <c r="AA310" s="176"/>
    </row>
    <row r="311" spans="27:27">
      <c r="AA311" s="176"/>
    </row>
    <row r="312" spans="27:27">
      <c r="AA312" s="176"/>
    </row>
    <row r="313" spans="27:27">
      <c r="AA313" s="176"/>
    </row>
    <row r="314" spans="27:27">
      <c r="AA314" s="176"/>
    </row>
    <row r="315" spans="27:27">
      <c r="AA315" s="176"/>
    </row>
    <row r="316" spans="27:27">
      <c r="AA316" s="176"/>
    </row>
    <row r="317" spans="27:27">
      <c r="AA317" s="176"/>
    </row>
    <row r="318" spans="27:27">
      <c r="AA318" s="176"/>
    </row>
    <row r="319" spans="27:27">
      <c r="AA319" s="176"/>
    </row>
    <row r="320" spans="27:27">
      <c r="AA320" s="176"/>
    </row>
    <row r="321" spans="27:27">
      <c r="AA321" s="176"/>
    </row>
    <row r="322" spans="27:27">
      <c r="AA322" s="176"/>
    </row>
    <row r="323" spans="27:27">
      <c r="AA323" s="176"/>
    </row>
    <row r="324" spans="27:27">
      <c r="AA324" s="176"/>
    </row>
    <row r="325" spans="27:27">
      <c r="AA325" s="176"/>
    </row>
    <row r="326" spans="27:27">
      <c r="AA326" s="176"/>
    </row>
    <row r="327" spans="27:27">
      <c r="AA327" s="176"/>
    </row>
    <row r="328" spans="27:27">
      <c r="AA328" s="176"/>
    </row>
    <row r="329" spans="27:27">
      <c r="AA329" s="176"/>
    </row>
    <row r="330" spans="27:27">
      <c r="AA330" s="176"/>
    </row>
    <row r="331" spans="27:27">
      <c r="AA331" s="176"/>
    </row>
    <row r="332" spans="27:27">
      <c r="AA332" s="176"/>
    </row>
    <row r="333" spans="27:27">
      <c r="AA333" s="176"/>
    </row>
    <row r="334" spans="27:27">
      <c r="AA334" s="176"/>
    </row>
    <row r="335" spans="27:27">
      <c r="AA335" s="176"/>
    </row>
    <row r="336" spans="27:27">
      <c r="AA336" s="176"/>
    </row>
    <row r="337" spans="27:27">
      <c r="AA337" s="176"/>
    </row>
    <row r="338" spans="27:27">
      <c r="AA338" s="176"/>
    </row>
    <row r="339" spans="27:27">
      <c r="AA339" s="176"/>
    </row>
    <row r="340" spans="27:27">
      <c r="AA340" s="176"/>
    </row>
    <row r="341" spans="27:27">
      <c r="AA341" s="176"/>
    </row>
    <row r="342" spans="27:27">
      <c r="AA342" s="176"/>
    </row>
    <row r="343" spans="27:27">
      <c r="AA343" s="176"/>
    </row>
    <row r="344" spans="27:27">
      <c r="AA344" s="176"/>
    </row>
    <row r="345" spans="27:27">
      <c r="AA345" s="176"/>
    </row>
    <row r="346" spans="27:27">
      <c r="AA346" s="176"/>
    </row>
    <row r="347" spans="27:27">
      <c r="AA347" s="176"/>
    </row>
    <row r="348" spans="27:27">
      <c r="AA348" s="176"/>
    </row>
    <row r="349" spans="27:27">
      <c r="AA349" s="176"/>
    </row>
    <row r="350" spans="27:27">
      <c r="AA350" s="176"/>
    </row>
    <row r="351" spans="27:27">
      <c r="AA351" s="176"/>
    </row>
    <row r="352" spans="27:27">
      <c r="AA352" s="176"/>
    </row>
    <row r="353" spans="27:29">
      <c r="AA353" s="176"/>
    </row>
    <row r="354" spans="27:29">
      <c r="AA354" s="176"/>
    </row>
    <row r="355" spans="27:29">
      <c r="AA355" s="176"/>
    </row>
    <row r="356" spans="27:29">
      <c r="AA356" s="176"/>
    </row>
    <row r="357" spans="27:29">
      <c r="AA357" s="176"/>
    </row>
    <row r="358" spans="27:29">
      <c r="AA358" s="176"/>
    </row>
    <row r="359" spans="27:29">
      <c r="AA359" s="176"/>
    </row>
    <row r="361" spans="27:29">
      <c r="AC361" s="64">
        <v>179638000000</v>
      </c>
    </row>
  </sheetData>
  <mergeCells count="49">
    <mergeCell ref="AP96:AU96"/>
    <mergeCell ref="AV96:AY96"/>
    <mergeCell ref="AD94:AY94"/>
    <mergeCell ref="AD95:AD97"/>
    <mergeCell ref="AE95:AE97"/>
    <mergeCell ref="AF95:AN95"/>
    <mergeCell ref="AO95:AY95"/>
    <mergeCell ref="AF96:AF97"/>
    <mergeCell ref="AG96:AG97"/>
    <mergeCell ref="AH96:AK96"/>
    <mergeCell ref="AB94:AB97"/>
    <mergeCell ref="AC95:AC97"/>
    <mergeCell ref="AO4:AO5"/>
    <mergeCell ref="AH4:AK4"/>
    <mergeCell ref="AL4:AN4"/>
    <mergeCell ref="AL96:AN96"/>
    <mergeCell ref="AO96:AO97"/>
    <mergeCell ref="AD2:AY2"/>
    <mergeCell ref="L4:N4"/>
    <mergeCell ref="O4:O5"/>
    <mergeCell ref="P4:U4"/>
    <mergeCell ref="V4:Y4"/>
    <mergeCell ref="AB2:AB5"/>
    <mergeCell ref="AE3:AE5"/>
    <mergeCell ref="AP4:AU4"/>
    <mergeCell ref="AV4:AY4"/>
    <mergeCell ref="AD3:AD5"/>
    <mergeCell ref="F3:N3"/>
    <mergeCell ref="AC3:AC5"/>
    <mergeCell ref="AF3:AN3"/>
    <mergeCell ref="AO3:AY3"/>
    <mergeCell ref="AF4:AF5"/>
    <mergeCell ref="AG4:AG5"/>
    <mergeCell ref="A56:Y56"/>
    <mergeCell ref="A54:Y54"/>
    <mergeCell ref="A1:Y1"/>
    <mergeCell ref="B2:B5"/>
    <mergeCell ref="G4:G5"/>
    <mergeCell ref="H4:K4"/>
    <mergeCell ref="C2:C5"/>
    <mergeCell ref="F4:F5"/>
    <mergeCell ref="O3:Y3"/>
    <mergeCell ref="A2:A5"/>
    <mergeCell ref="D2:Y2"/>
    <mergeCell ref="D3:D5"/>
    <mergeCell ref="A53:Y53"/>
    <mergeCell ref="A55:Y55"/>
    <mergeCell ref="E3:E5"/>
    <mergeCell ref="A52:Y52"/>
  </mergeCells>
  <pageMargins left="0.7" right="0.7" top="0.75" bottom="0.75" header="0.3" footer="0.3"/>
  <pageSetup scale="35" orientation="landscape" horizontalDpi="0" verticalDpi="0" r:id="rId1"/>
</worksheet>
</file>

<file path=xl/worksheets/sheet40.xml><?xml version="1.0" encoding="utf-8"?>
<worksheet xmlns="http://schemas.openxmlformats.org/spreadsheetml/2006/main" xmlns:r="http://schemas.openxmlformats.org/officeDocument/2006/relationships">
  <sheetPr>
    <pageSetUpPr fitToPage="1"/>
  </sheetPr>
  <dimension ref="A1:L46"/>
  <sheetViews>
    <sheet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11.7109375" style="64" customWidth="1"/>
    <col min="2" max="2" width="13.5703125" style="64" customWidth="1"/>
    <col min="3" max="3" width="13.7109375" style="64" customWidth="1"/>
    <col min="4" max="5" width="12.7109375" style="64" customWidth="1"/>
    <col min="6" max="9" width="15.42578125" style="64" customWidth="1"/>
    <col min="10" max="16384" width="9.140625" style="64"/>
  </cols>
  <sheetData>
    <row r="1" spans="1:9">
      <c r="A1" s="108" t="s">
        <v>2075</v>
      </c>
      <c r="B1" s="108"/>
      <c r="C1" s="108"/>
      <c r="D1" s="108"/>
      <c r="E1" s="108"/>
      <c r="F1" s="108"/>
      <c r="G1" s="108"/>
      <c r="H1" s="108"/>
      <c r="I1" s="108"/>
    </row>
    <row r="2" spans="1:9">
      <c r="A2" s="96"/>
      <c r="B2" s="94" t="s">
        <v>51</v>
      </c>
      <c r="C2" s="123" t="s">
        <v>938</v>
      </c>
      <c r="D2" s="94" t="s">
        <v>37</v>
      </c>
      <c r="E2" s="94"/>
      <c r="F2" s="94"/>
      <c r="G2" s="94"/>
      <c r="H2" s="94"/>
      <c r="I2" s="94"/>
    </row>
    <row r="3" spans="1:9">
      <c r="A3" s="96"/>
      <c r="B3" s="94"/>
      <c r="C3" s="125"/>
      <c r="D3" s="94" t="s">
        <v>58</v>
      </c>
      <c r="E3" s="94" t="s">
        <v>0</v>
      </c>
      <c r="F3" s="94" t="s">
        <v>1</v>
      </c>
      <c r="G3" s="94" t="s">
        <v>2</v>
      </c>
      <c r="H3" s="94"/>
      <c r="I3" s="94"/>
    </row>
    <row r="4" spans="1:9" ht="60">
      <c r="A4" s="96"/>
      <c r="B4" s="94"/>
      <c r="C4" s="126"/>
      <c r="D4" s="94"/>
      <c r="E4" s="94"/>
      <c r="F4" s="94"/>
      <c r="G4" s="72" t="s">
        <v>517</v>
      </c>
      <c r="H4" s="72" t="s">
        <v>13</v>
      </c>
      <c r="I4" s="72" t="s">
        <v>19</v>
      </c>
    </row>
    <row r="5" spans="1:9">
      <c r="A5" s="66">
        <v>1981</v>
      </c>
      <c r="B5" s="58" t="str">
        <f>IFERROR('5d'!B5/'5d'!$B5*100,"..")</f>
        <v>..</v>
      </c>
      <c r="C5" s="58" t="str">
        <f>IFERROR('5d'!C5/'5d'!$B5*100,"..")</f>
        <v>..</v>
      </c>
      <c r="D5" s="58" t="str">
        <f>IFERROR('5d'!D5/'5d'!$B5*100,"..")</f>
        <v>..</v>
      </c>
      <c r="E5" s="58" t="str">
        <f>IFERROR('5d'!E5/'5d'!$B5*100,"..")</f>
        <v>..</v>
      </c>
      <c r="F5" s="58" t="str">
        <f>IFERROR('5d'!F5/'5d'!$B5*100,"..")</f>
        <v>..</v>
      </c>
      <c r="G5" s="58" t="str">
        <f>IFERROR('5d'!G5/'5d'!$B5*100,"..")</f>
        <v>..</v>
      </c>
      <c r="H5" s="58" t="str">
        <f>IFERROR('5d'!H5/'5d'!$B5*100,"..")</f>
        <v>..</v>
      </c>
      <c r="I5" s="58" t="str">
        <f>IFERROR('5d'!I5/'5d'!$B5*100,"..")</f>
        <v>..</v>
      </c>
    </row>
    <row r="6" spans="1:9">
      <c r="A6" s="66">
        <v>1982</v>
      </c>
      <c r="B6" s="58" t="str">
        <f>IFERROR('5d'!B6/'5d'!$B6*100,"..")</f>
        <v>..</v>
      </c>
      <c r="C6" s="58" t="str">
        <f>IFERROR('5d'!C6/'5d'!$B6*100,"..")</f>
        <v>..</v>
      </c>
      <c r="D6" s="58" t="str">
        <f>IFERROR('5d'!D6/'5d'!$B6*100,"..")</f>
        <v>..</v>
      </c>
      <c r="E6" s="58" t="str">
        <f>IFERROR('5d'!E6/'5d'!$B6*100,"..")</f>
        <v>..</v>
      </c>
      <c r="F6" s="58" t="str">
        <f>IFERROR('5d'!F6/'5d'!$B6*100,"..")</f>
        <v>..</v>
      </c>
      <c r="G6" s="58" t="str">
        <f>IFERROR('5d'!G6/'5d'!$B6*100,"..")</f>
        <v>..</v>
      </c>
      <c r="H6" s="58" t="str">
        <f>IFERROR('5d'!H6/'5d'!$B6*100,"..")</f>
        <v>..</v>
      </c>
      <c r="I6" s="58" t="str">
        <f>IFERROR('5d'!I6/'5d'!$B6*100,"..")</f>
        <v>..</v>
      </c>
    </row>
    <row r="7" spans="1:9">
      <c r="A7" s="66">
        <v>1983</v>
      </c>
      <c r="B7" s="58" t="str">
        <f>IFERROR('5d'!B7/'5d'!$B7*100,"..")</f>
        <v>..</v>
      </c>
      <c r="C7" s="58" t="str">
        <f>IFERROR('5d'!C7/'5d'!$B7*100,"..")</f>
        <v>..</v>
      </c>
      <c r="D7" s="58" t="str">
        <f>IFERROR('5d'!D7/'5d'!$B7*100,"..")</f>
        <v>..</v>
      </c>
      <c r="E7" s="58" t="str">
        <f>IFERROR('5d'!E7/'5d'!$B7*100,"..")</f>
        <v>..</v>
      </c>
      <c r="F7" s="58" t="str">
        <f>IFERROR('5d'!F7/'5d'!$B7*100,"..")</f>
        <v>..</v>
      </c>
      <c r="G7" s="58" t="str">
        <f>IFERROR('5d'!G7/'5d'!$B7*100,"..")</f>
        <v>..</v>
      </c>
      <c r="H7" s="58" t="str">
        <f>IFERROR('5d'!H7/'5d'!$B7*100,"..")</f>
        <v>..</v>
      </c>
      <c r="I7" s="58" t="str">
        <f>IFERROR('5d'!I7/'5d'!$B7*100,"..")</f>
        <v>..</v>
      </c>
    </row>
    <row r="8" spans="1:9">
      <c r="A8" s="66">
        <v>1984</v>
      </c>
      <c r="B8" s="58" t="str">
        <f>IFERROR('5d'!B8/'5d'!$B8*100,"..")</f>
        <v>..</v>
      </c>
      <c r="C8" s="58" t="str">
        <f>IFERROR('5d'!C8/'5d'!$B8*100,"..")</f>
        <v>..</v>
      </c>
      <c r="D8" s="58" t="str">
        <f>IFERROR('5d'!D8/'5d'!$B8*100,"..")</f>
        <v>..</v>
      </c>
      <c r="E8" s="58" t="str">
        <f>IFERROR('5d'!E8/'5d'!$B8*100,"..")</f>
        <v>..</v>
      </c>
      <c r="F8" s="58" t="str">
        <f>IFERROR('5d'!F8/'5d'!$B8*100,"..")</f>
        <v>..</v>
      </c>
      <c r="G8" s="58" t="str">
        <f>IFERROR('5d'!G8/'5d'!$B8*100,"..")</f>
        <v>..</v>
      </c>
      <c r="H8" s="58" t="str">
        <f>IFERROR('5d'!H8/'5d'!$B8*100,"..")</f>
        <v>..</v>
      </c>
      <c r="I8" s="58" t="str">
        <f>IFERROR('5d'!I8/'5d'!$B8*100,"..")</f>
        <v>..</v>
      </c>
    </row>
    <row r="9" spans="1:9">
      <c r="A9" s="66">
        <v>1985</v>
      </c>
      <c r="B9" s="58" t="str">
        <f>IFERROR('5d'!B9/'5d'!$B9*100,"..")</f>
        <v>..</v>
      </c>
      <c r="C9" s="58" t="str">
        <f>IFERROR('5d'!C9/'5d'!$B9*100,"..")</f>
        <v>..</v>
      </c>
      <c r="D9" s="58" t="str">
        <f>IFERROR('5d'!D9/'5d'!$B9*100,"..")</f>
        <v>..</v>
      </c>
      <c r="E9" s="58" t="str">
        <f>IFERROR('5d'!E9/'5d'!$B9*100,"..")</f>
        <v>..</v>
      </c>
      <c r="F9" s="58" t="str">
        <f>IFERROR('5d'!F9/'5d'!$B9*100,"..")</f>
        <v>..</v>
      </c>
      <c r="G9" s="58" t="str">
        <f>IFERROR('5d'!G9/'5d'!$B9*100,"..")</f>
        <v>..</v>
      </c>
      <c r="H9" s="58" t="str">
        <f>IFERROR('5d'!H9/'5d'!$B9*100,"..")</f>
        <v>..</v>
      </c>
      <c r="I9" s="58" t="str">
        <f>IFERROR('5d'!I9/'5d'!$B9*100,"..")</f>
        <v>..</v>
      </c>
    </row>
    <row r="10" spans="1:9">
      <c r="A10" s="66">
        <v>1986</v>
      </c>
      <c r="B10" s="58" t="str">
        <f>IFERROR('5d'!B10/'5d'!$B10*100,"..")</f>
        <v>..</v>
      </c>
      <c r="C10" s="58" t="str">
        <f>IFERROR('5d'!C10/'5d'!$B10*100,"..")</f>
        <v>..</v>
      </c>
      <c r="D10" s="58" t="str">
        <f>IFERROR('5d'!D10/'5d'!$B10*100,"..")</f>
        <v>..</v>
      </c>
      <c r="E10" s="58" t="str">
        <f>IFERROR('5d'!E10/'5d'!$B10*100,"..")</f>
        <v>..</v>
      </c>
      <c r="F10" s="58" t="str">
        <f>IFERROR('5d'!F10/'5d'!$B10*100,"..")</f>
        <v>..</v>
      </c>
      <c r="G10" s="58" t="str">
        <f>IFERROR('5d'!G10/'5d'!$B10*100,"..")</f>
        <v>..</v>
      </c>
      <c r="H10" s="58" t="str">
        <f>IFERROR('5d'!H10/'5d'!$B10*100,"..")</f>
        <v>..</v>
      </c>
      <c r="I10" s="58" t="str">
        <f>IFERROR('5d'!I10/'5d'!$B10*100,"..")</f>
        <v>..</v>
      </c>
    </row>
    <row r="11" spans="1:9">
      <c r="A11" s="66">
        <v>1987</v>
      </c>
      <c r="B11" s="58" t="str">
        <f>IFERROR('5d'!B11/'5d'!$B11*100,"..")</f>
        <v>..</v>
      </c>
      <c r="C11" s="58" t="str">
        <f>IFERROR('5d'!C11/'5d'!$B11*100,"..")</f>
        <v>..</v>
      </c>
      <c r="D11" s="58" t="str">
        <f>IFERROR('5d'!D11/'5d'!$B11*100,"..")</f>
        <v>..</v>
      </c>
      <c r="E11" s="58" t="str">
        <f>IFERROR('5d'!E11/'5d'!$B11*100,"..")</f>
        <v>..</v>
      </c>
      <c r="F11" s="58" t="str">
        <f>IFERROR('5d'!F11/'5d'!$B11*100,"..")</f>
        <v>..</v>
      </c>
      <c r="G11" s="58" t="str">
        <f>IFERROR('5d'!G11/'5d'!$B11*100,"..")</f>
        <v>..</v>
      </c>
      <c r="H11" s="58" t="str">
        <f>IFERROR('5d'!H11/'5d'!$B11*100,"..")</f>
        <v>..</v>
      </c>
      <c r="I11" s="58" t="str">
        <f>IFERROR('5d'!I11/'5d'!$B11*100,"..")</f>
        <v>..</v>
      </c>
    </row>
    <row r="12" spans="1:9">
      <c r="A12" s="66">
        <v>1988</v>
      </c>
      <c r="B12" s="58" t="str">
        <f>IFERROR('5d'!B12/'5d'!$B12*100,"..")</f>
        <v>..</v>
      </c>
      <c r="C12" s="58" t="str">
        <f>IFERROR('5d'!C12/'5d'!$B12*100,"..")</f>
        <v>..</v>
      </c>
      <c r="D12" s="58" t="str">
        <f>IFERROR('5d'!D12/'5d'!$B12*100,"..")</f>
        <v>..</v>
      </c>
      <c r="E12" s="58" t="str">
        <f>IFERROR('5d'!E12/'5d'!$B12*100,"..")</f>
        <v>..</v>
      </c>
      <c r="F12" s="58" t="str">
        <f>IFERROR('5d'!F12/'5d'!$B12*100,"..")</f>
        <v>..</v>
      </c>
      <c r="G12" s="58" t="str">
        <f>IFERROR('5d'!G12/'5d'!$B12*100,"..")</f>
        <v>..</v>
      </c>
      <c r="H12" s="58" t="str">
        <f>IFERROR('5d'!H12/'5d'!$B12*100,"..")</f>
        <v>..</v>
      </c>
      <c r="I12" s="58" t="str">
        <f>IFERROR('5d'!I12/'5d'!$B12*100,"..")</f>
        <v>..</v>
      </c>
    </row>
    <row r="13" spans="1:9">
      <c r="A13" s="66">
        <v>1989</v>
      </c>
      <c r="B13" s="58" t="str">
        <f>IFERROR('5d'!B13/'5d'!$B13*100,"..")</f>
        <v>..</v>
      </c>
      <c r="C13" s="58" t="str">
        <f>IFERROR('5d'!C13/'5d'!$B13*100,"..")</f>
        <v>..</v>
      </c>
      <c r="D13" s="58" t="str">
        <f>IFERROR('5d'!D13/'5d'!$B13*100,"..")</f>
        <v>..</v>
      </c>
      <c r="E13" s="58" t="str">
        <f>IFERROR('5d'!E13/'5d'!$B13*100,"..")</f>
        <v>..</v>
      </c>
      <c r="F13" s="58" t="str">
        <f>IFERROR('5d'!F13/'5d'!$B13*100,"..")</f>
        <v>..</v>
      </c>
      <c r="G13" s="58" t="str">
        <f>IFERROR('5d'!G13/'5d'!$B13*100,"..")</f>
        <v>..</v>
      </c>
      <c r="H13" s="58" t="str">
        <f>IFERROR('5d'!H13/'5d'!$B13*100,"..")</f>
        <v>..</v>
      </c>
      <c r="I13" s="58" t="str">
        <f>IFERROR('5d'!I13/'5d'!$B13*100,"..")</f>
        <v>..</v>
      </c>
    </row>
    <row r="14" spans="1:9">
      <c r="A14" s="66">
        <v>1990</v>
      </c>
      <c r="B14" s="58" t="str">
        <f>IFERROR('5d'!B14/'5d'!$B14*100,"..")</f>
        <v>..</v>
      </c>
      <c r="C14" s="58" t="str">
        <f>IFERROR('5d'!C14/'5d'!$B14*100,"..")</f>
        <v>..</v>
      </c>
      <c r="D14" s="58" t="str">
        <f>IFERROR('5d'!D14/'5d'!$B14*100,"..")</f>
        <v>..</v>
      </c>
      <c r="E14" s="58" t="str">
        <f>IFERROR('5d'!E14/'5d'!$B14*100,"..")</f>
        <v>..</v>
      </c>
      <c r="F14" s="58" t="str">
        <f>IFERROR('5d'!F14/'5d'!$B14*100,"..")</f>
        <v>..</v>
      </c>
      <c r="G14" s="58" t="str">
        <f>IFERROR('5d'!G14/'5d'!$B14*100,"..")</f>
        <v>..</v>
      </c>
      <c r="H14" s="58" t="str">
        <f>IFERROR('5d'!H14/'5d'!$B14*100,"..")</f>
        <v>..</v>
      </c>
      <c r="I14" s="58" t="str">
        <f>IFERROR('5d'!I14/'5d'!$B14*100,"..")</f>
        <v>..</v>
      </c>
    </row>
    <row r="15" spans="1:9">
      <c r="A15" s="66">
        <v>1991</v>
      </c>
      <c r="B15" s="58" t="str">
        <f>IFERROR('5d'!B15/'5d'!$B15*100,"..")</f>
        <v>..</v>
      </c>
      <c r="C15" s="58" t="str">
        <f>IFERROR('5d'!C15/'5d'!$B15*100,"..")</f>
        <v>..</v>
      </c>
      <c r="D15" s="58" t="str">
        <f>IFERROR('5d'!D15/'5d'!$B15*100,"..")</f>
        <v>..</v>
      </c>
      <c r="E15" s="58" t="str">
        <f>IFERROR('5d'!E15/'5d'!$B15*100,"..")</f>
        <v>..</v>
      </c>
      <c r="F15" s="58" t="str">
        <f>IFERROR('5d'!F15/'5d'!$B15*100,"..")</f>
        <v>..</v>
      </c>
      <c r="G15" s="58" t="str">
        <f>IFERROR('5d'!G15/'5d'!$B15*100,"..")</f>
        <v>..</v>
      </c>
      <c r="H15" s="58" t="str">
        <f>IFERROR('5d'!H15/'5d'!$B15*100,"..")</f>
        <v>..</v>
      </c>
      <c r="I15" s="58" t="str">
        <f>IFERROR('5d'!I15/'5d'!$B15*100,"..")</f>
        <v>..</v>
      </c>
    </row>
    <row r="16" spans="1:9">
      <c r="A16" s="66">
        <v>1992</v>
      </c>
      <c r="B16" s="58" t="str">
        <f>IFERROR('5d'!B16/'5d'!$B16*100,"..")</f>
        <v>..</v>
      </c>
      <c r="C16" s="58" t="str">
        <f>IFERROR('5d'!C16/'5d'!$B16*100,"..")</f>
        <v>..</v>
      </c>
      <c r="D16" s="58" t="str">
        <f>IFERROR('5d'!D16/'5d'!$B16*100,"..")</f>
        <v>..</v>
      </c>
      <c r="E16" s="58" t="str">
        <f>IFERROR('5d'!E16/'5d'!$B16*100,"..")</f>
        <v>..</v>
      </c>
      <c r="F16" s="58" t="str">
        <f>IFERROR('5d'!F16/'5d'!$B16*100,"..")</f>
        <v>..</v>
      </c>
      <c r="G16" s="58" t="str">
        <f>IFERROR('5d'!G16/'5d'!$B16*100,"..")</f>
        <v>..</v>
      </c>
      <c r="H16" s="58" t="str">
        <f>IFERROR('5d'!H16/'5d'!$B16*100,"..")</f>
        <v>..</v>
      </c>
      <c r="I16" s="58" t="str">
        <f>IFERROR('5d'!I16/'5d'!$B16*100,"..")</f>
        <v>..</v>
      </c>
    </row>
    <row r="17" spans="1:9">
      <c r="A17" s="66">
        <v>1993</v>
      </c>
      <c r="B17" s="58" t="str">
        <f>IFERROR('5d'!B17/'5d'!$B17*100,"..")</f>
        <v>..</v>
      </c>
      <c r="C17" s="58" t="str">
        <f>IFERROR('5d'!C17/'5d'!$B17*100,"..")</f>
        <v>..</v>
      </c>
      <c r="D17" s="58" t="str">
        <f>IFERROR('5d'!D17/'5d'!$B17*100,"..")</f>
        <v>..</v>
      </c>
      <c r="E17" s="58" t="str">
        <f>IFERROR('5d'!E17/'5d'!$B17*100,"..")</f>
        <v>..</v>
      </c>
      <c r="F17" s="58" t="str">
        <f>IFERROR('5d'!F17/'5d'!$B17*100,"..")</f>
        <v>..</v>
      </c>
      <c r="G17" s="58" t="str">
        <f>IFERROR('5d'!G17/'5d'!$B17*100,"..")</f>
        <v>..</v>
      </c>
      <c r="H17" s="58" t="str">
        <f>IFERROR('5d'!H17/'5d'!$B17*100,"..")</f>
        <v>..</v>
      </c>
      <c r="I17" s="58" t="str">
        <f>IFERROR('5d'!I17/'5d'!$B17*100,"..")</f>
        <v>..</v>
      </c>
    </row>
    <row r="18" spans="1:9">
      <c r="A18" s="66">
        <v>1994</v>
      </c>
      <c r="B18" s="58" t="str">
        <f>IFERROR('5d'!B18/'5d'!$B18*100,"..")</f>
        <v>..</v>
      </c>
      <c r="C18" s="58" t="str">
        <f>IFERROR('5d'!C18/'5d'!$B18*100,"..")</f>
        <v>..</v>
      </c>
      <c r="D18" s="58" t="str">
        <f>IFERROR('5d'!D18/'5d'!$B18*100,"..")</f>
        <v>..</v>
      </c>
      <c r="E18" s="58" t="str">
        <f>IFERROR('5d'!E18/'5d'!$B18*100,"..")</f>
        <v>..</v>
      </c>
      <c r="F18" s="58" t="str">
        <f>IFERROR('5d'!F18/'5d'!$B18*100,"..")</f>
        <v>..</v>
      </c>
      <c r="G18" s="58" t="str">
        <f>IFERROR('5d'!G18/'5d'!$B18*100,"..")</f>
        <v>..</v>
      </c>
      <c r="H18" s="58" t="str">
        <f>IFERROR('5d'!H18/'5d'!$B18*100,"..")</f>
        <v>..</v>
      </c>
      <c r="I18" s="58" t="str">
        <f>IFERROR('5d'!I18/'5d'!$B18*100,"..")</f>
        <v>..</v>
      </c>
    </row>
    <row r="19" spans="1:9">
      <c r="A19" s="66">
        <v>1995</v>
      </c>
      <c r="B19" s="58" t="str">
        <f>IFERROR('5d'!B19/'5d'!$B19*100,"..")</f>
        <v>..</v>
      </c>
      <c r="C19" s="58" t="str">
        <f>IFERROR('5d'!C19/'5d'!$B19*100,"..")</f>
        <v>..</v>
      </c>
      <c r="D19" s="58" t="str">
        <f>IFERROR('5d'!D19/'5d'!$B19*100,"..")</f>
        <v>..</v>
      </c>
      <c r="E19" s="58" t="str">
        <f>IFERROR('5d'!E19/'5d'!$B19*100,"..")</f>
        <v>..</v>
      </c>
      <c r="F19" s="58" t="str">
        <f>IFERROR('5d'!F19/'5d'!$B19*100,"..")</f>
        <v>..</v>
      </c>
      <c r="G19" s="58" t="str">
        <f>IFERROR('5d'!G19/'5d'!$B19*100,"..")</f>
        <v>..</v>
      </c>
      <c r="H19" s="58" t="str">
        <f>IFERROR('5d'!H19/'5d'!$B19*100,"..")</f>
        <v>..</v>
      </c>
      <c r="I19" s="58" t="str">
        <f>IFERROR('5d'!I19/'5d'!$B19*100,"..")</f>
        <v>..</v>
      </c>
    </row>
    <row r="20" spans="1:9">
      <c r="A20" s="66">
        <v>1996</v>
      </c>
      <c r="B20" s="58" t="str">
        <f>IFERROR('5d'!B20/'5d'!$B20*100,"..")</f>
        <v>..</v>
      </c>
      <c r="C20" s="58" t="str">
        <f>IFERROR('5d'!C20/'5d'!$B20*100,"..")</f>
        <v>..</v>
      </c>
      <c r="D20" s="58" t="str">
        <f>IFERROR('5d'!D20/'5d'!$B20*100,"..")</f>
        <v>..</v>
      </c>
      <c r="E20" s="58" t="str">
        <f>IFERROR('5d'!E20/'5d'!$B20*100,"..")</f>
        <v>..</v>
      </c>
      <c r="F20" s="58" t="str">
        <f>IFERROR('5d'!F20/'5d'!$B20*100,"..")</f>
        <v>..</v>
      </c>
      <c r="G20" s="58" t="str">
        <f>IFERROR('5d'!G20/'5d'!$B20*100,"..")</f>
        <v>..</v>
      </c>
      <c r="H20" s="58" t="str">
        <f>IFERROR('5d'!H20/'5d'!$B20*100,"..")</f>
        <v>..</v>
      </c>
      <c r="I20" s="58" t="str">
        <f>IFERROR('5d'!I20/'5d'!$B20*100,"..")</f>
        <v>..</v>
      </c>
    </row>
    <row r="21" spans="1:9">
      <c r="A21" s="66">
        <v>1997</v>
      </c>
      <c r="B21" s="58">
        <f>IFERROR('5d'!B21/'5d'!$B21*100,"..")</f>
        <v>100</v>
      </c>
      <c r="C21" s="58">
        <f>IFERROR('5d'!C21/'5d'!$B21*100,"..")</f>
        <v>96.823678980904546</v>
      </c>
      <c r="D21" s="58">
        <f>IFERROR('5d'!D21/'5d'!$B21*100,"..")</f>
        <v>74.265059849123659</v>
      </c>
      <c r="E21" s="58">
        <f>IFERROR('5d'!E21/'5d'!$B21*100,"..")</f>
        <v>67.433812528045806</v>
      </c>
      <c r="F21" s="58">
        <f>IFERROR('5d'!F21/'5d'!$B21*100,"..")</f>
        <v>58.355934497768089</v>
      </c>
      <c r="G21" s="58">
        <f>IFERROR('5d'!G21/'5d'!$B21*100,"..")</f>
        <v>99.348577279715215</v>
      </c>
      <c r="H21" s="58">
        <f>IFERROR('5d'!H21/'5d'!$B21*100,"..")</f>
        <v>87.953950058173319</v>
      </c>
      <c r="I21" s="58">
        <f>IFERROR('5d'!I21/'5d'!$B21*100,"..")</f>
        <v>122.23190851320823</v>
      </c>
    </row>
    <row r="22" spans="1:9">
      <c r="A22" s="66">
        <v>1998</v>
      </c>
      <c r="B22" s="58">
        <f>IFERROR('5d'!B22/'5d'!$B22*100,"..")</f>
        <v>100</v>
      </c>
      <c r="C22" s="58">
        <f>IFERROR('5d'!C22/'5d'!$B22*100,"..")</f>
        <v>100.18990358510553</v>
      </c>
      <c r="D22" s="58">
        <f>IFERROR('5d'!D22/'5d'!$B22*100,"..")</f>
        <v>77.747053124251508</v>
      </c>
      <c r="E22" s="58">
        <f>IFERROR('5d'!E22/'5d'!$B22*100,"..")</f>
        <v>71.354671803283921</v>
      </c>
      <c r="F22" s="58">
        <f>IFERROR('5d'!F22/'5d'!$B22*100,"..")</f>
        <v>62.985674192918104</v>
      </c>
      <c r="G22" s="58">
        <f>IFERROR('5d'!G22/'5d'!$B22*100,"..")</f>
        <v>101.47936775937592</v>
      </c>
      <c r="H22" s="58">
        <f>IFERROR('5d'!H22/'5d'!$B22*100,"..")</f>
        <v>91.562140748529458</v>
      </c>
      <c r="I22" s="58">
        <f>IFERROR('5d'!I22/'5d'!$B22*100,"..")</f>
        <v>123.13173905708969</v>
      </c>
    </row>
    <row r="23" spans="1:9">
      <c r="A23" s="66">
        <v>1999</v>
      </c>
      <c r="B23" s="58">
        <f>IFERROR('5d'!B23/'5d'!$B23*100,"..")</f>
        <v>100</v>
      </c>
      <c r="C23" s="58">
        <f>IFERROR('5d'!C23/'5d'!$B23*100,"..")</f>
        <v>101.56264930272152</v>
      </c>
      <c r="D23" s="58">
        <f>IFERROR('5d'!D23/'5d'!$B23*100,"..")</f>
        <v>75.801815299984327</v>
      </c>
      <c r="E23" s="58">
        <f>IFERROR('5d'!E23/'5d'!$B23*100,"..")</f>
        <v>66.411295767333939</v>
      </c>
      <c r="F23" s="58">
        <f>IFERROR('5d'!F23/'5d'!$B23*100,"..")</f>
        <v>60.156657387957054</v>
      </c>
      <c r="G23" s="58">
        <f>IFERROR('5d'!G23/'5d'!$B23*100,"..")</f>
        <v>103.84346616527824</v>
      </c>
      <c r="H23" s="58">
        <f>IFERROR('5d'!H23/'5d'!$B23*100,"..")</f>
        <v>97.018368766447338</v>
      </c>
      <c r="I23" s="58">
        <f>IFERROR('5d'!I23/'5d'!$B23*100,"..")</f>
        <v>113.6493265926195</v>
      </c>
    </row>
    <row r="24" spans="1:9">
      <c r="A24" s="66">
        <v>2000</v>
      </c>
      <c r="B24" s="58">
        <f>IFERROR('5d'!B24/'5d'!$B24*100,"..")</f>
        <v>100</v>
      </c>
      <c r="C24" s="58">
        <f>IFERROR('5d'!C24/'5d'!$B24*100,"..")</f>
        <v>103.93814961662862</v>
      </c>
      <c r="D24" s="58">
        <f>IFERROR('5d'!D24/'5d'!$B24*100,"..")</f>
        <v>79.345833327544241</v>
      </c>
      <c r="E24" s="58">
        <f>IFERROR('5d'!E24/'5d'!$B24*100,"..")</f>
        <v>71.871356319827242</v>
      </c>
      <c r="F24" s="58">
        <f>IFERROR('5d'!F24/'5d'!$B24*100,"..")</f>
        <v>64.062424435510181</v>
      </c>
      <c r="G24" s="58">
        <f>IFERROR('5d'!G24/'5d'!$B24*100,"..")</f>
        <v>105.96357626234017</v>
      </c>
      <c r="H24" s="58">
        <f>IFERROR('5d'!H24/'5d'!$B24*100,"..")</f>
        <v>102.48273770232564</v>
      </c>
      <c r="I24" s="58">
        <f>IFERROR('5d'!I24/'5d'!$B24*100,"..")</f>
        <v>105.25387299456614</v>
      </c>
    </row>
    <row r="25" spans="1:9">
      <c r="A25" s="66">
        <v>2001</v>
      </c>
      <c r="B25" s="58">
        <f>IFERROR('5d'!B25/'5d'!$B25*100,"..")</f>
        <v>100</v>
      </c>
      <c r="C25" s="58">
        <f>IFERROR('5d'!C25/'5d'!$B25*100,"..")</f>
        <v>100.71528265529696</v>
      </c>
      <c r="D25" s="58">
        <f>IFERROR('5d'!D25/'5d'!$B25*100,"..")</f>
        <v>82.013013033256883</v>
      </c>
      <c r="E25" s="58">
        <f>IFERROR('5d'!E25/'5d'!$B25*100,"..")</f>
        <v>80.225687714939994</v>
      </c>
      <c r="F25" s="58">
        <f>IFERROR('5d'!F25/'5d'!$B25*100,"..")</f>
        <v>68.596824512725391</v>
      </c>
      <c r="G25" s="58">
        <f>IFERROR('5d'!G25/'5d'!$B25*100,"..")</f>
        <v>100.02755545029677</v>
      </c>
      <c r="H25" s="58">
        <f>IFERROR('5d'!H25/'5d'!$B25*100,"..")</f>
        <v>94.966531091382947</v>
      </c>
      <c r="I25" s="58">
        <f>IFERROR('5d'!I25/'5d'!$B25*100,"..")</f>
        <v>109.73324053390068</v>
      </c>
    </row>
    <row r="26" spans="1:9">
      <c r="A26" s="66">
        <v>2002</v>
      </c>
      <c r="B26" s="58">
        <f>IFERROR('5d'!B26/'5d'!$B26*100,"..")</f>
        <v>100</v>
      </c>
      <c r="C26" s="58">
        <f>IFERROR('5d'!C26/'5d'!$B26*100,"..")</f>
        <v>101.5008165936584</v>
      </c>
      <c r="D26" s="58">
        <f>IFERROR('5d'!D26/'5d'!$B26*100,"..")</f>
        <v>88.981996436294423</v>
      </c>
      <c r="E26" s="58">
        <f>IFERROR('5d'!E26/'5d'!$B26*100,"..")</f>
        <v>81.00885123732877</v>
      </c>
      <c r="F26" s="58">
        <f>IFERROR('5d'!F26/'5d'!$B26*100,"..")</f>
        <v>76.766709869118998</v>
      </c>
      <c r="G26" s="58">
        <f>IFERROR('5d'!G26/'5d'!$B26*100,"..")</f>
        <v>110.08766248593518</v>
      </c>
      <c r="H26" s="58">
        <f>IFERROR('5d'!H26/'5d'!$B26*100,"..")</f>
        <v>107.37916200068108</v>
      </c>
      <c r="I26" s="58">
        <f>IFERROR('5d'!I26/'5d'!$B26*100,"..")</f>
        <v>115.64560804879025</v>
      </c>
    </row>
    <row r="27" spans="1:9">
      <c r="A27" s="66">
        <v>2003</v>
      </c>
      <c r="B27" s="58">
        <f>IFERROR('5d'!B27/'5d'!$B27*100,"..")</f>
        <v>100</v>
      </c>
      <c r="C27" s="58">
        <f>IFERROR('5d'!C27/'5d'!$B27*100,"..")</f>
        <v>100.52920382284556</v>
      </c>
      <c r="D27" s="58">
        <f>IFERROR('5d'!D27/'5d'!$B27*100,"..")</f>
        <v>88.50550347262363</v>
      </c>
      <c r="E27" s="58">
        <f>IFERROR('5d'!E27/'5d'!$B27*100,"..")</f>
        <v>77.502705901751739</v>
      </c>
      <c r="F27" s="58">
        <f>IFERROR('5d'!F27/'5d'!$B27*100,"..")</f>
        <v>78.043627376348269</v>
      </c>
      <c r="G27" s="58">
        <f>IFERROR('5d'!G27/'5d'!$B27*100,"..")</f>
        <v>108.98798219086719</v>
      </c>
      <c r="H27" s="58">
        <f>IFERROR('5d'!H27/'5d'!$B27*100,"..")</f>
        <v>105.03147162978163</v>
      </c>
      <c r="I27" s="58">
        <f>IFERROR('5d'!I27/'5d'!$B27*100,"..")</f>
        <v>117.21454430880343</v>
      </c>
    </row>
    <row r="28" spans="1:9">
      <c r="A28" s="66">
        <v>2004</v>
      </c>
      <c r="B28" s="58">
        <f>IFERROR('5d'!B28/'5d'!$B28*100,"..")</f>
        <v>100</v>
      </c>
      <c r="C28" s="58">
        <f>IFERROR('5d'!C28/'5d'!$B28*100,"..")</f>
        <v>100.95023130293571</v>
      </c>
      <c r="D28" s="58">
        <f>IFERROR('5d'!D28/'5d'!$B28*100,"..")</f>
        <v>90.627616001504592</v>
      </c>
      <c r="E28" s="58">
        <f>IFERROR('5d'!E28/'5d'!$B28*100,"..")</f>
        <v>86.157344380570549</v>
      </c>
      <c r="F28" s="58">
        <f>IFERROR('5d'!F28/'5d'!$B28*100,"..")</f>
        <v>80.051859990039617</v>
      </c>
      <c r="G28" s="58">
        <f>IFERROR('5d'!G28/'5d'!$B28*100,"..")</f>
        <v>106.79544038632653</v>
      </c>
      <c r="H28" s="58">
        <f>IFERROR('5d'!H28/'5d'!$B28*100,"..")</f>
        <v>104.41385416990285</v>
      </c>
      <c r="I28" s="58">
        <f>IFERROR('5d'!I28/'5d'!$B28*100,"..")</f>
        <v>111.71098217801267</v>
      </c>
    </row>
    <row r="29" spans="1:9">
      <c r="A29" s="66">
        <v>2005</v>
      </c>
      <c r="B29" s="58">
        <f>IFERROR('5d'!B29/'5d'!$B29*100,"..")</f>
        <v>100</v>
      </c>
      <c r="C29" s="58">
        <f>IFERROR('5d'!C29/'5d'!$B29*100,"..")</f>
        <v>102.40264090557683</v>
      </c>
      <c r="D29" s="58">
        <f>IFERROR('5d'!D29/'5d'!$B29*100,"..")</f>
        <v>94.174130013313089</v>
      </c>
      <c r="E29" s="58">
        <f>IFERROR('5d'!E29/'5d'!$B29*100,"..")</f>
        <v>87.762467538353746</v>
      </c>
      <c r="F29" s="58">
        <f>IFERROR('5d'!F29/'5d'!$B29*100,"..")</f>
        <v>86.151419352733299</v>
      </c>
      <c r="G29" s="58">
        <f>IFERROR('5d'!G29/'5d'!$B29*100,"..")</f>
        <v>108.20143659486266</v>
      </c>
      <c r="H29" s="58">
        <f>IFERROR('5d'!H29/'5d'!$B29*100,"..")</f>
        <v>110.0443468342349</v>
      </c>
      <c r="I29" s="58">
        <f>IFERROR('5d'!I29/'5d'!$B29*100,"..")</f>
        <v>105.86222860390203</v>
      </c>
    </row>
    <row r="30" spans="1:9">
      <c r="A30" s="66">
        <v>2006</v>
      </c>
      <c r="B30" s="58">
        <f>IFERROR('5d'!B30/'5d'!$B30*100,"..")</f>
        <v>100</v>
      </c>
      <c r="C30" s="58">
        <f>IFERROR('5d'!C30/'5d'!$B30*100,"..")</f>
        <v>103.86903699802583</v>
      </c>
      <c r="D30" s="58">
        <f>IFERROR('5d'!D30/'5d'!$B30*100,"..")</f>
        <v>93.69847338611612</v>
      </c>
      <c r="E30" s="58">
        <f>IFERROR('5d'!E30/'5d'!$B30*100,"..")</f>
        <v>88.267711595604666</v>
      </c>
      <c r="F30" s="58">
        <f>IFERROR('5d'!F30/'5d'!$B30*100,"..")</f>
        <v>90.669000506721005</v>
      </c>
      <c r="G30" s="58">
        <f>IFERROR('5d'!G30/'5d'!$B30*100,"..")</f>
        <v>100.59541364755773</v>
      </c>
      <c r="H30" s="58">
        <f>IFERROR('5d'!H30/'5d'!$B30*100,"..")</f>
        <v>101.68585883034862</v>
      </c>
      <c r="I30" s="58">
        <f>IFERROR('5d'!I30/'5d'!$B30*100,"..")</f>
        <v>99.562306159523544</v>
      </c>
    </row>
    <row r="31" spans="1:9">
      <c r="A31" s="66">
        <v>2007</v>
      </c>
      <c r="B31" s="58">
        <f>IFERROR('5d'!B31/'5d'!$B31*100,"..")</f>
        <v>100</v>
      </c>
      <c r="C31" s="58">
        <f>IFERROR('5d'!C31/'5d'!$B31*100,"..")</f>
        <v>104.27630765713505</v>
      </c>
      <c r="D31" s="58">
        <f>IFERROR('5d'!D31/'5d'!$B31*100,"..")</f>
        <v>95.545056522265725</v>
      </c>
      <c r="E31" s="58">
        <f>IFERROR('5d'!E31/'5d'!$B31*100,"..")</f>
        <v>83.915263343402231</v>
      </c>
      <c r="F31" s="58">
        <f>IFERROR('5d'!F31/'5d'!$B31*100,"..")</f>
        <v>94.519942866144603</v>
      </c>
      <c r="G31" s="58">
        <f>IFERROR('5d'!G31/'5d'!$B31*100,"..")</f>
        <v>103.19650290546551</v>
      </c>
      <c r="H31" s="58">
        <f>IFERROR('5d'!H31/'5d'!$B31*100,"..")</f>
        <v>106.84076592166679</v>
      </c>
      <c r="I31" s="58">
        <f>IFERROR('5d'!I31/'5d'!$B31*100,"..")</f>
        <v>97.587096618357577</v>
      </c>
    </row>
    <row r="32" spans="1:9">
      <c r="A32" s="66">
        <v>2008</v>
      </c>
      <c r="B32" s="58">
        <f>IFERROR('5d'!B32/'5d'!$B32*100,"..")</f>
        <v>100</v>
      </c>
      <c r="C32" s="58">
        <f>IFERROR('5d'!C32/'5d'!$B32*100,"..")</f>
        <v>103.30844100871168</v>
      </c>
      <c r="D32" s="58">
        <f>IFERROR('5d'!D32/'5d'!$B32*100,"..")</f>
        <v>100.51643590617023</v>
      </c>
      <c r="E32" s="58">
        <f>IFERROR('5d'!E32/'5d'!$B32*100,"..")</f>
        <v>104.62720466916568</v>
      </c>
      <c r="F32" s="58">
        <f>IFERROR('5d'!F32/'5d'!$B32*100,"..")</f>
        <v>96.633753008647801</v>
      </c>
      <c r="G32" s="58">
        <f>IFERROR('5d'!G32/'5d'!$B32*100,"..")</f>
        <v>102.81034386483148</v>
      </c>
      <c r="H32" s="58">
        <f>IFERROR('5d'!H32/'5d'!$B32*100,"..")</f>
        <v>107.36722597976285</v>
      </c>
      <c r="I32" s="58">
        <f>IFERROR('5d'!I32/'5d'!$B32*100,"..")</f>
        <v>96.141630970908594</v>
      </c>
    </row>
    <row r="33" spans="1:12">
      <c r="A33" s="66">
        <v>2009</v>
      </c>
      <c r="B33" s="58">
        <f>IFERROR('5d'!B33/'5d'!$B33*100,"..")</f>
        <v>100</v>
      </c>
      <c r="C33" s="58">
        <f>IFERROR('5d'!C33/'5d'!$B33*100,"..")</f>
        <v>100.58303110996249</v>
      </c>
      <c r="D33" s="58">
        <f>IFERROR('5d'!D33/'5d'!$B33*100,"..")</f>
        <v>94.458654880124286</v>
      </c>
      <c r="E33" s="58">
        <f>IFERROR('5d'!E33/'5d'!$B33*100,"..")</f>
        <v>86.778532430119029</v>
      </c>
      <c r="F33" s="58">
        <f>IFERROR('5d'!F33/'5d'!$B33*100,"..")</f>
        <v>93.783087313173922</v>
      </c>
      <c r="G33" s="58">
        <f>IFERROR('5d'!G33/'5d'!$B33*100,"..")</f>
        <v>98.919827351167072</v>
      </c>
      <c r="H33" s="58">
        <f>IFERROR('5d'!H33/'5d'!$B33*100,"..")</f>
        <v>96.64829114622529</v>
      </c>
      <c r="I33" s="58">
        <f>IFERROR('5d'!I33/'5d'!$B33*100,"..")</f>
        <v>103.4151840096402</v>
      </c>
    </row>
    <row r="34" spans="1:12">
      <c r="A34" s="66">
        <v>2010</v>
      </c>
      <c r="B34" s="58">
        <f>IFERROR('5d'!B34/'5d'!$B34*100,"..")</f>
        <v>100</v>
      </c>
      <c r="C34" s="58">
        <f>IFERROR('5d'!C34/'5d'!$B34*100,"..")</f>
        <v>103.26756289084878</v>
      </c>
      <c r="D34" s="58">
        <f>IFERROR('5d'!D34/'5d'!$B34*100,"..")</f>
        <v>98.403114155094244</v>
      </c>
      <c r="E34" s="58">
        <f>IFERROR('5d'!E34/'5d'!$B34*100,"..")</f>
        <v>92.921209923163346</v>
      </c>
      <c r="F34" s="58">
        <f>IFERROR('5d'!F34/'5d'!$B34*100,"..")</f>
        <v>99.717199255361194</v>
      </c>
      <c r="G34" s="58">
        <f>IFERROR('5d'!G34/'5d'!$B34*100,"..")</f>
        <v>99.863476874273971</v>
      </c>
      <c r="H34" s="58">
        <f>IFERROR('5d'!H34/'5d'!$B34*100,"..")</f>
        <v>99.249747040188723</v>
      </c>
      <c r="I34" s="58">
        <f>IFERROR('5d'!I34/'5d'!$B34*100,"..")</f>
        <v>101.45405080201202</v>
      </c>
    </row>
    <row r="35" spans="1:12">
      <c r="A35" s="66">
        <v>2011</v>
      </c>
      <c r="B35" s="58">
        <f>IFERROR('5d'!B35/'5d'!$B35*100,"..")</f>
        <v>100</v>
      </c>
      <c r="C35" s="58">
        <f>IFERROR('5d'!C35/'5d'!$B35*100,"..")</f>
        <v>104.22666973120724</v>
      </c>
      <c r="D35" s="58">
        <f>IFERROR('5d'!D35/'5d'!$B35*100,"..")</f>
        <v>98.774418077303025</v>
      </c>
      <c r="E35" s="58">
        <f>IFERROR('5d'!E35/'5d'!$B35*100,"..")</f>
        <v>94.316048024728801</v>
      </c>
      <c r="F35" s="58">
        <f>IFERROR('5d'!F35/'5d'!$B35*100,"..")</f>
        <v>100.18228587133851</v>
      </c>
      <c r="G35" s="58">
        <f>IFERROR('5d'!G35/'5d'!$B35*100,"..")</f>
        <v>99.787303470141424</v>
      </c>
      <c r="H35" s="58">
        <f>IFERROR('5d'!H35/'5d'!$B35*100,"..")</f>
        <v>100.28656330287693</v>
      </c>
      <c r="I35" s="58">
        <f>IFERROR('5d'!I35/'5d'!$B35*100,"..")</f>
        <v>100.55247468482014</v>
      </c>
    </row>
    <row r="36" spans="1:12">
      <c r="A36" s="66">
        <v>2012</v>
      </c>
      <c r="B36" s="58" t="str">
        <f>IFERROR('5d'!B36/'5d'!$B36*100,"..")</f>
        <v>..</v>
      </c>
      <c r="C36" s="58" t="str">
        <f>IFERROR('5d'!C36/'5d'!$B36*100,"..")</f>
        <v>..</v>
      </c>
      <c r="D36" s="58" t="str">
        <f>IFERROR('5d'!D36/'5d'!$B36*100,"..")</f>
        <v>..</v>
      </c>
      <c r="E36" s="58" t="str">
        <f>IFERROR('5d'!E36/'5d'!$B36*100,"..")</f>
        <v>..</v>
      </c>
      <c r="F36" s="58" t="str">
        <f>IFERROR('5d'!F36/'5d'!$B36*100,"..")</f>
        <v>..</v>
      </c>
      <c r="G36" s="58" t="str">
        <f>IFERROR('5d'!G36/'5d'!$B36*100,"..")</f>
        <v>..</v>
      </c>
      <c r="H36" s="58" t="str">
        <f>IFERROR('5d'!H36/'5d'!$B36*100,"..")</f>
        <v>..</v>
      </c>
      <c r="I36" s="58" t="str">
        <f>IFERROR('5d'!I36/'5d'!$B36*100,"..")</f>
        <v>..</v>
      </c>
    </row>
    <row r="37" spans="1:12">
      <c r="B37" s="56"/>
      <c r="C37" s="56"/>
      <c r="D37" s="56"/>
      <c r="E37" s="56"/>
      <c r="F37" s="56"/>
      <c r="G37" s="56"/>
      <c r="H37" s="56"/>
      <c r="I37" s="56"/>
    </row>
    <row r="38" spans="1:12">
      <c r="A38" s="66" t="s">
        <v>23</v>
      </c>
      <c r="B38" s="56"/>
      <c r="C38" s="56"/>
      <c r="D38" s="56"/>
      <c r="E38" s="56"/>
      <c r="F38" s="56"/>
      <c r="G38" s="56"/>
      <c r="H38" s="56"/>
      <c r="I38" s="56"/>
    </row>
    <row r="39" spans="1:12">
      <c r="A39" s="64" t="s">
        <v>1780</v>
      </c>
      <c r="B39" s="65">
        <f>((B35/B21)^(1/14)-1)*100</f>
        <v>0</v>
      </c>
      <c r="C39" s="65">
        <f t="shared" ref="C39:I39" si="0">((C35/C21)^(1/14)-1)*100</f>
        <v>0.52764762651014152</v>
      </c>
      <c r="D39" s="65">
        <f t="shared" si="0"/>
        <v>2.0580201022111</v>
      </c>
      <c r="E39" s="65">
        <f t="shared" si="0"/>
        <v>2.4254087481954567</v>
      </c>
      <c r="F39" s="65">
        <f t="shared" si="0"/>
        <v>3.9356910062004369</v>
      </c>
      <c r="G39" s="65">
        <f t="shared" si="0"/>
        <v>3.1478574003962478E-2</v>
      </c>
      <c r="H39" s="65">
        <f t="shared" si="0"/>
        <v>0.94168001076826435</v>
      </c>
      <c r="I39" s="65">
        <f t="shared" si="0"/>
        <v>-1.3848951618033678</v>
      </c>
    </row>
    <row r="40" spans="1:12">
      <c r="A40" s="64" t="s">
        <v>2129</v>
      </c>
      <c r="B40" s="65">
        <f>((B25/B21)^(1/4)-1)*100</f>
        <v>0</v>
      </c>
      <c r="C40" s="65">
        <f t="shared" ref="C40:I40" si="1">((C25/C21)^(1/4)-1)*100</f>
        <v>0.99001783159591294</v>
      </c>
      <c r="D40" s="65">
        <f t="shared" si="1"/>
        <v>2.5119649203869443</v>
      </c>
      <c r="E40" s="65">
        <f t="shared" si="1"/>
        <v>4.4380931058089601</v>
      </c>
      <c r="F40" s="65">
        <f t="shared" si="1"/>
        <v>4.1249356250779634</v>
      </c>
      <c r="G40" s="65">
        <f t="shared" si="1"/>
        <v>0.17042140054934762</v>
      </c>
      <c r="H40" s="65">
        <f t="shared" si="1"/>
        <v>1.9362860573632679</v>
      </c>
      <c r="I40" s="65">
        <f t="shared" si="1"/>
        <v>-2.6606587218247268</v>
      </c>
      <c r="K40" s="138"/>
    </row>
    <row r="41" spans="1:12">
      <c r="A41" s="64" t="s">
        <v>2128</v>
      </c>
      <c r="B41" s="65">
        <f>((B35/B25)^(1/10)-1)*100</f>
        <v>0</v>
      </c>
      <c r="C41" s="65">
        <f t="shared" ref="C41:I41" si="2">((C35/C25)^(1/10)-1)*100</f>
        <v>0.34329282143703566</v>
      </c>
      <c r="D41" s="65">
        <f t="shared" si="2"/>
        <v>1.8770055203258362</v>
      </c>
      <c r="E41" s="65">
        <f t="shared" si="2"/>
        <v>1.6312377064204853</v>
      </c>
      <c r="F41" s="65">
        <f t="shared" si="2"/>
        <v>3.8600894990203694</v>
      </c>
      <c r="G41" s="65">
        <f t="shared" si="2"/>
        <v>-2.4044579294080215E-2</v>
      </c>
      <c r="H41" s="65">
        <f t="shared" si="2"/>
        <v>0.54656017684089342</v>
      </c>
      <c r="I41" s="65">
        <f t="shared" si="2"/>
        <v>-0.86992017671913002</v>
      </c>
      <c r="K41" s="138"/>
    </row>
    <row r="43" spans="1:12">
      <c r="A43" s="104" t="s">
        <v>661</v>
      </c>
      <c r="B43" s="104"/>
      <c r="C43" s="104"/>
      <c r="D43" s="104"/>
      <c r="E43" s="104"/>
      <c r="F43" s="104"/>
      <c r="G43" s="104"/>
      <c r="H43" s="104"/>
      <c r="I43" s="104"/>
    </row>
    <row r="44" spans="1:12">
      <c r="A44" s="92" t="s">
        <v>773</v>
      </c>
      <c r="B44" s="92"/>
      <c r="C44" s="92"/>
      <c r="D44" s="92"/>
      <c r="E44" s="92"/>
      <c r="F44" s="92"/>
      <c r="G44" s="92"/>
      <c r="H44" s="92"/>
      <c r="I44" s="92"/>
      <c r="J44" s="70"/>
      <c r="K44" s="70"/>
      <c r="L44" s="70"/>
    </row>
    <row r="45" spans="1:12">
      <c r="A45" s="137" t="s">
        <v>1025</v>
      </c>
      <c r="B45" s="137"/>
      <c r="C45" s="137"/>
      <c r="D45" s="137"/>
      <c r="E45" s="137"/>
      <c r="F45" s="137"/>
      <c r="G45" s="137"/>
      <c r="H45" s="137"/>
      <c r="I45" s="137"/>
    </row>
    <row r="46" spans="1:12">
      <c r="A46" s="137" t="s">
        <v>1027</v>
      </c>
      <c r="B46" s="137"/>
      <c r="C46" s="137"/>
      <c r="D46" s="137"/>
      <c r="E46" s="137"/>
      <c r="F46" s="137"/>
      <c r="G46" s="137"/>
      <c r="H46" s="137"/>
      <c r="I46" s="137"/>
    </row>
  </sheetData>
  <mergeCells count="13">
    <mergeCell ref="A43:I43"/>
    <mergeCell ref="A44:I44"/>
    <mergeCell ref="A45:I45"/>
    <mergeCell ref="A46:I46"/>
    <mergeCell ref="A1:I1"/>
    <mergeCell ref="A2:A4"/>
    <mergeCell ref="B2:B4"/>
    <mergeCell ref="C2:C4"/>
    <mergeCell ref="D2:I2"/>
    <mergeCell ref="D3:D4"/>
    <mergeCell ref="E3:E4"/>
    <mergeCell ref="F3:F4"/>
    <mergeCell ref="G3:I3"/>
  </mergeCells>
  <pageMargins left="0.70866141732283472" right="0.70866141732283472" top="0.74803149606299213" bottom="0.74803149606299213" header="0.31496062992125984" footer="0.31496062992125984"/>
  <pageSetup scale="72" orientation="portrait" horizontalDpi="0" verticalDpi="0" r:id="rId1"/>
</worksheet>
</file>

<file path=xl/worksheets/sheet41.xml><?xml version="1.0" encoding="utf-8"?>
<worksheet xmlns="http://schemas.openxmlformats.org/spreadsheetml/2006/main" xmlns:r="http://schemas.openxmlformats.org/officeDocument/2006/relationships">
  <sheetPr>
    <pageSetUpPr fitToPage="1"/>
  </sheetPr>
  <dimension ref="A1:K23"/>
  <sheetViews>
    <sheetView view="pageBreakPre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11.7109375" style="64" customWidth="1"/>
    <col min="2" max="4" width="12.7109375" style="64" customWidth="1"/>
    <col min="5" max="5" width="15.42578125" style="64" customWidth="1"/>
    <col min="6" max="6" width="12.7109375" style="64" customWidth="1"/>
    <col min="7" max="7" width="12.140625" style="64" customWidth="1"/>
    <col min="8" max="8" width="11.85546875" style="64" customWidth="1"/>
    <col min="9" max="9" width="16.140625" style="64" customWidth="1"/>
    <col min="10" max="11" width="13.85546875" style="64" customWidth="1"/>
    <col min="12" max="16384" width="9.140625" style="64"/>
  </cols>
  <sheetData>
    <row r="1" spans="1:11">
      <c r="A1" s="108" t="s">
        <v>2130</v>
      </c>
      <c r="B1" s="108"/>
      <c r="C1" s="108"/>
      <c r="D1" s="108"/>
      <c r="E1" s="108"/>
      <c r="F1" s="108"/>
      <c r="G1" s="108"/>
      <c r="H1" s="108"/>
      <c r="I1" s="108"/>
      <c r="J1" s="108"/>
      <c r="K1" s="108"/>
    </row>
    <row r="2" spans="1:11" ht="15" customHeight="1">
      <c r="A2" s="96"/>
      <c r="B2" s="94" t="s">
        <v>36</v>
      </c>
      <c r="C2" s="159" t="s">
        <v>37</v>
      </c>
      <c r="D2" s="160"/>
      <c r="E2" s="160"/>
      <c r="F2" s="160"/>
      <c r="G2" s="160"/>
      <c r="H2" s="160"/>
      <c r="I2" s="160"/>
      <c r="J2" s="160"/>
      <c r="K2" s="161"/>
    </row>
    <row r="3" spans="1:11" ht="15" customHeight="1">
      <c r="A3" s="96"/>
      <c r="B3" s="94"/>
      <c r="C3" s="123" t="s">
        <v>78</v>
      </c>
      <c r="D3" s="123" t="s">
        <v>858</v>
      </c>
      <c r="E3" s="264" t="s">
        <v>67</v>
      </c>
      <c r="F3" s="264"/>
      <c r="G3" s="264"/>
      <c r="H3" s="264"/>
      <c r="I3" s="264" t="s">
        <v>71</v>
      </c>
      <c r="J3" s="264"/>
      <c r="K3" s="264"/>
    </row>
    <row r="4" spans="1:11" ht="76.5">
      <c r="A4" s="96"/>
      <c r="B4" s="94"/>
      <c r="C4" s="126"/>
      <c r="D4" s="126"/>
      <c r="E4" s="72" t="s">
        <v>74</v>
      </c>
      <c r="F4" s="6" t="s">
        <v>68</v>
      </c>
      <c r="G4" s="6" t="s">
        <v>69</v>
      </c>
      <c r="H4" s="6" t="s">
        <v>70</v>
      </c>
      <c r="I4" s="6" t="s">
        <v>48</v>
      </c>
      <c r="J4" s="6" t="s">
        <v>72</v>
      </c>
      <c r="K4" s="6" t="s">
        <v>73</v>
      </c>
    </row>
    <row r="5" spans="1:11">
      <c r="A5" s="66">
        <v>1997</v>
      </c>
      <c r="B5" s="147">
        <f>'1'!B7/'4c'!B15</f>
        <v>43.007678146634298</v>
      </c>
      <c r="C5" s="50">
        <f>'1'!D7/'4c'!C15</f>
        <v>32.517950211841075</v>
      </c>
      <c r="D5" s="50">
        <f>'1'!E7/'4c'!D15</f>
        <v>33.874775913096236</v>
      </c>
      <c r="E5" s="50">
        <f>'1'!F7/'4c'!E15</f>
        <v>60.214992618989704</v>
      </c>
      <c r="F5" s="50">
        <f>'1'!G7/'4c'!H15</f>
        <v>24.192305792483875</v>
      </c>
      <c r="G5" s="50">
        <f>'1'!H7/'4c'!I15</f>
        <v>33.687309419654056</v>
      </c>
      <c r="H5" s="50">
        <f>'1'!L7/'4c'!J15</f>
        <v>21.82035970035578</v>
      </c>
      <c r="I5" s="50">
        <f>'1'!O7/'4c'!K15</f>
        <v>41.087862303551695</v>
      </c>
      <c r="J5" s="50">
        <f>'1'!P7/'4c'!L15</f>
        <v>33.115468143445412</v>
      </c>
      <c r="K5" s="50">
        <f>'1'!V7/'4c'!M15</f>
        <v>64.322437783591624</v>
      </c>
    </row>
    <row r="6" spans="1:11">
      <c r="A6" s="66">
        <v>1998</v>
      </c>
      <c r="B6" s="147">
        <f>'1'!B8/'4c'!B16</f>
        <v>43.989848597556694</v>
      </c>
      <c r="C6" s="50">
        <f>'1'!D8/'4c'!C16</f>
        <v>31.493363575080338</v>
      </c>
      <c r="D6" s="50">
        <f>'1'!E8/'4c'!D16</f>
        <v>32.584180777346212</v>
      </c>
      <c r="E6" s="50">
        <f>'1'!F8/'4c'!E16</f>
        <v>60.178140083959391</v>
      </c>
      <c r="F6" s="50">
        <f>'1'!G8/'4c'!H16</f>
        <v>25.251932274627521</v>
      </c>
      <c r="G6" s="50">
        <f>'1'!H8/'4c'!I16</f>
        <v>35.60563352298832</v>
      </c>
      <c r="H6" s="50">
        <f>'1'!L8/'4c'!J16</f>
        <v>20.236951428823346</v>
      </c>
      <c r="I6" s="50">
        <f>'1'!O8/'4c'!K16</f>
        <v>38.652157460047277</v>
      </c>
      <c r="J6" s="50">
        <f>'1'!P8/'4c'!L16</f>
        <v>32.232167729305687</v>
      </c>
      <c r="K6" s="50">
        <f>'1'!V8/'4c'!M16</f>
        <v>55.677655632100652</v>
      </c>
    </row>
    <row r="7" spans="1:11">
      <c r="A7" s="66">
        <v>1999</v>
      </c>
      <c r="B7" s="147">
        <f>'1'!B9/'4c'!B17</f>
        <v>44.928302905180566</v>
      </c>
      <c r="C7" s="50">
        <f>'1'!D9/'4c'!C17</f>
        <v>33.178288749210729</v>
      </c>
      <c r="D7" s="50">
        <f>'1'!E9/'4c'!D17</f>
        <v>33.750458302656256</v>
      </c>
      <c r="E7" s="50">
        <f>'1'!F9/'4c'!E17</f>
        <v>65.148569490983022</v>
      </c>
      <c r="F7" s="50">
        <f>'1'!G9/'4c'!H17</f>
        <v>24.367923122615078</v>
      </c>
      <c r="G7" s="50">
        <f>'1'!H9/'4c'!I17</f>
        <v>40.090571668545792</v>
      </c>
      <c r="H7" s="50">
        <f>'1'!L9/'4c'!J17</f>
        <v>22.264160955917092</v>
      </c>
      <c r="I7" s="50">
        <f>'1'!O9/'4c'!K17</f>
        <v>42.588344635641853</v>
      </c>
      <c r="J7" s="50">
        <f>'1'!P9/'4c'!L17</f>
        <v>39.078150396462284</v>
      </c>
      <c r="K7" s="50">
        <f>'1'!V9/'4c'!M17</f>
        <v>48.29224463865593</v>
      </c>
    </row>
    <row r="8" spans="1:11">
      <c r="A8" s="66">
        <v>2000</v>
      </c>
      <c r="B8" s="147">
        <f>'1'!B10/'4c'!B18</f>
        <v>45.859715217768688</v>
      </c>
      <c r="C8" s="50">
        <f>'1'!D10/'4c'!C18</f>
        <v>34.666585999084504</v>
      </c>
      <c r="D8" s="50">
        <f>'1'!E10/'4c'!D18</f>
        <v>37.823031650292585</v>
      </c>
      <c r="E8" s="50">
        <f>'1'!F10/'4c'!E18</f>
        <v>75.548753875899962</v>
      </c>
      <c r="F8" s="50">
        <f>'1'!G10/'4c'!H18</f>
        <v>25.894675736038156</v>
      </c>
      <c r="G8" s="50">
        <f>'1'!H10/'4c'!I18</f>
        <v>34.241855750962074</v>
      </c>
      <c r="H8" s="50">
        <f>'1'!L10/'4c'!J18</f>
        <v>24.438377618774744</v>
      </c>
      <c r="I8" s="50">
        <f>'1'!O10/'4c'!K18</f>
        <v>44.893489558177784</v>
      </c>
      <c r="J8" s="50">
        <f>'1'!P10/'4c'!L18</f>
        <v>42.6754439993571</v>
      </c>
      <c r="K8" s="50">
        <f>'1'!V10/'4c'!M18</f>
        <v>46.079112743655749</v>
      </c>
    </row>
    <row r="9" spans="1:11">
      <c r="A9" s="66">
        <v>2001</v>
      </c>
      <c r="B9" s="147">
        <f>'1'!B11/'4c'!B19</f>
        <v>46.85466516323104</v>
      </c>
      <c r="C9" s="50">
        <f>'1'!D11/'4c'!C19</f>
        <v>35.754082487067912</v>
      </c>
      <c r="D9" s="50">
        <f>'1'!E11/'4c'!D19</f>
        <v>42.223538234661326</v>
      </c>
      <c r="E9" s="50">
        <f>'1'!F11/'4c'!E19</f>
        <v>79.616347276769957</v>
      </c>
      <c r="F9" s="50">
        <f>'1'!G11/'4c'!H19</f>
        <v>25.3697811171801</v>
      </c>
      <c r="G9" s="50">
        <f>'1'!H11/'4c'!I19</f>
        <v>35.052321424728987</v>
      </c>
      <c r="H9" s="50">
        <f>'1'!L11/'4c'!J19</f>
        <v>26.030809414538581</v>
      </c>
      <c r="I9" s="50">
        <f>'1'!O11/'4c'!K19</f>
        <v>45.859297431270605</v>
      </c>
      <c r="J9" s="50">
        <f>'1'!P11/'4c'!L19</f>
        <v>40.216213165364444</v>
      </c>
      <c r="K9" s="50">
        <f>'1'!V11/'4c'!M19</f>
        <v>58.593419154944677</v>
      </c>
    </row>
    <row r="10" spans="1:11">
      <c r="A10" s="66">
        <v>2002</v>
      </c>
      <c r="B10" s="147">
        <f>'1'!B12/'4c'!B20</f>
        <v>47.299246162880102</v>
      </c>
      <c r="C10" s="50">
        <f>'1'!D12/'4c'!C20</f>
        <v>36.961970465109879</v>
      </c>
      <c r="D10" s="50">
        <f>'1'!E12/'4c'!D20</f>
        <v>43.839948383703067</v>
      </c>
      <c r="E10" s="50">
        <f>'1'!F12/'4c'!E20</f>
        <v>88.48099504815066</v>
      </c>
      <c r="F10" s="50">
        <f>'1'!G12/'4c'!H20</f>
        <v>26.8454174449652</v>
      </c>
      <c r="G10" s="50">
        <f>'1'!H12/'4c'!I20</f>
        <v>39.032507897912247</v>
      </c>
      <c r="H10" s="50">
        <f>'1'!L12/'4c'!J20</f>
        <v>24.562415210791649</v>
      </c>
      <c r="I10" s="50">
        <f>'1'!O12/'4c'!K20</f>
        <v>49.184178450210482</v>
      </c>
      <c r="J10" s="50">
        <f>'1'!P12/'4c'!L20</f>
        <v>41.298004039859009</v>
      </c>
      <c r="K10" s="50">
        <f>'1'!V12/'4c'!M20</f>
        <v>69.484214187162351</v>
      </c>
    </row>
    <row r="11" spans="1:11">
      <c r="A11" s="66">
        <v>2003</v>
      </c>
      <c r="B11" s="147">
        <f>'1'!B13/'4c'!B21</f>
        <v>48.01838505556708</v>
      </c>
      <c r="C11" s="50">
        <f>'1'!D13/'4c'!C21</f>
        <v>35.796720716234844</v>
      </c>
      <c r="D11" s="50">
        <f>'1'!E13/'4c'!D21</f>
        <v>39.237570707922757</v>
      </c>
      <c r="E11" s="50">
        <f>'1'!F13/'4c'!E21</f>
        <v>82.338062494838269</v>
      </c>
      <c r="F11" s="50">
        <f>'1'!G13/'4c'!H21</f>
        <v>26.823680459791003</v>
      </c>
      <c r="G11" s="50">
        <f>'1'!H13/'4c'!I21</f>
        <v>33.79123561795204</v>
      </c>
      <c r="H11" s="50">
        <f>'1'!L13/'4c'!J21</f>
        <v>24.013406358432555</v>
      </c>
      <c r="I11" s="50">
        <f>'1'!O13/'4c'!K21</f>
        <v>49.83862082434284</v>
      </c>
      <c r="J11" s="50">
        <f>'1'!P13/'4c'!L21</f>
        <v>41.521625019065098</v>
      </c>
      <c r="K11" s="50">
        <f>'1'!V13/'4c'!M21</f>
        <v>71.43295867107345</v>
      </c>
    </row>
    <row r="12" spans="1:11">
      <c r="A12" s="66">
        <v>2004</v>
      </c>
      <c r="B12" s="147">
        <f>'1'!B14/'4c'!B22</f>
        <v>48.159893752140405</v>
      </c>
      <c r="C12" s="50">
        <f>'1'!D14/'4c'!C22</f>
        <v>37.109980942880334</v>
      </c>
      <c r="D12" s="50">
        <f>'1'!E14/'4c'!D22</f>
        <v>44.516756682119137</v>
      </c>
      <c r="E12" s="50">
        <f>'1'!F14/'4c'!E22</f>
        <v>92.565640621641123</v>
      </c>
      <c r="F12" s="50">
        <f>'1'!G14/'4c'!H22</f>
        <v>26.647576346491601</v>
      </c>
      <c r="G12" s="50">
        <f>'1'!H14/'4c'!I22</f>
        <v>36.842224124676491</v>
      </c>
      <c r="H12" s="50">
        <f>'1'!L14/'4c'!J22</f>
        <v>25.143975775191883</v>
      </c>
      <c r="I12" s="50">
        <f>'1'!O14/'4c'!K22</f>
        <v>50.626363625649624</v>
      </c>
      <c r="J12" s="50">
        <f>'1'!P14/'4c'!L22</f>
        <v>45.851279782721861</v>
      </c>
      <c r="K12" s="50">
        <f>'1'!V14/'4c'!M22</f>
        <v>60.74039490547289</v>
      </c>
    </row>
    <row r="13" spans="1:11">
      <c r="A13" s="66">
        <v>2005</v>
      </c>
      <c r="B13" s="147">
        <f>'1'!B15/'4c'!B23</f>
        <v>48.515489913175571</v>
      </c>
      <c r="C13" s="50">
        <f>'1'!D15/'4c'!C23</f>
        <v>41.688432166805931</v>
      </c>
      <c r="D13" s="50">
        <f>'1'!E15/'4c'!D23</f>
        <v>51.504629873705063</v>
      </c>
      <c r="E13" s="50">
        <f>'1'!F15/'4c'!E23</f>
        <v>114.00227033779576</v>
      </c>
      <c r="F13" s="50">
        <f>'1'!G15/'4c'!H23</f>
        <v>31.881302256527402</v>
      </c>
      <c r="G13" s="50">
        <f>'1'!H15/'4c'!I23</f>
        <v>41.154914731943549</v>
      </c>
      <c r="H13" s="50">
        <f>'1'!L15/'4c'!J23</f>
        <v>27.46528993563955</v>
      </c>
      <c r="I13" s="50">
        <f>'1'!O15/'4c'!K23</f>
        <v>53.603538241965403</v>
      </c>
      <c r="J13" s="50">
        <f>'1'!P15/'4c'!L23</f>
        <v>51.760981084471602</v>
      </c>
      <c r="K13" s="50">
        <f>'1'!V15/'4c'!M23</f>
        <v>57.073386201753877</v>
      </c>
    </row>
    <row r="14" spans="1:11">
      <c r="A14" s="66">
        <v>2006</v>
      </c>
      <c r="B14" s="147">
        <f>'1'!B16/'4c'!B24</f>
        <v>49.301473060999498</v>
      </c>
      <c r="C14" s="50">
        <f>'1'!D16/'4c'!C24</f>
        <v>41.089034289580063</v>
      </c>
      <c r="D14" s="50">
        <f>'1'!E16/'4c'!D24</f>
        <v>53.77987256364078</v>
      </c>
      <c r="E14" s="50">
        <f>'1'!F16/'4c'!E24</f>
        <v>123.09441286062105</v>
      </c>
      <c r="F14" s="50">
        <f>'1'!G16/'4c'!H24</f>
        <v>35.969236717447693</v>
      </c>
      <c r="G14" s="50">
        <f>'1'!H16/'4c'!I24</f>
        <v>47.998663251692477</v>
      </c>
      <c r="H14" s="50">
        <f>'1'!L16/'4c'!J24</f>
        <v>23.152186506503842</v>
      </c>
      <c r="I14" s="50">
        <f>'1'!O16/'4c'!K24</f>
        <v>51.496126879604645</v>
      </c>
      <c r="J14" s="50">
        <f>'1'!P16/'4c'!L24</f>
        <v>47.058631158545204</v>
      </c>
      <c r="K14" s="50">
        <f>'1'!V16/'4c'!M24</f>
        <v>60.803771260632054</v>
      </c>
    </row>
    <row r="15" spans="1:11">
      <c r="A15" s="66">
        <v>2007</v>
      </c>
      <c r="B15" s="147">
        <f>'1'!B17/'4c'!B25</f>
        <v>49.175021626214345</v>
      </c>
      <c r="C15" s="50">
        <f>'1'!D17/'4c'!C25</f>
        <v>42.915609269043564</v>
      </c>
      <c r="D15" s="50">
        <f>'1'!E17/'4c'!D25</f>
        <v>50.672583085209915</v>
      </c>
      <c r="E15" s="50">
        <f>'1'!F17/'4c'!E25</f>
        <v>117.74489421548246</v>
      </c>
      <c r="F15" s="50">
        <f>'1'!G17/'4c'!H25</f>
        <v>33.294122589589541</v>
      </c>
      <c r="G15" s="50">
        <f>'1'!H17/'4c'!I25</f>
        <v>44.287275123228717</v>
      </c>
      <c r="H15" s="50">
        <f>'1'!L17/'4c'!J25</f>
        <v>28.983620485869629</v>
      </c>
      <c r="I15" s="50">
        <f>'1'!O17/'4c'!K25</f>
        <v>55.549298204832638</v>
      </c>
      <c r="J15" s="50">
        <f>'1'!P17/'4c'!L25</f>
        <v>57.466156295304351</v>
      </c>
      <c r="K15" s="50">
        <f>'1'!V17/'4c'!M25</f>
        <v>52.597105864432592</v>
      </c>
    </row>
    <row r="16" spans="1:11">
      <c r="B16" s="56"/>
      <c r="C16" s="56"/>
      <c r="D16" s="56"/>
      <c r="E16" s="56"/>
      <c r="F16" s="56"/>
    </row>
    <row r="17" spans="1:11">
      <c r="A17" s="66" t="s">
        <v>23</v>
      </c>
      <c r="B17" s="56"/>
      <c r="C17" s="56"/>
      <c r="D17" s="56"/>
      <c r="E17" s="56"/>
      <c r="F17" s="56"/>
    </row>
    <row r="18" spans="1:11">
      <c r="A18" s="64" t="s">
        <v>1018</v>
      </c>
      <c r="B18" s="65">
        <f>((B15/B5)^(1/10)-1)*100</f>
        <v>1.3490906275583248</v>
      </c>
      <c r="C18" s="65">
        <f t="shared" ref="C18:K18" si="0">((C15/C5)^(1/10)-1)*100</f>
        <v>2.8132794387890403</v>
      </c>
      <c r="D18" s="65">
        <f t="shared" si="0"/>
        <v>4.109332321050907</v>
      </c>
      <c r="E18" s="65">
        <f t="shared" si="0"/>
        <v>6.9359531169520539</v>
      </c>
      <c r="F18" s="65">
        <f t="shared" si="0"/>
        <v>3.2450005899955059</v>
      </c>
      <c r="G18" s="65">
        <f t="shared" si="0"/>
        <v>2.7735275861203279</v>
      </c>
      <c r="H18" s="65">
        <f t="shared" si="0"/>
        <v>2.879554010146923</v>
      </c>
      <c r="I18" s="65">
        <f t="shared" si="0"/>
        <v>3.0615104224058554</v>
      </c>
      <c r="J18" s="65">
        <f t="shared" si="0"/>
        <v>5.6666952748847477</v>
      </c>
      <c r="K18" s="65">
        <f t="shared" si="0"/>
        <v>-1.9923591831117027</v>
      </c>
    </row>
    <row r="20" spans="1:11">
      <c r="A20" s="104" t="s">
        <v>857</v>
      </c>
      <c r="B20" s="104"/>
      <c r="C20" s="104"/>
      <c r="D20" s="104"/>
      <c r="E20" s="104"/>
      <c r="F20" s="104"/>
    </row>
    <row r="21" spans="1:11">
      <c r="A21" s="92" t="s">
        <v>773</v>
      </c>
      <c r="B21" s="92"/>
      <c r="C21" s="92"/>
      <c r="D21" s="92"/>
      <c r="E21" s="92"/>
      <c r="F21" s="92"/>
      <c r="G21" s="92"/>
      <c r="H21" s="92"/>
      <c r="I21" s="92"/>
      <c r="J21" s="92"/>
      <c r="K21" s="92"/>
    </row>
    <row r="22" spans="1:11">
      <c r="A22" s="137" t="s">
        <v>1025</v>
      </c>
      <c r="B22" s="137"/>
      <c r="C22" s="137"/>
      <c r="D22" s="137"/>
      <c r="E22" s="137"/>
      <c r="F22" s="137"/>
      <c r="G22" s="137"/>
      <c r="H22" s="137"/>
      <c r="I22" s="137"/>
      <c r="J22" s="137"/>
      <c r="K22" s="137"/>
    </row>
    <row r="23" spans="1:11">
      <c r="A23" s="137" t="s">
        <v>1026</v>
      </c>
      <c r="B23" s="137"/>
      <c r="C23" s="137"/>
      <c r="D23" s="137"/>
      <c r="E23" s="137"/>
      <c r="F23" s="137"/>
      <c r="G23" s="137"/>
      <c r="H23" s="137"/>
      <c r="I23" s="137"/>
      <c r="J23" s="137"/>
      <c r="K23" s="137"/>
    </row>
  </sheetData>
  <mergeCells count="12">
    <mergeCell ref="A20:F20"/>
    <mergeCell ref="A21:K21"/>
    <mergeCell ref="A22:K22"/>
    <mergeCell ref="A23:K23"/>
    <mergeCell ref="A1:K1"/>
    <mergeCell ref="A2:A4"/>
    <mergeCell ref="B2:B4"/>
    <mergeCell ref="C2:K2"/>
    <mergeCell ref="C3:C4"/>
    <mergeCell ref="D3:D4"/>
    <mergeCell ref="E3:H3"/>
    <mergeCell ref="I3:K3"/>
  </mergeCells>
  <pageMargins left="0.70866141732283472" right="0.70866141732283472" top="0.74803149606299213" bottom="0.74803149606299213" header="0.31496062992125984" footer="0.31496062992125984"/>
  <pageSetup scale="84" orientation="landscape" horizontalDpi="0" verticalDpi="0" r:id="rId1"/>
</worksheet>
</file>

<file path=xl/worksheets/sheet42.xml><?xml version="1.0" encoding="utf-8"?>
<worksheet xmlns="http://schemas.openxmlformats.org/spreadsheetml/2006/main" xmlns:r="http://schemas.openxmlformats.org/officeDocument/2006/relationships">
  <sheetPr codeName="Sheet39">
    <pageSetUpPr fitToPage="1"/>
  </sheetPr>
  <dimension ref="A1:AH103"/>
  <sheetViews>
    <sheetView view="pageBreakPre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7109375" style="64" customWidth="1"/>
    <col min="2" max="2" width="12.7109375" style="64" customWidth="1"/>
    <col min="3" max="3" width="14.85546875" style="64" customWidth="1"/>
    <col min="4" max="5" width="12.7109375" style="64" customWidth="1"/>
    <col min="6" max="9" width="15.42578125" style="64" customWidth="1"/>
    <col min="10" max="10" width="16.42578125" style="64" bestFit="1" customWidth="1"/>
    <col min="11" max="11" width="11.5703125" style="64" hidden="1" customWidth="1" outlineLevel="1"/>
    <col min="12" max="13" width="9.140625" style="64" hidden="1" customWidth="1" outlineLevel="1"/>
    <col min="14" max="16" width="13.42578125" style="64" hidden="1" customWidth="1" outlineLevel="1"/>
    <col min="17" max="21" width="9.140625" style="64" hidden="1" customWidth="1" outlineLevel="1"/>
    <col min="22" max="22" width="9.85546875" style="64" hidden="1" customWidth="1" outlineLevel="1"/>
    <col min="23" max="25" width="9.140625" style="64" hidden="1" customWidth="1" outlineLevel="1"/>
    <col min="26" max="26" width="11.140625" style="64" hidden="1" customWidth="1" outlineLevel="1"/>
    <col min="27" max="29" width="9.140625" style="64" hidden="1" customWidth="1" outlineLevel="1"/>
    <col min="30" max="33" width="0" style="64" hidden="1" customWidth="1" outlineLevel="1"/>
    <col min="34" max="34" width="9.140625" style="64" collapsed="1"/>
    <col min="35" max="16384" width="9.140625" style="64"/>
  </cols>
  <sheetData>
    <row r="1" spans="1:32">
      <c r="A1" s="108" t="s">
        <v>1976</v>
      </c>
      <c r="B1" s="108"/>
      <c r="C1" s="108"/>
      <c r="D1" s="108"/>
      <c r="E1" s="108"/>
      <c r="F1" s="108"/>
      <c r="G1" s="108"/>
      <c r="H1" s="108"/>
      <c r="I1" s="108"/>
    </row>
    <row r="2" spans="1:32">
      <c r="A2" s="96"/>
      <c r="B2" s="94" t="s">
        <v>51</v>
      </c>
      <c r="C2" s="94" t="s">
        <v>938</v>
      </c>
      <c r="D2" s="94" t="s">
        <v>37</v>
      </c>
      <c r="E2" s="94"/>
      <c r="F2" s="94"/>
      <c r="G2" s="94"/>
      <c r="H2" s="94"/>
      <c r="I2" s="94"/>
    </row>
    <row r="3" spans="1:32">
      <c r="A3" s="96"/>
      <c r="B3" s="94"/>
      <c r="C3" s="94"/>
      <c r="D3" s="94" t="s">
        <v>78</v>
      </c>
      <c r="E3" s="94" t="s">
        <v>0</v>
      </c>
      <c r="F3" s="94" t="s">
        <v>1</v>
      </c>
      <c r="G3" s="94" t="s">
        <v>678</v>
      </c>
      <c r="H3" s="94"/>
      <c r="I3" s="94"/>
      <c r="L3" s="64" t="s">
        <v>763</v>
      </c>
      <c r="T3" s="64" t="s">
        <v>762</v>
      </c>
    </row>
    <row r="4" spans="1:32" ht="90">
      <c r="A4" s="96"/>
      <c r="B4" s="94"/>
      <c r="C4" s="94"/>
      <c r="D4" s="94"/>
      <c r="E4" s="94"/>
      <c r="F4" s="94"/>
      <c r="G4" s="72" t="s">
        <v>517</v>
      </c>
      <c r="H4" s="72" t="s">
        <v>13</v>
      </c>
      <c r="I4" s="72" t="s">
        <v>19</v>
      </c>
      <c r="L4" s="117" t="s">
        <v>7</v>
      </c>
      <c r="M4" s="117" t="s">
        <v>938</v>
      </c>
      <c r="N4" s="117" t="s">
        <v>0</v>
      </c>
      <c r="O4" s="117" t="s">
        <v>1</v>
      </c>
      <c r="P4" s="117" t="s">
        <v>2</v>
      </c>
      <c r="Q4" s="117" t="s">
        <v>13</v>
      </c>
      <c r="R4" s="117" t="s">
        <v>19</v>
      </c>
      <c r="U4" s="77" t="s">
        <v>0</v>
      </c>
      <c r="V4" s="77"/>
      <c r="W4" s="77" t="s">
        <v>1</v>
      </c>
      <c r="X4" s="77"/>
      <c r="Y4" s="77" t="s">
        <v>2</v>
      </c>
      <c r="AB4" s="64" t="s">
        <v>765</v>
      </c>
      <c r="AE4" s="64" t="s">
        <v>1643</v>
      </c>
    </row>
    <row r="5" spans="1:32" hidden="1" outlineLevel="1">
      <c r="A5" s="234"/>
      <c r="B5" s="62"/>
      <c r="C5" s="62"/>
      <c r="D5" s="62"/>
      <c r="E5" s="62"/>
      <c r="F5" s="62"/>
      <c r="G5" s="62"/>
      <c r="H5" s="62"/>
      <c r="I5" s="62"/>
      <c r="L5" s="64" t="s">
        <v>756</v>
      </c>
      <c r="M5" s="64" t="s">
        <v>1642</v>
      </c>
      <c r="N5" s="64" t="s">
        <v>757</v>
      </c>
      <c r="O5" s="64" t="s">
        <v>758</v>
      </c>
      <c r="P5" s="64" t="s">
        <v>759</v>
      </c>
      <c r="Q5" s="64" t="s">
        <v>760</v>
      </c>
      <c r="R5" s="64" t="s">
        <v>761</v>
      </c>
      <c r="U5" s="64" t="s">
        <v>109</v>
      </c>
      <c r="W5" s="64" t="s">
        <v>148</v>
      </c>
      <c r="Y5" s="64" t="s">
        <v>169</v>
      </c>
      <c r="AB5" s="64" t="s">
        <v>766</v>
      </c>
    </row>
    <row r="6" spans="1:32" collapsed="1">
      <c r="A6" s="66">
        <v>1961</v>
      </c>
      <c r="B6" s="56">
        <f t="shared" ref="B6:B38" si="0">B7*AC6</f>
        <v>23693.322666052911</v>
      </c>
      <c r="C6" s="56">
        <f t="shared" ref="C6:C40" si="1">C7*AF6</f>
        <v>5942.3241269788305</v>
      </c>
      <c r="D6" s="56">
        <f t="shared" ref="D6:D56" si="2">SUM(E6:G6)</f>
        <v>1160.4647029990879</v>
      </c>
      <c r="E6" s="56">
        <f t="shared" ref="E6:E16" si="3">N6/1000000</f>
        <v>328.2650935282806</v>
      </c>
      <c r="F6" s="56">
        <f t="shared" ref="F6:F16" si="4">O6/1000000</f>
        <v>320.90220137962592</v>
      </c>
      <c r="G6" s="56">
        <f t="shared" ref="G6:G16" si="5">P6/1000000</f>
        <v>511.29740809118135</v>
      </c>
      <c r="H6" s="57" t="s">
        <v>22</v>
      </c>
      <c r="I6" s="57" t="s">
        <v>22</v>
      </c>
      <c r="N6" s="64">
        <f t="shared" ref="N6:N40" si="6">N7*V6</f>
        <v>328265093.52828062</v>
      </c>
      <c r="O6" s="64">
        <f t="shared" ref="O6:O40" si="7">O7*X6</f>
        <v>320902201.37962592</v>
      </c>
      <c r="P6" s="64">
        <f t="shared" ref="P6:P40" si="8">P7*Z6</f>
        <v>511297408.09118134</v>
      </c>
      <c r="T6" s="176">
        <v>22282</v>
      </c>
      <c r="U6" s="64">
        <v>322100000</v>
      </c>
      <c r="V6" s="261">
        <f t="shared" ref="V6:X40" si="9">U6/U7</f>
        <v>0.91324071448823363</v>
      </c>
      <c r="W6" s="64">
        <v>320900000</v>
      </c>
      <c r="X6" s="261">
        <f t="shared" si="9"/>
        <v>0.92398502735387278</v>
      </c>
      <c r="Y6" s="64">
        <v>511300000</v>
      </c>
      <c r="Z6" s="261">
        <f t="shared" ref="Z6:Z41" si="10">Y6/Y7</f>
        <v>0.94702722726430821</v>
      </c>
      <c r="AB6" s="64">
        <v>24383897000</v>
      </c>
      <c r="AC6" s="64">
        <f t="shared" ref="AC6:AC40" si="11">AB6/AB7</f>
        <v>0.93652184059273968</v>
      </c>
      <c r="AE6" s="64">
        <v>6194103000</v>
      </c>
      <c r="AF6" s="64">
        <f t="shared" ref="AF6:AF40" si="12">AE6/AE7</f>
        <v>0.93008711200591254</v>
      </c>
    </row>
    <row r="7" spans="1:32" hidden="1" outlineLevel="1">
      <c r="A7" s="66">
        <v>1962</v>
      </c>
      <c r="B7" s="56">
        <f t="shared" si="0"/>
        <v>25299.274014855891</v>
      </c>
      <c r="C7" s="56">
        <f t="shared" si="1"/>
        <v>6388.9973855922599</v>
      </c>
      <c r="D7" s="56">
        <f t="shared" si="2"/>
        <v>1246.6504325782694</v>
      </c>
      <c r="E7" s="56">
        <f t="shared" si="3"/>
        <v>359.45078698362175</v>
      </c>
      <c r="F7" s="56">
        <f t="shared" si="4"/>
        <v>347.3023824840887</v>
      </c>
      <c r="G7" s="56">
        <f t="shared" si="5"/>
        <v>539.89726311055904</v>
      </c>
      <c r="H7" s="57" t="s">
        <v>22</v>
      </c>
      <c r="I7" s="57" t="s">
        <v>22</v>
      </c>
      <c r="N7" s="64">
        <f t="shared" si="6"/>
        <v>359450786.98362178</v>
      </c>
      <c r="O7" s="64">
        <f t="shared" si="7"/>
        <v>347302382.48408872</v>
      </c>
      <c r="P7" s="64">
        <f t="shared" si="8"/>
        <v>539897263.11055899</v>
      </c>
      <c r="T7" s="176">
        <v>22647</v>
      </c>
      <c r="U7" s="64">
        <v>352700000</v>
      </c>
      <c r="V7" s="261">
        <f t="shared" si="9"/>
        <v>0.97323399558498891</v>
      </c>
      <c r="W7" s="64">
        <v>347300000</v>
      </c>
      <c r="X7" s="261">
        <f t="shared" si="9"/>
        <v>0.91539272535582494</v>
      </c>
      <c r="Y7" s="64">
        <v>539900000</v>
      </c>
      <c r="Z7" s="261">
        <f t="shared" si="10"/>
        <v>0.95862926136363635</v>
      </c>
      <c r="AB7" s="64">
        <v>26036656000</v>
      </c>
      <c r="AC7" s="64">
        <f t="shared" si="11"/>
        <v>0.93976200105502194</v>
      </c>
      <c r="AE7" s="64">
        <v>6659702000</v>
      </c>
      <c r="AF7" s="64">
        <f t="shared" si="12"/>
        <v>0.93607739035808391</v>
      </c>
    </row>
    <row r="8" spans="1:32" hidden="1" outlineLevel="1">
      <c r="A8" s="66">
        <v>1963</v>
      </c>
      <c r="B8" s="56">
        <f t="shared" si="0"/>
        <v>26920.93741442377</v>
      </c>
      <c r="C8" s="56">
        <f t="shared" si="1"/>
        <v>6825.2875792120503</v>
      </c>
      <c r="D8" s="56">
        <f t="shared" si="2"/>
        <v>1311.9361956685298</v>
      </c>
      <c r="E8" s="56">
        <f t="shared" si="3"/>
        <v>369.33644798090313</v>
      </c>
      <c r="F8" s="56">
        <f t="shared" si="4"/>
        <v>379.40260269065146</v>
      </c>
      <c r="G8" s="56">
        <f t="shared" si="5"/>
        <v>563.19714499697511</v>
      </c>
      <c r="H8" s="57" t="s">
        <v>22</v>
      </c>
      <c r="I8" s="57" t="s">
        <v>22</v>
      </c>
      <c r="N8" s="64">
        <f t="shared" si="6"/>
        <v>369336447.98090315</v>
      </c>
      <c r="O8" s="64">
        <f t="shared" si="7"/>
        <v>379402602.69065148</v>
      </c>
      <c r="P8" s="64">
        <f t="shared" si="8"/>
        <v>563197144.99697506</v>
      </c>
      <c r="T8" s="176">
        <v>23012</v>
      </c>
      <c r="U8" s="64">
        <v>362400000</v>
      </c>
      <c r="V8" s="261">
        <f t="shared" si="9"/>
        <v>0.91863117870722433</v>
      </c>
      <c r="W8" s="64">
        <v>379400000</v>
      </c>
      <c r="X8" s="261">
        <f t="shared" si="9"/>
        <v>0.92604344642421288</v>
      </c>
      <c r="Y8" s="64">
        <v>563200000</v>
      </c>
      <c r="Z8" s="261">
        <f t="shared" si="10"/>
        <v>0.91786179921773137</v>
      </c>
      <c r="AB8" s="64">
        <v>27705585000</v>
      </c>
      <c r="AC8" s="64">
        <f t="shared" si="11"/>
        <v>0.91904028147614159</v>
      </c>
      <c r="AE8" s="64">
        <v>7114478000</v>
      </c>
      <c r="AF8" s="64">
        <f t="shared" si="12"/>
        <v>0.91430701816500859</v>
      </c>
    </row>
    <row r="9" spans="1:32" hidden="1" outlineLevel="1">
      <c r="A9" s="66">
        <v>1964</v>
      </c>
      <c r="B9" s="56">
        <f t="shared" si="0"/>
        <v>29292.445561998626</v>
      </c>
      <c r="C9" s="56">
        <f t="shared" si="1"/>
        <v>7464.9843472821995</v>
      </c>
      <c r="D9" s="56">
        <f t="shared" si="2"/>
        <v>1425.3505519555715</v>
      </c>
      <c r="E9" s="56">
        <f t="shared" si="3"/>
        <v>402.05085189974142</v>
      </c>
      <c r="F9" s="56">
        <f t="shared" si="4"/>
        <v>409.70281054918263</v>
      </c>
      <c r="G9" s="56">
        <f t="shared" si="5"/>
        <v>613.59688950664759</v>
      </c>
      <c r="H9" s="57" t="s">
        <v>22</v>
      </c>
      <c r="I9" s="57" t="s">
        <v>22</v>
      </c>
      <c r="N9" s="64">
        <f t="shared" si="6"/>
        <v>402050851.89974141</v>
      </c>
      <c r="O9" s="64">
        <f t="shared" si="7"/>
        <v>409702810.54918265</v>
      </c>
      <c r="P9" s="64">
        <f t="shared" si="8"/>
        <v>613596889.50664759</v>
      </c>
      <c r="T9" s="176">
        <v>23377</v>
      </c>
      <c r="U9" s="64">
        <v>394500000</v>
      </c>
      <c r="V9" s="261">
        <f t="shared" si="9"/>
        <v>0.93527738264580373</v>
      </c>
      <c r="W9" s="64">
        <v>409700000</v>
      </c>
      <c r="X9" s="261">
        <f t="shared" si="9"/>
        <v>0.91717036042086408</v>
      </c>
      <c r="Y9" s="64">
        <v>613600000</v>
      </c>
      <c r="Z9" s="261">
        <f t="shared" si="10"/>
        <v>0.92437481169026814</v>
      </c>
      <c r="AB9" s="64">
        <v>30146214000</v>
      </c>
      <c r="AC9" s="64">
        <f t="shared" si="11"/>
        <v>0.90250405826064517</v>
      </c>
      <c r="AE9" s="64">
        <v>7781279000</v>
      </c>
      <c r="AF9" s="64">
        <f t="shared" si="12"/>
        <v>0.90059859129255049</v>
      </c>
    </row>
    <row r="10" spans="1:32" hidden="1" outlineLevel="1">
      <c r="A10" s="66">
        <v>1965</v>
      </c>
      <c r="B10" s="56">
        <f t="shared" si="0"/>
        <v>32456.857444444755</v>
      </c>
      <c r="C10" s="56">
        <f t="shared" si="1"/>
        <v>8288.914083874326</v>
      </c>
      <c r="D10" s="56">
        <f t="shared" si="2"/>
        <v>1540.3730817353908</v>
      </c>
      <c r="E10" s="56">
        <f t="shared" si="3"/>
        <v>429.8733823353889</v>
      </c>
      <c r="F10" s="56">
        <f t="shared" si="4"/>
        <v>446.70306436983134</v>
      </c>
      <c r="G10" s="56">
        <f t="shared" si="5"/>
        <v>663.79663503017059</v>
      </c>
      <c r="H10" s="57" t="s">
        <v>22</v>
      </c>
      <c r="I10" s="57" t="s">
        <v>22</v>
      </c>
      <c r="N10" s="64">
        <f t="shared" si="6"/>
        <v>429873382.3353889</v>
      </c>
      <c r="O10" s="64">
        <f t="shared" si="7"/>
        <v>446703064.36983132</v>
      </c>
      <c r="P10" s="64">
        <f t="shared" si="8"/>
        <v>663796635.03017056</v>
      </c>
      <c r="T10" s="176">
        <v>23743</v>
      </c>
      <c r="U10" s="64">
        <v>421800000</v>
      </c>
      <c r="V10" s="261">
        <f t="shared" si="9"/>
        <v>0.90515021459227463</v>
      </c>
      <c r="W10" s="64">
        <v>446700000</v>
      </c>
      <c r="X10" s="261">
        <f t="shared" si="9"/>
        <v>0.92160099030328035</v>
      </c>
      <c r="Y10" s="64">
        <v>663800000</v>
      </c>
      <c r="Z10" s="261">
        <f t="shared" si="10"/>
        <v>0.85917680559150922</v>
      </c>
      <c r="AB10" s="64">
        <v>33402857000</v>
      </c>
      <c r="AC10" s="64">
        <f t="shared" si="11"/>
        <v>0.88662084662288199</v>
      </c>
      <c r="AE10" s="64">
        <v>8640119000</v>
      </c>
      <c r="AF10" s="64">
        <f t="shared" si="12"/>
        <v>0.88874377283610584</v>
      </c>
    </row>
    <row r="11" spans="1:32" hidden="1" outlineLevel="1">
      <c r="A11" s="66">
        <v>1966</v>
      </c>
      <c r="B11" s="56">
        <f t="shared" si="0"/>
        <v>36607.37007038822</v>
      </c>
      <c r="C11" s="56">
        <f t="shared" si="1"/>
        <v>9326.5509556519773</v>
      </c>
      <c r="D11" s="56">
        <f t="shared" si="2"/>
        <v>1732.2187925390967</v>
      </c>
      <c r="E11" s="56">
        <f t="shared" si="3"/>
        <v>474.91938399310391</v>
      </c>
      <c r="F11" s="56">
        <f t="shared" si="4"/>
        <v>484.70332505049754</v>
      </c>
      <c r="G11" s="56">
        <f t="shared" si="5"/>
        <v>772.59608349549524</v>
      </c>
      <c r="H11" s="57" t="s">
        <v>22</v>
      </c>
      <c r="I11" s="57" t="s">
        <v>22</v>
      </c>
      <c r="N11" s="64">
        <f t="shared" si="6"/>
        <v>474919383.99310392</v>
      </c>
      <c r="O11" s="64">
        <f t="shared" si="7"/>
        <v>484703325.05049753</v>
      </c>
      <c r="P11" s="64">
        <f t="shared" si="8"/>
        <v>772596083.4954952</v>
      </c>
      <c r="T11" s="176">
        <v>24108</v>
      </c>
      <c r="U11" s="64">
        <v>466000000</v>
      </c>
      <c r="V11" s="261">
        <f t="shared" si="9"/>
        <v>0.95924248662000822</v>
      </c>
      <c r="W11" s="64">
        <v>484700000</v>
      </c>
      <c r="X11" s="261">
        <f t="shared" si="9"/>
        <v>0.96018225039619653</v>
      </c>
      <c r="Y11" s="64">
        <v>772600000</v>
      </c>
      <c r="Z11" s="261">
        <f t="shared" si="10"/>
        <v>0.91921475312314094</v>
      </c>
      <c r="AB11" s="64">
        <v>37674342000</v>
      </c>
      <c r="AC11" s="64">
        <f t="shared" si="11"/>
        <v>0.90765889325260729</v>
      </c>
      <c r="AE11" s="64">
        <v>9721721000</v>
      </c>
      <c r="AF11" s="64">
        <f t="shared" si="12"/>
        <v>0.94011320556568401</v>
      </c>
    </row>
    <row r="12" spans="1:32" hidden="1" outlineLevel="1">
      <c r="A12" s="66">
        <v>1967</v>
      </c>
      <c r="B12" s="56">
        <f t="shared" si="0"/>
        <v>40331.638176545857</v>
      </c>
      <c r="C12" s="56">
        <f t="shared" si="1"/>
        <v>9920.6679583231835</v>
      </c>
      <c r="D12" s="56">
        <f t="shared" si="2"/>
        <v>1840.3975643413642</v>
      </c>
      <c r="E12" s="56">
        <f t="shared" si="3"/>
        <v>495.09836211126583</v>
      </c>
      <c r="F12" s="56">
        <f t="shared" si="4"/>
        <v>504.80346293684988</v>
      </c>
      <c r="G12" s="56">
        <f t="shared" si="5"/>
        <v>840.49573929324845</v>
      </c>
      <c r="H12" s="57" t="s">
        <v>22</v>
      </c>
      <c r="I12" s="57" t="s">
        <v>22</v>
      </c>
      <c r="N12" s="64">
        <f t="shared" si="6"/>
        <v>495098362.11126584</v>
      </c>
      <c r="O12" s="64">
        <f t="shared" si="7"/>
        <v>504803462.93684989</v>
      </c>
      <c r="P12" s="64">
        <f t="shared" si="8"/>
        <v>840495739.29324841</v>
      </c>
      <c r="T12" s="176">
        <v>24473</v>
      </c>
      <c r="U12" s="64">
        <v>485800000</v>
      </c>
      <c r="V12" s="261">
        <f t="shared" si="9"/>
        <v>1.0122942279641591</v>
      </c>
      <c r="W12" s="64">
        <v>504800000</v>
      </c>
      <c r="X12" s="261">
        <f t="shared" si="9"/>
        <v>0.92133601022084322</v>
      </c>
      <c r="Y12" s="64">
        <v>840500000</v>
      </c>
      <c r="Z12" s="261">
        <f t="shared" si="10"/>
        <v>0.9323349972268441</v>
      </c>
      <c r="AB12" s="64">
        <v>41507159000</v>
      </c>
      <c r="AC12" s="64">
        <f t="shared" si="11"/>
        <v>0.92625420636562061</v>
      </c>
      <c r="AE12" s="64">
        <v>10341011000</v>
      </c>
      <c r="AF12" s="64">
        <f t="shared" si="12"/>
        <v>0.93411375092386018</v>
      </c>
    </row>
    <row r="13" spans="1:32" hidden="1" outlineLevel="1">
      <c r="A13" s="66">
        <v>1968</v>
      </c>
      <c r="B13" s="56">
        <f t="shared" si="0"/>
        <v>43542.731465476056</v>
      </c>
      <c r="C13" s="56">
        <f t="shared" si="1"/>
        <v>10620.406720821113</v>
      </c>
      <c r="D13" s="56">
        <f t="shared" si="2"/>
        <v>1938.4846229606269</v>
      </c>
      <c r="E13" s="56">
        <f t="shared" si="3"/>
        <v>489.08543428817717</v>
      </c>
      <c r="F13" s="56">
        <f t="shared" si="4"/>
        <v>547.90375860360552</v>
      </c>
      <c r="G13" s="56">
        <f t="shared" si="5"/>
        <v>901.49543006884403</v>
      </c>
      <c r="H13" s="57" t="s">
        <v>22</v>
      </c>
      <c r="I13" s="57" t="s">
        <v>22</v>
      </c>
      <c r="N13" s="64">
        <f t="shared" si="6"/>
        <v>489085434.28817719</v>
      </c>
      <c r="O13" s="64">
        <f t="shared" si="7"/>
        <v>547903758.60360551</v>
      </c>
      <c r="P13" s="64">
        <f t="shared" si="8"/>
        <v>901495430.06884408</v>
      </c>
      <c r="T13" s="176">
        <v>24838</v>
      </c>
      <c r="U13" s="64">
        <v>479900000</v>
      </c>
      <c r="V13" s="261">
        <f t="shared" si="9"/>
        <v>0.88673318551367331</v>
      </c>
      <c r="W13" s="64">
        <v>547900000</v>
      </c>
      <c r="X13" s="261">
        <f t="shared" si="9"/>
        <v>0.90877425775418808</v>
      </c>
      <c r="Y13" s="64">
        <v>901500000</v>
      </c>
      <c r="Z13" s="261">
        <f t="shared" si="10"/>
        <v>0.90041949660407516</v>
      </c>
      <c r="AB13" s="64">
        <v>44811844000</v>
      </c>
      <c r="AC13" s="64">
        <f t="shared" si="11"/>
        <v>0.89819976984903727</v>
      </c>
      <c r="AE13" s="64">
        <v>11070398000</v>
      </c>
      <c r="AF13" s="64">
        <f t="shared" si="12"/>
        <v>0.91225689680973721</v>
      </c>
    </row>
    <row r="14" spans="1:32" hidden="1" outlineLevel="1">
      <c r="A14" s="66">
        <v>1969</v>
      </c>
      <c r="B14" s="56">
        <f>B15*AC14</f>
        <v>48477.780697710929</v>
      </c>
      <c r="C14" s="56">
        <f t="shared" si="1"/>
        <v>11641.903457197028</v>
      </c>
      <c r="D14" s="56">
        <f t="shared" si="2"/>
        <v>2155.6577957986956</v>
      </c>
      <c r="E14" s="56">
        <f t="shared" si="3"/>
        <v>551.55873522975935</v>
      </c>
      <c r="F14" s="56">
        <f t="shared" si="4"/>
        <v>602.90413590456978</v>
      </c>
      <c r="G14" s="56">
        <f t="shared" si="5"/>
        <v>1001.1949246643667</v>
      </c>
      <c r="H14" s="57" t="s">
        <v>22</v>
      </c>
      <c r="I14" s="57" t="s">
        <v>22</v>
      </c>
      <c r="N14" s="64">
        <f t="shared" si="6"/>
        <v>551558735.22975934</v>
      </c>
      <c r="O14" s="64">
        <f t="shared" si="7"/>
        <v>602904135.90456975</v>
      </c>
      <c r="P14" s="64">
        <f t="shared" si="8"/>
        <v>1001194924.6643667</v>
      </c>
      <c r="T14" s="176">
        <v>25204</v>
      </c>
      <c r="U14" s="64">
        <v>541200000</v>
      </c>
      <c r="V14" s="261">
        <f t="shared" si="9"/>
        <v>0.9939393939393939</v>
      </c>
      <c r="W14" s="64">
        <v>602900000</v>
      </c>
      <c r="X14" s="261">
        <f t="shared" si="9"/>
        <v>0.98128255208333337</v>
      </c>
      <c r="Y14" s="64">
        <v>1001200000</v>
      </c>
      <c r="Z14" s="261">
        <f t="shared" si="10"/>
        <v>0.9412428316254583</v>
      </c>
      <c r="AB14" s="64">
        <v>49890732000</v>
      </c>
      <c r="AC14" s="64">
        <f t="shared" si="11"/>
        <v>0.92772056432698435</v>
      </c>
      <c r="AE14" s="64">
        <v>12135176000</v>
      </c>
      <c r="AF14" s="64">
        <f t="shared" si="12"/>
        <v>0.95479994615116559</v>
      </c>
    </row>
    <row r="15" spans="1:32" hidden="1" outlineLevel="1">
      <c r="A15" s="66">
        <v>1970</v>
      </c>
      <c r="B15" s="56">
        <f t="shared" si="0"/>
        <v>52254.722555254746</v>
      </c>
      <c r="C15" s="56">
        <f t="shared" si="1"/>
        <v>12193.029025740918</v>
      </c>
      <c r="D15" s="56">
        <f t="shared" si="2"/>
        <v>2233.0207208803076</v>
      </c>
      <c r="E15" s="56">
        <f t="shared" si="3"/>
        <v>554.92189824945308</v>
      </c>
      <c r="F15" s="56">
        <f t="shared" si="4"/>
        <v>614.40421479477129</v>
      </c>
      <c r="G15" s="56">
        <f t="shared" si="5"/>
        <v>1063.6946078360836</v>
      </c>
      <c r="H15" s="57" t="s">
        <v>22</v>
      </c>
      <c r="I15" s="57" t="s">
        <v>22</v>
      </c>
      <c r="N15" s="64">
        <f t="shared" si="6"/>
        <v>554921898.24945307</v>
      </c>
      <c r="O15" s="64">
        <f t="shared" si="7"/>
        <v>614404214.79477131</v>
      </c>
      <c r="P15" s="64">
        <f t="shared" si="8"/>
        <v>1063694607.8360835</v>
      </c>
      <c r="T15" s="176">
        <v>25569</v>
      </c>
      <c r="U15" s="64">
        <v>544500000</v>
      </c>
      <c r="V15" s="261">
        <f t="shared" si="9"/>
        <v>0.99524766953025046</v>
      </c>
      <c r="W15" s="64">
        <v>614400000</v>
      </c>
      <c r="X15" s="261">
        <f t="shared" si="9"/>
        <v>0.86890114552397113</v>
      </c>
      <c r="Y15" s="64">
        <v>1063700000</v>
      </c>
      <c r="Z15" s="261">
        <f t="shared" si="10"/>
        <v>0.94567923186344238</v>
      </c>
      <c r="AB15" s="64">
        <v>53777758000</v>
      </c>
      <c r="AC15" s="64">
        <f t="shared" si="11"/>
        <v>0.91330823527413763</v>
      </c>
      <c r="AE15" s="64">
        <v>12709653000</v>
      </c>
      <c r="AF15" s="64">
        <f t="shared" si="12"/>
        <v>0.93815070758129138</v>
      </c>
    </row>
    <row r="16" spans="1:32" hidden="1" outlineLevel="1">
      <c r="A16" s="66">
        <v>1971</v>
      </c>
      <c r="B16" s="56">
        <f t="shared" si="0"/>
        <v>57214.772118604647</v>
      </c>
      <c r="C16" s="56">
        <f t="shared" si="1"/>
        <v>12996.876650209619</v>
      </c>
      <c r="D16" s="56">
        <f t="shared" si="2"/>
        <v>2389.4708118759986</v>
      </c>
      <c r="E16" s="56">
        <f t="shared" si="3"/>
        <v>557.57166305284807</v>
      </c>
      <c r="F16" s="56">
        <f t="shared" si="4"/>
        <v>707.10485071839639</v>
      </c>
      <c r="G16" s="56">
        <f t="shared" si="5"/>
        <v>1124.794298104754</v>
      </c>
      <c r="H16" s="57" t="s">
        <v>22</v>
      </c>
      <c r="I16" s="57" t="s">
        <v>22</v>
      </c>
      <c r="N16" s="64">
        <f t="shared" si="6"/>
        <v>557571663.0528481</v>
      </c>
      <c r="O16" s="64">
        <f t="shared" si="7"/>
        <v>707104850.71839643</v>
      </c>
      <c r="P16" s="64">
        <f t="shared" si="8"/>
        <v>1124794298.104754</v>
      </c>
      <c r="T16" s="176">
        <v>25934</v>
      </c>
      <c r="U16" s="64">
        <v>547100000</v>
      </c>
      <c r="V16" s="261">
        <f t="shared" si="9"/>
        <v>0.91350809817999667</v>
      </c>
      <c r="W16" s="64">
        <v>707100000</v>
      </c>
      <c r="X16" s="261">
        <f t="shared" si="9"/>
        <v>0.82479878688907038</v>
      </c>
      <c r="Y16" s="64">
        <v>1124800000</v>
      </c>
      <c r="Z16" s="261">
        <f t="shared" si="10"/>
        <v>0.91670741646291765</v>
      </c>
      <c r="AB16" s="64">
        <v>58882375000</v>
      </c>
      <c r="AC16" s="64">
        <f t="shared" si="11"/>
        <v>0.89519040044319864</v>
      </c>
      <c r="AE16" s="64">
        <v>13547560000</v>
      </c>
      <c r="AF16" s="64">
        <f t="shared" si="12"/>
        <v>0.90258795588234897</v>
      </c>
    </row>
    <row r="17" spans="1:32" hidden="1" outlineLevel="1">
      <c r="A17" s="66">
        <v>1972</v>
      </c>
      <c r="B17" s="56">
        <f t="shared" si="0"/>
        <v>63913.522855336989</v>
      </c>
      <c r="C17" s="56">
        <f t="shared" si="1"/>
        <v>14399.568003878552</v>
      </c>
      <c r="D17" s="56">
        <f t="shared" si="2"/>
        <v>2694.6627921791237</v>
      </c>
      <c r="E17" s="56">
        <f t="shared" ref="E17:E41" si="13">N17/1000000</f>
        <v>610.36313105894851</v>
      </c>
      <c r="F17" s="56">
        <f t="shared" ref="F17:F41" si="14">O17/1000000</f>
        <v>857.3058810930296</v>
      </c>
      <c r="G17" s="56">
        <f t="shared" ref="G17:G41" si="15">P17/1000000</f>
        <v>1226.9937800271455</v>
      </c>
      <c r="H17" s="57" t="s">
        <v>22</v>
      </c>
      <c r="I17" s="57" t="s">
        <v>22</v>
      </c>
      <c r="N17" s="64">
        <f t="shared" si="6"/>
        <v>610363131.05894852</v>
      </c>
      <c r="O17" s="64">
        <f t="shared" si="7"/>
        <v>857305881.09302962</v>
      </c>
      <c r="P17" s="64">
        <f t="shared" si="8"/>
        <v>1226993780.0271454</v>
      </c>
      <c r="T17" s="176">
        <v>26299</v>
      </c>
      <c r="U17" s="64">
        <v>598900000</v>
      </c>
      <c r="V17" s="261">
        <f t="shared" si="9"/>
        <v>0.75704714953861707</v>
      </c>
      <c r="W17" s="64">
        <v>857300000</v>
      </c>
      <c r="X17" s="261">
        <f t="shared" si="9"/>
        <v>0.82535862135361504</v>
      </c>
      <c r="Y17" s="64">
        <v>1227000000</v>
      </c>
      <c r="Z17" s="261">
        <f t="shared" si="10"/>
        <v>0.91649238123692855</v>
      </c>
      <c r="AB17" s="64">
        <v>65776370000</v>
      </c>
      <c r="AC17" s="64">
        <f t="shared" si="11"/>
        <v>0.86945056891483197</v>
      </c>
      <c r="AE17" s="64">
        <v>15009684000</v>
      </c>
      <c r="AF17" s="64">
        <f t="shared" si="12"/>
        <v>0.88614942317011314</v>
      </c>
    </row>
    <row r="18" spans="1:32" collapsed="1">
      <c r="A18" s="66">
        <v>1973</v>
      </c>
      <c r="B18" s="56">
        <f t="shared" si="0"/>
        <v>73510.243296646469</v>
      </c>
      <c r="C18" s="56">
        <f t="shared" si="1"/>
        <v>16249.593609580541</v>
      </c>
      <c r="D18" s="56">
        <f t="shared" si="2"/>
        <v>3183.7422372333012</v>
      </c>
      <c r="E18" s="56">
        <f t="shared" si="13"/>
        <v>806.24189844837906</v>
      </c>
      <c r="F18" s="56">
        <f t="shared" si="14"/>
        <v>1038.7071255002097</v>
      </c>
      <c r="G18" s="56">
        <f t="shared" si="15"/>
        <v>1338.7932132847125</v>
      </c>
      <c r="H18" s="57" t="s">
        <v>22</v>
      </c>
      <c r="I18" s="57" t="s">
        <v>22</v>
      </c>
      <c r="N18" s="64">
        <f t="shared" si="6"/>
        <v>806241898.44837904</v>
      </c>
      <c r="O18" s="64">
        <f t="shared" si="7"/>
        <v>1038707125.5002098</v>
      </c>
      <c r="P18" s="64">
        <f t="shared" si="8"/>
        <v>1338793213.2847126</v>
      </c>
      <c r="T18" s="176">
        <v>26665</v>
      </c>
      <c r="U18" s="64">
        <v>791100000</v>
      </c>
      <c r="V18" s="261">
        <f t="shared" si="9"/>
        <v>0.81430777148739064</v>
      </c>
      <c r="W18" s="64">
        <v>1038700000</v>
      </c>
      <c r="X18" s="261">
        <f t="shared" si="9"/>
        <v>0.89105258642875529</v>
      </c>
      <c r="Y18" s="64">
        <v>1338800000</v>
      </c>
      <c r="Z18" s="261">
        <f t="shared" si="10"/>
        <v>0.80835647868614902</v>
      </c>
      <c r="AB18" s="64">
        <v>75652800000</v>
      </c>
      <c r="AC18" s="64">
        <f t="shared" si="11"/>
        <v>0.84094800333596675</v>
      </c>
      <c r="AE18" s="64">
        <v>16938096000</v>
      </c>
      <c r="AF18" s="64">
        <f t="shared" si="12"/>
        <v>0.85644478124047674</v>
      </c>
    </row>
    <row r="19" spans="1:32" hidden="1" outlineLevel="1">
      <c r="A19" s="66">
        <v>1974</v>
      </c>
      <c r="B19" s="56">
        <f t="shared" si="0"/>
        <v>87413.541628064762</v>
      </c>
      <c r="C19" s="56">
        <f t="shared" si="1"/>
        <v>18973.31149130781</v>
      </c>
      <c r="D19" s="56">
        <f t="shared" si="2"/>
        <v>3811.9944112180274</v>
      </c>
      <c r="E19" s="56">
        <f t="shared" si="13"/>
        <v>990.09481019163218</v>
      </c>
      <c r="F19" s="56">
        <f t="shared" si="14"/>
        <v>1165.7079967224363</v>
      </c>
      <c r="G19" s="56">
        <f t="shared" si="15"/>
        <v>1656.1916043039594</v>
      </c>
      <c r="H19" s="57" t="s">
        <v>22</v>
      </c>
      <c r="I19" s="57" t="s">
        <v>22</v>
      </c>
      <c r="N19" s="64">
        <f t="shared" si="6"/>
        <v>990094810.19163215</v>
      </c>
      <c r="O19" s="64">
        <f t="shared" si="7"/>
        <v>1165707996.7224362</v>
      </c>
      <c r="P19" s="64">
        <f t="shared" si="8"/>
        <v>1656191604.3039594</v>
      </c>
      <c r="T19" s="176">
        <v>27030</v>
      </c>
      <c r="U19" s="64">
        <v>971500000</v>
      </c>
      <c r="V19" s="261">
        <f t="shared" si="9"/>
        <v>1.0154698442562977</v>
      </c>
      <c r="W19" s="64">
        <v>1165700000</v>
      </c>
      <c r="X19" s="261">
        <f t="shared" si="9"/>
        <v>0.95682508413362888</v>
      </c>
      <c r="Y19" s="64">
        <v>1656200000</v>
      </c>
      <c r="Z19" s="261">
        <f t="shared" si="10"/>
        <v>0.97532536364171718</v>
      </c>
      <c r="AB19" s="64">
        <v>89961329000</v>
      </c>
      <c r="AC19" s="64">
        <f t="shared" si="11"/>
        <v>0.85989617337231283</v>
      </c>
      <c r="AE19" s="64">
        <v>19777219000</v>
      </c>
      <c r="AF19" s="64">
        <f t="shared" si="12"/>
        <v>0.90479677890972576</v>
      </c>
    </row>
    <row r="20" spans="1:32" hidden="1" outlineLevel="1">
      <c r="A20" s="66">
        <v>1975</v>
      </c>
      <c r="B20" s="56">
        <f t="shared" si="0"/>
        <v>101655.92583724286</v>
      </c>
      <c r="C20" s="56">
        <f t="shared" si="1"/>
        <v>20969.693895429788</v>
      </c>
      <c r="D20" s="56">
        <f t="shared" si="2"/>
        <v>3891.4112830800977</v>
      </c>
      <c r="E20" s="56">
        <f t="shared" si="13"/>
        <v>975.01153361846059</v>
      </c>
      <c r="F20" s="56">
        <f t="shared" si="14"/>
        <v>1218.3083575593585</v>
      </c>
      <c r="G20" s="56">
        <f t="shared" si="15"/>
        <v>1698.0913919022785</v>
      </c>
      <c r="H20" s="57" t="s">
        <v>22</v>
      </c>
      <c r="I20" s="57" t="s">
        <v>22</v>
      </c>
      <c r="N20" s="64">
        <f t="shared" si="6"/>
        <v>975011533.61846054</v>
      </c>
      <c r="O20" s="64">
        <f t="shared" si="7"/>
        <v>1218308357.5593584</v>
      </c>
      <c r="P20" s="64">
        <f t="shared" si="8"/>
        <v>1698091391.9022784</v>
      </c>
      <c r="T20" s="176">
        <v>27395</v>
      </c>
      <c r="U20" s="64">
        <v>956700000</v>
      </c>
      <c r="V20" s="261">
        <f t="shared" si="9"/>
        <v>0.93263794111912657</v>
      </c>
      <c r="W20" s="64">
        <v>1218300000</v>
      </c>
      <c r="X20" s="261">
        <f t="shared" si="9"/>
        <v>0.78171318575553417</v>
      </c>
      <c r="Y20" s="64">
        <v>1698100000</v>
      </c>
      <c r="Z20" s="261">
        <f t="shared" si="10"/>
        <v>0.79622075303605755</v>
      </c>
      <c r="AB20" s="64">
        <v>104618827000</v>
      </c>
      <c r="AC20" s="64">
        <f t="shared" si="11"/>
        <v>0.86627154459579392</v>
      </c>
      <c r="AE20" s="64">
        <v>21858189000</v>
      </c>
      <c r="AF20" s="64">
        <f t="shared" si="12"/>
        <v>0.87178216530502894</v>
      </c>
    </row>
    <row r="21" spans="1:32" hidden="1" outlineLevel="1">
      <c r="A21" s="66">
        <v>1976</v>
      </c>
      <c r="B21" s="56">
        <f t="shared" si="0"/>
        <v>117348.79954376887</v>
      </c>
      <c r="C21" s="56">
        <f t="shared" si="1"/>
        <v>24053.822996129631</v>
      </c>
      <c r="D21" s="56">
        <f t="shared" si="2"/>
        <v>4736.6340091126785</v>
      </c>
      <c r="E21" s="56">
        <f t="shared" si="13"/>
        <v>1045.4341289702277</v>
      </c>
      <c r="F21" s="56">
        <f t="shared" si="14"/>
        <v>1558.5106913373224</v>
      </c>
      <c r="G21" s="56">
        <f t="shared" si="15"/>
        <v>2132.6891888051287</v>
      </c>
      <c r="H21" s="57" t="s">
        <v>22</v>
      </c>
      <c r="I21" s="57" t="s">
        <v>22</v>
      </c>
      <c r="N21" s="64">
        <f t="shared" si="6"/>
        <v>1045434128.9702276</v>
      </c>
      <c r="O21" s="64">
        <f t="shared" si="7"/>
        <v>1558510691.3373225</v>
      </c>
      <c r="P21" s="64">
        <f t="shared" si="8"/>
        <v>2132689188.8051288</v>
      </c>
      <c r="T21" s="176">
        <v>27760</v>
      </c>
      <c r="U21" s="64">
        <v>1025800000</v>
      </c>
      <c r="V21" s="261">
        <f t="shared" si="9"/>
        <v>0.88614374568071874</v>
      </c>
      <c r="W21" s="64">
        <v>1558500000</v>
      </c>
      <c r="X21" s="261">
        <f t="shared" si="9"/>
        <v>0.86583333333333334</v>
      </c>
      <c r="Y21" s="64">
        <v>2132700000</v>
      </c>
      <c r="Z21" s="261">
        <f t="shared" si="10"/>
        <v>0.93187975181333571</v>
      </c>
      <c r="AB21" s="64">
        <v>120769091000</v>
      </c>
      <c r="AC21" s="64">
        <f t="shared" si="11"/>
        <v>0.90628310763897502</v>
      </c>
      <c r="AE21" s="64">
        <v>25072994000</v>
      </c>
      <c r="AF21" s="64">
        <f t="shared" si="12"/>
        <v>0.92064043072749158</v>
      </c>
    </row>
    <row r="22" spans="1:32" hidden="1" outlineLevel="1">
      <c r="A22" s="66">
        <v>1977</v>
      </c>
      <c r="B22" s="56">
        <f t="shared" si="0"/>
        <v>129483.60016273821</v>
      </c>
      <c r="C22" s="56">
        <f t="shared" si="1"/>
        <v>26127.272052480097</v>
      </c>
      <c r="D22" s="56">
        <f t="shared" si="2"/>
        <v>5268.3575682363899</v>
      </c>
      <c r="E22" s="56">
        <f t="shared" si="13"/>
        <v>1179.7568216961743</v>
      </c>
      <c r="F22" s="56">
        <f t="shared" si="14"/>
        <v>1800.012348031556</v>
      </c>
      <c r="G22" s="56">
        <f t="shared" si="15"/>
        <v>2288.5883985086593</v>
      </c>
      <c r="H22" s="57" t="s">
        <v>22</v>
      </c>
      <c r="I22" s="57" t="s">
        <v>22</v>
      </c>
      <c r="N22" s="64">
        <f t="shared" si="6"/>
        <v>1179756821.6961741</v>
      </c>
      <c r="O22" s="64">
        <f t="shared" si="7"/>
        <v>1800012348.0315561</v>
      </c>
      <c r="P22" s="64">
        <f t="shared" si="8"/>
        <v>2288588398.5086594</v>
      </c>
      <c r="T22" s="176">
        <v>28126</v>
      </c>
      <c r="U22" s="64">
        <v>1157600000</v>
      </c>
      <c r="V22" s="261">
        <f t="shared" si="9"/>
        <v>0.85130166200911894</v>
      </c>
      <c r="W22" s="64">
        <v>1800000000</v>
      </c>
      <c r="X22" s="261">
        <f t="shared" si="9"/>
        <v>0.86948120954497155</v>
      </c>
      <c r="Y22" s="64">
        <v>2288600000</v>
      </c>
      <c r="Z22" s="261">
        <f t="shared" si="10"/>
        <v>0.90759835025380708</v>
      </c>
      <c r="AB22" s="64">
        <v>133257577000</v>
      </c>
      <c r="AC22" s="64">
        <f t="shared" si="11"/>
        <v>0.92059073819137838</v>
      </c>
      <c r="AE22" s="64">
        <v>27234296000</v>
      </c>
      <c r="AF22" s="64">
        <f t="shared" si="12"/>
        <v>0.89787627238554735</v>
      </c>
    </row>
    <row r="23" spans="1:32" hidden="1" outlineLevel="1">
      <c r="A23" s="66">
        <v>1978</v>
      </c>
      <c r="B23" s="56">
        <f t="shared" si="0"/>
        <v>140652.72959092091</v>
      </c>
      <c r="C23" s="56">
        <f t="shared" si="1"/>
        <v>29098.967035918136</v>
      </c>
      <c r="D23" s="56">
        <f t="shared" si="2"/>
        <v>5977.6284111566983</v>
      </c>
      <c r="E23" s="56">
        <f t="shared" si="13"/>
        <v>1385.8269921755855</v>
      </c>
      <c r="F23" s="56">
        <f t="shared" si="14"/>
        <v>2070.214201608293</v>
      </c>
      <c r="G23" s="56">
        <f t="shared" si="15"/>
        <v>2521.5872173728199</v>
      </c>
      <c r="H23" s="57" t="s">
        <v>22</v>
      </c>
      <c r="I23" s="57" t="s">
        <v>22</v>
      </c>
      <c r="N23" s="64">
        <f t="shared" si="6"/>
        <v>1385826992.1755855</v>
      </c>
      <c r="O23" s="64">
        <f t="shared" si="7"/>
        <v>2070214201.6082931</v>
      </c>
      <c r="P23" s="64">
        <f t="shared" si="8"/>
        <v>2521587217.3728199</v>
      </c>
      <c r="T23" s="176">
        <v>28491</v>
      </c>
      <c r="U23" s="64">
        <v>1359800000</v>
      </c>
      <c r="V23" s="261">
        <f t="shared" si="9"/>
        <v>0.84506867192840718</v>
      </c>
      <c r="W23" s="64">
        <v>2070200000</v>
      </c>
      <c r="X23" s="261">
        <f t="shared" si="9"/>
        <v>0.87724056104072201</v>
      </c>
      <c r="Y23" s="64">
        <v>2521600000</v>
      </c>
      <c r="Z23" s="261">
        <f t="shared" si="10"/>
        <v>0.91461733768589049</v>
      </c>
      <c r="AB23" s="64">
        <v>144752246000</v>
      </c>
      <c r="AC23" s="64">
        <f t="shared" si="11"/>
        <v>0.89183163776230245</v>
      </c>
      <c r="AE23" s="64">
        <v>30331903000</v>
      </c>
      <c r="AF23" s="64">
        <f t="shared" si="12"/>
        <v>0.88243389732343136</v>
      </c>
    </row>
    <row r="24" spans="1:32" hidden="1" outlineLevel="1">
      <c r="A24" s="66">
        <v>1979</v>
      </c>
      <c r="B24" s="56">
        <f t="shared" si="0"/>
        <v>157712.19996616527</v>
      </c>
      <c r="C24" s="56">
        <f t="shared" si="1"/>
        <v>32975.803767489146</v>
      </c>
      <c r="D24" s="56">
        <f t="shared" si="2"/>
        <v>6756.8008842349518</v>
      </c>
      <c r="E24" s="56">
        <f t="shared" si="13"/>
        <v>1639.8986712088063</v>
      </c>
      <c r="F24" s="56">
        <f t="shared" si="14"/>
        <v>2359.916188955372</v>
      </c>
      <c r="G24" s="56">
        <f t="shared" si="15"/>
        <v>2756.986024070774</v>
      </c>
      <c r="H24" s="57" t="s">
        <v>22</v>
      </c>
      <c r="I24" s="57" t="s">
        <v>22</v>
      </c>
      <c r="N24" s="64">
        <f t="shared" si="6"/>
        <v>1639898671.2088063</v>
      </c>
      <c r="O24" s="64">
        <f t="shared" si="7"/>
        <v>2359916188.9553719</v>
      </c>
      <c r="P24" s="64">
        <f t="shared" si="8"/>
        <v>2756986024.0707741</v>
      </c>
      <c r="T24" s="176">
        <v>28856</v>
      </c>
      <c r="U24" s="64">
        <v>1609100000</v>
      </c>
      <c r="V24" s="261">
        <f t="shared" si="9"/>
        <v>0.96463041784065706</v>
      </c>
      <c r="W24" s="64">
        <v>2359900000</v>
      </c>
      <c r="X24" s="261">
        <f t="shared" si="9"/>
        <v>0.93836733070897449</v>
      </c>
      <c r="Y24" s="64">
        <v>2757000000</v>
      </c>
      <c r="Z24" s="261">
        <f t="shared" si="10"/>
        <v>0.89734409582085661</v>
      </c>
      <c r="AB24" s="64">
        <v>162308938000</v>
      </c>
      <c r="AC24" s="64">
        <f t="shared" si="11"/>
        <v>0.88802493629291712</v>
      </c>
      <c r="AE24" s="64">
        <v>34373003000</v>
      </c>
      <c r="AF24" s="64">
        <f t="shared" si="12"/>
        <v>0.91046413854162322</v>
      </c>
    </row>
    <row r="25" spans="1:32" hidden="1" outlineLevel="1">
      <c r="A25" s="66">
        <v>1980</v>
      </c>
      <c r="B25" s="56">
        <f t="shared" si="0"/>
        <v>177598.84156467373</v>
      </c>
      <c r="C25" s="56">
        <f t="shared" si="1"/>
        <v>36218.673939546505</v>
      </c>
      <c r="D25" s="56">
        <f t="shared" si="2"/>
        <v>7287.3296269263074</v>
      </c>
      <c r="E25" s="56">
        <f t="shared" si="13"/>
        <v>1700.0279494396927</v>
      </c>
      <c r="F25" s="56">
        <f t="shared" si="14"/>
        <v>2514.9172522580889</v>
      </c>
      <c r="G25" s="56">
        <f t="shared" si="15"/>
        <v>3072.3844252285262</v>
      </c>
      <c r="H25" s="57" t="s">
        <v>22</v>
      </c>
      <c r="I25" s="57" t="s">
        <v>22</v>
      </c>
      <c r="N25" s="64">
        <f t="shared" si="6"/>
        <v>1700027949.4396927</v>
      </c>
      <c r="O25" s="64">
        <f t="shared" si="7"/>
        <v>2514917252.2580891</v>
      </c>
      <c r="P25" s="64">
        <f t="shared" si="8"/>
        <v>3072384425.2285261</v>
      </c>
      <c r="T25" s="176">
        <v>29221</v>
      </c>
      <c r="U25" s="64">
        <v>1668100000</v>
      </c>
      <c r="V25" s="261">
        <f t="shared" si="9"/>
        <v>0.91729447346714321</v>
      </c>
      <c r="W25" s="64">
        <v>2514900000</v>
      </c>
      <c r="X25" s="261">
        <f t="shared" si="9"/>
        <v>1.0642826914938637</v>
      </c>
      <c r="Y25" s="64">
        <v>3072400000</v>
      </c>
      <c r="Z25" s="261">
        <f t="shared" si="10"/>
        <v>0.89441355419056212</v>
      </c>
      <c r="AB25" s="64">
        <v>182775203000</v>
      </c>
      <c r="AC25" s="64">
        <f t="shared" si="11"/>
        <v>0.8721874229649158</v>
      </c>
      <c r="AE25" s="64">
        <v>37753275000</v>
      </c>
      <c r="AF25" s="64">
        <f t="shared" si="12"/>
        <v>0.89661473109246914</v>
      </c>
    </row>
    <row r="26" spans="1:32" collapsed="1">
      <c r="A26" s="66">
        <v>1981</v>
      </c>
      <c r="B26" s="56">
        <f t="shared" si="0"/>
        <v>203624.63031276446</v>
      </c>
      <c r="C26" s="56">
        <f t="shared" si="1"/>
        <v>40394.912869004853</v>
      </c>
      <c r="D26" s="56">
        <f t="shared" si="2"/>
        <v>7651.405448745063</v>
      </c>
      <c r="E26" s="56">
        <f t="shared" si="13"/>
        <v>1853.3066519130036</v>
      </c>
      <c r="F26" s="56">
        <f t="shared" si="14"/>
        <v>2363.0162102214258</v>
      </c>
      <c r="G26" s="56">
        <f t="shared" si="15"/>
        <v>3435.0825866106334</v>
      </c>
      <c r="H26" s="57" t="s">
        <v>22</v>
      </c>
      <c r="I26" s="57" t="s">
        <v>22</v>
      </c>
      <c r="N26" s="64">
        <f t="shared" si="6"/>
        <v>1853306651.9130037</v>
      </c>
      <c r="O26" s="64">
        <f t="shared" si="7"/>
        <v>2363016210.221426</v>
      </c>
      <c r="P26" s="64">
        <f t="shared" si="8"/>
        <v>3435082586.6106334</v>
      </c>
      <c r="T26" s="176">
        <v>29587</v>
      </c>
      <c r="U26" s="64">
        <v>1818500000</v>
      </c>
      <c r="V26" s="261">
        <f t="shared" si="9"/>
        <v>1.0828272001905443</v>
      </c>
      <c r="W26" s="64">
        <v>2363000000</v>
      </c>
      <c r="X26" s="261">
        <f t="shared" si="9"/>
        <v>1.5169801630609232</v>
      </c>
      <c r="Y26" s="64">
        <v>3435100000</v>
      </c>
      <c r="Z26" s="261">
        <f t="shared" si="10"/>
        <v>0.953479334943237</v>
      </c>
      <c r="AB26" s="64">
        <v>209559549000</v>
      </c>
      <c r="AC26" s="64">
        <f t="shared" si="11"/>
        <v>0.93628941184411874</v>
      </c>
      <c r="AE26" s="64">
        <v>42106463000</v>
      </c>
      <c r="AF26" s="64">
        <f t="shared" si="12"/>
        <v>0.97955908833378103</v>
      </c>
    </row>
    <row r="27" spans="1:32">
      <c r="A27" s="66">
        <v>1982</v>
      </c>
      <c r="B27" s="56">
        <f t="shared" si="0"/>
        <v>217480.43685734383</v>
      </c>
      <c r="C27" s="56">
        <f t="shared" si="1"/>
        <v>41237.852162360257</v>
      </c>
      <c r="D27" s="56">
        <f t="shared" si="2"/>
        <v>6871.9366577845885</v>
      </c>
      <c r="E27" s="56">
        <f t="shared" si="13"/>
        <v>1711.544234931371</v>
      </c>
      <c r="F27" s="56">
        <f t="shared" si="14"/>
        <v>1557.7106858493082</v>
      </c>
      <c r="G27" s="56">
        <f t="shared" si="15"/>
        <v>3602.6817370039098</v>
      </c>
      <c r="H27" s="57" t="s">
        <v>22</v>
      </c>
      <c r="I27" s="57" t="s">
        <v>22</v>
      </c>
      <c r="N27" s="64">
        <f t="shared" si="6"/>
        <v>1711544234.931371</v>
      </c>
      <c r="O27" s="64">
        <f t="shared" si="7"/>
        <v>1557710685.8493083</v>
      </c>
      <c r="P27" s="64">
        <f t="shared" si="8"/>
        <v>3602681737.0039096</v>
      </c>
      <c r="T27" s="176">
        <v>29952</v>
      </c>
      <c r="U27" s="64">
        <v>1679400000</v>
      </c>
      <c r="V27" s="261">
        <f t="shared" si="9"/>
        <v>0.90675449489768367</v>
      </c>
      <c r="W27" s="64">
        <v>1557700000</v>
      </c>
      <c r="X27" s="261">
        <f t="shared" si="9"/>
        <v>0.60971504618756844</v>
      </c>
      <c r="Y27" s="64">
        <v>3602700000</v>
      </c>
      <c r="Z27" s="261">
        <f t="shared" si="10"/>
        <v>0.95048016040523431</v>
      </c>
      <c r="AB27" s="64">
        <v>223819202000</v>
      </c>
      <c r="AC27" s="64">
        <f t="shared" si="11"/>
        <v>0.95095584319242221</v>
      </c>
      <c r="AE27" s="64">
        <v>42985118000</v>
      </c>
      <c r="AF27" s="64">
        <f t="shared" si="12"/>
        <v>0.94664350007969977</v>
      </c>
    </row>
    <row r="28" spans="1:32">
      <c r="A28" s="66">
        <v>1983</v>
      </c>
      <c r="B28" s="56">
        <f t="shared" si="0"/>
        <v>228696.67231576965</v>
      </c>
      <c r="C28" s="56">
        <f t="shared" si="1"/>
        <v>43562.17748169016</v>
      </c>
      <c r="D28" s="56">
        <f t="shared" si="2"/>
        <v>8232.7480777733363</v>
      </c>
      <c r="E28" s="56">
        <f t="shared" si="13"/>
        <v>1887.5497662953389</v>
      </c>
      <c r="F28" s="56">
        <f t="shared" si="14"/>
        <v>2554.8175259727886</v>
      </c>
      <c r="G28" s="56">
        <f t="shared" si="15"/>
        <v>3790.3807855052096</v>
      </c>
      <c r="H28" s="57" t="s">
        <v>22</v>
      </c>
      <c r="I28" s="57" t="s">
        <v>22</v>
      </c>
      <c r="N28" s="64">
        <f t="shared" si="6"/>
        <v>1887549766.2953389</v>
      </c>
      <c r="O28" s="64">
        <f t="shared" si="7"/>
        <v>2554817525.9727888</v>
      </c>
      <c r="P28" s="64">
        <f t="shared" si="8"/>
        <v>3790380785.5052094</v>
      </c>
      <c r="T28" s="176">
        <v>30317</v>
      </c>
      <c r="U28" s="64">
        <v>1852100000</v>
      </c>
      <c r="V28" s="261">
        <f t="shared" si="9"/>
        <v>0.90758073210172985</v>
      </c>
      <c r="W28" s="64">
        <v>2554800000</v>
      </c>
      <c r="X28" s="261">
        <f t="shared" si="9"/>
        <v>0.94783705572456778</v>
      </c>
      <c r="Y28" s="64">
        <v>3790400000</v>
      </c>
      <c r="Z28" s="261">
        <f t="shared" si="10"/>
        <v>0.9529364440868866</v>
      </c>
      <c r="AB28" s="64">
        <v>235362350000</v>
      </c>
      <c r="AC28" s="64">
        <f t="shared" si="11"/>
        <v>0.92746402527843852</v>
      </c>
      <c r="AE28" s="64">
        <v>45407926000</v>
      </c>
      <c r="AF28" s="64">
        <f t="shared" si="12"/>
        <v>0.92174618327176949</v>
      </c>
    </row>
    <row r="29" spans="1:32">
      <c r="A29" s="66">
        <v>1984</v>
      </c>
      <c r="B29" s="56">
        <f t="shared" si="0"/>
        <v>246582.79575545964</v>
      </c>
      <c r="C29" s="56">
        <f t="shared" si="1"/>
        <v>47260.491306906988</v>
      </c>
      <c r="D29" s="56">
        <f t="shared" si="2"/>
        <v>8752.7579556047658</v>
      </c>
      <c r="E29" s="56">
        <f t="shared" si="13"/>
        <v>2079.7596285723762</v>
      </c>
      <c r="F29" s="56">
        <f t="shared" si="14"/>
        <v>2695.418490491254</v>
      </c>
      <c r="G29" s="56">
        <f t="shared" si="15"/>
        <v>3977.5798365411356</v>
      </c>
      <c r="H29" s="57" t="s">
        <v>22</v>
      </c>
      <c r="I29" s="57" t="s">
        <v>22</v>
      </c>
      <c r="N29" s="64">
        <f t="shared" si="6"/>
        <v>2079759628.572376</v>
      </c>
      <c r="O29" s="64">
        <f t="shared" si="7"/>
        <v>2695418490.4912539</v>
      </c>
      <c r="P29" s="64">
        <f t="shared" si="8"/>
        <v>3977579836.5411358</v>
      </c>
      <c r="T29" s="176">
        <v>30682</v>
      </c>
      <c r="U29" s="64">
        <v>2040700000</v>
      </c>
      <c r="V29" s="261">
        <f t="shared" si="9"/>
        <v>1.0301882982482711</v>
      </c>
      <c r="W29" s="64">
        <v>2695400000</v>
      </c>
      <c r="X29" s="261">
        <f t="shared" si="9"/>
        <v>0.93060350780278966</v>
      </c>
      <c r="Y29" s="64">
        <v>3977600000</v>
      </c>
      <c r="Z29" s="261">
        <f t="shared" si="10"/>
        <v>0.93886607185006843</v>
      </c>
      <c r="AB29" s="64">
        <v>253769789000</v>
      </c>
      <c r="AC29" s="64">
        <f t="shared" si="11"/>
        <v>0.92533603304973278</v>
      </c>
      <c r="AE29" s="64">
        <v>49262939000</v>
      </c>
      <c r="AF29" s="64">
        <f t="shared" si="12"/>
        <v>0.93213557210892062</v>
      </c>
    </row>
    <row r="30" spans="1:32">
      <c r="A30" s="66">
        <v>1985</v>
      </c>
      <c r="B30" s="56">
        <f t="shared" si="0"/>
        <v>266479.18912524061</v>
      </c>
      <c r="C30" s="56">
        <f t="shared" si="1"/>
        <v>50701.30646337416</v>
      </c>
      <c r="D30" s="56">
        <f t="shared" si="2"/>
        <v>9151.8134310537989</v>
      </c>
      <c r="E30" s="56">
        <f t="shared" si="13"/>
        <v>2018.8150380942907</v>
      </c>
      <c r="F30" s="56">
        <f t="shared" si="14"/>
        <v>2896.4198693547778</v>
      </c>
      <c r="G30" s="56">
        <f t="shared" si="15"/>
        <v>4236.5785236047304</v>
      </c>
      <c r="H30" s="57" t="s">
        <v>22</v>
      </c>
      <c r="I30" s="57" t="s">
        <v>22</v>
      </c>
      <c r="N30" s="64">
        <f t="shared" si="6"/>
        <v>2018815038.0942907</v>
      </c>
      <c r="O30" s="64">
        <f t="shared" si="7"/>
        <v>2896419869.3547778</v>
      </c>
      <c r="P30" s="64">
        <f t="shared" si="8"/>
        <v>4236578523.6047306</v>
      </c>
      <c r="T30" s="176">
        <v>31048</v>
      </c>
      <c r="U30" s="64">
        <v>1980900000</v>
      </c>
      <c r="V30" s="261">
        <f t="shared" si="9"/>
        <v>1.0062992125984251</v>
      </c>
      <c r="W30" s="64">
        <v>2896400000</v>
      </c>
      <c r="X30" s="261">
        <f t="shared" si="9"/>
        <v>0.97851351351351357</v>
      </c>
      <c r="Y30" s="64">
        <v>4236600000</v>
      </c>
      <c r="Z30" s="261">
        <f t="shared" si="10"/>
        <v>0.93796493092454836</v>
      </c>
      <c r="AB30" s="64">
        <v>274246090000</v>
      </c>
      <c r="AC30" s="64">
        <f t="shared" si="11"/>
        <v>0.93888945531176982</v>
      </c>
      <c r="AE30" s="64">
        <v>52849543000</v>
      </c>
      <c r="AF30" s="64">
        <f t="shared" si="12"/>
        <v>0.94922232694391317</v>
      </c>
    </row>
    <row r="31" spans="1:32">
      <c r="A31" s="66">
        <v>1986</v>
      </c>
      <c r="B31" s="56">
        <f t="shared" si="0"/>
        <v>283823.817189163</v>
      </c>
      <c r="C31" s="56">
        <f t="shared" si="1"/>
        <v>53413.520757155507</v>
      </c>
      <c r="D31" s="56">
        <f t="shared" si="2"/>
        <v>9482.9751071147784</v>
      </c>
      <c r="E31" s="56">
        <f t="shared" si="13"/>
        <v>2006.1776982627146</v>
      </c>
      <c r="F31" s="56">
        <f t="shared" si="14"/>
        <v>2960.0203056518926</v>
      </c>
      <c r="G31" s="56">
        <f t="shared" si="15"/>
        <v>4516.777103200171</v>
      </c>
      <c r="H31" s="57" t="s">
        <v>22</v>
      </c>
      <c r="I31" s="57" t="s">
        <v>22</v>
      </c>
      <c r="N31" s="64">
        <f t="shared" si="6"/>
        <v>2006177698.2627146</v>
      </c>
      <c r="O31" s="64">
        <f t="shared" si="7"/>
        <v>2960020305.6518927</v>
      </c>
      <c r="P31" s="64">
        <f t="shared" si="8"/>
        <v>4516777103.2001715</v>
      </c>
      <c r="T31" s="176">
        <v>31413</v>
      </c>
      <c r="U31" s="64">
        <v>1968500000</v>
      </c>
      <c r="V31" s="261">
        <f t="shared" si="9"/>
        <v>0.89481340060911863</v>
      </c>
      <c r="W31" s="64">
        <v>2960000000</v>
      </c>
      <c r="X31" s="261">
        <f t="shared" si="9"/>
        <v>0.86711975626904148</v>
      </c>
      <c r="Y31" s="64">
        <v>4516800000</v>
      </c>
      <c r="Z31" s="261">
        <f t="shared" si="10"/>
        <v>0.95686806202864161</v>
      </c>
      <c r="AB31" s="64">
        <v>292096251000</v>
      </c>
      <c r="AC31" s="64">
        <f t="shared" si="11"/>
        <v>0.91956949403358912</v>
      </c>
      <c r="AE31" s="64">
        <v>55676675000</v>
      </c>
      <c r="AF31" s="64">
        <f t="shared" si="12"/>
        <v>0.94094262359427105</v>
      </c>
    </row>
    <row r="32" spans="1:32">
      <c r="A32" s="66">
        <v>1987</v>
      </c>
      <c r="B32" s="56">
        <f t="shared" si="0"/>
        <v>308648.57852580718</v>
      </c>
      <c r="C32" s="56">
        <f t="shared" si="1"/>
        <v>56765.970015390762</v>
      </c>
      <c r="D32" s="56">
        <f t="shared" si="2"/>
        <v>10376.006254221071</v>
      </c>
      <c r="E32" s="56">
        <f t="shared" si="13"/>
        <v>2242.0067657648697</v>
      </c>
      <c r="F32" s="56">
        <f t="shared" si="14"/>
        <v>3413.623417355845</v>
      </c>
      <c r="G32" s="56">
        <f t="shared" si="15"/>
        <v>4720.3760711003561</v>
      </c>
      <c r="H32" s="57" t="s">
        <v>22</v>
      </c>
      <c r="I32" s="57" t="s">
        <v>22</v>
      </c>
      <c r="N32" s="64">
        <f t="shared" si="6"/>
        <v>2242006765.7648697</v>
      </c>
      <c r="O32" s="64">
        <f t="shared" si="7"/>
        <v>3413623417.355845</v>
      </c>
      <c r="P32" s="64">
        <f t="shared" si="8"/>
        <v>4720376071.1003561</v>
      </c>
      <c r="T32" s="176">
        <v>31778</v>
      </c>
      <c r="U32" s="64">
        <v>2199900000</v>
      </c>
      <c r="V32" s="261">
        <f t="shared" si="9"/>
        <v>0.98148478629428038</v>
      </c>
      <c r="W32" s="64">
        <v>3413600000</v>
      </c>
      <c r="X32" s="261">
        <f t="shared" si="9"/>
        <v>0.94515048315197825</v>
      </c>
      <c r="Y32" s="64">
        <v>4720400000</v>
      </c>
      <c r="Z32" s="261">
        <f t="shared" si="10"/>
        <v>0.93465864089973072</v>
      </c>
      <c r="AB32" s="64">
        <v>317644564000</v>
      </c>
      <c r="AC32" s="64">
        <f t="shared" si="11"/>
        <v>0.91024650519036654</v>
      </c>
      <c r="AE32" s="64">
        <v>59171169000</v>
      </c>
      <c r="AF32" s="64">
        <f t="shared" si="12"/>
        <v>0.91205899593398043</v>
      </c>
    </row>
    <row r="33" spans="1:32">
      <c r="A33" s="66">
        <v>1988</v>
      </c>
      <c r="B33" s="56">
        <f t="shared" si="0"/>
        <v>339082.40983716521</v>
      </c>
      <c r="C33" s="56">
        <f t="shared" si="1"/>
        <v>62239.362002301634</v>
      </c>
      <c r="D33" s="56">
        <f t="shared" si="2"/>
        <v>10946.400263160627</v>
      </c>
      <c r="E33" s="56">
        <f t="shared" si="13"/>
        <v>2284.3010885882895</v>
      </c>
      <c r="F33" s="56">
        <f t="shared" si="14"/>
        <v>3611.7247763253176</v>
      </c>
      <c r="G33" s="56">
        <f t="shared" si="15"/>
        <v>5050.3743982470205</v>
      </c>
      <c r="H33" s="57" t="s">
        <v>22</v>
      </c>
      <c r="I33" s="57" t="s">
        <v>22</v>
      </c>
      <c r="N33" s="64">
        <f t="shared" si="6"/>
        <v>2284301088.5882897</v>
      </c>
      <c r="O33" s="64">
        <f t="shared" si="7"/>
        <v>3611724776.3253179</v>
      </c>
      <c r="P33" s="64">
        <f t="shared" si="8"/>
        <v>5050374398.2470207</v>
      </c>
      <c r="T33" s="176">
        <v>32143</v>
      </c>
      <c r="U33" s="64">
        <v>2241400000</v>
      </c>
      <c r="V33" s="261">
        <f t="shared" si="9"/>
        <v>0.95549492710375994</v>
      </c>
      <c r="W33" s="64">
        <v>3611700000</v>
      </c>
      <c r="X33" s="261">
        <f t="shared" si="9"/>
        <v>0.97531797683022337</v>
      </c>
      <c r="Y33" s="64">
        <v>5050400000</v>
      </c>
      <c r="Z33" s="261">
        <f t="shared" si="10"/>
        <v>0.96066347104922778</v>
      </c>
      <c r="AB33" s="64">
        <v>348965431000</v>
      </c>
      <c r="AC33" s="64">
        <f t="shared" si="11"/>
        <v>0.92756899833343998</v>
      </c>
      <c r="AE33" s="64">
        <v>64876471000</v>
      </c>
      <c r="AF33" s="64">
        <f t="shared" si="12"/>
        <v>0.94621417608615199</v>
      </c>
    </row>
    <row r="34" spans="1:32">
      <c r="A34" s="66">
        <v>1989</v>
      </c>
      <c r="B34" s="56">
        <f t="shared" si="0"/>
        <v>365560.30920221936</v>
      </c>
      <c r="C34" s="56">
        <f t="shared" si="1"/>
        <v>65777.245337565939</v>
      </c>
      <c r="D34" s="56">
        <f t="shared" si="2"/>
        <v>11350.998090104207</v>
      </c>
      <c r="E34" s="56">
        <f t="shared" si="13"/>
        <v>2390.6993368476892</v>
      </c>
      <c r="F34" s="56">
        <f t="shared" si="14"/>
        <v>3703.1254033309201</v>
      </c>
      <c r="G34" s="56">
        <f t="shared" si="15"/>
        <v>5257.173349925597</v>
      </c>
      <c r="H34" s="57" t="s">
        <v>22</v>
      </c>
      <c r="I34" s="57" t="s">
        <v>22</v>
      </c>
      <c r="N34" s="64">
        <f t="shared" si="6"/>
        <v>2390699336.8476892</v>
      </c>
      <c r="O34" s="64">
        <f t="shared" si="7"/>
        <v>3703125403.3309202</v>
      </c>
      <c r="P34" s="64">
        <f t="shared" si="8"/>
        <v>5257173349.9255972</v>
      </c>
      <c r="T34" s="176">
        <v>32509</v>
      </c>
      <c r="U34" s="64">
        <v>2345800000</v>
      </c>
      <c r="V34" s="261">
        <f t="shared" si="9"/>
        <v>1.0698713855696433</v>
      </c>
      <c r="W34" s="64">
        <v>3703100000</v>
      </c>
      <c r="X34" s="261">
        <f t="shared" si="9"/>
        <v>1.0313030885342691</v>
      </c>
      <c r="Y34" s="64">
        <v>5257200000</v>
      </c>
      <c r="Z34" s="261">
        <f t="shared" si="10"/>
        <v>0.98810262193402876</v>
      </c>
      <c r="AB34" s="64">
        <v>376215065000</v>
      </c>
      <c r="AC34" s="64">
        <f t="shared" si="11"/>
        <v>0.95141751182894385</v>
      </c>
      <c r="AE34" s="64">
        <v>68564256000</v>
      </c>
      <c r="AF34" s="64">
        <f t="shared" si="12"/>
        <v>0.99734499561063072</v>
      </c>
    </row>
    <row r="35" spans="1:32">
      <c r="A35" s="66">
        <v>1990</v>
      </c>
      <c r="B35" s="56">
        <f t="shared" si="0"/>
        <v>384227.01354265568</v>
      </c>
      <c r="C35" s="56">
        <f t="shared" si="1"/>
        <v>65952.349113952703</v>
      </c>
      <c r="D35" s="56">
        <f t="shared" si="2"/>
        <v>11145.764702816046</v>
      </c>
      <c r="E35" s="56">
        <f t="shared" si="13"/>
        <v>2234.567041509184</v>
      </c>
      <c r="F35" s="56">
        <f t="shared" si="14"/>
        <v>3590.7246322649498</v>
      </c>
      <c r="G35" s="56">
        <f t="shared" si="15"/>
        <v>5320.473029041912</v>
      </c>
      <c r="H35" s="57" t="s">
        <v>22</v>
      </c>
      <c r="I35" s="57" t="s">
        <v>22</v>
      </c>
      <c r="N35" s="64">
        <f t="shared" si="6"/>
        <v>2234567041.5091839</v>
      </c>
      <c r="O35" s="64">
        <f t="shared" si="7"/>
        <v>3590724632.2649498</v>
      </c>
      <c r="P35" s="64">
        <f t="shared" si="8"/>
        <v>5320473029.0419121</v>
      </c>
      <c r="T35" s="176">
        <v>32874</v>
      </c>
      <c r="U35" s="64">
        <v>2192600000</v>
      </c>
      <c r="V35" s="261">
        <f t="shared" si="9"/>
        <v>1.0057336819411953</v>
      </c>
      <c r="W35" s="64">
        <v>3590700000</v>
      </c>
      <c r="X35" s="261">
        <f t="shared" si="9"/>
        <v>1.0858862309855748</v>
      </c>
      <c r="Y35" s="64">
        <v>5320500000</v>
      </c>
      <c r="Z35" s="261">
        <f t="shared" si="10"/>
        <v>0.98189569261432841</v>
      </c>
      <c r="AB35" s="64">
        <v>395425836000</v>
      </c>
      <c r="AC35" s="64">
        <f t="shared" si="11"/>
        <v>0.97325809186123202</v>
      </c>
      <c r="AE35" s="64">
        <v>68746779000</v>
      </c>
      <c r="AF35" s="64">
        <f t="shared" si="12"/>
        <v>1.0168586496999068</v>
      </c>
    </row>
    <row r="36" spans="1:32">
      <c r="A36" s="66">
        <v>1991</v>
      </c>
      <c r="B36" s="56">
        <f t="shared" si="0"/>
        <v>394784.29900117294</v>
      </c>
      <c r="C36" s="56">
        <f t="shared" si="1"/>
        <v>64858.915379651262</v>
      </c>
      <c r="D36" s="56">
        <f t="shared" si="2"/>
        <v>10947.123003414918</v>
      </c>
      <c r="E36" s="56">
        <f t="shared" si="13"/>
        <v>2221.8277876467082</v>
      </c>
      <c r="F36" s="56">
        <f t="shared" si="14"/>
        <v>3306.722684019971</v>
      </c>
      <c r="G36" s="56">
        <f t="shared" si="15"/>
        <v>5418.5725317482384</v>
      </c>
      <c r="H36" s="57" t="s">
        <v>22</v>
      </c>
      <c r="I36" s="57" t="s">
        <v>22</v>
      </c>
      <c r="N36" s="64">
        <f t="shared" si="6"/>
        <v>2221827787.646708</v>
      </c>
      <c r="O36" s="64">
        <f t="shared" si="7"/>
        <v>3306722684.0199709</v>
      </c>
      <c r="P36" s="64">
        <f t="shared" si="8"/>
        <v>5418572531.7482386</v>
      </c>
      <c r="T36" s="176">
        <v>33239</v>
      </c>
      <c r="U36" s="64">
        <v>2180100000</v>
      </c>
      <c r="V36" s="261">
        <f t="shared" si="9"/>
        <v>0.98633669637605759</v>
      </c>
      <c r="W36" s="64">
        <v>3306700000</v>
      </c>
      <c r="X36" s="261">
        <f t="shared" si="9"/>
        <v>0.92541699317138704</v>
      </c>
      <c r="Y36" s="64">
        <v>5418600000</v>
      </c>
      <c r="Z36" s="261">
        <f t="shared" si="10"/>
        <v>1.0014600698615705</v>
      </c>
      <c r="AB36" s="64">
        <v>406290828000</v>
      </c>
      <c r="AC36" s="64">
        <f t="shared" si="11"/>
        <v>0.97581030764707977</v>
      </c>
      <c r="AE36" s="64">
        <v>67607016000</v>
      </c>
      <c r="AF36" s="64">
        <f t="shared" si="12"/>
        <v>0.98585449979762185</v>
      </c>
    </row>
    <row r="37" spans="1:32">
      <c r="A37" s="66">
        <v>1992</v>
      </c>
      <c r="B37" s="56">
        <f t="shared" si="0"/>
        <v>404570.74075503019</v>
      </c>
      <c r="C37" s="56">
        <f t="shared" si="1"/>
        <v>65789.54135013395</v>
      </c>
      <c r="D37" s="56">
        <f t="shared" si="2"/>
        <v>11236.502908988426</v>
      </c>
      <c r="E37" s="56">
        <f t="shared" si="13"/>
        <v>2252.6058249784496</v>
      </c>
      <c r="F37" s="56">
        <f t="shared" si="14"/>
        <v>3573.2245122146428</v>
      </c>
      <c r="G37" s="56">
        <f t="shared" si="15"/>
        <v>5410.6725717953341</v>
      </c>
      <c r="H37" s="57" t="s">
        <v>22</v>
      </c>
      <c r="I37" s="57" t="s">
        <v>22</v>
      </c>
      <c r="N37" s="64">
        <f t="shared" si="6"/>
        <v>2252605824.9784498</v>
      </c>
      <c r="O37" s="64">
        <f t="shared" si="7"/>
        <v>3573224512.214643</v>
      </c>
      <c r="P37" s="64">
        <f t="shared" si="8"/>
        <v>5410672571.7953339</v>
      </c>
      <c r="T37" s="176">
        <v>33604</v>
      </c>
      <c r="U37" s="64">
        <v>2210300000</v>
      </c>
      <c r="V37" s="261">
        <f t="shared" si="9"/>
        <v>0.91664247501347818</v>
      </c>
      <c r="W37" s="64">
        <v>3573200000</v>
      </c>
      <c r="X37" s="261">
        <f t="shared" si="9"/>
        <v>0.9038524776768776</v>
      </c>
      <c r="Y37" s="64">
        <v>5410700000</v>
      </c>
      <c r="Z37" s="261">
        <f t="shared" si="10"/>
        <v>0.99146097887233609</v>
      </c>
      <c r="AB37" s="64">
        <v>416362509000</v>
      </c>
      <c r="AC37" s="64">
        <f t="shared" si="11"/>
        <v>0.97882485886267978</v>
      </c>
      <c r="AE37" s="64">
        <v>68577073000</v>
      </c>
      <c r="AF37" s="64">
        <f t="shared" si="12"/>
        <v>0.97972714020299478</v>
      </c>
    </row>
    <row r="38" spans="1:32">
      <c r="A38" s="66">
        <v>1993</v>
      </c>
      <c r="B38" s="56">
        <f t="shared" si="0"/>
        <v>413322.91174655157</v>
      </c>
      <c r="C38" s="56">
        <f t="shared" si="1"/>
        <v>67150.8817613266</v>
      </c>
      <c r="D38" s="56">
        <f t="shared" si="2"/>
        <v>11868.052482362535</v>
      </c>
      <c r="E38" s="56">
        <f t="shared" si="13"/>
        <v>2457.4530270870632</v>
      </c>
      <c r="F38" s="56">
        <f t="shared" si="14"/>
        <v>3953.3271197073063</v>
      </c>
      <c r="G38" s="56">
        <f t="shared" si="15"/>
        <v>5457.2723355681655</v>
      </c>
      <c r="H38" s="57" t="s">
        <v>22</v>
      </c>
      <c r="I38" s="57" t="s">
        <v>22</v>
      </c>
      <c r="N38" s="64">
        <f t="shared" si="6"/>
        <v>2457453027.0870633</v>
      </c>
      <c r="O38" s="64">
        <f t="shared" si="7"/>
        <v>3953327119.7073064</v>
      </c>
      <c r="P38" s="64">
        <f t="shared" si="8"/>
        <v>5457272335.5681658</v>
      </c>
      <c r="T38" s="176">
        <v>33970</v>
      </c>
      <c r="U38" s="64">
        <v>2411300000</v>
      </c>
      <c r="V38" s="261">
        <f t="shared" si="9"/>
        <v>0.98064175037618451</v>
      </c>
      <c r="W38" s="64">
        <v>3953300000</v>
      </c>
      <c r="X38" s="261">
        <f t="shared" si="9"/>
        <v>0.89886541915827289</v>
      </c>
      <c r="Y38" s="64">
        <v>5457300000</v>
      </c>
      <c r="Z38" s="261">
        <f t="shared" si="10"/>
        <v>0.9617404483293388</v>
      </c>
      <c r="AB38" s="64">
        <v>425369774000</v>
      </c>
      <c r="AC38" s="64">
        <f t="shared" si="11"/>
        <v>0.97487514827136501</v>
      </c>
      <c r="AE38" s="64">
        <v>69996094000</v>
      </c>
      <c r="AF38" s="64">
        <f t="shared" si="12"/>
        <v>0.95638053384287391</v>
      </c>
    </row>
    <row r="39" spans="1:32">
      <c r="A39" s="66">
        <v>1994</v>
      </c>
      <c r="B39" s="56">
        <f>B40*AC39</f>
        <v>423975.22644766356</v>
      </c>
      <c r="C39" s="56">
        <f t="shared" si="1"/>
        <v>70213.55975482348</v>
      </c>
      <c r="D39" s="56">
        <f t="shared" si="2"/>
        <v>12578.465511871917</v>
      </c>
      <c r="E39" s="56">
        <f t="shared" si="13"/>
        <v>2505.9641057953713</v>
      </c>
      <c r="F39" s="56">
        <f t="shared" si="14"/>
        <v>4398.1301710431044</v>
      </c>
      <c r="G39" s="56">
        <f t="shared" si="15"/>
        <v>5674.3712350334417</v>
      </c>
      <c r="H39" s="57" t="s">
        <v>22</v>
      </c>
      <c r="I39" s="57" t="s">
        <v>22</v>
      </c>
      <c r="N39" s="64">
        <f t="shared" si="6"/>
        <v>2505964105.7953715</v>
      </c>
      <c r="O39" s="64">
        <f t="shared" si="7"/>
        <v>4398130171.0431042</v>
      </c>
      <c r="P39" s="64">
        <f t="shared" si="8"/>
        <v>5674371235.0334415</v>
      </c>
      <c r="T39" s="176">
        <v>34335</v>
      </c>
      <c r="U39" s="64">
        <v>2458900000</v>
      </c>
      <c r="V39" s="261">
        <f t="shared" si="9"/>
        <v>0.81523108547178569</v>
      </c>
      <c r="W39" s="64">
        <v>4398100000</v>
      </c>
      <c r="X39" s="261">
        <f t="shared" si="9"/>
        <v>0.95242323184200273</v>
      </c>
      <c r="Y39" s="64">
        <v>5674400000</v>
      </c>
      <c r="Z39" s="261">
        <f t="shared" si="10"/>
        <v>0.93779334963971706</v>
      </c>
      <c r="AB39" s="64">
        <v>436332565000</v>
      </c>
      <c r="AC39" s="64">
        <f t="shared" si="11"/>
        <v>0.96815385204470605</v>
      </c>
      <c r="AE39" s="64">
        <v>73188539000</v>
      </c>
      <c r="AF39" s="64">
        <f t="shared" si="12"/>
        <v>0.94640977927845438</v>
      </c>
    </row>
    <row r="40" spans="1:32">
      <c r="A40" s="66">
        <v>1995</v>
      </c>
      <c r="B40" s="56">
        <f>B41*AC40</f>
        <v>437921.33404442191</v>
      </c>
      <c r="C40" s="56">
        <f t="shared" si="1"/>
        <v>74189.385287580721</v>
      </c>
      <c r="D40" s="56">
        <f t="shared" si="2"/>
        <v>13742.532005155745</v>
      </c>
      <c r="E40" s="56">
        <f t="shared" si="13"/>
        <v>3073.931</v>
      </c>
      <c r="F40" s="56">
        <f t="shared" si="14"/>
        <v>4617.8316781889553</v>
      </c>
      <c r="G40" s="56">
        <f t="shared" si="15"/>
        <v>6050.7693269667889</v>
      </c>
      <c r="H40" s="57" t="s">
        <v>22</v>
      </c>
      <c r="I40" s="57" t="s">
        <v>22</v>
      </c>
      <c r="N40" s="64">
        <f t="shared" si="6"/>
        <v>3073931000</v>
      </c>
      <c r="O40" s="64">
        <f t="shared" si="7"/>
        <v>4617831678.1889553</v>
      </c>
      <c r="P40" s="64">
        <f t="shared" si="8"/>
        <v>6050769326.9667892</v>
      </c>
      <c r="T40" s="176">
        <v>34700</v>
      </c>
      <c r="U40" s="64">
        <v>3016200000</v>
      </c>
      <c r="V40" s="261">
        <f t="shared" si="9"/>
        <v>1</v>
      </c>
      <c r="W40" s="64">
        <v>4617800000</v>
      </c>
      <c r="X40" s="261">
        <f t="shared" si="9"/>
        <v>0.96431181740347072</v>
      </c>
      <c r="Y40" s="64">
        <v>6050800000</v>
      </c>
      <c r="Z40" s="261">
        <f t="shared" si="10"/>
        <v>0.98661318462717473</v>
      </c>
      <c r="AB40" s="64">
        <v>450685151000</v>
      </c>
      <c r="AC40" s="64">
        <f t="shared" si="11"/>
        <v>0.97286237802770492</v>
      </c>
      <c r="AE40" s="64">
        <v>77332822000</v>
      </c>
      <c r="AF40" s="64">
        <f t="shared" si="12"/>
        <v>0.96683481285459061</v>
      </c>
    </row>
    <row r="41" spans="1:32">
      <c r="A41" s="66">
        <v>1996</v>
      </c>
      <c r="B41" s="56">
        <f>B42*AC41</f>
        <v>450136.98127809697</v>
      </c>
      <c r="C41" s="56">
        <f>C42*AF41</f>
        <v>76734.292457400996</v>
      </c>
      <c r="D41" s="56">
        <f t="shared" si="2"/>
        <v>13995.532761347109</v>
      </c>
      <c r="E41" s="56">
        <f t="shared" si="13"/>
        <v>3073.931</v>
      </c>
      <c r="F41" s="56">
        <f t="shared" si="14"/>
        <v>4788.7328505659516</v>
      </c>
      <c r="G41" s="56">
        <f t="shared" si="15"/>
        <v>6132.868910781157</v>
      </c>
      <c r="H41" s="57" t="s">
        <v>22</v>
      </c>
      <c r="I41" s="57" t="s">
        <v>22</v>
      </c>
      <c r="N41" s="64">
        <f>N42*V41</f>
        <v>3073931000</v>
      </c>
      <c r="O41" s="64">
        <f>O42*X41</f>
        <v>4788732850.5659513</v>
      </c>
      <c r="P41" s="64">
        <f>P42*Z41</f>
        <v>6132868910.7811565</v>
      </c>
      <c r="T41" s="176">
        <v>35065</v>
      </c>
      <c r="U41" s="64">
        <v>3016200000</v>
      </c>
      <c r="V41" s="261">
        <f>U41/U42</f>
        <v>1</v>
      </c>
      <c r="W41" s="64">
        <v>4788700000</v>
      </c>
      <c r="X41" s="261">
        <f>W41/W42</f>
        <v>0.91251572087350885</v>
      </c>
      <c r="Y41" s="64">
        <v>6132900000</v>
      </c>
      <c r="Z41" s="261">
        <f t="shared" si="10"/>
        <v>1.0028780272431443</v>
      </c>
      <c r="AB41" s="64">
        <v>463256840000</v>
      </c>
      <c r="AC41" s="64">
        <f>AB41/AB42</f>
        <v>0.94371422888244372</v>
      </c>
      <c r="AE41" s="64">
        <v>79985558000</v>
      </c>
      <c r="AF41" s="64">
        <f>AE41/AE42</f>
        <v>0.94905902910200357</v>
      </c>
    </row>
    <row r="42" spans="1:32">
      <c r="A42" s="66">
        <v>1997</v>
      </c>
      <c r="B42" s="56">
        <v>476984.41700000002</v>
      </c>
      <c r="C42" s="56">
        <v>80853.024000000005</v>
      </c>
      <c r="D42" s="56">
        <f t="shared" si="2"/>
        <v>14359.904</v>
      </c>
      <c r="E42" s="56">
        <v>2993.1260000000002</v>
      </c>
      <c r="F42" s="56">
        <v>5249.7529999999997</v>
      </c>
      <c r="G42" s="56">
        <v>6117.0249999999996</v>
      </c>
      <c r="H42" s="56">
        <v>4584.3649999999998</v>
      </c>
      <c r="I42" s="56">
        <v>1532.66</v>
      </c>
      <c r="K42" s="176">
        <v>35431</v>
      </c>
      <c r="L42" s="64">
        <v>476898755000</v>
      </c>
      <c r="M42" s="64">
        <v>80859747000</v>
      </c>
      <c r="N42" s="64">
        <v>3073931000</v>
      </c>
      <c r="O42" s="64">
        <v>5247836000</v>
      </c>
      <c r="P42" s="64">
        <v>6115269000</v>
      </c>
      <c r="Q42" s="64">
        <v>4583014000</v>
      </c>
      <c r="R42" s="64">
        <v>1532255000</v>
      </c>
      <c r="T42" s="176">
        <v>35431</v>
      </c>
      <c r="U42" s="64">
        <v>3016200000</v>
      </c>
      <c r="W42" s="64">
        <v>5247800000</v>
      </c>
      <c r="Y42" s="64">
        <v>6115300000</v>
      </c>
      <c r="AB42" s="64">
        <v>490886781000</v>
      </c>
      <c r="AE42" s="64">
        <v>84278802000</v>
      </c>
    </row>
    <row r="43" spans="1:32">
      <c r="A43" s="66">
        <v>1998</v>
      </c>
      <c r="B43" s="56">
        <v>501185.12699999998</v>
      </c>
      <c r="C43" s="56">
        <v>84894.62</v>
      </c>
      <c r="D43" s="56">
        <f t="shared" si="2"/>
        <v>13965.215</v>
      </c>
      <c r="E43" s="56">
        <v>2808.8690000000001</v>
      </c>
      <c r="F43" s="56">
        <v>5245.1679999999997</v>
      </c>
      <c r="G43" s="56">
        <v>5911.1779999999999</v>
      </c>
      <c r="H43" s="56">
        <v>4203.4210000000003</v>
      </c>
      <c r="I43" s="56">
        <v>1707.7570000000001</v>
      </c>
      <c r="K43" s="176">
        <v>35796</v>
      </c>
      <c r="L43" s="64">
        <v>501103975000</v>
      </c>
      <c r="M43" s="64">
        <v>84896435000</v>
      </c>
      <c r="N43" s="64">
        <v>2891230000</v>
      </c>
      <c r="O43" s="64">
        <v>5243936000</v>
      </c>
      <c r="P43" s="64">
        <v>5909651000</v>
      </c>
      <c r="Q43" s="64">
        <v>4202145000</v>
      </c>
      <c r="R43" s="64">
        <v>1707506000</v>
      </c>
      <c r="T43" s="176">
        <v>35796</v>
      </c>
      <c r="U43" s="64">
        <v>3016200000</v>
      </c>
      <c r="W43" s="64">
        <v>5243900000</v>
      </c>
      <c r="Y43" s="64">
        <v>5909700000</v>
      </c>
      <c r="AB43" s="64">
        <v>522522700000</v>
      </c>
      <c r="AE43" s="64">
        <v>88697347000</v>
      </c>
    </row>
    <row r="44" spans="1:32">
      <c r="A44" s="66">
        <v>1999</v>
      </c>
      <c r="B44" s="56">
        <v>529748.89099999995</v>
      </c>
      <c r="C44" s="56">
        <v>90085.778000000006</v>
      </c>
      <c r="D44" s="56">
        <f t="shared" si="2"/>
        <v>15196.503999999999</v>
      </c>
      <c r="E44" s="56">
        <v>3067.3809999999999</v>
      </c>
      <c r="F44" s="56">
        <v>5864.6959999999999</v>
      </c>
      <c r="G44" s="56">
        <v>6264.4269999999997</v>
      </c>
      <c r="H44" s="56">
        <v>4461.6629999999996</v>
      </c>
      <c r="I44" s="56">
        <v>1802.7639999999999</v>
      </c>
      <c r="K44" s="176">
        <v>36161</v>
      </c>
      <c r="L44" s="64">
        <v>529699573000</v>
      </c>
      <c r="M44" s="64">
        <v>90084486000</v>
      </c>
      <c r="N44" s="64">
        <v>3154711000</v>
      </c>
      <c r="O44" s="64">
        <v>5864919000</v>
      </c>
      <c r="P44" s="64">
        <v>6263516000</v>
      </c>
      <c r="Q44" s="64">
        <v>4461240000</v>
      </c>
      <c r="R44" s="64">
        <v>1802276000</v>
      </c>
      <c r="T44" s="176">
        <v>36161</v>
      </c>
      <c r="U44" s="64">
        <v>3016200000</v>
      </c>
      <c r="W44" s="64">
        <v>5864900000</v>
      </c>
      <c r="Y44" s="64">
        <v>6263500000</v>
      </c>
      <c r="AB44" s="64">
        <v>543663320000</v>
      </c>
      <c r="AE44" s="64">
        <v>93267986000</v>
      </c>
    </row>
    <row r="45" spans="1:32">
      <c r="A45" s="66">
        <v>2000</v>
      </c>
      <c r="B45" s="56">
        <v>573578.82900000003</v>
      </c>
      <c r="C45" s="56">
        <v>96578.33</v>
      </c>
      <c r="D45" s="56">
        <f t="shared" si="2"/>
        <v>15982.96</v>
      </c>
      <c r="E45" s="56">
        <v>3136.7139999999999</v>
      </c>
      <c r="F45" s="56">
        <v>6434.62</v>
      </c>
      <c r="G45" s="56">
        <v>6411.6260000000002</v>
      </c>
      <c r="H45" s="56">
        <v>4442.4009999999998</v>
      </c>
      <c r="I45" s="56">
        <v>1969.2249999999999</v>
      </c>
      <c r="K45" s="176">
        <v>36526</v>
      </c>
      <c r="L45" s="64">
        <v>573592954000</v>
      </c>
      <c r="M45" s="64">
        <v>96581015000</v>
      </c>
      <c r="N45" s="64">
        <v>3220580000</v>
      </c>
      <c r="O45" s="64">
        <v>6434732000</v>
      </c>
      <c r="P45" s="64">
        <v>6410593000</v>
      </c>
      <c r="Q45" s="64">
        <v>4442303000</v>
      </c>
      <c r="R45" s="64">
        <v>1968290000</v>
      </c>
      <c r="T45" s="176">
        <v>36526</v>
      </c>
      <c r="U45" s="64">
        <v>3016200000</v>
      </c>
      <c r="W45" s="64">
        <v>6434700000</v>
      </c>
      <c r="Y45" s="64">
        <v>6410600000</v>
      </c>
      <c r="AB45" s="64">
        <v>592079334000</v>
      </c>
      <c r="AE45" s="64">
        <v>97680945000</v>
      </c>
    </row>
    <row r="46" spans="1:32">
      <c r="A46" s="66">
        <v>2001</v>
      </c>
      <c r="B46" s="56">
        <v>597905.74100000004</v>
      </c>
      <c r="C46" s="56">
        <v>97460.547000000006</v>
      </c>
      <c r="D46" s="56">
        <f t="shared" si="2"/>
        <v>15883.869999999999</v>
      </c>
      <c r="E46" s="56">
        <v>3138.5279999999998</v>
      </c>
      <c r="F46" s="56">
        <v>6259.2830000000004</v>
      </c>
      <c r="G46" s="56">
        <v>6486.0590000000002</v>
      </c>
      <c r="H46" s="56">
        <v>4351.3220000000001</v>
      </c>
      <c r="I46" s="56">
        <v>2134.7370000000001</v>
      </c>
      <c r="K46" s="176">
        <v>36892</v>
      </c>
      <c r="L46" s="64">
        <v>598035462000</v>
      </c>
      <c r="M46" s="64">
        <v>97479180000</v>
      </c>
      <c r="N46" s="64">
        <v>3222453000</v>
      </c>
      <c r="O46" s="64">
        <v>6259204000</v>
      </c>
      <c r="P46" s="64">
        <v>6485983000</v>
      </c>
      <c r="Q46" s="64">
        <v>4351380000</v>
      </c>
      <c r="R46" s="64">
        <v>2134603000</v>
      </c>
      <c r="T46" s="176">
        <v>36892</v>
      </c>
      <c r="U46" s="64">
        <v>3016200000</v>
      </c>
      <c r="W46" s="64">
        <v>6259200000</v>
      </c>
      <c r="Y46" s="64">
        <v>6486000000</v>
      </c>
      <c r="AB46" s="64">
        <v>614032947000</v>
      </c>
      <c r="AE46" s="64">
        <v>99710241000</v>
      </c>
    </row>
    <row r="47" spans="1:32">
      <c r="A47" s="66">
        <v>2002</v>
      </c>
      <c r="B47" s="56">
        <v>621563.30299999996</v>
      </c>
      <c r="C47" s="56">
        <v>99915.269</v>
      </c>
      <c r="D47" s="56">
        <f t="shared" si="2"/>
        <v>16370.082999999999</v>
      </c>
      <c r="E47" s="56">
        <v>3278.9059999999999</v>
      </c>
      <c r="F47" s="56">
        <v>6475.5140000000001</v>
      </c>
      <c r="G47" s="56">
        <v>6615.6629999999996</v>
      </c>
      <c r="H47" s="56">
        <v>4373.8770000000004</v>
      </c>
      <c r="I47" s="56">
        <v>2241.7860000000001</v>
      </c>
      <c r="K47" s="176">
        <v>37257</v>
      </c>
      <c r="L47" s="64">
        <v>621837850000</v>
      </c>
      <c r="M47" s="64">
        <v>99883672000</v>
      </c>
      <c r="N47" s="64">
        <v>3362947000</v>
      </c>
      <c r="O47" s="64">
        <v>6474782000</v>
      </c>
      <c r="P47" s="64">
        <v>6565254000</v>
      </c>
      <c r="Q47" s="64">
        <v>4373035000</v>
      </c>
      <c r="R47" s="64">
        <v>2192219000</v>
      </c>
      <c r="T47" s="176">
        <v>37257</v>
      </c>
      <c r="U47" s="64">
        <v>3016200000</v>
      </c>
      <c r="W47" s="64">
        <v>6474800000</v>
      </c>
      <c r="Y47" s="64">
        <v>6565300000</v>
      </c>
    </row>
    <row r="48" spans="1:32">
      <c r="A48" s="66">
        <v>2003</v>
      </c>
      <c r="B48" s="56">
        <v>650128.92099999997</v>
      </c>
      <c r="C48" s="56">
        <v>102759.39599999999</v>
      </c>
      <c r="D48" s="56">
        <f t="shared" si="2"/>
        <v>16675.254000000001</v>
      </c>
      <c r="E48" s="56">
        <v>3231.5859999999998</v>
      </c>
      <c r="F48" s="56">
        <v>6565.9859999999999</v>
      </c>
      <c r="G48" s="56">
        <v>6877.6819999999998</v>
      </c>
      <c r="H48" s="56">
        <v>4606.9260000000004</v>
      </c>
      <c r="I48" s="56">
        <v>2270.7559999999999</v>
      </c>
      <c r="K48" s="176">
        <v>37622</v>
      </c>
      <c r="L48" s="64">
        <v>650307987000</v>
      </c>
      <c r="M48" s="64">
        <v>102787484000</v>
      </c>
      <c r="N48" s="64">
        <v>3320043000</v>
      </c>
      <c r="O48" s="64">
        <v>6564970000</v>
      </c>
      <c r="P48" s="64">
        <v>6876477000</v>
      </c>
      <c r="Q48" s="64">
        <v>4606315000</v>
      </c>
      <c r="R48" s="64">
        <v>2270162000</v>
      </c>
      <c r="T48" s="176">
        <v>37622</v>
      </c>
      <c r="U48" s="64">
        <v>3016200000</v>
      </c>
      <c r="W48" s="64">
        <v>6565000000</v>
      </c>
      <c r="Y48" s="64">
        <v>6876500000</v>
      </c>
    </row>
    <row r="49" spans="1:25">
      <c r="A49" s="66">
        <v>2004</v>
      </c>
      <c r="B49" s="56">
        <v>687367.65800000005</v>
      </c>
      <c r="C49" s="56">
        <v>107575.731</v>
      </c>
      <c r="D49" s="56">
        <f t="shared" si="2"/>
        <v>17696.599999999999</v>
      </c>
      <c r="E49" s="56">
        <v>3395.2890000000002</v>
      </c>
      <c r="F49" s="56">
        <v>7086.6369999999997</v>
      </c>
      <c r="G49" s="56">
        <v>7214.674</v>
      </c>
      <c r="H49" s="56">
        <v>4828.3900000000003</v>
      </c>
      <c r="I49" s="56">
        <v>2386.2840000000001</v>
      </c>
      <c r="K49" s="176">
        <v>37987</v>
      </c>
      <c r="L49" s="64">
        <v>685294249000</v>
      </c>
      <c r="M49" s="64">
        <v>106592590000</v>
      </c>
      <c r="N49" s="64">
        <v>3441279000</v>
      </c>
      <c r="O49" s="64">
        <v>7012803000</v>
      </c>
      <c r="P49" s="64">
        <v>7099527000</v>
      </c>
      <c r="Q49" s="64">
        <v>4775084000</v>
      </c>
      <c r="R49" s="64">
        <v>2324443000</v>
      </c>
      <c r="T49" s="176">
        <v>37987</v>
      </c>
      <c r="U49" s="64">
        <v>3016200000</v>
      </c>
      <c r="W49" s="64">
        <v>7012800000</v>
      </c>
      <c r="Y49" s="64">
        <v>7099500000</v>
      </c>
    </row>
    <row r="50" spans="1:25">
      <c r="A50" s="66">
        <v>2005</v>
      </c>
      <c r="B50" s="56">
        <v>726118.78700000001</v>
      </c>
      <c r="C50" s="56">
        <v>110372.23299999999</v>
      </c>
      <c r="D50" s="56">
        <f t="shared" si="2"/>
        <v>18313.915000000001</v>
      </c>
      <c r="E50" s="56">
        <v>3471.8989999999999</v>
      </c>
      <c r="F50" s="56">
        <v>7279.2569999999996</v>
      </c>
      <c r="G50" s="56">
        <v>7562.759</v>
      </c>
      <c r="H50" s="56">
        <v>5054.5039999999999</v>
      </c>
      <c r="I50" s="56">
        <v>2508.2550000000001</v>
      </c>
      <c r="K50" s="176">
        <v>38353</v>
      </c>
      <c r="L50" s="64">
        <v>725293500000</v>
      </c>
      <c r="M50" s="64">
        <v>109345811000</v>
      </c>
      <c r="N50" s="64">
        <v>3432982000</v>
      </c>
    </row>
    <row r="51" spans="1:25">
      <c r="A51" s="66">
        <v>2006</v>
      </c>
      <c r="B51" s="56">
        <v>774546.31799999997</v>
      </c>
      <c r="C51" s="56">
        <v>111452.122</v>
      </c>
      <c r="D51" s="56">
        <f t="shared" si="2"/>
        <v>17450.542000000001</v>
      </c>
      <c r="E51" s="56">
        <v>3261.8910000000001</v>
      </c>
      <c r="F51" s="56">
        <v>6938.0709999999999</v>
      </c>
      <c r="G51" s="56">
        <v>7250.58</v>
      </c>
      <c r="H51" s="56">
        <v>4832.7569999999996</v>
      </c>
      <c r="I51" s="56">
        <v>2417.8229999999999</v>
      </c>
      <c r="K51" s="176">
        <v>38718</v>
      </c>
      <c r="L51" s="64">
        <v>768913113000</v>
      </c>
      <c r="M51" s="64">
        <v>110385313000</v>
      </c>
      <c r="N51" s="64">
        <v>3382259000</v>
      </c>
    </row>
    <row r="52" spans="1:25">
      <c r="A52" s="66">
        <v>2007</v>
      </c>
      <c r="B52" s="56">
        <v>818805.95600000001</v>
      </c>
      <c r="C52" s="56">
        <v>111571.902</v>
      </c>
      <c r="D52" s="56">
        <f t="shared" si="2"/>
        <v>16376.07</v>
      </c>
      <c r="E52" s="56">
        <v>3097.748</v>
      </c>
      <c r="F52" s="56">
        <v>6121.9870000000001</v>
      </c>
      <c r="G52" s="56">
        <v>7156.335</v>
      </c>
      <c r="H52" s="56">
        <v>4795.2969999999996</v>
      </c>
      <c r="I52" s="56">
        <v>2361.038</v>
      </c>
      <c r="K52" s="176"/>
      <c r="M52" s="64">
        <v>110928560000</v>
      </c>
    </row>
    <row r="53" spans="1:25">
      <c r="A53" s="66">
        <v>2008</v>
      </c>
      <c r="B53" s="56">
        <v>852373.26500000001</v>
      </c>
      <c r="C53" s="56">
        <v>108530.886</v>
      </c>
      <c r="D53" s="56">
        <f t="shared" si="2"/>
        <v>14748.172999999999</v>
      </c>
      <c r="E53" s="56">
        <v>2667.4879999999998</v>
      </c>
      <c r="F53" s="56">
        <v>5325.4489999999996</v>
      </c>
      <c r="G53" s="56">
        <v>6755.2359999999999</v>
      </c>
      <c r="H53" s="56">
        <v>4528.8410000000003</v>
      </c>
      <c r="I53" s="56">
        <v>2226.395</v>
      </c>
      <c r="K53" s="176"/>
    </row>
    <row r="54" spans="1:25">
      <c r="A54" s="66">
        <v>2009</v>
      </c>
      <c r="B54" s="56">
        <v>848805.93599999999</v>
      </c>
      <c r="C54" s="56">
        <v>97382.028999999995</v>
      </c>
      <c r="D54" s="56">
        <f t="shared" si="2"/>
        <v>12522.539000000001</v>
      </c>
      <c r="E54" s="56">
        <v>2249.9520000000002</v>
      </c>
      <c r="F54" s="56">
        <v>4508.6080000000002</v>
      </c>
      <c r="G54" s="56">
        <v>5763.9790000000003</v>
      </c>
      <c r="H54" s="56">
        <v>3652.634</v>
      </c>
      <c r="I54" s="56">
        <v>2111.3449999999998</v>
      </c>
      <c r="K54" s="176"/>
    </row>
    <row r="55" spans="1:25">
      <c r="A55" s="66">
        <v>2010</v>
      </c>
      <c r="B55" s="56">
        <v>883712.647</v>
      </c>
      <c r="C55" s="56">
        <v>96414.838000000003</v>
      </c>
      <c r="D55" s="56">
        <f>SUM(E55:G55)</f>
        <v>11733.166999999999</v>
      </c>
      <c r="E55" s="56">
        <v>2146.9549999999999</v>
      </c>
      <c r="F55" s="56">
        <v>4242.2389999999996</v>
      </c>
      <c r="G55" s="56">
        <v>5343.973</v>
      </c>
      <c r="H55" s="56">
        <v>3304.105</v>
      </c>
      <c r="I55" s="56">
        <v>2039.8679999999999</v>
      </c>
      <c r="K55" s="176"/>
    </row>
    <row r="56" spans="1:25">
      <c r="A56" s="66">
        <v>2011</v>
      </c>
      <c r="B56" s="56">
        <v>923472.25100000005</v>
      </c>
      <c r="C56" s="56">
        <v>99073.744000000006</v>
      </c>
      <c r="D56" s="56">
        <f t="shared" si="2"/>
        <v>11909.126</v>
      </c>
      <c r="E56" s="56">
        <v>2251.0279999999998</v>
      </c>
      <c r="F56" s="56">
        <v>4358.2809999999999</v>
      </c>
      <c r="G56" s="56">
        <v>5299.817</v>
      </c>
      <c r="H56" s="56">
        <v>3228.9470000000001</v>
      </c>
      <c r="I56" s="56">
        <v>2070.87</v>
      </c>
      <c r="K56" s="176"/>
    </row>
    <row r="57" spans="1:25">
      <c r="B57" s="56"/>
      <c r="C57" s="56"/>
      <c r="D57" s="56"/>
      <c r="E57" s="56"/>
      <c r="F57" s="56"/>
      <c r="G57" s="56"/>
      <c r="H57" s="56"/>
      <c r="I57" s="56"/>
    </row>
    <row r="58" spans="1:25">
      <c r="A58" s="66" t="s">
        <v>23</v>
      </c>
      <c r="B58" s="56"/>
      <c r="C58" s="56"/>
      <c r="D58" s="56"/>
      <c r="E58" s="56"/>
      <c r="F58" s="56"/>
      <c r="G58" s="56"/>
      <c r="H58" s="56"/>
      <c r="I58" s="56"/>
    </row>
    <row r="59" spans="1:25">
      <c r="A59" s="64" t="s">
        <v>1781</v>
      </c>
      <c r="B59" s="65">
        <f>((B56/B26)^(1/30)-1)*100</f>
        <v>5.1686868690283383</v>
      </c>
      <c r="C59" s="65">
        <f t="shared" ref="C59:G59" si="16">((C56/C26)^(1/30)-1)*100</f>
        <v>3.0357009611699182</v>
      </c>
      <c r="D59" s="65">
        <f t="shared" si="16"/>
        <v>1.4856464532681857</v>
      </c>
      <c r="E59" s="65">
        <f t="shared" si="16"/>
        <v>0.65015632564542347</v>
      </c>
      <c r="F59" s="65">
        <f t="shared" si="16"/>
        <v>2.0614226104147759</v>
      </c>
      <c r="G59" s="65">
        <f t="shared" si="16"/>
        <v>1.455934711413831</v>
      </c>
      <c r="H59" s="65"/>
      <c r="I59" s="65"/>
      <c r="K59" s="138">
        <f>K49/K42-1</f>
        <v>7.2140216194857665E-2</v>
      </c>
      <c r="L59" s="138">
        <f t="shared" ref="L59:W59" si="17">L49/L42-1</f>
        <v>0.43698057882327657</v>
      </c>
      <c r="M59" s="138"/>
      <c r="N59" s="138">
        <f t="shared" si="17"/>
        <v>0.11950430897765751</v>
      </c>
      <c r="O59" s="138">
        <f t="shared" si="17"/>
        <v>0.33632281953933019</v>
      </c>
      <c r="P59" s="138">
        <f t="shared" si="17"/>
        <v>0.16095089193950418</v>
      </c>
      <c r="Q59" s="138">
        <f t="shared" si="17"/>
        <v>4.190910173959761E-2</v>
      </c>
      <c r="R59" s="138">
        <f t="shared" si="17"/>
        <v>0.51700793927903654</v>
      </c>
      <c r="S59" s="138" t="e">
        <f t="shared" si="17"/>
        <v>#DIV/0!</v>
      </c>
      <c r="T59" s="138">
        <f t="shared" si="17"/>
        <v>7.2140216194857665E-2</v>
      </c>
      <c r="U59" s="138">
        <f t="shared" si="17"/>
        <v>0</v>
      </c>
      <c r="V59" s="138"/>
      <c r="W59" s="138">
        <f t="shared" si="17"/>
        <v>0.33633141506917186</v>
      </c>
      <c r="X59" s="138"/>
      <c r="Y59" s="138">
        <f>Y49/Y42-1</f>
        <v>0.16094059163082752</v>
      </c>
    </row>
    <row r="60" spans="1:25">
      <c r="A60" s="64" t="s">
        <v>25</v>
      </c>
      <c r="B60" s="65">
        <f>((B34/B26)^(1/8)-1)*100</f>
        <v>7.5885590285726279</v>
      </c>
      <c r="C60" s="65">
        <f>((C34/C26)^(1/8)-1)*100</f>
        <v>6.2841798859729625</v>
      </c>
      <c r="D60" s="65" t="s">
        <v>22</v>
      </c>
      <c r="E60" s="65" t="s">
        <v>22</v>
      </c>
      <c r="F60" s="65">
        <f>((F34/F26)^(1/8)-1)*100</f>
        <v>5.7761400431270093</v>
      </c>
      <c r="G60" s="65">
        <f>((G34/G26)^(1/8)-1)*100</f>
        <v>5.4634293958620406</v>
      </c>
      <c r="H60" s="57" t="s">
        <v>22</v>
      </c>
      <c r="I60" s="57" t="s">
        <v>22</v>
      </c>
      <c r="K60" s="138"/>
    </row>
    <row r="61" spans="1:25">
      <c r="A61" s="64" t="s">
        <v>26</v>
      </c>
      <c r="B61" s="65">
        <f>((B45/B34)^(1/11)-1)*100</f>
        <v>4.1801350529274695</v>
      </c>
      <c r="C61" s="65">
        <f t="shared" ref="C61:G61" si="18">((C45/C34)^(1/11)-1)*100</f>
        <v>3.5533137053401553</v>
      </c>
      <c r="D61" s="65">
        <f t="shared" si="18"/>
        <v>3.1599674758467033</v>
      </c>
      <c r="E61" s="65">
        <f t="shared" si="18"/>
        <v>2.4997305553369875</v>
      </c>
      <c r="F61" s="65">
        <f t="shared" si="18"/>
        <v>5.151154197610075</v>
      </c>
      <c r="G61" s="65">
        <f t="shared" si="18"/>
        <v>1.821105412090418</v>
      </c>
      <c r="H61" s="57" t="s">
        <v>22</v>
      </c>
      <c r="I61" s="57" t="s">
        <v>22</v>
      </c>
      <c r="K61" s="138"/>
    </row>
    <row r="62" spans="1:25">
      <c r="A62" s="64" t="s">
        <v>2028</v>
      </c>
      <c r="B62" s="65">
        <f>((B56/B45)^(1/11)-1)*100</f>
        <v>4.4245937266696567</v>
      </c>
      <c r="C62" s="65">
        <f t="shared" ref="C62:I62" si="19">((C56/C45)^(1/11)-1)*100</f>
        <v>0.23217887139355131</v>
      </c>
      <c r="D62" s="65">
        <f t="shared" si="19"/>
        <v>-2.6392569400150001</v>
      </c>
      <c r="E62" s="65">
        <f t="shared" si="19"/>
        <v>-2.9712261684932462</v>
      </c>
      <c r="F62" s="65">
        <f t="shared" si="19"/>
        <v>-3.4799620600770576</v>
      </c>
      <c r="G62" s="65">
        <f t="shared" si="19"/>
        <v>-1.7163777931622715</v>
      </c>
      <c r="H62" s="65">
        <f t="shared" si="19"/>
        <v>-2.8586972412696587</v>
      </c>
      <c r="I62" s="65">
        <f t="shared" si="19"/>
        <v>0.45858232607456362</v>
      </c>
    </row>
    <row r="63" spans="1:25">
      <c r="A63" s="64" t="s">
        <v>588</v>
      </c>
      <c r="B63" s="65">
        <f>((B52/B45)^(1/7)-1)*100</f>
        <v>5.2165319459771542</v>
      </c>
      <c r="C63" s="65">
        <f t="shared" ref="C63:I63" si="20">((C52/C45)^(1/7)-1)*100</f>
        <v>2.0830394023396037</v>
      </c>
      <c r="D63" s="65">
        <f t="shared" si="20"/>
        <v>0.34771696876709779</v>
      </c>
      <c r="E63" s="65">
        <f t="shared" si="20"/>
        <v>-0.17841720779216974</v>
      </c>
      <c r="F63" s="65">
        <f t="shared" si="20"/>
        <v>-0.70899001152742169</v>
      </c>
      <c r="G63" s="65">
        <f t="shared" si="20"/>
        <v>1.5821726424932514</v>
      </c>
      <c r="H63" s="65">
        <f t="shared" si="20"/>
        <v>1.0979934682872727</v>
      </c>
      <c r="I63" s="65">
        <f t="shared" si="20"/>
        <v>2.6261965562023537</v>
      </c>
    </row>
    <row r="65" spans="1:10" ht="63" customHeight="1">
      <c r="A65" s="131" t="s">
        <v>1614</v>
      </c>
      <c r="B65" s="131"/>
      <c r="C65" s="131"/>
      <c r="D65" s="131"/>
      <c r="E65" s="131"/>
      <c r="F65" s="131"/>
      <c r="G65" s="131"/>
      <c r="H65" s="131"/>
      <c r="I65" s="131"/>
    </row>
    <row r="66" spans="1:10">
      <c r="A66" s="70" t="s">
        <v>764</v>
      </c>
    </row>
    <row r="73" spans="1:10">
      <c r="D73" s="262"/>
      <c r="E73" s="262"/>
      <c r="F73" s="262"/>
      <c r="G73" s="262"/>
      <c r="H73" s="262"/>
      <c r="I73" s="262"/>
      <c r="J73" s="262"/>
    </row>
    <row r="74" spans="1:10">
      <c r="D74" s="262"/>
      <c r="E74" s="262"/>
      <c r="F74" s="262"/>
      <c r="G74" s="262"/>
      <c r="H74" s="262"/>
      <c r="I74" s="262"/>
      <c r="J74" s="262"/>
    </row>
    <row r="75" spans="1:10">
      <c r="D75" s="262"/>
      <c r="E75" s="262"/>
      <c r="F75" s="262"/>
      <c r="G75" s="262"/>
      <c r="H75" s="262"/>
      <c r="I75" s="262"/>
      <c r="J75" s="262"/>
    </row>
    <row r="76" spans="1:10">
      <c r="D76" s="262"/>
      <c r="E76" s="262"/>
      <c r="F76" s="262"/>
      <c r="G76" s="262"/>
      <c r="H76" s="262"/>
      <c r="I76" s="262"/>
      <c r="J76" s="262"/>
    </row>
    <row r="77" spans="1:10">
      <c r="D77" s="262"/>
      <c r="E77" s="262"/>
      <c r="F77" s="262"/>
      <c r="G77" s="262"/>
      <c r="H77" s="262"/>
      <c r="I77" s="262"/>
      <c r="J77" s="262"/>
    </row>
    <row r="78" spans="1:10">
      <c r="D78" s="262"/>
      <c r="E78" s="262"/>
      <c r="F78" s="262"/>
      <c r="G78" s="262"/>
      <c r="H78" s="262"/>
      <c r="I78" s="262"/>
      <c r="J78" s="262"/>
    </row>
    <row r="79" spans="1:10">
      <c r="D79" s="262"/>
      <c r="E79" s="262"/>
      <c r="F79" s="262"/>
      <c r="G79" s="262"/>
      <c r="H79" s="262"/>
      <c r="I79" s="262"/>
      <c r="J79" s="262"/>
    </row>
    <row r="80" spans="1:10">
      <c r="D80" s="262"/>
      <c r="E80" s="262"/>
      <c r="F80" s="262"/>
      <c r="G80" s="262"/>
      <c r="H80" s="262"/>
      <c r="I80" s="262"/>
      <c r="J80" s="262"/>
    </row>
    <row r="81" spans="4:10">
      <c r="D81" s="262"/>
      <c r="E81" s="262"/>
      <c r="F81" s="262"/>
      <c r="G81" s="262"/>
      <c r="H81" s="262"/>
      <c r="I81" s="262"/>
      <c r="J81" s="262"/>
    </row>
    <row r="82" spans="4:10">
      <c r="D82" s="262"/>
      <c r="E82" s="262"/>
      <c r="F82" s="262"/>
      <c r="G82" s="262"/>
      <c r="H82" s="262"/>
      <c r="I82" s="262"/>
      <c r="J82" s="262"/>
    </row>
    <row r="83" spans="4:10">
      <c r="D83" s="262"/>
      <c r="E83" s="262"/>
      <c r="F83" s="262"/>
      <c r="G83" s="262"/>
      <c r="H83" s="262"/>
      <c r="I83" s="262"/>
      <c r="J83" s="262"/>
    </row>
    <row r="84" spans="4:10">
      <c r="D84" s="262"/>
      <c r="E84" s="262"/>
      <c r="F84" s="262"/>
      <c r="G84" s="262"/>
      <c r="H84" s="262"/>
      <c r="I84" s="262"/>
      <c r="J84" s="262"/>
    </row>
    <row r="85" spans="4:10">
      <c r="D85" s="262"/>
      <c r="E85" s="262"/>
      <c r="F85" s="262"/>
      <c r="G85" s="262"/>
      <c r="H85" s="262"/>
      <c r="I85" s="262"/>
      <c r="J85" s="262"/>
    </row>
    <row r="86" spans="4:10">
      <c r="D86" s="262"/>
      <c r="E86" s="262"/>
      <c r="F86" s="262"/>
      <c r="G86" s="262"/>
      <c r="H86" s="262"/>
      <c r="I86" s="262"/>
      <c r="J86" s="262"/>
    </row>
    <row r="87" spans="4:10">
      <c r="D87" s="262"/>
      <c r="E87" s="262"/>
      <c r="F87" s="262"/>
      <c r="G87" s="262"/>
      <c r="H87" s="262"/>
      <c r="I87" s="262"/>
      <c r="J87" s="262"/>
    </row>
    <row r="89" spans="4:10">
      <c r="D89" s="263"/>
      <c r="E89" s="263"/>
      <c r="F89" s="263"/>
      <c r="G89" s="263"/>
      <c r="H89" s="263"/>
      <c r="I89" s="263"/>
      <c r="J89" s="263"/>
    </row>
    <row r="90" spans="4:10">
      <c r="D90" s="263"/>
      <c r="E90" s="263"/>
      <c r="F90" s="263"/>
      <c r="G90" s="263"/>
      <c r="H90" s="263"/>
      <c r="I90" s="263"/>
      <c r="J90" s="263"/>
    </row>
    <row r="91" spans="4:10">
      <c r="D91" s="263"/>
      <c r="E91" s="263"/>
      <c r="F91" s="263"/>
      <c r="G91" s="263"/>
      <c r="H91" s="263"/>
      <c r="I91" s="263"/>
      <c r="J91" s="263"/>
    </row>
    <row r="92" spans="4:10">
      <c r="D92" s="263"/>
      <c r="E92" s="263"/>
      <c r="F92" s="263"/>
      <c r="G92" s="263"/>
      <c r="H92" s="263"/>
      <c r="I92" s="263"/>
      <c r="J92" s="263"/>
    </row>
    <row r="93" spans="4:10">
      <c r="D93" s="263"/>
      <c r="E93" s="263"/>
      <c r="F93" s="263"/>
      <c r="G93" s="263"/>
      <c r="H93" s="263"/>
      <c r="I93" s="263"/>
      <c r="J93" s="263"/>
    </row>
    <row r="94" spans="4:10">
      <c r="D94" s="263"/>
      <c r="E94" s="263"/>
      <c r="F94" s="263"/>
      <c r="G94" s="263"/>
      <c r="H94" s="263"/>
      <c r="I94" s="263"/>
      <c r="J94" s="263"/>
    </row>
    <row r="95" spans="4:10">
      <c r="D95" s="263"/>
      <c r="E95" s="263"/>
      <c r="F95" s="263"/>
      <c r="G95" s="263"/>
      <c r="H95" s="263"/>
      <c r="I95" s="263"/>
      <c r="J95" s="263"/>
    </row>
    <row r="96" spans="4:10">
      <c r="D96" s="263"/>
      <c r="E96" s="263"/>
      <c r="F96" s="263"/>
      <c r="G96" s="263"/>
      <c r="H96" s="263"/>
      <c r="I96" s="263"/>
      <c r="J96" s="263"/>
    </row>
    <row r="97" spans="4:10">
      <c r="D97" s="263"/>
      <c r="E97" s="263"/>
      <c r="F97" s="263"/>
      <c r="G97" s="263"/>
      <c r="H97" s="263"/>
      <c r="I97" s="263"/>
      <c r="J97" s="263"/>
    </row>
    <row r="98" spans="4:10">
      <c r="D98" s="263"/>
      <c r="E98" s="263"/>
      <c r="F98" s="263"/>
      <c r="G98" s="263"/>
      <c r="H98" s="263"/>
      <c r="I98" s="263"/>
      <c r="J98" s="263"/>
    </row>
    <row r="99" spans="4:10">
      <c r="D99" s="263"/>
      <c r="E99" s="263"/>
      <c r="F99" s="263"/>
      <c r="G99" s="263"/>
      <c r="H99" s="263"/>
      <c r="I99" s="263"/>
      <c r="J99" s="263"/>
    </row>
    <row r="100" spans="4:10">
      <c r="D100" s="263"/>
      <c r="E100" s="263"/>
      <c r="F100" s="263"/>
      <c r="G100" s="263"/>
      <c r="H100" s="263"/>
      <c r="I100" s="263"/>
      <c r="J100" s="263"/>
    </row>
    <row r="101" spans="4:10">
      <c r="D101" s="263"/>
      <c r="E101" s="263"/>
      <c r="F101" s="263"/>
      <c r="G101" s="263"/>
      <c r="H101" s="263"/>
      <c r="I101" s="263"/>
      <c r="J101" s="263"/>
    </row>
    <row r="102" spans="4:10">
      <c r="D102" s="263"/>
      <c r="E102" s="263"/>
      <c r="F102" s="263"/>
      <c r="G102" s="263"/>
      <c r="H102" s="263"/>
      <c r="I102" s="263"/>
      <c r="J102" s="263"/>
    </row>
    <row r="103" spans="4:10">
      <c r="D103" s="263"/>
      <c r="E103" s="263"/>
      <c r="F103" s="263"/>
      <c r="G103" s="263"/>
      <c r="H103" s="263"/>
      <c r="I103" s="263"/>
      <c r="J103" s="263"/>
    </row>
  </sheetData>
  <mergeCells count="10">
    <mergeCell ref="A65:I65"/>
    <mergeCell ref="A1:I1"/>
    <mergeCell ref="A2:A4"/>
    <mergeCell ref="B2:B4"/>
    <mergeCell ref="D2:I2"/>
    <mergeCell ref="D3:D4"/>
    <mergeCell ref="E3:E4"/>
    <mergeCell ref="F3:F4"/>
    <mergeCell ref="G3:I3"/>
    <mergeCell ref="C2:C4"/>
  </mergeCells>
  <pageMargins left="0.70866141732283472" right="0.70866141732283472" top="0.74803149606299213" bottom="0.74803149606299213" header="0.31496062992125984" footer="0.31496062992125984"/>
  <pageSetup scale="71" orientation="portrait" horizontalDpi="0" verticalDpi="0" r:id="rId1"/>
  <ignoredErrors>
    <ignoredError sqref="D42:D56" formulaRange="1"/>
  </ignoredErrors>
</worksheet>
</file>

<file path=xl/worksheets/sheet43.xml><?xml version="1.0" encoding="utf-8"?>
<worksheet xmlns="http://schemas.openxmlformats.org/spreadsheetml/2006/main" xmlns:r="http://schemas.openxmlformats.org/officeDocument/2006/relationships">
  <sheetPr codeName="Sheet40"/>
  <dimension ref="A1:I65"/>
  <sheetViews>
    <sheetView view="pageBreakPreview" zoomScale="85" zoomScaleNormal="85"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4.5703125" style="64" customWidth="1"/>
    <col min="2" max="3" width="14" style="64" customWidth="1"/>
    <col min="4" max="5" width="12.7109375" style="64" customWidth="1"/>
    <col min="6" max="9" width="18.28515625" style="64" customWidth="1"/>
    <col min="10" max="16384" width="9.140625" style="64"/>
  </cols>
  <sheetData>
    <row r="1" spans="1:9">
      <c r="A1" s="108" t="s">
        <v>1977</v>
      </c>
      <c r="B1" s="108"/>
      <c r="C1" s="108"/>
      <c r="D1" s="108"/>
      <c r="E1" s="108"/>
      <c r="F1" s="108"/>
      <c r="G1" s="108"/>
      <c r="H1" s="108"/>
      <c r="I1" s="108"/>
    </row>
    <row r="2" spans="1:9">
      <c r="A2" s="96"/>
      <c r="B2" s="94" t="s">
        <v>51</v>
      </c>
      <c r="C2" s="94" t="s">
        <v>51</v>
      </c>
      <c r="D2" s="94" t="s">
        <v>37</v>
      </c>
      <c r="E2" s="94"/>
      <c r="F2" s="94"/>
      <c r="G2" s="94"/>
      <c r="H2" s="94"/>
      <c r="I2" s="94"/>
    </row>
    <row r="3" spans="1:9">
      <c r="A3" s="96"/>
      <c r="B3" s="94"/>
      <c r="C3" s="94"/>
      <c r="D3" s="94" t="s">
        <v>78</v>
      </c>
      <c r="E3" s="94" t="s">
        <v>0</v>
      </c>
      <c r="F3" s="94" t="s">
        <v>1</v>
      </c>
      <c r="G3" s="94" t="s">
        <v>2</v>
      </c>
      <c r="H3" s="94"/>
      <c r="I3" s="94"/>
    </row>
    <row r="4" spans="1:9" ht="60">
      <c r="A4" s="96"/>
      <c r="B4" s="94"/>
      <c r="C4" s="94"/>
      <c r="D4" s="94"/>
      <c r="E4" s="94"/>
      <c r="F4" s="94"/>
      <c r="G4" s="72" t="s">
        <v>517</v>
      </c>
      <c r="H4" s="72" t="s">
        <v>13</v>
      </c>
      <c r="I4" s="72" t="s">
        <v>19</v>
      </c>
    </row>
    <row r="5" spans="1:9">
      <c r="A5" s="66">
        <v>1961</v>
      </c>
      <c r="B5" s="58">
        <f>'6'!B6/'1b'!B6*100</f>
        <v>60.341275182743324</v>
      </c>
      <c r="C5" s="58">
        <f>'6'!C6/'1b'!C6*100</f>
        <v>68.645420049610635</v>
      </c>
      <c r="D5" s="58">
        <f>'6'!D6/'1b'!D6*100</f>
        <v>67.805685253637222</v>
      </c>
      <c r="E5" s="58">
        <f>'6'!E6/'1b'!E6*100</f>
        <v>84.067699493075779</v>
      </c>
      <c r="F5" s="58">
        <f>'6'!F6/'1b'!F6*100</f>
        <v>80.821219052526345</v>
      </c>
      <c r="G5" s="58">
        <f>'6'!G6/'1b'!G6*100</f>
        <v>57.845663443502069</v>
      </c>
      <c r="H5" s="58" t="s">
        <v>22</v>
      </c>
      <c r="I5" s="58" t="s">
        <v>22</v>
      </c>
    </row>
    <row r="6" spans="1:9" hidden="1" outlineLevel="1">
      <c r="A6" s="66">
        <v>1962</v>
      </c>
      <c r="B6" s="58">
        <f>'6'!B7/'1b'!B7*100</f>
        <v>59.671665586424794</v>
      </c>
      <c r="C6" s="58">
        <f>'6'!C7/'1b'!C7*100</f>
        <v>66.60314100953434</v>
      </c>
      <c r="D6" s="58">
        <f>'6'!D7/'1b'!D7*100</f>
        <v>68.042440791586316</v>
      </c>
      <c r="E6" s="58">
        <f>'6'!E7/'1b'!E7*100</f>
        <v>88.005986084413252</v>
      </c>
      <c r="F6" s="58">
        <f>'6'!F7/'1b'!F7*100</f>
        <v>76.316342229645869</v>
      </c>
      <c r="G6" s="58">
        <f>'6'!G7/'1b'!G7*100</f>
        <v>58.05197357110837</v>
      </c>
      <c r="H6" s="58" t="s">
        <v>22</v>
      </c>
      <c r="I6" s="58" t="s">
        <v>22</v>
      </c>
    </row>
    <row r="7" spans="1:9" hidden="1" outlineLevel="1">
      <c r="A7" s="66">
        <v>1963</v>
      </c>
      <c r="B7" s="58">
        <f>'6'!B8/'1b'!B8*100</f>
        <v>58.993198226793631</v>
      </c>
      <c r="C7" s="58">
        <f>'6'!C8/'1b'!C8*100</f>
        <v>65.686632745800935</v>
      </c>
      <c r="D7" s="58">
        <f>'6'!D8/'1b'!D8*100</f>
        <v>67.276420909581987</v>
      </c>
      <c r="E7" s="58">
        <f>'6'!E8/'1b'!E8*100</f>
        <v>86.935615241803148</v>
      </c>
      <c r="F7" s="58">
        <f>'6'!F8/'1b'!F8*100</f>
        <v>73.214960247034284</v>
      </c>
      <c r="G7" s="58">
        <f>'6'!G8/'1b'!G8*100</f>
        <v>58.031605624897054</v>
      </c>
      <c r="H7" s="58" t="s">
        <v>22</v>
      </c>
      <c r="I7" s="58" t="s">
        <v>22</v>
      </c>
    </row>
    <row r="8" spans="1:9" hidden="1" outlineLevel="1">
      <c r="A8" s="66">
        <v>1964</v>
      </c>
      <c r="B8" s="58">
        <f>'6'!B9/'1b'!B9*100</f>
        <v>58.85130262889389</v>
      </c>
      <c r="C8" s="58">
        <f>'6'!C9/'1b'!C9*100</f>
        <v>64.697043624594215</v>
      </c>
      <c r="D8" s="58">
        <f>'6'!D9/'1b'!D9*100</f>
        <v>66.779672126303112</v>
      </c>
      <c r="E8" s="58">
        <f>'6'!E9/'1b'!E9*100</f>
        <v>85.94658553352761</v>
      </c>
      <c r="F8" s="58">
        <f>'6'!F9/'1b'!F9*100</f>
        <v>73.301676261549304</v>
      </c>
      <c r="G8" s="58">
        <f>'6'!G9/'1b'!G9*100</f>
        <v>57.532871049856595</v>
      </c>
      <c r="H8" s="58" t="s">
        <v>22</v>
      </c>
      <c r="I8" s="58" t="s">
        <v>22</v>
      </c>
    </row>
    <row r="9" spans="1:9" hidden="1" outlineLevel="1">
      <c r="A9" s="66">
        <v>1965</v>
      </c>
      <c r="B9" s="58">
        <f>'6'!B10/'1b'!B10*100</f>
        <v>59.378776640408262</v>
      </c>
      <c r="C9" s="58">
        <f>'6'!C10/'1b'!C10*100</f>
        <v>65.003155222915836</v>
      </c>
      <c r="D9" s="58">
        <f>'6'!D10/'1b'!D10*100</f>
        <v>69.224838279091216</v>
      </c>
      <c r="E9" s="58">
        <f>'6'!E10/'1b'!E10*100</f>
        <v>86.95835349422299</v>
      </c>
      <c r="F9" s="58">
        <f>'6'!F10/'1b'!F10*100</f>
        <v>75.911644665025008</v>
      </c>
      <c r="G9" s="58">
        <f>'6'!G10/'1b'!G10*100</f>
        <v>60.426438511533235</v>
      </c>
      <c r="H9" s="58" t="s">
        <v>22</v>
      </c>
      <c r="I9" s="58" t="s">
        <v>22</v>
      </c>
    </row>
    <row r="10" spans="1:9" hidden="1" outlineLevel="1">
      <c r="A10" s="66">
        <v>1966</v>
      </c>
      <c r="B10" s="58">
        <f>'6'!B11/'1b'!B11*100</f>
        <v>59.787583336035119</v>
      </c>
      <c r="C10" s="58">
        <f>'6'!C11/'1b'!C11*100</f>
        <v>67.754403316119081</v>
      </c>
      <c r="D10" s="58">
        <f>'6'!D11/'1b'!D11*100</f>
        <v>72.255598041316063</v>
      </c>
      <c r="E10" s="58">
        <f>'6'!E11/'1b'!E11*100</f>
        <v>87.879639136082446</v>
      </c>
      <c r="F10" s="58">
        <f>'6'!F11/'1b'!F11*100</f>
        <v>77.413765153170388</v>
      </c>
      <c r="G10" s="58">
        <f>'6'!G11/'1b'!G11*100</f>
        <v>65.399071723723168</v>
      </c>
      <c r="H10" s="58" t="s">
        <v>22</v>
      </c>
      <c r="I10" s="58" t="s">
        <v>22</v>
      </c>
    </row>
    <row r="11" spans="1:9" hidden="1" outlineLevel="1">
      <c r="A11" s="66">
        <v>1967</v>
      </c>
      <c r="B11" s="58">
        <f>'6'!B12/'1b'!B12*100</f>
        <v>61.36854282239598</v>
      </c>
      <c r="C11" s="58">
        <f>'6'!C12/'1b'!C12*100</f>
        <v>69.18380510529866</v>
      </c>
      <c r="D11" s="58">
        <f>'6'!D12/'1b'!D12*100</f>
        <v>76.798007196011525</v>
      </c>
      <c r="E11" s="58">
        <f>'6'!E12/'1b'!E12*100</f>
        <v>92.956888522389718</v>
      </c>
      <c r="F11" s="58">
        <f>'6'!F12/'1b'!F12*100</f>
        <v>75.816177538273777</v>
      </c>
      <c r="G11" s="58">
        <f>'6'!G12/'1b'!G12*100</f>
        <v>72.889040799057085</v>
      </c>
      <c r="H11" s="58" t="s">
        <v>22</v>
      </c>
      <c r="I11" s="58" t="s">
        <v>22</v>
      </c>
    </row>
    <row r="12" spans="1:9" hidden="1" outlineLevel="1">
      <c r="A12" s="66">
        <v>1968</v>
      </c>
      <c r="B12" s="58">
        <f>'6'!B13/'1b'!B13*100</f>
        <v>60.589348017116684</v>
      </c>
      <c r="C12" s="58">
        <f>'6'!C13/'1b'!C13*100</f>
        <v>68.153815386223542</v>
      </c>
      <c r="D12" s="58">
        <f>'6'!D13/'1b'!D13*100</f>
        <v>74.491934189422508</v>
      </c>
      <c r="E12" s="58">
        <f>'6'!E13/'1b'!E13*100</f>
        <v>86.620541687926817</v>
      </c>
      <c r="F12" s="58">
        <f>'6'!F13/'1b'!F13*100</f>
        <v>68.644464978770174</v>
      </c>
      <c r="G12" s="58">
        <f>'6'!G13/'1b'!G13*100</f>
        <v>75.172139157495508</v>
      </c>
      <c r="H12" s="58" t="s">
        <v>22</v>
      </c>
      <c r="I12" s="58" t="s">
        <v>22</v>
      </c>
    </row>
    <row r="13" spans="1:9" hidden="1" outlineLevel="1">
      <c r="A13" s="66">
        <v>1969</v>
      </c>
      <c r="B13" s="58">
        <f>'6'!B14/'1b'!B14*100</f>
        <v>61.294614126083921</v>
      </c>
      <c r="C13" s="58">
        <f>'6'!C14/'1b'!C14*100</f>
        <v>67.732145462212102</v>
      </c>
      <c r="D13" s="58">
        <f>'6'!D14/'1b'!D14*100</f>
        <v>73.18009599099608</v>
      </c>
      <c r="E13" s="58">
        <f>'6'!E14/'1b'!E14*100</f>
        <v>85.297419721522189</v>
      </c>
      <c r="F13" s="58">
        <f>'6'!F14/'1b'!F14*100</f>
        <v>69.999543456898223</v>
      </c>
      <c r="G13" s="58">
        <f>'6'!G14/'1b'!G14*100</f>
        <v>72.157912940962433</v>
      </c>
      <c r="H13" s="58" t="s">
        <v>22</v>
      </c>
      <c r="I13" s="58" t="s">
        <v>22</v>
      </c>
    </row>
    <row r="14" spans="1:9" hidden="1" outlineLevel="1">
      <c r="A14" s="66">
        <v>1970</v>
      </c>
      <c r="B14" s="58">
        <f>'6'!B15/'1b'!B15*100</f>
        <v>61.247905852514975</v>
      </c>
      <c r="C14" s="58">
        <f>'6'!C15/'1b'!C15*100</f>
        <v>71.946618368228471</v>
      </c>
      <c r="D14" s="58">
        <f>'6'!D15/'1b'!D15*100</f>
        <v>77.732432254222445</v>
      </c>
      <c r="E14" s="58">
        <f>'6'!E15/'1b'!E15*100</f>
        <v>88.159939798722704</v>
      </c>
      <c r="F14" s="58">
        <f>'6'!F15/'1b'!F15*100</f>
        <v>84.169033069431862</v>
      </c>
      <c r="G14" s="58">
        <f>'6'!G15/'1b'!G15*100</f>
        <v>73.044824763015328</v>
      </c>
      <c r="H14" s="58" t="s">
        <v>22</v>
      </c>
      <c r="I14" s="58" t="s">
        <v>22</v>
      </c>
    </row>
    <row r="15" spans="1:9" hidden="1" outlineLevel="1">
      <c r="A15" s="66">
        <v>1971</v>
      </c>
      <c r="B15" s="58">
        <f>'6'!B16/'1b'!B16*100</f>
        <v>61.469434469808007</v>
      </c>
      <c r="C15" s="58">
        <f>'6'!C16/'1b'!C16*100</f>
        <v>69.857357689203653</v>
      </c>
      <c r="D15" s="58">
        <f>'6'!D16/'1b'!D16*100</f>
        <v>79.254526056869693</v>
      </c>
      <c r="E15" s="58">
        <f>'6'!E16/'1b'!E16*100</f>
        <v>84.894423140688559</v>
      </c>
      <c r="F15" s="58">
        <f>'6'!F16/'1b'!F16*100</f>
        <v>81.328591924556932</v>
      </c>
      <c r="G15" s="58">
        <f>'6'!G16/'1b'!G16*100</f>
        <v>78.252257724009482</v>
      </c>
      <c r="H15" s="58" t="s">
        <v>22</v>
      </c>
      <c r="I15" s="58" t="s">
        <v>22</v>
      </c>
    </row>
    <row r="16" spans="1:9" hidden="1" outlineLevel="1">
      <c r="A16" s="66">
        <v>1972</v>
      </c>
      <c r="B16" s="58">
        <f>'6'!B17/'1b'!B17*100</f>
        <v>61.670091879604385</v>
      </c>
      <c r="C16" s="58">
        <f>'6'!C17/'1b'!C17*100</f>
        <v>69.066417798784371</v>
      </c>
      <c r="D16" s="58">
        <f>'6'!D17/'1b'!D17*100</f>
        <v>75.287151464523902</v>
      </c>
      <c r="E16" s="58">
        <f>'6'!E17/'1b'!E17*100</f>
        <v>80.823244732816079</v>
      </c>
      <c r="F16" s="58">
        <f>'6'!F17/'1b'!F17*100</f>
        <v>69.824173323046708</v>
      </c>
      <c r="G16" s="58">
        <f>'6'!G17/'1b'!G17*100</f>
        <v>78.903292458975855</v>
      </c>
      <c r="H16" s="58" t="s">
        <v>22</v>
      </c>
      <c r="I16" s="58" t="s">
        <v>22</v>
      </c>
    </row>
    <row r="17" spans="1:9" collapsed="1">
      <c r="A17" s="66">
        <v>1973</v>
      </c>
      <c r="B17" s="58">
        <f>'6'!B18/'1b'!B18*100</f>
        <v>60.335495242012684</v>
      </c>
      <c r="C17" s="58">
        <f>'6'!C18/'1b'!C18*100</f>
        <v>66.622116275680042</v>
      </c>
      <c r="D17" s="58">
        <f>'6'!D18/'1b'!D18*100</f>
        <v>66.857991801194032</v>
      </c>
      <c r="E17" s="58">
        <f>'6'!E18/'1b'!E18*100</f>
        <v>78.928179024136611</v>
      </c>
      <c r="F17" s="58">
        <f>'6'!F18/'1b'!F18*100</f>
        <v>59.525026952792572</v>
      </c>
      <c r="G17" s="58">
        <f>'6'!G18/'1b'!G18*100</f>
        <v>68.807508593974305</v>
      </c>
      <c r="H17" s="58" t="s">
        <v>22</v>
      </c>
      <c r="I17" s="58" t="s">
        <v>22</v>
      </c>
    </row>
    <row r="18" spans="1:9" hidden="1" outlineLevel="1">
      <c r="A18" s="66">
        <v>1974</v>
      </c>
      <c r="B18" s="58">
        <f>'6'!B19/'1b'!B19*100</f>
        <v>60.008646336903922</v>
      </c>
      <c r="C18" s="58">
        <f>'6'!C19/'1b'!C19*100</f>
        <v>66.020276229186308</v>
      </c>
      <c r="D18" s="58">
        <f>'6'!D19/'1b'!D19*100</f>
        <v>64.952232807065585</v>
      </c>
      <c r="E18" s="58">
        <f>'6'!E19/'1b'!E19*100</f>
        <v>89.978811928112705</v>
      </c>
      <c r="F18" s="58">
        <f>'6'!F19/'1b'!F19*100</f>
        <v>73.303726573502814</v>
      </c>
      <c r="G18" s="58">
        <f>'6'!G19/'1b'!G19*100</f>
        <v>53.300080133618387</v>
      </c>
      <c r="H18" s="58" t="s">
        <v>22</v>
      </c>
      <c r="I18" s="58" t="s">
        <v>22</v>
      </c>
    </row>
    <row r="19" spans="1:9" hidden="1" outlineLevel="1">
      <c r="A19" s="66">
        <v>1975</v>
      </c>
      <c r="B19" s="58">
        <f>'6'!B20/'1b'!B20*100</f>
        <v>60.670228651891868</v>
      </c>
      <c r="C19" s="58">
        <f>'6'!C20/'1b'!C20*100</f>
        <v>68.967385275918559</v>
      </c>
      <c r="D19" s="58">
        <f>'6'!D20/'1b'!D20*100</f>
        <v>73.997781190599156</v>
      </c>
      <c r="E19" s="58">
        <f>'6'!E20/'1b'!E20*100</f>
        <v>93.240295151642755</v>
      </c>
      <c r="F19" s="58">
        <f>'6'!F20/'1b'!F20*100</f>
        <v>81.851597181491115</v>
      </c>
      <c r="G19" s="58">
        <f>'6'!G20/'1b'!G20*100</f>
        <v>63.992458002678156</v>
      </c>
      <c r="H19" s="58" t="s">
        <v>22</v>
      </c>
      <c r="I19" s="58" t="s">
        <v>22</v>
      </c>
    </row>
    <row r="20" spans="1:9" hidden="1" outlineLevel="1">
      <c r="A20" s="66">
        <v>1976</v>
      </c>
      <c r="B20" s="58">
        <f>'6'!B21/'1b'!B21*100</f>
        <v>61.09849830063262</v>
      </c>
      <c r="C20" s="58">
        <f>'6'!C21/'1b'!C21*100</f>
        <v>70.699494034068437</v>
      </c>
      <c r="D20" s="58">
        <f>'6'!D21/'1b'!D21*100</f>
        <v>74.561030150421701</v>
      </c>
      <c r="E20" s="58">
        <f>'6'!E21/'1b'!E21*100</f>
        <v>83.405770870868949</v>
      </c>
      <c r="F20" s="58">
        <f>'6'!F21/'1b'!F21*100</f>
        <v>79.030999157170541</v>
      </c>
      <c r="G20" s="58">
        <f>'6'!G21/'1b'!G21*100</f>
        <v>69.776324059304656</v>
      </c>
      <c r="H20" s="58" t="s">
        <v>22</v>
      </c>
      <c r="I20" s="58" t="s">
        <v>22</v>
      </c>
    </row>
    <row r="21" spans="1:9" hidden="1" outlineLevel="1">
      <c r="A21" s="66">
        <v>1977</v>
      </c>
      <c r="B21" s="58">
        <f>'6'!B22/'1b'!B22*100</f>
        <v>60.959067559914551</v>
      </c>
      <c r="C21" s="58">
        <f>'6'!C22/'1b'!C22*100</f>
        <v>69.862408129568507</v>
      </c>
      <c r="D21" s="58">
        <f>'6'!D22/'1b'!D22*100</f>
        <v>72.911045438023507</v>
      </c>
      <c r="E21" s="58">
        <f>'6'!E22/'1b'!E22*100</f>
        <v>81.789973094798057</v>
      </c>
      <c r="F21" s="58">
        <f>'6'!F22/'1b'!F22*100</f>
        <v>71.725877175911151</v>
      </c>
      <c r="G21" s="58">
        <f>'6'!G22/'1b'!G22*100</f>
        <v>71.297798579111543</v>
      </c>
      <c r="H21" s="58" t="s">
        <v>22</v>
      </c>
      <c r="I21" s="58" t="s">
        <v>22</v>
      </c>
    </row>
    <row r="22" spans="1:9" hidden="1" outlineLevel="1">
      <c r="A22" s="66">
        <v>1978</v>
      </c>
      <c r="B22" s="58">
        <f>'6'!B23/'1b'!B23*100</f>
        <v>59.507574319887432</v>
      </c>
      <c r="C22" s="58">
        <f>'6'!C23/'1b'!C23*100</f>
        <v>68.491190779163048</v>
      </c>
      <c r="D22" s="58">
        <f>'6'!D23/'1b'!D23*100</f>
        <v>69.747514337250465</v>
      </c>
      <c r="E22" s="58">
        <f>'6'!E23/'1b'!E23*100</f>
        <v>81.363161208578049</v>
      </c>
      <c r="F22" s="58">
        <f>'6'!F23/'1b'!F23*100</f>
        <v>65.468311411853975</v>
      </c>
      <c r="G22" s="58">
        <f>'6'!G23/'1b'!G23*100</f>
        <v>69.183328580813068</v>
      </c>
      <c r="H22" s="58" t="s">
        <v>22</v>
      </c>
      <c r="I22" s="58" t="s">
        <v>22</v>
      </c>
    </row>
    <row r="23" spans="1:9" hidden="1" outlineLevel="1">
      <c r="A23" s="66">
        <v>1979</v>
      </c>
      <c r="B23" s="58">
        <f>'6'!B24/'1b'!B24*100</f>
        <v>58.150861349545515</v>
      </c>
      <c r="C23" s="58">
        <f>'6'!C24/'1b'!C24*100</f>
        <v>66.306237284342245</v>
      </c>
      <c r="D23" s="58">
        <f>'6'!D24/'1b'!D24*100</f>
        <v>64.697260601137842</v>
      </c>
      <c r="E23" s="58">
        <f>'6'!E24/'1b'!E24*100</f>
        <v>77.002768464644774</v>
      </c>
      <c r="F23" s="58">
        <f>'6'!F24/'1b'!F24*100</f>
        <v>65.796265407389811</v>
      </c>
      <c r="G23" s="58">
        <f>'6'!G24/'1b'!G24*100</f>
        <v>59.63859972633044</v>
      </c>
      <c r="H23" s="58" t="s">
        <v>22</v>
      </c>
      <c r="I23" s="58" t="s">
        <v>22</v>
      </c>
    </row>
    <row r="24" spans="1:9" hidden="1" outlineLevel="1">
      <c r="A24" s="66">
        <v>1980</v>
      </c>
      <c r="B24" s="58">
        <f>'6'!B25/'1b'!B25*100</f>
        <v>57.787406532877114</v>
      </c>
      <c r="C24" s="58">
        <f>'6'!C25/'1b'!C25*100</f>
        <v>68.15917246268657</v>
      </c>
      <c r="D24" s="58">
        <f>'6'!D25/'1b'!D25*100</f>
        <v>67.194365578075164</v>
      </c>
      <c r="E24" s="58">
        <f>'6'!E25/'1b'!E25*100</f>
        <v>77.551126798031135</v>
      </c>
      <c r="F24" s="58">
        <f>'6'!F25/'1b'!F25*100</f>
        <v>79.634125291283027</v>
      </c>
      <c r="G24" s="58">
        <f>'6'!G25/'1b'!G25*100</f>
        <v>57.453114054896901</v>
      </c>
      <c r="H24" s="58" t="s">
        <v>22</v>
      </c>
      <c r="I24" s="58" t="s">
        <v>22</v>
      </c>
    </row>
    <row r="25" spans="1:9" collapsed="1">
      <c r="A25" s="66">
        <v>1981</v>
      </c>
      <c r="B25" s="58">
        <f>'6'!B26/'1b'!B26*100</f>
        <v>58.67367916609885</v>
      </c>
      <c r="C25" s="58">
        <f>'6'!C26/'1b'!C26*100</f>
        <v>67.776356434389669</v>
      </c>
      <c r="D25" s="58">
        <f>'6'!D26/'1b'!D26*100</f>
        <v>76.248673040456509</v>
      </c>
      <c r="E25" s="58">
        <f>'6'!E26/'1b'!E26*100</f>
        <v>100.30140296558581</v>
      </c>
      <c r="F25" s="58">
        <f>'6'!F26/'1b'!F26*100</f>
        <v>87.851907381794391</v>
      </c>
      <c r="G25" s="58">
        <f>'6'!G26/'1b'!G26*100</f>
        <v>63.842189110631807</v>
      </c>
      <c r="H25" s="58" t="s">
        <v>22</v>
      </c>
      <c r="I25" s="58" t="s">
        <v>22</v>
      </c>
    </row>
    <row r="26" spans="1:9">
      <c r="A26" s="66">
        <v>1982</v>
      </c>
      <c r="B26" s="58">
        <f>'6'!B27/'1b'!B27*100</f>
        <v>59.377051508823975</v>
      </c>
      <c r="C26" s="58">
        <f>'6'!C27/'1b'!C27*100</f>
        <v>73.376232199347385</v>
      </c>
      <c r="D26" s="58">
        <f>'6'!D27/'1b'!D27*100</f>
        <v>83.057052818093439</v>
      </c>
      <c r="E26" s="58">
        <f>'6'!E27/'1b'!E27*100</f>
        <v>106.75141543922398</v>
      </c>
      <c r="F26" s="58">
        <f>'6'!F27/'1b'!F27*100</f>
        <v>76.273412604298201</v>
      </c>
      <c r="G26" s="58">
        <f>'6'!G27/'1b'!G27*100</f>
        <v>80.018116518978317</v>
      </c>
      <c r="H26" s="58" t="s">
        <v>22</v>
      </c>
      <c r="I26" s="58" t="s">
        <v>22</v>
      </c>
    </row>
    <row r="27" spans="1:9">
      <c r="A27" s="66">
        <v>1983</v>
      </c>
      <c r="B27" s="58">
        <f>'6'!B28/'1b'!B28*100</f>
        <v>57.351623470005087</v>
      </c>
      <c r="C27" s="58">
        <f>'6'!C28/'1b'!C28*100</f>
        <v>68.603127232691037</v>
      </c>
      <c r="D27" s="58">
        <f>'6'!D28/'1b'!D28*100</f>
        <v>82.249015802865728</v>
      </c>
      <c r="E27" s="58">
        <f>'6'!E28/'1b'!E28*100</f>
        <v>91.413728641093044</v>
      </c>
      <c r="F27" s="58">
        <f>'6'!F28/'1b'!F28*100</f>
        <v>81.501857211437496</v>
      </c>
      <c r="G27" s="58">
        <f>'6'!G28/'1b'!G28*100</f>
        <v>80.954290041664322</v>
      </c>
      <c r="H27" s="58" t="s">
        <v>22</v>
      </c>
      <c r="I27" s="58" t="s">
        <v>22</v>
      </c>
    </row>
    <row r="28" spans="1:9">
      <c r="A28" s="66">
        <v>1984</v>
      </c>
      <c r="B28" s="58">
        <f>'6'!B29/'1b'!B29*100</f>
        <v>56.554882215264357</v>
      </c>
      <c r="C28" s="58">
        <f>'6'!C29/'1b'!C29*100</f>
        <v>63.772320294403642</v>
      </c>
      <c r="D28" s="58">
        <f>'6'!D29/'1b'!D29*100</f>
        <v>77.253895190148981</v>
      </c>
      <c r="E28" s="58">
        <f>'6'!E29/'1b'!E29*100</f>
        <v>96.489159881214121</v>
      </c>
      <c r="F28" s="58">
        <f>'6'!F29/'1b'!F29*100</f>
        <v>82.580972451476242</v>
      </c>
      <c r="G28" s="58">
        <f>'6'!G29/'1b'!G29*100</f>
        <v>68.797380231575417</v>
      </c>
      <c r="H28" s="58" t="s">
        <v>22</v>
      </c>
      <c r="I28" s="58" t="s">
        <v>22</v>
      </c>
    </row>
    <row r="29" spans="1:9">
      <c r="A29" s="66">
        <v>1985</v>
      </c>
      <c r="B29" s="58">
        <f>'6'!B30/'1b'!B30*100</f>
        <v>56.696062417406438</v>
      </c>
      <c r="C29" s="58">
        <f>'6'!C30/'1b'!C30*100</f>
        <v>63.217565696810333</v>
      </c>
      <c r="D29" s="58">
        <f>'6'!D30/'1b'!D30*100</f>
        <v>77.993336756297751</v>
      </c>
      <c r="E29" s="58">
        <f>'6'!E30/'1b'!E30*100</f>
        <v>97.660074971867601</v>
      </c>
      <c r="F29" s="58">
        <f>'6'!F30/'1b'!F30*100</f>
        <v>77.393292461301826</v>
      </c>
      <c r="G29" s="58">
        <f>'6'!G30/'1b'!G30*100</f>
        <v>72.393104370206046</v>
      </c>
      <c r="H29" s="58" t="s">
        <v>22</v>
      </c>
      <c r="I29" s="58" t="s">
        <v>22</v>
      </c>
    </row>
    <row r="30" spans="1:9">
      <c r="A30" s="66">
        <v>1986</v>
      </c>
      <c r="B30" s="58">
        <f>'6'!B31/'1b'!B31*100</f>
        <v>57.733643388214084</v>
      </c>
      <c r="C30" s="58">
        <f>'6'!C31/'1b'!C31*100</f>
        <v>62.502583718089276</v>
      </c>
      <c r="D30" s="58">
        <f>'6'!D31/'1b'!D31*100</f>
        <v>71.237666598484793</v>
      </c>
      <c r="E30" s="58">
        <f>'6'!E31/'1b'!E31*100</f>
        <v>95.497407494335818</v>
      </c>
      <c r="F30" s="58">
        <f>'6'!F31/'1b'!F31*100</f>
        <v>68.604253870578134</v>
      </c>
      <c r="G30" s="58">
        <f>'6'!G31/'1b'!G31*100</f>
        <v>65.748766233485483</v>
      </c>
      <c r="H30" s="58" t="s">
        <v>22</v>
      </c>
      <c r="I30" s="58" t="s">
        <v>22</v>
      </c>
    </row>
    <row r="31" spans="1:9">
      <c r="A31" s="66">
        <v>1987</v>
      </c>
      <c r="B31" s="58">
        <f>'6'!B32/'1b'!B32*100</f>
        <v>57.797766080774046</v>
      </c>
      <c r="C31" s="58">
        <f>'6'!C32/'1b'!C32*100</f>
        <v>60.750898096007525</v>
      </c>
      <c r="D31" s="58">
        <f>'6'!D32/'1b'!D32*100</f>
        <v>63.154319461154664</v>
      </c>
      <c r="E31" s="58">
        <f>'6'!E32/'1b'!E32*100</f>
        <v>83.140915811059145</v>
      </c>
      <c r="F31" s="58">
        <f>'6'!F32/'1b'!F32*100</f>
        <v>66.068868628106912</v>
      </c>
      <c r="G31" s="58">
        <f>'6'!G32/'1b'!G32*100</f>
        <v>55.533066726502845</v>
      </c>
      <c r="H31" s="58" t="s">
        <v>22</v>
      </c>
      <c r="I31" s="58" t="s">
        <v>22</v>
      </c>
    </row>
    <row r="32" spans="1:9">
      <c r="A32" s="66">
        <v>1988</v>
      </c>
      <c r="B32" s="58">
        <f>'6'!B33/'1b'!B33*100</f>
        <v>58.140381812500408</v>
      </c>
      <c r="C32" s="58">
        <f>'6'!C33/'1b'!C33*100</f>
        <v>59.495927572048835</v>
      </c>
      <c r="D32" s="58">
        <f>'6'!D33/'1b'!D33*100</f>
        <v>61.787378428782283</v>
      </c>
      <c r="E32" s="58">
        <f>'6'!E33/'1b'!E33*100</f>
        <v>75.875825290411342</v>
      </c>
      <c r="F32" s="58">
        <f>'6'!F33/'1b'!F33*100</f>
        <v>74.985796310355752</v>
      </c>
      <c r="G32" s="58">
        <f>'6'!G33/'1b'!G33*100</f>
        <v>51.852766615705491</v>
      </c>
      <c r="H32" s="58" t="s">
        <v>22</v>
      </c>
      <c r="I32" s="58" t="s">
        <v>22</v>
      </c>
    </row>
    <row r="33" spans="1:9">
      <c r="A33" s="66">
        <v>1989</v>
      </c>
      <c r="B33" s="58">
        <f>'6'!B34/'1b'!B34*100</f>
        <v>58.679871360775834</v>
      </c>
      <c r="C33" s="58">
        <f>'6'!C34/'1b'!C34*100</f>
        <v>61.039375988909391</v>
      </c>
      <c r="D33" s="58">
        <f>'6'!D34/'1b'!D34*100</f>
        <v>65.078273392859558</v>
      </c>
      <c r="E33" s="58">
        <f>'6'!E34/'1b'!E34*100</f>
        <v>77.775772761126589</v>
      </c>
      <c r="F33" s="58">
        <f>'6'!F34/'1b'!F34*100</f>
        <v>75.027956095679485</v>
      </c>
      <c r="G33" s="58">
        <f>'6'!G34/'1b'!G34*100</f>
        <v>56.664937017958472</v>
      </c>
      <c r="H33" s="58" t="s">
        <v>22</v>
      </c>
      <c r="I33" s="58" t="s">
        <v>22</v>
      </c>
    </row>
    <row r="34" spans="1:9">
      <c r="A34" s="66">
        <v>1990</v>
      </c>
      <c r="B34" s="58">
        <f>'6'!B35/'1b'!B35*100</f>
        <v>59.358273133189243</v>
      </c>
      <c r="C34" s="58">
        <f>'6'!C35/'1b'!C35*100</f>
        <v>63.491074703421212</v>
      </c>
      <c r="D34" s="58">
        <f>'6'!D35/'1b'!D35*100</f>
        <v>73.731112623148761</v>
      </c>
      <c r="E34" s="58">
        <f>'6'!E35/'1b'!E35*100</f>
        <v>83.762569330821265</v>
      </c>
      <c r="F34" s="58">
        <f>'6'!F35/'1b'!F35*100</f>
        <v>83.104402841621706</v>
      </c>
      <c r="G34" s="58">
        <f>'6'!G35/'1b'!G35*100</f>
        <v>66.534924792159202</v>
      </c>
      <c r="H34" s="58" t="s">
        <v>22</v>
      </c>
      <c r="I34" s="58" t="s">
        <v>22</v>
      </c>
    </row>
    <row r="35" spans="1:9">
      <c r="A35" s="66">
        <v>1991</v>
      </c>
      <c r="B35" s="58">
        <f>'6'!B36/'1b'!B36*100</f>
        <v>60.540415047707505</v>
      </c>
      <c r="C35" s="58">
        <f>'6'!C36/'1b'!C36*100</f>
        <v>66.663001964795669</v>
      </c>
      <c r="D35" s="58">
        <f>'6'!D36/'1b'!D36*100</f>
        <v>88.347505938135242</v>
      </c>
      <c r="E35" s="58">
        <f>'6'!E36/'1b'!E36*100</f>
        <v>94.299534174838101</v>
      </c>
      <c r="F35" s="58">
        <f>'6'!F36/'1b'!F36*100</f>
        <v>88.404817125135807</v>
      </c>
      <c r="G35" s="58">
        <f>'6'!G36/'1b'!G36*100</f>
        <v>87.869893335940546</v>
      </c>
      <c r="H35" s="58" t="s">
        <v>22</v>
      </c>
      <c r="I35" s="58" t="s">
        <v>22</v>
      </c>
    </row>
    <row r="36" spans="1:9">
      <c r="A36" s="66">
        <v>1992</v>
      </c>
      <c r="B36" s="58">
        <f>'6'!B37/'1b'!B37*100</f>
        <v>60.797094907828765</v>
      </c>
      <c r="C36" s="58">
        <f>'6'!C37/'1b'!C37*100</f>
        <v>67.937541179521588</v>
      </c>
      <c r="D36" s="58">
        <f>'6'!D37/'1b'!D37*100</f>
        <v>87.022475502427781</v>
      </c>
      <c r="E36" s="58">
        <f>'6'!E37/'1b'!E37*100</f>
        <v>84.587324290258522</v>
      </c>
      <c r="F36" s="58">
        <f>'6'!F37/'1b'!F37*100</f>
        <v>78.553302392450092</v>
      </c>
      <c r="G36" s="58">
        <f>'6'!G37/'1b'!G37*100</f>
        <v>97.077593025205871</v>
      </c>
      <c r="H36" s="58" t="s">
        <v>22</v>
      </c>
      <c r="I36" s="58" t="s">
        <v>22</v>
      </c>
    </row>
    <row r="37" spans="1:9">
      <c r="A37" s="66">
        <v>1993</v>
      </c>
      <c r="B37" s="58">
        <f>'6'!B38/'1b'!B38*100</f>
        <v>59.920888236418989</v>
      </c>
      <c r="C37" s="58">
        <f>'6'!C38/'1b'!C38*100</f>
        <v>64.467280076328024</v>
      </c>
      <c r="D37" s="58">
        <f>'6'!D38/'1b'!D38*100</f>
        <v>74.140153737416298</v>
      </c>
      <c r="E37" s="58">
        <f>'6'!E38/'1b'!E38*100</f>
        <v>72.959228116311806</v>
      </c>
      <c r="F37" s="58">
        <f>'6'!F38/'1b'!F38*100</f>
        <v>59.989390866371458</v>
      </c>
      <c r="G37" s="58">
        <f>'6'!G38/'1b'!G38*100</f>
        <v>91.717592046238167</v>
      </c>
      <c r="H37" s="58" t="s">
        <v>22</v>
      </c>
      <c r="I37" s="58" t="s">
        <v>22</v>
      </c>
    </row>
    <row r="38" spans="1:9">
      <c r="A38" s="66">
        <v>1994</v>
      </c>
      <c r="B38" s="58">
        <f>'6'!B39/'1b'!B39*100</f>
        <v>57.909480416329359</v>
      </c>
      <c r="C38" s="58">
        <f>'6'!C39/'1b'!C39*100</f>
        <v>58.791874221215245</v>
      </c>
      <c r="D38" s="58">
        <f>'6'!D39/'1b'!D39*100</f>
        <v>63.133386444692874</v>
      </c>
      <c r="E38" s="58">
        <f>'6'!E39/'1b'!E39*100</f>
        <v>68.638485833616585</v>
      </c>
      <c r="F38" s="58">
        <f>'6'!F39/'1b'!F39*100</f>
        <v>50.603447457744664</v>
      </c>
      <c r="G38" s="58">
        <f>'6'!G39/'1b'!G39*100</f>
        <v>74.605215992949368</v>
      </c>
      <c r="H38" s="58" t="s">
        <v>22</v>
      </c>
      <c r="I38" s="58" t="s">
        <v>22</v>
      </c>
    </row>
    <row r="39" spans="1:9">
      <c r="A39" s="66">
        <v>1995</v>
      </c>
      <c r="B39" s="58">
        <f>'6'!B40/'1b'!B40*100</f>
        <v>56.904755789440621</v>
      </c>
      <c r="C39" s="58">
        <f>'6'!C40/'1b'!C40*100</f>
        <v>55.009199469239235</v>
      </c>
      <c r="D39" s="58">
        <f>'6'!D40/'1b'!D40*100</f>
        <v>53.480848432637394</v>
      </c>
      <c r="E39" s="58">
        <f>'6'!E40/'1b'!E40*100</f>
        <v>71.384153933988642</v>
      </c>
      <c r="F39" s="58">
        <f>'6'!F40/'1b'!F40*100</f>
        <v>60.671692944125212</v>
      </c>
      <c r="G39" s="58">
        <f>'6'!G40/'1b'!G40*100</f>
        <v>44.419622225188007</v>
      </c>
      <c r="H39" s="58" t="s">
        <v>22</v>
      </c>
      <c r="I39" s="58" t="s">
        <v>22</v>
      </c>
    </row>
    <row r="40" spans="1:9">
      <c r="A40" s="66">
        <v>1996</v>
      </c>
      <c r="B40" s="58">
        <f>'6'!B41/'1b'!B41*100</f>
        <v>56.595850427913611</v>
      </c>
      <c r="C40" s="58">
        <f>'6'!C41/'1b'!C41*100</f>
        <v>56.331784791790184</v>
      </c>
      <c r="D40" s="58">
        <f>'6'!D41/'1b'!D41*100</f>
        <v>58.34504684720492</v>
      </c>
      <c r="E40" s="58">
        <f>'6'!E41/'1b'!E41*100</f>
        <v>72.222426567341913</v>
      </c>
      <c r="F40" s="58">
        <f>'6'!F41/'1b'!F41*100</f>
        <v>59.091477547430515</v>
      </c>
      <c r="G40" s="58">
        <f>'6'!G41/'1b'!G41*100</f>
        <v>53.293914586118433</v>
      </c>
      <c r="H40" s="58" t="s">
        <v>22</v>
      </c>
      <c r="I40" s="58" t="s">
        <v>22</v>
      </c>
    </row>
    <row r="41" spans="1:9">
      <c r="A41" s="66">
        <v>1997</v>
      </c>
      <c r="B41" s="58">
        <f>'6'!B42/'1b'!B42*100</f>
        <v>56.965312665059855</v>
      </c>
      <c r="C41" s="58">
        <f>'6'!C42/'1b'!C42*100</f>
        <v>56.398775497186072</v>
      </c>
      <c r="D41" s="58">
        <f>'6'!D42/'1b'!D42*100</f>
        <v>59.948237008659056</v>
      </c>
      <c r="E41" s="58">
        <f>'6'!E42/'1b'!E42*100</f>
        <v>68.883045741948379</v>
      </c>
      <c r="F41" s="58">
        <f>'6'!F42/'1b'!F42*100</f>
        <v>56.061249430093241</v>
      </c>
      <c r="G41" s="58">
        <f>'6'!G42/'1b'!G42*100</f>
        <v>59.9644686364732</v>
      </c>
      <c r="H41" s="58">
        <f>'6'!H42/'1b'!H42*100</f>
        <v>60.184127455882894</v>
      </c>
      <c r="I41" s="58">
        <f>'6'!I42/'1b'!I42*100</f>
        <v>61.334473525104663</v>
      </c>
    </row>
    <row r="42" spans="1:9">
      <c r="A42" s="66">
        <v>1998</v>
      </c>
      <c r="B42" s="58">
        <f>'6'!B43/'1b'!B43*100</f>
        <v>57.750054293958172</v>
      </c>
      <c r="C42" s="58">
        <f>'6'!C43/'1b'!C43*100</f>
        <v>56.135673103106534</v>
      </c>
      <c r="D42" s="58">
        <f>'6'!D43/'1b'!D43*100</f>
        <v>56.60453902502087</v>
      </c>
      <c r="E42" s="58">
        <f>'6'!E43/'1b'!E43*100</f>
        <v>61.990940326389286</v>
      </c>
      <c r="F42" s="58">
        <f>'6'!F43/'1b'!F43*100</f>
        <v>56.410929107414219</v>
      </c>
      <c r="G42" s="58">
        <f>'6'!G43/'1b'!G43*100</f>
        <v>54.935441606385147</v>
      </c>
      <c r="H42" s="58">
        <f>'6'!H43/'1b'!H43*100</f>
        <v>52.535374712931002</v>
      </c>
      <c r="I42" s="58">
        <f>'6'!I43/'1b'!I43*100</f>
        <v>63.917833392819702</v>
      </c>
    </row>
    <row r="43" spans="1:9">
      <c r="A43" s="66">
        <v>1999</v>
      </c>
      <c r="B43" s="58">
        <f>'6'!B44/'1b'!B44*100</f>
        <v>56.80327215267652</v>
      </c>
      <c r="C43" s="58">
        <f>'6'!C44/'1b'!C44*100</f>
        <v>52.492491163887578</v>
      </c>
      <c r="D43" s="58">
        <f>'6'!D44/'1b'!D44*100</f>
        <v>56.103248304819886</v>
      </c>
      <c r="E43" s="58">
        <f>'6'!E44/'1b'!E44*100</f>
        <v>70.288745021208328</v>
      </c>
      <c r="F43" s="58">
        <f>'6'!F44/'1b'!F44*100</f>
        <v>48.096642779425004</v>
      </c>
      <c r="G43" s="58">
        <f>'6'!G44/'1b'!G44*100</f>
        <v>58.468988269400157</v>
      </c>
      <c r="H43" s="58">
        <f>'6'!H44/'1b'!H44*100</f>
        <v>57.50553789310878</v>
      </c>
      <c r="I43" s="58">
        <f>'6'!I44/'1b'!I44*100</f>
        <v>62.529354615124788</v>
      </c>
    </row>
    <row r="44" spans="1:9">
      <c r="A44" s="66">
        <v>2000</v>
      </c>
      <c r="B44" s="58">
        <f>'6'!B45/'1b'!B45*100</f>
        <v>55.952841002053077</v>
      </c>
      <c r="C44" s="58">
        <f>'6'!C45/'1b'!C45*100</f>
        <v>51.125775810073527</v>
      </c>
      <c r="D44" s="58">
        <f>'6'!D45/'1b'!D45*100</f>
        <v>52.768628834483962</v>
      </c>
      <c r="E44" s="58">
        <f>'6'!E45/'1b'!E45*100</f>
        <v>70.775593511548323</v>
      </c>
      <c r="F44" s="58">
        <f>'6'!F45/'1b'!F45*100</f>
        <v>51.98072750773207</v>
      </c>
      <c r="G44" s="58">
        <f>'6'!G45/'1b'!G45*100</f>
        <v>46.861474845906173</v>
      </c>
      <c r="H44" s="58">
        <f>'6'!H45/'1b'!H45*100</f>
        <v>42.160677003310319</v>
      </c>
      <c r="I44" s="58">
        <f>'6'!I45/'1b'!I45*100</f>
        <v>65.447842285591932</v>
      </c>
    </row>
    <row r="45" spans="1:9">
      <c r="A45" s="66">
        <v>2001</v>
      </c>
      <c r="B45" s="58">
        <f>'6'!B46/'1b'!B46*100</f>
        <v>56.504011004855911</v>
      </c>
      <c r="C45" s="58">
        <f>'6'!C46/'1b'!C46*100</f>
        <v>53.749388676200304</v>
      </c>
      <c r="D45" s="58">
        <f>'6'!D46/'1b'!D46*100</f>
        <v>56.43212073814329</v>
      </c>
      <c r="E45" s="58">
        <f>'6'!E46/'1b'!E46*100</f>
        <v>76.90083680444026</v>
      </c>
      <c r="F45" s="58">
        <f>'6'!F46/'1b'!F46*100</f>
        <v>54.408086417381462</v>
      </c>
      <c r="G45" s="58">
        <f>'6'!G46/'1b'!G46*100</f>
        <v>50.83656772742858</v>
      </c>
      <c r="H45" s="58">
        <f>'6'!H46/'1b'!H46*100</f>
        <v>47.756510306658903</v>
      </c>
      <c r="I45" s="58">
        <f>'6'!I46/'1b'!I46*100</f>
        <v>59.797655720333672</v>
      </c>
    </row>
    <row r="46" spans="1:9">
      <c r="A46" s="66">
        <v>2002</v>
      </c>
      <c r="B46" s="58">
        <f>'6'!B47/'1b'!B47*100</f>
        <v>56.728561474966675</v>
      </c>
      <c r="C46" s="58">
        <f>'6'!C47/'1b'!C47*100</f>
        <v>54.263361858747714</v>
      </c>
      <c r="D46" s="58">
        <f>'6'!D47/'1b'!D47*100</f>
        <v>58.633201271519908</v>
      </c>
      <c r="E46" s="58">
        <f>'6'!E47/'1b'!E47*100</f>
        <v>71.247066715591373</v>
      </c>
      <c r="F46" s="58">
        <f>'6'!F47/'1b'!F47*100</f>
        <v>52.657540787172728</v>
      </c>
      <c r="G46" s="58">
        <f>'6'!G47/'1b'!G47*100</f>
        <v>59.233642417010181</v>
      </c>
      <c r="H46" s="58">
        <f>'6'!H47/'1b'!H47*100</f>
        <v>58.694630625123203</v>
      </c>
      <c r="I46" s="58">
        <f>'6'!I47/'1b'!I47*100</f>
        <v>60.820819469861618</v>
      </c>
    </row>
    <row r="47" spans="1:9">
      <c r="A47" s="66">
        <v>2003</v>
      </c>
      <c r="B47" s="58">
        <f>'6'!B48/'1b'!B48*100</f>
        <v>56.18011868091245</v>
      </c>
      <c r="C47" s="58">
        <f>'6'!C48/'1b'!C48*100</f>
        <v>56.451477588419444</v>
      </c>
      <c r="D47" s="58">
        <f>'6'!D48/'1b'!D48*100</f>
        <v>64.25513289142765</v>
      </c>
      <c r="E47" s="58">
        <f>'6'!E48/'1b'!E48*100</f>
        <v>76.220244903163135</v>
      </c>
      <c r="F47" s="58">
        <f>'6'!F48/'1b'!F48*100</f>
        <v>55.602806326548574</v>
      </c>
      <c r="G47" s="58">
        <f>'6'!G48/'1b'!G48*100</f>
        <v>68.246072029956835</v>
      </c>
      <c r="H47" s="58">
        <f>'6'!H48/'1b'!H48*100</f>
        <v>72.509930697760609</v>
      </c>
      <c r="I47" s="58">
        <f>'6'!I48/'1b'!I48*100</f>
        <v>61.005034753918288</v>
      </c>
    </row>
    <row r="48" spans="1:9">
      <c r="A48" s="66">
        <v>2004</v>
      </c>
      <c r="B48" s="58">
        <f>'6'!B49/'1b'!B49*100</f>
        <v>55.812834068078544</v>
      </c>
      <c r="C48" s="58">
        <f>'6'!C49/'1b'!C49*100</f>
        <v>57.265158454171761</v>
      </c>
      <c r="D48" s="58">
        <f>'6'!D49/'1b'!D49*100</f>
        <v>60.574648781924388</v>
      </c>
      <c r="E48" s="58">
        <f>'6'!E49/'1b'!E49*100</f>
        <v>71.897078160698982</v>
      </c>
      <c r="F48" s="58">
        <f>'6'!F49/'1b'!F49*100</f>
        <v>49.227534516694291</v>
      </c>
      <c r="G48" s="58">
        <f>'6'!G49/'1b'!G49*100</f>
        <v>69.461881038966084</v>
      </c>
      <c r="H48" s="58">
        <f>'6'!H49/'1b'!H49*100</f>
        <v>73.293982870547168</v>
      </c>
      <c r="I48" s="58">
        <f>'6'!I49/'1b'!I49*100</f>
        <v>62.880362785428304</v>
      </c>
    </row>
    <row r="49" spans="1:9">
      <c r="A49" s="66">
        <v>2005</v>
      </c>
      <c r="B49" s="58">
        <f>'6'!B50/'1b'!B50*100</f>
        <v>55.310777203660798</v>
      </c>
      <c r="C49" s="58">
        <f>'6'!C50/'1b'!C50*100</f>
        <v>59.195468793831566</v>
      </c>
      <c r="D49" s="58">
        <f>'6'!D50/'1b'!D50*100</f>
        <v>65.372001705757725</v>
      </c>
      <c r="E49" s="58">
        <f>'6'!E50/'1b'!E50*100</f>
        <v>73.422200908909446</v>
      </c>
      <c r="F49" s="58">
        <f>'6'!F50/'1b'!F50*100</f>
        <v>55.97285356989741</v>
      </c>
      <c r="G49" s="58">
        <f>'6'!G50/'1b'!G50*100</f>
        <v>72.315103096806652</v>
      </c>
      <c r="H49" s="58">
        <f>'6'!H50/'1b'!H50*100</f>
        <v>76.153049881469997</v>
      </c>
      <c r="I49" s="58">
        <f>'6'!I50/'1b'!I50*100</f>
        <v>65.753872380310384</v>
      </c>
    </row>
    <row r="50" spans="1:9">
      <c r="A50" s="66">
        <v>2006</v>
      </c>
      <c r="B50" s="58">
        <f>'6'!B51/'1b'!B51*100</f>
        <v>55.784577439879335</v>
      </c>
      <c r="C50" s="58">
        <f>'6'!C51/'1b'!C51*100</f>
        <v>59.948614562407002</v>
      </c>
      <c r="D50" s="58">
        <f>'6'!D51/'1b'!D51*100</f>
        <v>67.775307868418238</v>
      </c>
      <c r="E50" s="58">
        <f>'6'!E51/'1b'!E51*100</f>
        <v>72.263013682912742</v>
      </c>
      <c r="F50" s="58">
        <f>'6'!F51/'1b'!F51*100</f>
        <v>61.372892800021006</v>
      </c>
      <c r="G50" s="58">
        <f>'6'!G51/'1b'!G51*100</f>
        <v>72.447030380553016</v>
      </c>
      <c r="H50" s="58">
        <f>'6'!H51/'1b'!H51*100</f>
        <v>75.280863886026751</v>
      </c>
      <c r="I50" s="58">
        <f>'6'!I51/'1b'!I51*100</f>
        <v>67.5600157158663</v>
      </c>
    </row>
    <row r="51" spans="1:9">
      <c r="A51" s="66">
        <v>2007</v>
      </c>
      <c r="B51" s="58">
        <f>'6'!B52/'1b'!B52*100</f>
        <v>55.822565978616048</v>
      </c>
      <c r="C51" s="58">
        <f>'6'!C52/'1b'!C52*100</f>
        <v>59.91756682007852</v>
      </c>
      <c r="D51" s="58">
        <f>'6'!D52/'1b'!D52*100</f>
        <v>70.870601982083343</v>
      </c>
      <c r="E51" s="58">
        <f>'6'!E52/'1b'!E52*100</f>
        <v>73.633182790587114</v>
      </c>
      <c r="F51" s="58">
        <f>'6'!F52/'1b'!F52*100</f>
        <v>63.585240963855426</v>
      </c>
      <c r="G51" s="58">
        <f>'6'!G52/'1b'!G52*100</f>
        <v>77.182215271786021</v>
      </c>
      <c r="H51" s="58">
        <f>'6'!H52/'1b'!H52*100</f>
        <v>82.407578621756301</v>
      </c>
      <c r="I51" s="58">
        <f>'6'!I52/'1b'!I52*100</f>
        <v>68.376426295974511</v>
      </c>
    </row>
    <row r="52" spans="1:9">
      <c r="A52" s="66">
        <v>2008</v>
      </c>
      <c r="B52" s="58">
        <f>'6'!B53/'1b'!B53*100</f>
        <v>54.935859856314117</v>
      </c>
      <c r="C52" s="58">
        <f>'6'!C53/'1b'!C53*100</f>
        <v>62.041402136818093</v>
      </c>
      <c r="D52" s="58">
        <f>'6'!D53/'1b'!D53*100</f>
        <v>71.461251090221907</v>
      </c>
      <c r="E52" s="58">
        <f>'6'!E53/'1b'!E53*100</f>
        <v>68.696574813288692</v>
      </c>
      <c r="F52" s="58">
        <f>'6'!F53/'1b'!F53*100</f>
        <v>67.045813924209995</v>
      </c>
      <c r="G52" s="58">
        <f>'6'!G53/'1b'!G53*100</f>
        <v>76.659509759418981</v>
      </c>
      <c r="H52" s="58">
        <f>'6'!H53/'1b'!H53*100</f>
        <v>83.067516507703601</v>
      </c>
      <c r="I52" s="58">
        <f>'6'!I53/'1b'!I53*100</f>
        <v>66.261755952380952</v>
      </c>
    </row>
    <row r="53" spans="1:9">
      <c r="A53" s="66">
        <v>2009</v>
      </c>
      <c r="B53" s="58" t="s">
        <v>22</v>
      </c>
      <c r="C53" s="58" t="s">
        <v>22</v>
      </c>
      <c r="D53" s="58" t="s">
        <v>22</v>
      </c>
      <c r="E53" s="58" t="s">
        <v>22</v>
      </c>
      <c r="F53" s="58" t="s">
        <v>22</v>
      </c>
      <c r="G53" s="58" t="s">
        <v>22</v>
      </c>
      <c r="H53" s="58" t="s">
        <v>22</v>
      </c>
      <c r="I53" s="58" t="s">
        <v>22</v>
      </c>
    </row>
    <row r="54" spans="1:9">
      <c r="A54" s="66">
        <v>2010</v>
      </c>
      <c r="B54" s="58" t="s">
        <v>22</v>
      </c>
      <c r="C54" s="58" t="s">
        <v>22</v>
      </c>
      <c r="D54" s="58" t="s">
        <v>22</v>
      </c>
      <c r="E54" s="58" t="s">
        <v>22</v>
      </c>
      <c r="F54" s="58" t="s">
        <v>22</v>
      </c>
      <c r="G54" s="58" t="s">
        <v>22</v>
      </c>
      <c r="H54" s="58" t="s">
        <v>22</v>
      </c>
      <c r="I54" s="58" t="s">
        <v>22</v>
      </c>
    </row>
    <row r="55" spans="1:9">
      <c r="A55" s="66">
        <v>2011</v>
      </c>
      <c r="B55" s="58" t="s">
        <v>22</v>
      </c>
      <c r="C55" s="58" t="s">
        <v>22</v>
      </c>
      <c r="D55" s="58" t="s">
        <v>22</v>
      </c>
      <c r="E55" s="58" t="s">
        <v>22</v>
      </c>
      <c r="F55" s="58" t="s">
        <v>22</v>
      </c>
      <c r="G55" s="58" t="s">
        <v>22</v>
      </c>
      <c r="H55" s="58" t="s">
        <v>22</v>
      </c>
      <c r="I55" s="58" t="s">
        <v>22</v>
      </c>
    </row>
    <row r="56" spans="1:9">
      <c r="B56" s="56"/>
      <c r="C56" s="56"/>
      <c r="D56" s="56"/>
      <c r="E56" s="56"/>
      <c r="F56" s="56"/>
      <c r="G56" s="56"/>
      <c r="H56" s="56"/>
      <c r="I56" s="56"/>
    </row>
    <row r="57" spans="1:9">
      <c r="A57" s="66" t="s">
        <v>23</v>
      </c>
      <c r="B57" s="56"/>
      <c r="C57" s="56"/>
      <c r="D57" s="56"/>
      <c r="E57" s="56"/>
      <c r="F57" s="56"/>
      <c r="G57" s="56"/>
      <c r="H57" s="56"/>
      <c r="I57" s="56"/>
    </row>
    <row r="58" spans="1:9">
      <c r="A58" s="64" t="s">
        <v>1783</v>
      </c>
      <c r="B58" s="65">
        <f>((B52/B25)^(1/27)-1)*100</f>
        <v>-0.24349902265680123</v>
      </c>
      <c r="C58" s="65">
        <f t="shared" ref="C58:G58" si="0">((C52/C25)^(1/27)-1)*100</f>
        <v>-0.32691435786981193</v>
      </c>
      <c r="D58" s="65">
        <f t="shared" si="0"/>
        <v>-0.23987721363829539</v>
      </c>
      <c r="E58" s="65">
        <f t="shared" si="0"/>
        <v>-1.3919998684982282</v>
      </c>
      <c r="F58" s="65">
        <f t="shared" si="0"/>
        <v>-0.99602995633586433</v>
      </c>
      <c r="G58" s="65">
        <f t="shared" si="0"/>
        <v>0.67992857788001793</v>
      </c>
      <c r="H58" s="65" t="s">
        <v>22</v>
      </c>
      <c r="I58" s="65" t="s">
        <v>22</v>
      </c>
    </row>
    <row r="59" spans="1:9">
      <c r="A59" s="64" t="s">
        <v>25</v>
      </c>
      <c r="B59" s="65">
        <f>((B33/B25)^(1/8)-1)*100</f>
        <v>1.3191410691781869E-3</v>
      </c>
      <c r="C59" s="65">
        <f>((C33/C25)^(1/8)-1)*100</f>
        <v>-1.3001521045321041</v>
      </c>
      <c r="D59" s="65" t="s">
        <v>22</v>
      </c>
      <c r="E59" s="65" t="s">
        <v>22</v>
      </c>
      <c r="F59" s="65">
        <f>((F33/F25)^(1/8)-1)*100</f>
        <v>-1.9530721942871643</v>
      </c>
      <c r="G59" s="65">
        <f>((G33/G25)^(1/8)-1)*100</f>
        <v>-1.479676318706058</v>
      </c>
      <c r="H59" s="57" t="s">
        <v>22</v>
      </c>
      <c r="I59" s="57" t="s">
        <v>22</v>
      </c>
    </row>
    <row r="60" spans="1:9">
      <c r="A60" s="64" t="s">
        <v>26</v>
      </c>
      <c r="B60" s="65">
        <f t="shared" ref="B60:G60" si="1">((B44/B33)^(1/11)-1)*100</f>
        <v>-0.43167966476802544</v>
      </c>
      <c r="C60" s="65">
        <f t="shared" si="1"/>
        <v>-1.5982750659062961</v>
      </c>
      <c r="D60" s="65">
        <f t="shared" si="1"/>
        <v>-1.8880745478446426</v>
      </c>
      <c r="E60" s="65">
        <f t="shared" si="1"/>
        <v>-0.85375068782682639</v>
      </c>
      <c r="F60" s="65">
        <f t="shared" si="1"/>
        <v>-3.2812133051925763</v>
      </c>
      <c r="G60" s="65">
        <f t="shared" si="1"/>
        <v>-1.7120809663765391</v>
      </c>
      <c r="H60" s="57" t="s">
        <v>22</v>
      </c>
      <c r="I60" s="57" t="s">
        <v>22</v>
      </c>
    </row>
    <row r="61" spans="1:9">
      <c r="A61" s="64" t="s">
        <v>1779</v>
      </c>
      <c r="B61" s="65">
        <f>((B52/B44)^(1/8)-1)*100</f>
        <v>-0.22902347395208356</v>
      </c>
      <c r="C61" s="65">
        <f t="shared" ref="C61:I61" si="2">((C52/C44)^(1/8)-1)*100</f>
        <v>2.4484074270053613</v>
      </c>
      <c r="D61" s="65">
        <f t="shared" si="2"/>
        <v>3.8632362930267838</v>
      </c>
      <c r="E61" s="65">
        <f t="shared" si="2"/>
        <v>-0.37199233818678845</v>
      </c>
      <c r="F61" s="65">
        <f t="shared" si="2"/>
        <v>3.2324332975864678</v>
      </c>
      <c r="G61" s="65">
        <f t="shared" si="2"/>
        <v>6.3454126070507266</v>
      </c>
      <c r="H61" s="65">
        <f t="shared" si="2"/>
        <v>8.8467475211566828</v>
      </c>
      <c r="I61" s="65">
        <f t="shared" si="2"/>
        <v>0.15461156337486237</v>
      </c>
    </row>
    <row r="62" spans="1:9">
      <c r="B62" s="65"/>
      <c r="C62" s="65"/>
      <c r="D62" s="65"/>
      <c r="E62" s="65"/>
      <c r="F62" s="65"/>
      <c r="G62" s="65"/>
      <c r="H62" s="65"/>
      <c r="I62" s="65"/>
    </row>
    <row r="64" spans="1:9" ht="60" customHeight="1">
      <c r="A64" s="131" t="s">
        <v>767</v>
      </c>
      <c r="B64" s="131"/>
      <c r="C64" s="131"/>
      <c r="D64" s="131"/>
      <c r="E64" s="131"/>
      <c r="F64" s="131"/>
      <c r="G64" s="131"/>
      <c r="H64" s="131"/>
      <c r="I64" s="131"/>
    </row>
    <row r="65" spans="1:9">
      <c r="A65" s="92" t="s">
        <v>1366</v>
      </c>
      <c r="B65" s="92"/>
      <c r="C65" s="92"/>
      <c r="D65" s="92"/>
      <c r="E65" s="92"/>
      <c r="F65" s="92"/>
      <c r="G65" s="92"/>
      <c r="H65" s="92"/>
      <c r="I65" s="92"/>
    </row>
  </sheetData>
  <mergeCells count="11">
    <mergeCell ref="A65:I65"/>
    <mergeCell ref="A64:I64"/>
    <mergeCell ref="A1:I1"/>
    <mergeCell ref="A2:A4"/>
    <mergeCell ref="B2:B4"/>
    <mergeCell ref="D2:I2"/>
    <mergeCell ref="D3:D4"/>
    <mergeCell ref="E3:E4"/>
    <mergeCell ref="F3:F4"/>
    <mergeCell ref="G3:I3"/>
    <mergeCell ref="C2:C4"/>
  </mergeCells>
  <pageMargins left="0.7" right="0.7" top="0.75" bottom="0.75" header="0.3" footer="0.3"/>
  <pageSetup scale="65" orientation="portrait" horizontalDpi="0" verticalDpi="0" r:id="rId1"/>
</worksheet>
</file>

<file path=xl/worksheets/sheet44.xml><?xml version="1.0" encoding="utf-8"?>
<worksheet xmlns="http://schemas.openxmlformats.org/spreadsheetml/2006/main" xmlns:r="http://schemas.openxmlformats.org/officeDocument/2006/relationships">
  <sheetPr codeName="Sheet41"/>
  <dimension ref="A1:K46"/>
  <sheetViews>
    <sheetView view="pageBreakPreview" zoomScale="85" zoomScaleNormal="100"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9.140625" style="64"/>
    <col min="2" max="2" width="15.42578125" style="64" customWidth="1"/>
    <col min="3" max="3" width="10" style="64" customWidth="1"/>
    <col min="4" max="4" width="12" style="64" customWidth="1"/>
    <col min="5" max="5" width="10.42578125" style="64" customWidth="1"/>
    <col min="6" max="6" width="15.42578125" style="64" customWidth="1"/>
    <col min="7" max="7" width="9.28515625" style="64" bestFit="1" customWidth="1"/>
    <col min="8" max="16384" width="9.140625" style="64"/>
  </cols>
  <sheetData>
    <row r="1" spans="1:11" ht="30" customHeight="1">
      <c r="A1" s="93" t="s">
        <v>2167</v>
      </c>
      <c r="B1" s="93"/>
      <c r="C1" s="93"/>
      <c r="D1" s="93"/>
      <c r="E1" s="93"/>
      <c r="F1" s="93"/>
    </row>
    <row r="2" spans="1:11" s="117" customFormat="1" ht="60">
      <c r="B2" s="72" t="s">
        <v>958</v>
      </c>
      <c r="C2" s="72" t="s">
        <v>959</v>
      </c>
      <c r="D2" s="72" t="s">
        <v>960</v>
      </c>
      <c r="E2" s="72" t="s">
        <v>744</v>
      </c>
      <c r="F2" s="72" t="s">
        <v>956</v>
      </c>
    </row>
    <row r="3" spans="1:11" s="117" customFormat="1" ht="45">
      <c r="B3" s="73" t="s">
        <v>1844</v>
      </c>
      <c r="C3" s="73" t="s">
        <v>962</v>
      </c>
      <c r="D3" s="73" t="s">
        <v>844</v>
      </c>
      <c r="E3" s="73" t="s">
        <v>965</v>
      </c>
      <c r="F3" s="73" t="s">
        <v>1845</v>
      </c>
    </row>
    <row r="4" spans="1:11" s="135" customFormat="1">
      <c r="B4" s="74" t="s">
        <v>953</v>
      </c>
      <c r="C4" s="74" t="s">
        <v>952</v>
      </c>
      <c r="D4" s="74" t="s">
        <v>964</v>
      </c>
      <c r="E4" s="74" t="s">
        <v>954</v>
      </c>
      <c r="F4" s="74" t="s">
        <v>955</v>
      </c>
    </row>
    <row r="5" spans="1:11" s="135" customFormat="1">
      <c r="A5" s="259" t="s">
        <v>673</v>
      </c>
    </row>
    <row r="6" spans="1:11" s="135" customFormat="1">
      <c r="A6" s="260">
        <v>1981</v>
      </c>
      <c r="B6" s="30">
        <f>'1a'!B7</f>
        <v>724610.64801436022</v>
      </c>
      <c r="C6" s="30">
        <f>'1b'!B26</f>
        <v>347045.95519964775</v>
      </c>
      <c r="D6" s="31">
        <f t="shared" ref="D6:D11" si="0">C6/B6*100</f>
        <v>47.894128543467119</v>
      </c>
      <c r="E6" s="30">
        <f>'4'!B26</f>
        <v>20443.297173869982</v>
      </c>
      <c r="F6" s="67">
        <f t="shared" ref="F6:F11" si="1">B6/E6</f>
        <v>35.444901174774103</v>
      </c>
      <c r="G6" s="30"/>
      <c r="H6" s="30"/>
      <c r="I6" s="30"/>
      <c r="J6" s="30"/>
      <c r="K6" s="30"/>
    </row>
    <row r="7" spans="1:11" s="135" customFormat="1">
      <c r="A7" s="260">
        <v>1986</v>
      </c>
      <c r="B7" s="30">
        <f>'1a'!B12</f>
        <v>824968.16751370404</v>
      </c>
      <c r="C7" s="30">
        <f>'1b'!B31</f>
        <v>491609.05242142337</v>
      </c>
      <c r="D7" s="31">
        <f t="shared" si="0"/>
        <v>59.591275370422935</v>
      </c>
      <c r="E7" s="30">
        <f>'4'!B31</f>
        <v>21586.723915102251</v>
      </c>
      <c r="F7" s="67">
        <f t="shared" si="1"/>
        <v>38.216459836990339</v>
      </c>
      <c r="G7" s="30"/>
      <c r="H7" s="30"/>
      <c r="I7" s="30"/>
      <c r="J7" s="30"/>
      <c r="K7" s="30"/>
    </row>
    <row r="8" spans="1:11">
      <c r="A8" s="64">
        <v>1989</v>
      </c>
      <c r="B8" s="30">
        <f>'1a'!B15</f>
        <v>916674.67375798186</v>
      </c>
      <c r="C8" s="30">
        <f>'1b'!B34</f>
        <v>622973.94442922331</v>
      </c>
      <c r="D8" s="31">
        <f t="shared" si="0"/>
        <v>67.960200304792025</v>
      </c>
      <c r="E8" s="30">
        <f>'4'!B34</f>
        <v>23747.049983135566</v>
      </c>
      <c r="F8" s="67">
        <f t="shared" si="1"/>
        <v>38.601623124092313</v>
      </c>
      <c r="G8" s="32"/>
      <c r="H8" s="32"/>
      <c r="I8" s="32"/>
      <c r="J8" s="32"/>
      <c r="K8" s="32"/>
    </row>
    <row r="9" spans="1:11">
      <c r="A9" s="64">
        <v>2000</v>
      </c>
      <c r="B9" s="30">
        <f>'1a'!B26</f>
        <v>1231910.5337403917</v>
      </c>
      <c r="C9" s="30">
        <f>'1b'!B45</f>
        <v>1025111.1806439885</v>
      </c>
      <c r="D9" s="31">
        <f t="shared" si="0"/>
        <v>83.213119180943423</v>
      </c>
      <c r="E9" s="30">
        <f>'4'!B45</f>
        <v>26709.974999999999</v>
      </c>
      <c r="F9" s="67">
        <f t="shared" si="1"/>
        <v>46.121740426203758</v>
      </c>
      <c r="G9" s="32"/>
      <c r="H9" s="32"/>
      <c r="I9" s="32"/>
      <c r="J9" s="32"/>
      <c r="K9" s="32"/>
    </row>
    <row r="10" spans="1:11">
      <c r="A10" s="64">
        <v>2004</v>
      </c>
      <c r="B10" s="30">
        <f>'1a'!B30</f>
        <v>1352648.7449779627</v>
      </c>
      <c r="C10" s="30">
        <f>'1b'!B49</f>
        <v>1231558.4210641822</v>
      </c>
      <c r="D10" s="31">
        <f t="shared" si="0"/>
        <v>91.047910674270923</v>
      </c>
      <c r="E10" s="30">
        <f>'4'!B49</f>
        <v>28349.86</v>
      </c>
      <c r="F10" s="67">
        <f t="shared" si="1"/>
        <v>47.712713395338199</v>
      </c>
      <c r="G10" s="32"/>
      <c r="H10" s="32"/>
      <c r="I10" s="32"/>
      <c r="J10" s="32"/>
      <c r="K10" s="32"/>
    </row>
    <row r="11" spans="1:11">
      <c r="A11" s="64">
        <v>2008</v>
      </c>
      <c r="B11" s="30">
        <f>'1a'!B34</f>
        <v>1481327</v>
      </c>
      <c r="C11" s="30">
        <f>'1b'!B53</f>
        <v>1551579</v>
      </c>
      <c r="D11" s="31">
        <f t="shared" si="0"/>
        <v>104.74250452465932</v>
      </c>
      <c r="E11" s="30">
        <f>'4'!B53</f>
        <v>29953.588</v>
      </c>
      <c r="F11" s="67">
        <f t="shared" si="1"/>
        <v>49.4540754182771</v>
      </c>
      <c r="G11" s="32"/>
      <c r="H11" s="32"/>
      <c r="I11" s="32"/>
      <c r="J11" s="32"/>
      <c r="K11" s="32"/>
    </row>
    <row r="12" spans="1:11">
      <c r="B12" s="135"/>
      <c r="C12" s="135"/>
      <c r="D12" s="135"/>
      <c r="E12" s="135"/>
      <c r="F12" s="67"/>
    </row>
    <row r="13" spans="1:11">
      <c r="A13" s="66" t="s">
        <v>37</v>
      </c>
      <c r="B13" s="135"/>
      <c r="C13" s="135"/>
      <c r="D13" s="135"/>
      <c r="E13" s="135"/>
      <c r="F13" s="135"/>
    </row>
    <row r="14" spans="1:11">
      <c r="A14" s="64">
        <v>1986</v>
      </c>
      <c r="B14" s="30">
        <f>'1a'!D12</f>
        <v>18243.632084500063</v>
      </c>
      <c r="C14" s="30">
        <f>'1b'!D31</f>
        <v>13311.743014497444</v>
      </c>
      <c r="D14" s="31">
        <f>C14/B14*100</f>
        <v>72.96651759277259</v>
      </c>
      <c r="E14" s="30">
        <f>'4'!D31</f>
        <v>617.31390267394943</v>
      </c>
      <c r="F14" s="67">
        <f>B14/E14</f>
        <v>29.553249984288652</v>
      </c>
    </row>
    <row r="15" spans="1:11">
      <c r="A15" s="64">
        <v>1989</v>
      </c>
      <c r="B15" s="30">
        <f>'1a'!D15</f>
        <v>19944.809414099891</v>
      </c>
      <c r="C15" s="30">
        <f>'1b'!D34</f>
        <v>17442.070138495175</v>
      </c>
      <c r="D15" s="31">
        <f>C15/B15*100</f>
        <v>87.451676154722151</v>
      </c>
      <c r="E15" s="30">
        <f>'4'!D34</f>
        <v>654.1194584688435</v>
      </c>
      <c r="F15" s="67">
        <f>B15/E15</f>
        <v>30.491081034015572</v>
      </c>
    </row>
    <row r="16" spans="1:11">
      <c r="A16" s="64">
        <v>2000</v>
      </c>
      <c r="B16" s="30">
        <f>'1a'!D26</f>
        <v>23842.692375855109</v>
      </c>
      <c r="C16" s="30">
        <f>'1b'!D45</f>
        <v>30288.75366485785</v>
      </c>
      <c r="D16" s="31">
        <f>C16/B16*100</f>
        <v>127.0357943951435</v>
      </c>
      <c r="E16" s="30">
        <f>'4'!D45</f>
        <v>635.06299999999999</v>
      </c>
      <c r="F16" s="67">
        <f>B16/E16</f>
        <v>37.543822228432624</v>
      </c>
    </row>
    <row r="17" spans="1:6">
      <c r="A17" s="64">
        <v>2004</v>
      </c>
      <c r="B17" s="30">
        <f>'1a'!D30</f>
        <v>25210.514301917559</v>
      </c>
      <c r="C17" s="30">
        <f>'1b'!D49</f>
        <v>29214.531748602894</v>
      </c>
      <c r="D17" s="31">
        <f>C17/B17*100</f>
        <v>115.88233146985336</v>
      </c>
      <c r="E17" s="30">
        <f>'4'!D49</f>
        <v>576.45600000000002</v>
      </c>
      <c r="F17" s="67">
        <f>B17/E17</f>
        <v>43.733631538083671</v>
      </c>
    </row>
    <row r="18" spans="1:6">
      <c r="A18" s="64">
        <v>2008</v>
      </c>
      <c r="B18" s="30">
        <f>'1a'!D34</f>
        <v>21114</v>
      </c>
      <c r="C18" s="30">
        <f>'1b'!D53</f>
        <v>20638</v>
      </c>
      <c r="D18" s="31">
        <f>C18/B18*100</f>
        <v>97.745571658615134</v>
      </c>
      <c r="E18" s="30">
        <f>'4'!D53</f>
        <v>426.65100000000001</v>
      </c>
      <c r="F18" s="67">
        <f>B18/E18</f>
        <v>49.487754628490265</v>
      </c>
    </row>
    <row r="19" spans="1:6">
      <c r="B19" s="135"/>
      <c r="C19" s="135"/>
      <c r="D19" s="135"/>
      <c r="E19" s="135"/>
      <c r="F19" s="135"/>
    </row>
    <row r="20" spans="1:6">
      <c r="A20" s="66" t="s">
        <v>63</v>
      </c>
      <c r="B20" s="135"/>
      <c r="C20" s="135"/>
      <c r="D20" s="135"/>
      <c r="E20" s="135"/>
      <c r="F20" s="135"/>
    </row>
    <row r="21" spans="1:6">
      <c r="A21" s="64">
        <v>1986</v>
      </c>
      <c r="B21" s="30">
        <f>'1a'!E12</f>
        <v>4138.2249674902432</v>
      </c>
      <c r="C21" s="30">
        <f>'1b'!E31</f>
        <v>2100.7666604789306</v>
      </c>
      <c r="D21" s="31">
        <f>C21/B21*100</f>
        <v>50.764921602437838</v>
      </c>
      <c r="E21" s="30">
        <f>'4'!E31</f>
        <v>141.68508533916852</v>
      </c>
      <c r="F21" s="67">
        <f>B21/E21</f>
        <v>29.207202420664668</v>
      </c>
    </row>
    <row r="22" spans="1:6">
      <c r="A22" s="64">
        <v>1989</v>
      </c>
      <c r="B22" s="30">
        <f>'1a'!E15</f>
        <v>4753.2925877763291</v>
      </c>
      <c r="C22" s="30">
        <f>'1b'!E34</f>
        <v>3073.8355299795803</v>
      </c>
      <c r="D22" s="31">
        <f>C22/B22*100</f>
        <v>64.667500963107614</v>
      </c>
      <c r="E22" s="30">
        <f>'4'!E34</f>
        <v>149.21085120350111</v>
      </c>
      <c r="F22" s="67">
        <f>B22/E22</f>
        <v>31.856212530371231</v>
      </c>
    </row>
    <row r="23" spans="1:6">
      <c r="A23" s="64">
        <v>2000</v>
      </c>
      <c r="B23" s="30">
        <f>'1a'!E26</f>
        <v>4427.3927178153426</v>
      </c>
      <c r="C23" s="30">
        <f>'1b'!E45</f>
        <v>4431.9147948765531</v>
      </c>
      <c r="D23" s="31">
        <f>C23/B23*100</f>
        <v>100.1021386027721</v>
      </c>
      <c r="E23" s="30">
        <f>'4'!E45</f>
        <v>133.333</v>
      </c>
      <c r="F23" s="67">
        <f>B23/E23</f>
        <v>33.205528397436062</v>
      </c>
    </row>
    <row r="24" spans="1:6">
      <c r="A24" s="64">
        <v>2004</v>
      </c>
      <c r="B24" s="30">
        <f>'1a'!E30</f>
        <v>4820.5045513654095</v>
      </c>
      <c r="C24" s="30">
        <f>'1b'!E39</f>
        <v>3650.9606459996276</v>
      </c>
      <c r="D24" s="31">
        <f>C24/B24*100</f>
        <v>75.738143322891204</v>
      </c>
      <c r="E24" s="30">
        <f>'4'!E51</f>
        <v>106.24299999999999</v>
      </c>
      <c r="F24" s="67">
        <f>B24/E24</f>
        <v>45.372443844445371</v>
      </c>
    </row>
    <row r="25" spans="1:6">
      <c r="A25" s="64">
        <v>2008</v>
      </c>
      <c r="B25" s="30">
        <f>'1a'!E34</f>
        <v>3950</v>
      </c>
      <c r="C25" s="30">
        <f>'1b'!E53</f>
        <v>3883</v>
      </c>
      <c r="D25" s="31">
        <f>C25/B25*100</f>
        <v>98.303797468354432</v>
      </c>
      <c r="E25" s="30">
        <f>'4'!E53</f>
        <v>76.171999999999997</v>
      </c>
      <c r="F25" s="67">
        <f>B25/E25</f>
        <v>51.856325158851021</v>
      </c>
    </row>
    <row r="26" spans="1:6">
      <c r="B26" s="135"/>
      <c r="C26" s="30"/>
      <c r="D26" s="135"/>
      <c r="E26" s="135"/>
      <c r="F26" s="135"/>
    </row>
    <row r="27" spans="1:6">
      <c r="A27" s="66" t="s">
        <v>670</v>
      </c>
      <c r="B27" s="135"/>
      <c r="C27" s="135"/>
      <c r="D27" s="135"/>
      <c r="E27" s="135"/>
      <c r="F27" s="135"/>
    </row>
    <row r="28" spans="1:6">
      <c r="A28" s="260">
        <v>1981</v>
      </c>
      <c r="B28" s="30">
        <f>'1a'!F7</f>
        <v>4409.47446169254</v>
      </c>
      <c r="C28" s="30">
        <f>'1b'!F26</f>
        <v>2689.7722322089448</v>
      </c>
      <c r="D28" s="31">
        <f>C28/B28*100</f>
        <v>60.999836955093699</v>
      </c>
      <c r="E28" s="180">
        <f>'4'!F26</f>
        <v>257.75498051203675</v>
      </c>
      <c r="F28" s="67">
        <f t="shared" ref="F28:F33" si="2">B28/E28</f>
        <v>17.107232818287383</v>
      </c>
    </row>
    <row r="29" spans="1:6">
      <c r="A29" s="64">
        <v>1986</v>
      </c>
      <c r="B29" s="30">
        <f>'1a'!F12</f>
        <v>5839.1181772659011</v>
      </c>
      <c r="C29" s="30">
        <f>'1b'!F31</f>
        <v>4314.6308554509878</v>
      </c>
      <c r="D29" s="31">
        <f t="shared" ref="D29:D33" si="3">C29/B29*100</f>
        <v>73.89182277984419</v>
      </c>
      <c r="E29" s="30">
        <f>'4'!F31</f>
        <v>234.49728773404664</v>
      </c>
      <c r="F29" s="67">
        <f t="shared" si="2"/>
        <v>24.900578738839375</v>
      </c>
    </row>
    <row r="30" spans="1:6">
      <c r="A30" s="64">
        <v>1989</v>
      </c>
      <c r="B30" s="30">
        <f>'1a'!F15</f>
        <v>6756.8546152562203</v>
      </c>
      <c r="C30" s="30">
        <f>'1b'!F34</f>
        <v>4935.6607803743254</v>
      </c>
      <c r="D30" s="31">
        <f t="shared" si="3"/>
        <v>73.046721609640031</v>
      </c>
      <c r="E30" s="30">
        <f>'4'!F34</f>
        <v>255.40787390141389</v>
      </c>
      <c r="F30" s="67">
        <f t="shared" si="2"/>
        <v>26.455153915357876</v>
      </c>
    </row>
    <row r="31" spans="1:6">
      <c r="A31" s="64">
        <v>2000</v>
      </c>
      <c r="B31" s="30">
        <f>'1a'!F26</f>
        <v>9197.454932398603</v>
      </c>
      <c r="C31" s="30">
        <f>'1b'!F45</f>
        <v>12378.857142857143</v>
      </c>
      <c r="D31" s="31">
        <f t="shared" si="3"/>
        <v>134.59002771790546</v>
      </c>
      <c r="E31" s="30">
        <f>'4'!F45</f>
        <v>294.94</v>
      </c>
      <c r="F31" s="67">
        <f t="shared" si="2"/>
        <v>31.184155870341776</v>
      </c>
    </row>
    <row r="32" spans="1:6">
      <c r="A32" s="64">
        <v>2004</v>
      </c>
      <c r="B32" s="30">
        <f>'1a'!F30</f>
        <v>10124.834835586717</v>
      </c>
      <c r="C32" s="30">
        <f>'1b'!F49</f>
        <v>14395.677276091785</v>
      </c>
      <c r="D32" s="31">
        <f t="shared" si="3"/>
        <v>142.18184799907979</v>
      </c>
      <c r="E32" s="30">
        <f>'4'!F49</f>
        <v>257.86599999999999</v>
      </c>
      <c r="F32" s="67">
        <f t="shared" si="2"/>
        <v>39.263938772799506</v>
      </c>
    </row>
    <row r="33" spans="1:6">
      <c r="A33" s="64">
        <v>2008</v>
      </c>
      <c r="B33" s="30">
        <f>'1a'!F34</f>
        <v>8584</v>
      </c>
      <c r="C33" s="30">
        <f>'1b'!F53</f>
        <v>7943</v>
      </c>
      <c r="D33" s="31">
        <f t="shared" si="3"/>
        <v>92.532618825722281</v>
      </c>
      <c r="E33" s="30">
        <f>'4'!F53</f>
        <v>180.85900000000001</v>
      </c>
      <c r="F33" s="67">
        <f t="shared" si="2"/>
        <v>47.462387826981235</v>
      </c>
    </row>
    <row r="35" spans="1:6">
      <c r="A35" s="66" t="s">
        <v>671</v>
      </c>
      <c r="B35" s="135"/>
      <c r="C35" s="135"/>
      <c r="D35" s="135"/>
      <c r="E35" s="135"/>
      <c r="F35" s="135"/>
    </row>
    <row r="36" spans="1:6">
      <c r="A36" s="260">
        <v>1981</v>
      </c>
      <c r="B36" s="30">
        <f>'1a'!O7</f>
        <v>7771.9668141592892</v>
      </c>
      <c r="C36" s="30">
        <f>'1b'!G26</f>
        <v>5380.5839593908595</v>
      </c>
      <c r="D36" s="31">
        <f>C36/B36*100</f>
        <v>69.230660501384151</v>
      </c>
      <c r="E36" s="180">
        <f>'4'!G26</f>
        <v>273.42681000458924</v>
      </c>
      <c r="F36" s="67">
        <f t="shared" ref="F36:F41" si="4">B36/E36</f>
        <v>28.424304163987589</v>
      </c>
    </row>
    <row r="37" spans="1:6">
      <c r="A37" s="64">
        <v>1986</v>
      </c>
      <c r="B37" s="30">
        <f>'1a'!O12</f>
        <v>8301.8930678466058</v>
      </c>
      <c r="C37" s="30">
        <f>'1b'!G31</f>
        <v>6869.7518781725848</v>
      </c>
      <c r="D37" s="31">
        <f t="shared" ref="D37:D41" si="5">C37/B37*100</f>
        <v>82.749221436966806</v>
      </c>
      <c r="E37" s="30">
        <f>'4'!G31</f>
        <v>241.13152960073427</v>
      </c>
      <c r="F37" s="67">
        <f t="shared" si="4"/>
        <v>34.428898956486051</v>
      </c>
    </row>
    <row r="38" spans="1:6">
      <c r="A38" s="64">
        <v>1989</v>
      </c>
      <c r="B38" s="30">
        <f>'1a'!O15</f>
        <v>8428.3915929203522</v>
      </c>
      <c r="C38" s="30">
        <f>'1b'!G34</f>
        <v>9277.6479187817204</v>
      </c>
      <c r="D38" s="31">
        <f t="shared" si="5"/>
        <v>110.07613749905407</v>
      </c>
      <c r="E38" s="30">
        <f>'4'!G34</f>
        <v>249.50073336392842</v>
      </c>
      <c r="F38" s="67">
        <f t="shared" si="4"/>
        <v>33.781029335198291</v>
      </c>
    </row>
    <row r="39" spans="1:6">
      <c r="A39" s="64">
        <v>2000</v>
      </c>
      <c r="B39" s="30">
        <f>'1a'!O26</f>
        <v>10256.637168141591</v>
      </c>
      <c r="C39" s="30">
        <f>'1b'!G45</f>
        <v>13682.08324873096</v>
      </c>
      <c r="D39" s="31">
        <f t="shared" si="5"/>
        <v>133.39736040609137</v>
      </c>
      <c r="E39" s="30">
        <f>'4'!G45</f>
        <v>206.79</v>
      </c>
      <c r="F39" s="67">
        <f t="shared" si="4"/>
        <v>49.599289947007065</v>
      </c>
    </row>
    <row r="40" spans="1:6">
      <c r="A40" s="64">
        <v>2004</v>
      </c>
      <c r="B40" s="30">
        <f>'1a'!O30</f>
        <v>10267.748525073745</v>
      </c>
      <c r="C40" s="30">
        <f>'1b'!G49</f>
        <v>10386.522639593908</v>
      </c>
      <c r="D40" s="31">
        <f t="shared" si="5"/>
        <v>101.156768830383</v>
      </c>
      <c r="E40" s="30">
        <f>'4'!G49</f>
        <v>201.148</v>
      </c>
      <c r="F40" s="67">
        <f t="shared" si="4"/>
        <v>51.045740077324879</v>
      </c>
    </row>
    <row r="41" spans="1:6">
      <c r="A41" s="64">
        <v>2008</v>
      </c>
      <c r="B41" s="30">
        <f>'1a'!O34</f>
        <v>8580</v>
      </c>
      <c r="C41" s="30">
        <f>'1b'!G53</f>
        <v>8812</v>
      </c>
      <c r="D41" s="31">
        <f t="shared" si="5"/>
        <v>102.70396270396272</v>
      </c>
      <c r="E41" s="30">
        <f>'4'!G53</f>
        <v>169.62</v>
      </c>
      <c r="F41" s="67">
        <f t="shared" si="4"/>
        <v>50.583657587548636</v>
      </c>
    </row>
    <row r="42" spans="1:6">
      <c r="A42" s="137"/>
      <c r="B42" s="137"/>
      <c r="C42" s="137"/>
      <c r="D42" s="137"/>
      <c r="E42" s="137"/>
      <c r="F42" s="137"/>
    </row>
    <row r="43" spans="1:6">
      <c r="A43" s="137" t="s">
        <v>957</v>
      </c>
      <c r="B43" s="137"/>
      <c r="C43" s="137"/>
      <c r="D43" s="137"/>
      <c r="E43" s="137"/>
      <c r="F43" s="137"/>
    </row>
    <row r="44" spans="1:6">
      <c r="A44" s="137" t="s">
        <v>961</v>
      </c>
      <c r="B44" s="137"/>
      <c r="C44" s="137"/>
      <c r="D44" s="137"/>
      <c r="E44" s="137"/>
      <c r="F44" s="137"/>
    </row>
    <row r="45" spans="1:6">
      <c r="A45" s="137" t="s">
        <v>963</v>
      </c>
      <c r="B45" s="137"/>
      <c r="C45" s="137"/>
      <c r="D45" s="137"/>
      <c r="E45" s="137"/>
      <c r="F45" s="137"/>
    </row>
    <row r="46" spans="1:6">
      <c r="A46" s="137" t="s">
        <v>966</v>
      </c>
      <c r="B46" s="137"/>
      <c r="C46" s="137"/>
      <c r="D46" s="137"/>
      <c r="E46" s="137"/>
      <c r="F46" s="137"/>
    </row>
  </sheetData>
  <mergeCells count="6">
    <mergeCell ref="A43:F43"/>
    <mergeCell ref="A44:F44"/>
    <mergeCell ref="A45:F45"/>
    <mergeCell ref="A46:F46"/>
    <mergeCell ref="A1:F1"/>
    <mergeCell ref="A42:F42"/>
  </mergeCells>
  <pageMargins left="0.7" right="0.7" top="0.75" bottom="0.75" header="0.3" footer="0.3"/>
  <pageSetup scale="91" orientation="portrait" horizontalDpi="0" verticalDpi="0" r:id="rId1"/>
</worksheet>
</file>

<file path=xl/worksheets/sheet45.xml><?xml version="1.0" encoding="utf-8"?>
<worksheet xmlns="http://schemas.openxmlformats.org/spreadsheetml/2006/main" xmlns:r="http://schemas.openxmlformats.org/officeDocument/2006/relationships">
  <sheetPr codeName="Sheet42"/>
  <dimension ref="A1:M35"/>
  <sheetViews>
    <sheetView view="pageBreakPreview" zoomScale="85" zoomScaleNormal="100" zoomScaleSheetLayoutView="85" workbookViewId="0">
      <pane xSplit="1" ySplit="6" topLeftCell="B7"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10.140625" style="64" customWidth="1"/>
    <col min="2" max="2" width="16.28515625" style="64" customWidth="1"/>
    <col min="3" max="3" width="16" style="64" customWidth="1"/>
    <col min="4" max="4" width="11.85546875" style="64" customWidth="1"/>
    <col min="5" max="5" width="11.5703125" style="64" customWidth="1"/>
    <col min="6" max="6" width="10" style="64" customWidth="1"/>
    <col min="7" max="7" width="12.28515625" style="64" customWidth="1"/>
    <col min="8" max="8" width="11.140625" style="64" customWidth="1"/>
    <col min="9" max="9" width="11.7109375" style="64" customWidth="1"/>
    <col min="10" max="10" width="12.42578125" style="64" customWidth="1"/>
    <col min="11" max="11" width="17.7109375" style="64" bestFit="1" customWidth="1"/>
    <col min="12" max="12" width="14" style="64" customWidth="1"/>
    <col min="13" max="16384" width="9.140625" style="64"/>
  </cols>
  <sheetData>
    <row r="1" spans="1:12" ht="15" customHeight="1">
      <c r="A1" s="227" t="s">
        <v>2168</v>
      </c>
      <c r="B1" s="227"/>
      <c r="C1" s="227"/>
      <c r="D1" s="227"/>
      <c r="E1" s="227"/>
      <c r="F1" s="227"/>
      <c r="G1" s="227"/>
      <c r="H1" s="227"/>
      <c r="I1" s="227"/>
      <c r="J1" s="227"/>
      <c r="K1" s="227"/>
      <c r="L1" s="227"/>
    </row>
    <row r="2" spans="1:12" ht="15" customHeight="1">
      <c r="A2" s="238"/>
      <c r="B2" s="94" t="s">
        <v>673</v>
      </c>
      <c r="C2" s="112" t="s">
        <v>37</v>
      </c>
      <c r="D2" s="112"/>
      <c r="E2" s="112"/>
      <c r="F2" s="112"/>
      <c r="G2" s="112"/>
      <c r="H2" s="112"/>
      <c r="I2" s="112"/>
      <c r="J2" s="112"/>
      <c r="K2" s="112"/>
      <c r="L2" s="112"/>
    </row>
    <row r="3" spans="1:12">
      <c r="A3" s="238"/>
      <c r="B3" s="94"/>
      <c r="C3" s="111" t="s">
        <v>774</v>
      </c>
      <c r="D3" s="111"/>
      <c r="E3" s="111"/>
      <c r="F3" s="111"/>
      <c r="G3" s="111"/>
      <c r="H3" s="111"/>
      <c r="I3" s="111" t="s">
        <v>976</v>
      </c>
      <c r="J3" s="111"/>
      <c r="K3" s="111"/>
      <c r="L3" s="111"/>
    </row>
    <row r="4" spans="1:12" ht="60">
      <c r="A4" s="238"/>
      <c r="B4" s="239" t="s">
        <v>956</v>
      </c>
      <c r="C4" s="239" t="s">
        <v>956</v>
      </c>
      <c r="D4" s="239" t="s">
        <v>967</v>
      </c>
      <c r="E4" s="239" t="s">
        <v>778</v>
      </c>
      <c r="F4" s="239" t="s">
        <v>779</v>
      </c>
      <c r="G4" s="239" t="s">
        <v>777</v>
      </c>
      <c r="H4" s="239" t="s">
        <v>776</v>
      </c>
      <c r="I4" s="72" t="s">
        <v>780</v>
      </c>
      <c r="J4" s="72" t="s">
        <v>781</v>
      </c>
      <c r="K4" s="72" t="s">
        <v>782</v>
      </c>
      <c r="L4" s="72" t="s">
        <v>783</v>
      </c>
    </row>
    <row r="5" spans="1:12" ht="30">
      <c r="A5" s="238"/>
      <c r="B5" s="240" t="s">
        <v>794</v>
      </c>
      <c r="C5" s="240" t="s">
        <v>794</v>
      </c>
      <c r="D5" s="97" t="s">
        <v>971</v>
      </c>
      <c r="E5" s="97"/>
      <c r="F5" s="97"/>
      <c r="G5" s="97"/>
      <c r="H5" s="97"/>
      <c r="I5" s="223" t="s">
        <v>978</v>
      </c>
      <c r="J5" s="224"/>
      <c r="K5" s="224"/>
      <c r="L5" s="225"/>
    </row>
    <row r="6" spans="1:12" ht="34.5">
      <c r="A6" s="238"/>
      <c r="B6" s="73" t="s">
        <v>955</v>
      </c>
      <c r="C6" s="73" t="s">
        <v>974</v>
      </c>
      <c r="D6" s="73" t="s">
        <v>970</v>
      </c>
      <c r="E6" s="73" t="s">
        <v>968</v>
      </c>
      <c r="F6" s="73" t="s">
        <v>969</v>
      </c>
      <c r="G6" s="73" t="s">
        <v>972</v>
      </c>
      <c r="H6" s="73" t="s">
        <v>973</v>
      </c>
      <c r="I6" s="73" t="s">
        <v>979</v>
      </c>
      <c r="J6" s="73" t="s">
        <v>981</v>
      </c>
      <c r="K6" s="73" t="s">
        <v>985</v>
      </c>
      <c r="L6" s="73" t="s">
        <v>982</v>
      </c>
    </row>
    <row r="7" spans="1:12">
      <c r="D7" s="135"/>
    </row>
    <row r="8" spans="1:12">
      <c r="A8" s="64">
        <v>1981</v>
      </c>
      <c r="B8" s="65">
        <f>'7'!F6</f>
        <v>35.444901174774103</v>
      </c>
      <c r="C8" s="65">
        <f>'7'!F6</f>
        <v>35.444901174774103</v>
      </c>
      <c r="D8" s="241">
        <f>'7'!D6/'7'!D6</f>
        <v>1</v>
      </c>
      <c r="E8" s="258">
        <f>'7'!E6/'7'!E6</f>
        <v>1</v>
      </c>
      <c r="F8" s="258">
        <f>D8*E8</f>
        <v>1</v>
      </c>
      <c r="G8" s="258">
        <f t="shared" ref="G8:G13" si="0">C8/B8</f>
        <v>1</v>
      </c>
      <c r="H8" s="258">
        <f>'7'!C6/'7'!C6</f>
        <v>1</v>
      </c>
      <c r="I8" s="57"/>
      <c r="J8" s="57"/>
      <c r="K8" s="57"/>
      <c r="L8" s="57"/>
    </row>
    <row r="9" spans="1:12">
      <c r="A9" s="109">
        <v>1986</v>
      </c>
      <c r="B9" s="65">
        <f>'7'!F7</f>
        <v>38.216459836990339</v>
      </c>
      <c r="C9" s="65">
        <f>'7'!F7</f>
        <v>38.216459836990339</v>
      </c>
      <c r="D9" s="241">
        <f>'7'!D7/'7'!D7</f>
        <v>1</v>
      </c>
      <c r="E9" s="258">
        <f>'7'!E7/'7'!E7</f>
        <v>1</v>
      </c>
      <c r="F9" s="258">
        <f>D9*E9</f>
        <v>1</v>
      </c>
      <c r="G9" s="258">
        <f t="shared" si="0"/>
        <v>1</v>
      </c>
      <c r="H9" s="258">
        <f>'7'!C7/'7'!C7</f>
        <v>1</v>
      </c>
      <c r="I9" s="242"/>
    </row>
    <row r="10" spans="1:12">
      <c r="A10" s="109">
        <v>1989</v>
      </c>
      <c r="B10" s="226">
        <f>'7'!F8</f>
        <v>38.601623124092313</v>
      </c>
      <c r="C10" s="65">
        <f>'7'!F8</f>
        <v>38.601623124092313</v>
      </c>
      <c r="D10" s="241">
        <f>'7'!D8/'7'!D8</f>
        <v>1</v>
      </c>
      <c r="E10" s="258">
        <f>'7'!E8/'7'!E8</f>
        <v>1</v>
      </c>
      <c r="F10" s="241">
        <f>E10*D10</f>
        <v>1</v>
      </c>
      <c r="G10" s="258">
        <f t="shared" si="0"/>
        <v>1</v>
      </c>
      <c r="H10" s="258">
        <f>'7'!C8/'7'!C8</f>
        <v>1</v>
      </c>
      <c r="I10" s="242"/>
    </row>
    <row r="11" spans="1:12">
      <c r="A11" s="109">
        <v>2000</v>
      </c>
      <c r="B11" s="226">
        <f>'7'!F9</f>
        <v>46.121740426203758</v>
      </c>
      <c r="C11" s="65">
        <f>'7'!F9</f>
        <v>46.121740426203758</v>
      </c>
      <c r="D11" s="241">
        <f>'7'!D9/'7'!D9</f>
        <v>1</v>
      </c>
      <c r="E11" s="258">
        <f>'7'!E9/'7'!E9</f>
        <v>1</v>
      </c>
      <c r="F11" s="241">
        <f>E11*D11</f>
        <v>1</v>
      </c>
      <c r="G11" s="258">
        <f t="shared" si="0"/>
        <v>1</v>
      </c>
      <c r="H11" s="258">
        <f>'7'!C9/'7'!C9</f>
        <v>1</v>
      </c>
      <c r="I11" s="242"/>
    </row>
    <row r="12" spans="1:12">
      <c r="A12" s="109">
        <v>2004</v>
      </c>
      <c r="B12" s="226">
        <f>'7'!F10</f>
        <v>47.712713395338199</v>
      </c>
      <c r="C12" s="65">
        <f>'7'!F10</f>
        <v>47.712713395338199</v>
      </c>
      <c r="D12" s="241">
        <f>'7'!D10/'7'!D10</f>
        <v>1</v>
      </c>
      <c r="E12" s="258">
        <f>'7'!E10/'7'!E10</f>
        <v>1</v>
      </c>
      <c r="F12" s="241">
        <f>E12*D12</f>
        <v>1</v>
      </c>
      <c r="G12" s="258">
        <f t="shared" si="0"/>
        <v>1</v>
      </c>
      <c r="H12" s="258">
        <f>'7'!C10/'7'!C10</f>
        <v>1</v>
      </c>
      <c r="I12" s="242"/>
    </row>
    <row r="13" spans="1:12">
      <c r="A13" s="109">
        <v>2008</v>
      </c>
      <c r="B13" s="226">
        <f>'7'!F11</f>
        <v>49.4540754182771</v>
      </c>
      <c r="C13" s="65">
        <f>'7'!F11</f>
        <v>49.4540754182771</v>
      </c>
      <c r="D13" s="241">
        <f>'7'!D11/'7'!D11</f>
        <v>1</v>
      </c>
      <c r="E13" s="258">
        <f>'7'!E11/'7'!E11</f>
        <v>1</v>
      </c>
      <c r="F13" s="241">
        <f>E13*D13</f>
        <v>1</v>
      </c>
      <c r="G13" s="258">
        <f t="shared" si="0"/>
        <v>1</v>
      </c>
      <c r="H13" s="258">
        <f>'7'!C11/'7'!C11</f>
        <v>1</v>
      </c>
      <c r="I13" s="242"/>
    </row>
    <row r="15" spans="1:12">
      <c r="B15" s="111" t="s">
        <v>975</v>
      </c>
      <c r="C15" s="111"/>
      <c r="D15" s="111"/>
      <c r="E15" s="111"/>
      <c r="F15" s="111"/>
      <c r="G15" s="111"/>
      <c r="H15" s="111"/>
      <c r="I15" s="111"/>
      <c r="J15" s="111"/>
      <c r="K15" s="111"/>
      <c r="L15" s="111"/>
    </row>
    <row r="16" spans="1:12">
      <c r="B16" s="107" t="s">
        <v>784</v>
      </c>
      <c r="C16" s="107"/>
      <c r="D16" s="107"/>
      <c r="E16" s="107"/>
      <c r="F16" s="243" t="s">
        <v>977</v>
      </c>
      <c r="G16" s="107" t="s">
        <v>784</v>
      </c>
      <c r="H16" s="107"/>
      <c r="I16" s="107" t="s">
        <v>795</v>
      </c>
      <c r="J16" s="107"/>
      <c r="K16" s="107"/>
      <c r="L16" s="107"/>
    </row>
    <row r="17" spans="1:13">
      <c r="A17" s="145" t="s">
        <v>803</v>
      </c>
      <c r="B17" s="67">
        <f>(B12/B9-1)</f>
        <v>0.24848595602139678</v>
      </c>
      <c r="C17" s="67">
        <f>(C12/C9-1)</f>
        <v>0.24848595602139678</v>
      </c>
      <c r="D17" s="67">
        <f>(D12/D9-1)*100</f>
        <v>0</v>
      </c>
      <c r="E17" s="67">
        <f>(E12/E9-1)*100</f>
        <v>0</v>
      </c>
      <c r="F17" s="241">
        <f>F12-F9</f>
        <v>0</v>
      </c>
      <c r="G17" s="67">
        <f>(G12/G9-1)*100</f>
        <v>0</v>
      </c>
      <c r="H17" s="67">
        <f>(H12/H9-1)*100</f>
        <v>0</v>
      </c>
      <c r="I17" s="67">
        <f>H9*C17</f>
        <v>0.24848595602139678</v>
      </c>
      <c r="J17" s="67">
        <f>G9*F17</f>
        <v>0</v>
      </c>
      <c r="K17" s="67">
        <f>F17*G9*C17</f>
        <v>0</v>
      </c>
      <c r="L17" s="67">
        <f>SUM(I17:K17)</f>
        <v>0.24848595602139678</v>
      </c>
    </row>
    <row r="18" spans="1:13">
      <c r="A18" s="145" t="s">
        <v>796</v>
      </c>
      <c r="B18" s="67">
        <f t="shared" ref="B18:C18" si="1">(B10/B9-1)</f>
        <v>1.0078465895189126E-2</v>
      </c>
      <c r="C18" s="67">
        <f t="shared" si="1"/>
        <v>1.0078465895189126E-2</v>
      </c>
      <c r="D18" s="67">
        <f t="shared" ref="D18:E18" si="2">(D10/D9-1)*100</f>
        <v>0</v>
      </c>
      <c r="E18" s="67">
        <f t="shared" si="2"/>
        <v>0</v>
      </c>
      <c r="F18" s="241">
        <f t="shared" ref="F18:F21" si="3">F10-F9</f>
        <v>0</v>
      </c>
      <c r="G18" s="67">
        <f t="shared" ref="G18:H18" si="4">(G10/G9-1)*100</f>
        <v>0</v>
      </c>
      <c r="H18" s="67">
        <f t="shared" si="4"/>
        <v>0</v>
      </c>
      <c r="I18" s="67">
        <f t="shared" ref="I18:I19" si="5">H9*C18</f>
        <v>1.0078465895189126E-2</v>
      </c>
      <c r="J18" s="67">
        <f t="shared" ref="J18:J19" si="6">G9*F18</f>
        <v>0</v>
      </c>
      <c r="K18" s="67">
        <f t="shared" ref="K18:K19" si="7">H9*F18*C18</f>
        <v>0</v>
      </c>
      <c r="L18" s="67">
        <f t="shared" ref="L18:L19" si="8">SUM(I18:K18)</f>
        <v>1.0078465895189126E-2</v>
      </c>
      <c r="M18" s="67"/>
    </row>
    <row r="19" spans="1:13">
      <c r="A19" s="145" t="s">
        <v>26</v>
      </c>
      <c r="B19" s="67">
        <f t="shared" ref="B19:C19" si="9">(B11/B10-1)</f>
        <v>0.19481349988669083</v>
      </c>
      <c r="C19" s="67">
        <f t="shared" si="9"/>
        <v>0.19481349988669083</v>
      </c>
      <c r="D19" s="67">
        <f t="shared" ref="D19:E19" si="10">(D11/D10-1)*100</f>
        <v>0</v>
      </c>
      <c r="E19" s="67">
        <f t="shared" si="10"/>
        <v>0</v>
      </c>
      <c r="F19" s="241">
        <f t="shared" si="3"/>
        <v>0</v>
      </c>
      <c r="G19" s="67">
        <f t="shared" ref="G19:H19" si="11">(G11/G10-1)*100</f>
        <v>0</v>
      </c>
      <c r="H19" s="67">
        <f t="shared" si="11"/>
        <v>0</v>
      </c>
      <c r="I19" s="67">
        <f t="shared" si="5"/>
        <v>0.19481349988669083</v>
      </c>
      <c r="J19" s="67">
        <f t="shared" si="6"/>
        <v>0</v>
      </c>
      <c r="K19" s="67">
        <f t="shared" si="7"/>
        <v>0</v>
      </c>
      <c r="L19" s="67">
        <f t="shared" si="8"/>
        <v>0.19481349988669083</v>
      </c>
    </row>
    <row r="20" spans="1:13">
      <c r="A20" s="145" t="s">
        <v>662</v>
      </c>
      <c r="B20" s="67">
        <f t="shared" ref="B20:C21" si="12">(B12/B11-1)</f>
        <v>3.4495076604492914E-2</v>
      </c>
      <c r="C20" s="67">
        <f t="shared" si="12"/>
        <v>3.4495076604492914E-2</v>
      </c>
      <c r="D20" s="67">
        <f t="shared" ref="D20:E21" si="13">(D12/D11-1)*100</f>
        <v>0</v>
      </c>
      <c r="E20" s="67">
        <f t="shared" si="13"/>
        <v>0</v>
      </c>
      <c r="F20" s="241">
        <f>F12-F11</f>
        <v>0</v>
      </c>
      <c r="G20" s="67">
        <f t="shared" ref="G20:H21" si="14">(G12/G11-1)*100</f>
        <v>0</v>
      </c>
      <c r="H20" s="67">
        <f t="shared" si="14"/>
        <v>0</v>
      </c>
      <c r="I20" s="67">
        <f>H11*C20</f>
        <v>3.4495076604492914E-2</v>
      </c>
      <c r="J20" s="67">
        <f>G11*F20</f>
        <v>0</v>
      </c>
      <c r="K20" s="67">
        <f>H11*F20*C20</f>
        <v>0</v>
      </c>
      <c r="L20" s="67">
        <f>SUM(I20:K20)</f>
        <v>3.4495076604492914E-2</v>
      </c>
    </row>
    <row r="21" spans="1:13">
      <c r="A21" s="145" t="s">
        <v>2176</v>
      </c>
      <c r="B21" s="67">
        <f t="shared" si="12"/>
        <v>3.6496813931128136E-2</v>
      </c>
      <c r="C21" s="67">
        <f t="shared" si="12"/>
        <v>3.6496813931128136E-2</v>
      </c>
      <c r="D21" s="67">
        <f t="shared" si="13"/>
        <v>0</v>
      </c>
      <c r="E21" s="67">
        <f t="shared" si="13"/>
        <v>0</v>
      </c>
      <c r="F21" s="241">
        <f t="shared" si="3"/>
        <v>0</v>
      </c>
      <c r="G21" s="67">
        <f t="shared" si="14"/>
        <v>0</v>
      </c>
      <c r="H21" s="67">
        <f t="shared" si="14"/>
        <v>0</v>
      </c>
      <c r="I21" s="67">
        <f t="shared" ref="I21" si="15">H12*C21</f>
        <v>3.6496813931128136E-2</v>
      </c>
      <c r="J21" s="67">
        <f t="shared" ref="J21" si="16">G12*F21</f>
        <v>0</v>
      </c>
      <c r="K21" s="67">
        <f t="shared" ref="K21" si="17">H12*F21*C21</f>
        <v>0</v>
      </c>
      <c r="L21" s="67">
        <f t="shared" ref="L21" si="18">SUM(I21:K21)</f>
        <v>3.6496813931128136E-2</v>
      </c>
    </row>
    <row r="22" spans="1:13">
      <c r="A22" s="21"/>
      <c r="B22" s="247"/>
      <c r="C22" s="247"/>
      <c r="D22" s="247"/>
      <c r="E22" s="247"/>
      <c r="F22" s="241"/>
      <c r="G22" s="67"/>
      <c r="H22" s="67"/>
      <c r="I22" s="248" t="s">
        <v>984</v>
      </c>
      <c r="J22" s="249"/>
      <c r="K22" s="249"/>
      <c r="L22" s="250"/>
    </row>
    <row r="23" spans="1:13">
      <c r="A23" s="70"/>
      <c r="B23" s="252"/>
      <c r="C23" s="252"/>
      <c r="D23" s="252"/>
      <c r="E23" s="252"/>
      <c r="F23" s="241"/>
      <c r="G23" s="67"/>
      <c r="H23" s="67"/>
      <c r="I23" s="253" t="s">
        <v>784</v>
      </c>
      <c r="J23" s="254"/>
      <c r="K23" s="254"/>
      <c r="L23" s="255"/>
    </row>
    <row r="24" spans="1:13">
      <c r="A24" s="21"/>
      <c r="B24" s="244"/>
      <c r="C24" s="244"/>
      <c r="D24" s="65"/>
      <c r="E24" s="65"/>
      <c r="F24" s="241"/>
      <c r="G24" s="67"/>
      <c r="H24" s="145" t="s">
        <v>803</v>
      </c>
      <c r="I24" s="67">
        <f>I17/$B17*100</f>
        <v>100</v>
      </c>
      <c r="J24" s="67">
        <f t="shared" ref="J24:L27" si="19">J17/$B17*100</f>
        <v>0</v>
      </c>
      <c r="K24" s="67">
        <f t="shared" si="19"/>
        <v>0</v>
      </c>
      <c r="L24" s="67">
        <f t="shared" si="19"/>
        <v>100</v>
      </c>
    </row>
    <row r="25" spans="1:13">
      <c r="B25" s="252"/>
      <c r="C25" s="252"/>
      <c r="D25" s="67"/>
      <c r="E25" s="67"/>
      <c r="F25" s="241"/>
      <c r="G25" s="67"/>
      <c r="H25" s="145" t="s">
        <v>796</v>
      </c>
      <c r="I25" s="67">
        <f>I18/$B18*100</f>
        <v>100</v>
      </c>
      <c r="J25" s="67">
        <f t="shared" si="19"/>
        <v>0</v>
      </c>
      <c r="K25" s="67">
        <f t="shared" si="19"/>
        <v>0</v>
      </c>
      <c r="L25" s="67">
        <f t="shared" si="19"/>
        <v>100</v>
      </c>
    </row>
    <row r="26" spans="1:13">
      <c r="B26" s="252"/>
      <c r="C26" s="252"/>
      <c r="D26" s="67"/>
      <c r="E26" s="67"/>
      <c r="F26" s="241"/>
      <c r="G26" s="67"/>
      <c r="H26" s="145" t="s">
        <v>26</v>
      </c>
      <c r="I26" s="67">
        <f>I19/$B19*100</f>
        <v>100</v>
      </c>
      <c r="J26" s="67">
        <f t="shared" si="19"/>
        <v>0</v>
      </c>
      <c r="K26" s="67">
        <f>K19/$B19*100</f>
        <v>0</v>
      </c>
      <c r="L26" s="67">
        <f t="shared" si="19"/>
        <v>100</v>
      </c>
    </row>
    <row r="27" spans="1:13">
      <c r="B27" s="252"/>
      <c r="C27" s="252"/>
      <c r="D27" s="67"/>
      <c r="E27" s="67"/>
      <c r="F27" s="241"/>
      <c r="G27" s="67"/>
      <c r="H27" s="145" t="s">
        <v>662</v>
      </c>
      <c r="I27" s="67">
        <f>I20/$B20*100</f>
        <v>100</v>
      </c>
      <c r="J27" s="67">
        <f t="shared" si="19"/>
        <v>0</v>
      </c>
      <c r="K27" s="67">
        <f t="shared" si="19"/>
        <v>0</v>
      </c>
      <c r="L27" s="67">
        <f>L20/$B20*100</f>
        <v>100</v>
      </c>
    </row>
    <row r="28" spans="1:13">
      <c r="B28" s="252"/>
      <c r="C28" s="252"/>
      <c r="D28" s="67"/>
      <c r="E28" s="67"/>
      <c r="F28" s="241"/>
      <c r="G28" s="67"/>
      <c r="H28" s="145"/>
      <c r="I28" s="67"/>
      <c r="J28" s="67"/>
      <c r="K28" s="67"/>
      <c r="L28" s="67"/>
    </row>
    <row r="29" spans="1:13">
      <c r="A29" s="137" t="s">
        <v>983</v>
      </c>
      <c r="B29" s="137"/>
      <c r="C29" s="137"/>
      <c r="D29" s="137"/>
      <c r="E29" s="137"/>
      <c r="F29" s="137"/>
      <c r="G29" s="137"/>
      <c r="H29" s="137"/>
      <c r="I29" s="137"/>
      <c r="J29" s="137"/>
      <c r="K29" s="137"/>
      <c r="L29" s="137"/>
    </row>
    <row r="30" spans="1:13">
      <c r="A30" s="256" t="s">
        <v>193</v>
      </c>
      <c r="B30" s="256"/>
      <c r="C30" s="256"/>
      <c r="D30" s="256"/>
      <c r="E30" s="256"/>
      <c r="F30" s="256"/>
      <c r="G30" s="256"/>
      <c r="H30" s="256"/>
      <c r="I30" s="256"/>
      <c r="J30" s="256"/>
      <c r="K30" s="256"/>
      <c r="L30" s="256"/>
    </row>
    <row r="31" spans="1:13" ht="18.75">
      <c r="A31" s="137" t="s">
        <v>980</v>
      </c>
      <c r="B31" s="137"/>
      <c r="C31" s="137"/>
      <c r="D31" s="137"/>
      <c r="E31" s="137"/>
      <c r="F31" s="137"/>
      <c r="G31" s="137"/>
      <c r="H31" s="137"/>
      <c r="I31" s="137"/>
      <c r="J31" s="137"/>
      <c r="K31" s="137"/>
      <c r="L31" s="137"/>
      <c r="M31" s="65"/>
    </row>
    <row r="32" spans="1:13">
      <c r="I32" s="65"/>
      <c r="J32" s="65"/>
      <c r="K32" s="65"/>
      <c r="L32" s="65"/>
    </row>
    <row r="33" spans="9:12">
      <c r="I33" s="65"/>
      <c r="J33" s="65"/>
      <c r="K33" s="65"/>
      <c r="L33" s="65"/>
    </row>
    <row r="34" spans="9:12">
      <c r="I34" s="65"/>
      <c r="J34" s="65"/>
      <c r="K34" s="65"/>
      <c r="L34" s="65"/>
    </row>
    <row r="35" spans="9:12">
      <c r="I35" s="65"/>
      <c r="J35" s="65"/>
      <c r="K35" s="65"/>
      <c r="L35" s="65"/>
    </row>
  </sheetData>
  <mergeCells count="17">
    <mergeCell ref="I23:L23"/>
    <mergeCell ref="A30:L30"/>
    <mergeCell ref="A31:L31"/>
    <mergeCell ref="A29:L29"/>
    <mergeCell ref="B15:L15"/>
    <mergeCell ref="B16:E16"/>
    <mergeCell ref="G16:H16"/>
    <mergeCell ref="I16:L16"/>
    <mergeCell ref="I22:L22"/>
    <mergeCell ref="A1:L1"/>
    <mergeCell ref="A2:A6"/>
    <mergeCell ref="B2:B3"/>
    <mergeCell ref="C2:L2"/>
    <mergeCell ref="C3:H3"/>
    <mergeCell ref="I3:L3"/>
    <mergeCell ref="D5:H5"/>
    <mergeCell ref="I5:L5"/>
  </mergeCells>
  <pageMargins left="0.7" right="0.7" top="0.75" bottom="0.75" header="0.3" footer="0.3"/>
  <pageSetup scale="79" orientation="landscape" horizontalDpi="0" verticalDpi="0" r:id="rId1"/>
</worksheet>
</file>

<file path=xl/worksheets/sheet46.xml><?xml version="1.0" encoding="utf-8"?>
<worksheet xmlns="http://schemas.openxmlformats.org/spreadsheetml/2006/main" xmlns:r="http://schemas.openxmlformats.org/officeDocument/2006/relationships">
  <sheetPr codeName="Sheet43"/>
  <dimension ref="A1:M34"/>
  <sheetViews>
    <sheetView view="pageBreakPreview" zoomScale="85" zoomScaleNormal="100" zoomScaleSheetLayoutView="85" workbookViewId="0">
      <pane xSplit="1" ySplit="6" topLeftCell="B7"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10.140625" style="64" customWidth="1"/>
    <col min="2" max="2" width="16.28515625" style="64" customWidth="1"/>
    <col min="3" max="3" width="16" style="64" customWidth="1"/>
    <col min="4" max="4" width="11.85546875" style="64" customWidth="1"/>
    <col min="5" max="5" width="11.5703125" style="64" customWidth="1"/>
    <col min="6" max="6" width="10" style="64" customWidth="1"/>
    <col min="7" max="7" width="12.28515625" style="64" customWidth="1"/>
    <col min="8" max="8" width="11.140625" style="64" customWidth="1"/>
    <col min="9" max="9" width="11.7109375" style="64" customWidth="1"/>
    <col min="10" max="10" width="12.42578125" style="64" customWidth="1"/>
    <col min="11" max="11" width="17.7109375" style="64" bestFit="1" customWidth="1"/>
    <col min="12" max="12" width="14" style="64" customWidth="1"/>
    <col min="13" max="16384" width="9.140625" style="64"/>
  </cols>
  <sheetData>
    <row r="1" spans="1:12" ht="15" customHeight="1">
      <c r="A1" s="227" t="s">
        <v>2169</v>
      </c>
      <c r="B1" s="227"/>
      <c r="C1" s="227"/>
      <c r="D1" s="227"/>
      <c r="E1" s="227"/>
      <c r="F1" s="227"/>
      <c r="G1" s="227"/>
      <c r="H1" s="227"/>
      <c r="I1" s="227"/>
      <c r="J1" s="227"/>
      <c r="K1" s="227"/>
      <c r="L1" s="227"/>
    </row>
    <row r="2" spans="1:12" ht="15" customHeight="1">
      <c r="A2" s="238"/>
      <c r="B2" s="94" t="s">
        <v>673</v>
      </c>
      <c r="C2" s="112" t="s">
        <v>37</v>
      </c>
      <c r="D2" s="112"/>
      <c r="E2" s="112"/>
      <c r="F2" s="112"/>
      <c r="G2" s="112"/>
      <c r="H2" s="112"/>
      <c r="I2" s="112"/>
      <c r="J2" s="112"/>
      <c r="K2" s="112"/>
      <c r="L2" s="112"/>
    </row>
    <row r="3" spans="1:12">
      <c r="A3" s="238"/>
      <c r="B3" s="94"/>
      <c r="C3" s="111" t="s">
        <v>774</v>
      </c>
      <c r="D3" s="111"/>
      <c r="E3" s="111"/>
      <c r="F3" s="111"/>
      <c r="G3" s="111"/>
      <c r="H3" s="111"/>
      <c r="I3" s="111" t="s">
        <v>976</v>
      </c>
      <c r="J3" s="111"/>
      <c r="K3" s="111"/>
      <c r="L3" s="111"/>
    </row>
    <row r="4" spans="1:12" ht="60">
      <c r="A4" s="238"/>
      <c r="B4" s="239" t="s">
        <v>956</v>
      </c>
      <c r="C4" s="239" t="s">
        <v>956</v>
      </c>
      <c r="D4" s="239" t="s">
        <v>967</v>
      </c>
      <c r="E4" s="239" t="s">
        <v>778</v>
      </c>
      <c r="F4" s="239" t="s">
        <v>779</v>
      </c>
      <c r="G4" s="239" t="s">
        <v>777</v>
      </c>
      <c r="H4" s="239" t="s">
        <v>776</v>
      </c>
      <c r="I4" s="72" t="s">
        <v>780</v>
      </c>
      <c r="J4" s="72" t="s">
        <v>781</v>
      </c>
      <c r="K4" s="72" t="s">
        <v>782</v>
      </c>
      <c r="L4" s="72" t="s">
        <v>783</v>
      </c>
    </row>
    <row r="5" spans="1:12" ht="30">
      <c r="A5" s="238"/>
      <c r="B5" s="240" t="s">
        <v>794</v>
      </c>
      <c r="C5" s="240" t="s">
        <v>794</v>
      </c>
      <c r="D5" s="97" t="s">
        <v>971</v>
      </c>
      <c r="E5" s="97"/>
      <c r="F5" s="97"/>
      <c r="G5" s="97"/>
      <c r="H5" s="97"/>
      <c r="I5" s="223" t="s">
        <v>978</v>
      </c>
      <c r="J5" s="224"/>
      <c r="K5" s="224"/>
      <c r="L5" s="225"/>
    </row>
    <row r="6" spans="1:12" ht="34.5">
      <c r="A6" s="238"/>
      <c r="B6" s="73" t="s">
        <v>955</v>
      </c>
      <c r="C6" s="73" t="s">
        <v>974</v>
      </c>
      <c r="D6" s="73" t="s">
        <v>970</v>
      </c>
      <c r="E6" s="73" t="s">
        <v>968</v>
      </c>
      <c r="F6" s="73" t="s">
        <v>969</v>
      </c>
      <c r="G6" s="73" t="s">
        <v>972</v>
      </c>
      <c r="H6" s="73" t="s">
        <v>973</v>
      </c>
      <c r="I6" s="73" t="s">
        <v>979</v>
      </c>
      <c r="J6" s="73" t="s">
        <v>981</v>
      </c>
      <c r="K6" s="73" t="s">
        <v>985</v>
      </c>
      <c r="L6" s="73" t="s">
        <v>982</v>
      </c>
    </row>
    <row r="7" spans="1:12">
      <c r="D7" s="135"/>
    </row>
    <row r="8" spans="1:12">
      <c r="A8" s="109">
        <v>1986</v>
      </c>
      <c r="B8" s="226">
        <f>'7'!F7</f>
        <v>38.216459836990339</v>
      </c>
      <c r="C8" s="221">
        <f>'7'!F14</f>
        <v>29.553249984288652</v>
      </c>
      <c r="D8" s="241">
        <f>'7'!D14/'7'!D7</f>
        <v>1.2244496721912452</v>
      </c>
      <c r="E8" s="241">
        <f>'7'!E14/'7'!E7</f>
        <v>2.8596923975206422E-2</v>
      </c>
      <c r="F8" s="241">
        <f>E8*D8</f>
        <v>3.5015494187119467E-2</v>
      </c>
      <c r="G8" s="67">
        <f>C8/B8</f>
        <v>0.77331207836481952</v>
      </c>
      <c r="H8" s="241">
        <f>'7'!C14/'7'!C7</f>
        <v>2.7077904584812611E-2</v>
      </c>
      <c r="I8" s="242"/>
    </row>
    <row r="9" spans="1:12">
      <c r="A9" s="109">
        <v>1989</v>
      </c>
      <c r="B9" s="226">
        <f>'7'!F8</f>
        <v>38.601623124092313</v>
      </c>
      <c r="C9" s="221">
        <f>'7'!F15</f>
        <v>30.491081034015572</v>
      </c>
      <c r="D9" s="241">
        <f>'7'!D15/'7'!D8</f>
        <v>1.2868072160251673</v>
      </c>
      <c r="E9" s="241">
        <f>'7'!E15/'7'!E8</f>
        <v>2.7545293370476724E-2</v>
      </c>
      <c r="F9" s="241">
        <f>E9*D9</f>
        <v>3.5445482276659654E-2</v>
      </c>
      <c r="G9" s="67">
        <f>C9/B9</f>
        <v>0.78989116431700679</v>
      </c>
      <c r="H9" s="241">
        <f>'7'!C15/'7'!C8</f>
        <v>2.7998073265288522E-2</v>
      </c>
      <c r="I9" s="242"/>
    </row>
    <row r="10" spans="1:12">
      <c r="A10" s="109">
        <v>2000</v>
      </c>
      <c r="B10" s="226">
        <f>'7'!F9</f>
        <v>46.121740426203758</v>
      </c>
      <c r="C10" s="221">
        <f>'7'!F16</f>
        <v>37.543822228432624</v>
      </c>
      <c r="D10" s="241">
        <f>'7'!D16/'7'!D9</f>
        <v>1.5266318057241612</v>
      </c>
      <c r="E10" s="241">
        <f>'7'!E16/'7'!E9</f>
        <v>2.377624838660463E-2</v>
      </c>
      <c r="F10" s="241">
        <f>E10*D10</f>
        <v>3.6297577007788399E-2</v>
      </c>
      <c r="G10" s="67">
        <f>C10/B10</f>
        <v>0.81401573057512711</v>
      </c>
      <c r="H10" s="241">
        <f>'7'!C16/'7'!C9</f>
        <v>2.9546798666101808E-2</v>
      </c>
      <c r="I10" s="242"/>
    </row>
    <row r="11" spans="1:12">
      <c r="A11" s="109">
        <v>2004</v>
      </c>
      <c r="B11" s="226">
        <f>'7'!F10</f>
        <v>47.712713395338199</v>
      </c>
      <c r="C11" s="221">
        <f>'7'!F17</f>
        <v>43.733631538083671</v>
      </c>
      <c r="D11" s="241">
        <f>'7'!D17/'7'!D10</f>
        <v>1.2727621162492018</v>
      </c>
      <c r="E11" s="241">
        <f>'7'!E17/'7'!E10</f>
        <v>2.0333645386608611E-2</v>
      </c>
      <c r="F11" s="241">
        <f>E11*D11</f>
        <v>2.5879893533320795E-2</v>
      </c>
      <c r="G11" s="67">
        <f>C11/B11</f>
        <v>0.91660332070648265</v>
      </c>
      <c r="H11" s="241">
        <f>'7'!C17/'7'!C10</f>
        <v>2.3721596352172067E-2</v>
      </c>
      <c r="I11" s="242"/>
    </row>
    <row r="12" spans="1:12">
      <c r="A12" s="109">
        <v>2008</v>
      </c>
      <c r="B12" s="226">
        <f>'7'!F11</f>
        <v>49.4540754182771</v>
      </c>
      <c r="C12" s="221">
        <f>'7'!F18</f>
        <v>49.487754628490265</v>
      </c>
      <c r="D12" s="241">
        <f>'7'!D18/'7'!D11</f>
        <v>0.93319872483670741</v>
      </c>
      <c r="E12" s="241">
        <f>'7'!E18/'7'!E11</f>
        <v>1.4243736009188615E-2</v>
      </c>
      <c r="F12" s="241">
        <f>E12*D12</f>
        <v>1.3292236280685507E-2</v>
      </c>
      <c r="G12" s="67">
        <f>C12/B12</f>
        <v>1.0006810199145026</v>
      </c>
      <c r="H12" s="241">
        <f>'7'!C18/'7'!C11</f>
        <v>1.3301288558300931E-2</v>
      </c>
      <c r="I12" s="242"/>
    </row>
    <row r="14" spans="1:12">
      <c r="B14" s="111" t="s">
        <v>975</v>
      </c>
      <c r="C14" s="111"/>
      <c r="D14" s="111"/>
      <c r="E14" s="111"/>
      <c r="F14" s="111"/>
      <c r="G14" s="111"/>
      <c r="H14" s="111"/>
      <c r="I14" s="111"/>
      <c r="J14" s="111"/>
      <c r="K14" s="111"/>
      <c r="L14" s="111"/>
    </row>
    <row r="15" spans="1:12">
      <c r="B15" s="107" t="s">
        <v>784</v>
      </c>
      <c r="C15" s="107"/>
      <c r="D15" s="107"/>
      <c r="E15" s="107"/>
      <c r="F15" s="243" t="s">
        <v>977</v>
      </c>
      <c r="G15" s="107" t="s">
        <v>784</v>
      </c>
      <c r="H15" s="107"/>
      <c r="I15" s="107" t="s">
        <v>795</v>
      </c>
      <c r="J15" s="107"/>
      <c r="K15" s="107"/>
      <c r="L15" s="107"/>
    </row>
    <row r="16" spans="1:12">
      <c r="A16" s="145" t="s">
        <v>803</v>
      </c>
      <c r="B16" s="67">
        <f>(B11/B8-1)</f>
        <v>0.24848595602139678</v>
      </c>
      <c r="C16" s="67">
        <f>(C11/C8-1)</f>
        <v>0.47982477600039641</v>
      </c>
      <c r="D16" s="67">
        <f>(D11/D8-1)*100</f>
        <v>3.9456455545043179</v>
      </c>
      <c r="E16" s="67">
        <f>(E11/E8-1)*100</f>
        <v>-28.895690304880649</v>
      </c>
      <c r="F16" s="241">
        <f>F11-F8</f>
        <v>-9.1356006537986721E-3</v>
      </c>
      <c r="G16" s="67">
        <f>(G11/G8-1)*100</f>
        <v>18.529549240282741</v>
      </c>
      <c r="H16" s="67">
        <f>(H11/H8-1)*100</f>
        <v>-12.395007235984657</v>
      </c>
      <c r="I16" s="67">
        <f>H8*C16</f>
        <v>1.2992649501967818E-2</v>
      </c>
      <c r="J16" s="67">
        <f>G8*F16</f>
        <v>-7.0646703287000553E-3</v>
      </c>
      <c r="K16" s="67">
        <f>F16*G8*C16</f>
        <v>-3.3898038579851511E-3</v>
      </c>
      <c r="L16" s="67">
        <f>SUM(I16:K16)</f>
        <v>2.5381753152826118E-3</v>
      </c>
    </row>
    <row r="17" spans="1:13">
      <c r="A17" s="145" t="s">
        <v>796</v>
      </c>
      <c r="B17" s="67">
        <f t="shared" ref="B17:C20" si="0">(B9/B8-1)</f>
        <v>1.0078465895189126E-2</v>
      </c>
      <c r="C17" s="67">
        <f t="shared" si="0"/>
        <v>3.1733601219002816E-2</v>
      </c>
      <c r="D17" s="67">
        <f t="shared" ref="D17:E20" si="1">(D9/D8-1)*100</f>
        <v>5.0926996225437726</v>
      </c>
      <c r="E17" s="67">
        <f t="shared" si="1"/>
        <v>-3.6774256057800603</v>
      </c>
      <c r="F17" s="241">
        <f>F9-F8</f>
        <v>4.2998808954018697E-4</v>
      </c>
      <c r="G17" s="67">
        <f t="shared" ref="G17:H20" si="2">(G9/G8-1)*100</f>
        <v>2.1439062463946001</v>
      </c>
      <c r="H17" s="67">
        <f t="shared" si="2"/>
        <v>3.3982270584999918</v>
      </c>
      <c r="I17" s="67">
        <f>H8*C17</f>
        <v>8.5927942594065147E-4</v>
      </c>
      <c r="J17" s="67">
        <f>G8*F17</f>
        <v>3.325149831944401E-4</v>
      </c>
      <c r="K17" s="67">
        <f>H8*F17*C17</f>
        <v>3.6947991874140928E-7</v>
      </c>
      <c r="L17" s="67">
        <f>SUM(I17:K17)</f>
        <v>1.1921638890538329E-3</v>
      </c>
      <c r="M17" s="67"/>
    </row>
    <row r="18" spans="1:13">
      <c r="A18" s="145" t="s">
        <v>26</v>
      </c>
      <c r="B18" s="67">
        <f t="shared" si="0"/>
        <v>0.19481349988669083</v>
      </c>
      <c r="C18" s="67">
        <f t="shared" si="0"/>
        <v>0.2313050556177092</v>
      </c>
      <c r="D18" s="67">
        <f t="shared" si="1"/>
        <v>18.637180978809752</v>
      </c>
      <c r="E18" s="67">
        <f t="shared" si="1"/>
        <v>-13.683081654566031</v>
      </c>
      <c r="F18" s="241">
        <f>F10-F9</f>
        <v>8.5209473112874551E-4</v>
      </c>
      <c r="G18" s="67">
        <f t="shared" si="2"/>
        <v>3.0541633262830548</v>
      </c>
      <c r="H18" s="67">
        <f t="shared" si="2"/>
        <v>5.5315427820290974</v>
      </c>
      <c r="I18" s="67">
        <f>H9*C18</f>
        <v>6.4760958938162583E-3</v>
      </c>
      <c r="J18" s="67">
        <f>G9*F18</f>
        <v>6.730620992796716E-4</v>
      </c>
      <c r="K18" s="67">
        <f>H9*F18*C18</f>
        <v>5.5182471894053374E-6</v>
      </c>
      <c r="L18" s="67">
        <f>SUM(I18:K18)</f>
        <v>7.1546762402853355E-3</v>
      </c>
    </row>
    <row r="19" spans="1:13">
      <c r="A19" s="145" t="s">
        <v>662</v>
      </c>
      <c r="B19" s="67">
        <f t="shared" si="0"/>
        <v>3.4495076604492914E-2</v>
      </c>
      <c r="C19" s="67">
        <f t="shared" si="0"/>
        <v>0.16486891696827266</v>
      </c>
      <c r="D19" s="67">
        <f t="shared" si="1"/>
        <v>-16.629398688214525</v>
      </c>
      <c r="E19" s="67">
        <f t="shared" si="1"/>
        <v>-14.479168218715099</v>
      </c>
      <c r="F19" s="241">
        <f>F11-F10</f>
        <v>-1.0417683474467605E-2</v>
      </c>
      <c r="G19" s="67">
        <f t="shared" si="2"/>
        <v>12.602654503847766</v>
      </c>
      <c r="H19" s="67">
        <f t="shared" si="2"/>
        <v>-19.715172461688134</v>
      </c>
      <c r="I19" s="67">
        <f>H10*C19</f>
        <v>4.8713486959598082E-3</v>
      </c>
      <c r="J19" s="67">
        <f>G10*F19</f>
        <v>-8.4801582243691758E-3</v>
      </c>
      <c r="K19" s="67">
        <f>H10*F19*C19</f>
        <v>-5.0748168808269815E-5</v>
      </c>
      <c r="L19" s="67">
        <f>SUM(I19:K19)</f>
        <v>-3.6595576972176373E-3</v>
      </c>
    </row>
    <row r="20" spans="1:13">
      <c r="A20" s="145" t="s">
        <v>2176</v>
      </c>
      <c r="B20" s="67">
        <f t="shared" si="0"/>
        <v>3.6496813931128136E-2</v>
      </c>
      <c r="C20" s="67">
        <f t="shared" si="0"/>
        <v>0.13157203936736539</v>
      </c>
      <c r="D20" s="67">
        <f t="shared" si="1"/>
        <v>-26.679250354589367</v>
      </c>
      <c r="E20" s="67">
        <f t="shared" si="1"/>
        <v>-29.949914349498318</v>
      </c>
      <c r="F20" s="241">
        <f>F12-F11</f>
        <v>-1.2587657252635288E-2</v>
      </c>
      <c r="G20" s="67">
        <f t="shared" si="2"/>
        <v>9.1727465206231429</v>
      </c>
      <c r="H20" s="67">
        <f t="shared" si="2"/>
        <v>-43.927514991700804</v>
      </c>
      <c r="I20" s="67">
        <f>H11*C20</f>
        <v>3.1210988091047343E-3</v>
      </c>
      <c r="J20" s="67">
        <f>G11*F20</f>
        <v>-1.1537888437680546E-2</v>
      </c>
      <c r="K20" s="67">
        <f>H11*F20*C20</f>
        <v>-3.9287322060618576E-5</v>
      </c>
      <c r="L20" s="67">
        <f>SUM(I20:K20)</f>
        <v>-8.4560769506364306E-3</v>
      </c>
    </row>
    <row r="21" spans="1:13">
      <c r="A21" s="21"/>
      <c r="B21" s="246"/>
      <c r="C21" s="246"/>
      <c r="D21" s="247"/>
      <c r="E21" s="247"/>
      <c r="F21" s="241"/>
      <c r="G21" s="67"/>
      <c r="H21" s="67"/>
      <c r="I21" s="248" t="s">
        <v>984</v>
      </c>
      <c r="J21" s="249"/>
      <c r="K21" s="249"/>
      <c r="L21" s="250"/>
    </row>
    <row r="22" spans="1:13">
      <c r="A22" s="70"/>
      <c r="B22" s="251"/>
      <c r="C22" s="251"/>
      <c r="D22" s="252"/>
      <c r="E22" s="252"/>
      <c r="F22" s="241"/>
      <c r="G22" s="67"/>
      <c r="H22" s="67"/>
      <c r="I22" s="253" t="s">
        <v>784</v>
      </c>
      <c r="J22" s="254"/>
      <c r="K22" s="254"/>
      <c r="L22" s="255"/>
    </row>
    <row r="23" spans="1:13">
      <c r="A23" s="21"/>
      <c r="B23" s="244"/>
      <c r="C23" s="244"/>
      <c r="D23" s="65"/>
      <c r="E23" s="65"/>
      <c r="F23" s="241"/>
      <c r="G23" s="67"/>
      <c r="H23" s="145" t="s">
        <v>803</v>
      </c>
      <c r="I23" s="67">
        <f t="shared" ref="I23:L26" si="3">I16/$B16*100</f>
        <v>5.2287258845522198</v>
      </c>
      <c r="J23" s="67">
        <f t="shared" si="3"/>
        <v>-2.8430863626319898</v>
      </c>
      <c r="K23" s="67">
        <f t="shared" si="3"/>
        <v>-1.3641832770996762</v>
      </c>
      <c r="L23" s="67">
        <f t="shared" si="3"/>
        <v>1.0214562448205535</v>
      </c>
    </row>
    <row r="24" spans="1:13">
      <c r="B24" s="252"/>
      <c r="C24" s="252"/>
      <c r="D24" s="67"/>
      <c r="E24" s="67"/>
      <c r="F24" s="241"/>
      <c r="G24" s="67"/>
      <c r="H24" s="145" t="s">
        <v>796</v>
      </c>
      <c r="I24" s="67">
        <f t="shared" si="3"/>
        <v>8.5258950605847819</v>
      </c>
      <c r="J24" s="67">
        <f t="shared" si="3"/>
        <v>3.2992618782702183</v>
      </c>
      <c r="K24" s="67">
        <f t="shared" si="3"/>
        <v>3.6660333287209662E-3</v>
      </c>
      <c r="L24" s="67">
        <f t="shared" si="3"/>
        <v>11.828822972183719</v>
      </c>
    </row>
    <row r="25" spans="1:13">
      <c r="B25" s="252"/>
      <c r="C25" s="252"/>
      <c r="D25" s="67"/>
      <c r="E25" s="67"/>
      <c r="F25" s="241"/>
      <c r="G25" s="67"/>
      <c r="H25" s="145" t="s">
        <v>26</v>
      </c>
      <c r="I25" s="67">
        <f t="shared" si="3"/>
        <v>3.3242541700564607</v>
      </c>
      <c r="J25" s="67">
        <f t="shared" si="3"/>
        <v>0.34549048175364849</v>
      </c>
      <c r="K25" s="67">
        <f t="shared" si="3"/>
        <v>2.8325794632378708E-3</v>
      </c>
      <c r="L25" s="67">
        <f t="shared" si="3"/>
        <v>3.6725772312733476</v>
      </c>
    </row>
    <row r="26" spans="1:13">
      <c r="B26" s="252"/>
      <c r="C26" s="252"/>
      <c r="D26" s="67"/>
      <c r="E26" s="67"/>
      <c r="F26" s="241"/>
      <c r="G26" s="67"/>
      <c r="H26" s="145" t="s">
        <v>662</v>
      </c>
      <c r="I26" s="67">
        <f t="shared" si="3"/>
        <v>14.121866583491874</v>
      </c>
      <c r="J26" s="67">
        <f t="shared" si="3"/>
        <v>-24.583677031940994</v>
      </c>
      <c r="K26" s="67">
        <f t="shared" si="3"/>
        <v>-0.14711713613547961</v>
      </c>
      <c r="L26" s="67">
        <f t="shared" si="3"/>
        <v>-10.608927584584599</v>
      </c>
    </row>
    <row r="27" spans="1:13">
      <c r="B27" s="252"/>
      <c r="C27" s="252"/>
      <c r="D27" s="67"/>
      <c r="E27" s="67"/>
      <c r="F27" s="241"/>
      <c r="G27" s="67"/>
      <c r="H27" s="145"/>
      <c r="I27" s="67"/>
      <c r="J27" s="67"/>
      <c r="K27" s="67"/>
      <c r="L27" s="67"/>
    </row>
    <row r="28" spans="1:13">
      <c r="A28" s="137" t="s">
        <v>983</v>
      </c>
      <c r="B28" s="137"/>
      <c r="C28" s="137"/>
      <c r="D28" s="137"/>
      <c r="E28" s="137"/>
      <c r="F28" s="137"/>
      <c r="G28" s="137"/>
      <c r="H28" s="137"/>
      <c r="I28" s="137"/>
      <c r="J28" s="137"/>
      <c r="K28" s="137"/>
      <c r="L28" s="137"/>
    </row>
    <row r="29" spans="1:13">
      <c r="A29" s="256" t="s">
        <v>193</v>
      </c>
      <c r="B29" s="256"/>
      <c r="C29" s="256"/>
      <c r="D29" s="256"/>
      <c r="E29" s="256"/>
      <c r="F29" s="256"/>
      <c r="G29" s="256"/>
      <c r="H29" s="256"/>
      <c r="I29" s="256"/>
      <c r="J29" s="256"/>
      <c r="K29" s="256"/>
      <c r="L29" s="256"/>
    </row>
    <row r="30" spans="1:13" ht="18.75">
      <c r="A30" s="137" t="s">
        <v>980</v>
      </c>
      <c r="B30" s="137"/>
      <c r="C30" s="137"/>
      <c r="D30" s="137"/>
      <c r="E30" s="137"/>
      <c r="F30" s="137"/>
      <c r="G30" s="137"/>
      <c r="H30" s="137"/>
      <c r="I30" s="137"/>
      <c r="J30" s="137"/>
      <c r="K30" s="137"/>
      <c r="L30" s="137"/>
      <c r="M30" s="65"/>
    </row>
    <row r="31" spans="1:13">
      <c r="I31" s="65"/>
      <c r="J31" s="65"/>
      <c r="K31" s="65"/>
      <c r="L31" s="65"/>
    </row>
    <row r="32" spans="1:13">
      <c r="I32" s="65"/>
      <c r="J32" s="65"/>
      <c r="K32" s="65"/>
      <c r="L32" s="65"/>
    </row>
    <row r="33" spans="9:12">
      <c r="I33" s="65"/>
      <c r="J33" s="65"/>
      <c r="K33" s="65"/>
      <c r="L33" s="65"/>
    </row>
    <row r="34" spans="9:12">
      <c r="I34" s="65"/>
      <c r="J34" s="65"/>
      <c r="K34" s="65"/>
      <c r="L34" s="65"/>
    </row>
  </sheetData>
  <mergeCells count="19">
    <mergeCell ref="A30:L30"/>
    <mergeCell ref="A1:L1"/>
    <mergeCell ref="I15:L15"/>
    <mergeCell ref="B14:L14"/>
    <mergeCell ref="A2:A6"/>
    <mergeCell ref="I21:L21"/>
    <mergeCell ref="I22:L22"/>
    <mergeCell ref="B21:C21"/>
    <mergeCell ref="I3:L3"/>
    <mergeCell ref="C2:L2"/>
    <mergeCell ref="G15:H15"/>
    <mergeCell ref="B15:E15"/>
    <mergeCell ref="I5:L5"/>
    <mergeCell ref="A29:L29"/>
    <mergeCell ref="B22:C22"/>
    <mergeCell ref="A28:L28"/>
    <mergeCell ref="D5:H5"/>
    <mergeCell ref="B2:B3"/>
    <mergeCell ref="C3:H3"/>
  </mergeCells>
  <pageMargins left="0.7" right="0.7" top="0.75" bottom="0.75" header="0.3" footer="0.3"/>
  <pageSetup scale="79" orientation="landscape" horizontalDpi="0" verticalDpi="0" r:id="rId1"/>
</worksheet>
</file>

<file path=xl/worksheets/sheet47.xml><?xml version="1.0" encoding="utf-8"?>
<worksheet xmlns="http://schemas.openxmlformats.org/spreadsheetml/2006/main" xmlns:r="http://schemas.openxmlformats.org/officeDocument/2006/relationships">
  <sheetPr codeName="Sheet44"/>
  <dimension ref="A1:M34"/>
  <sheetViews>
    <sheetView view="pageBreakPreview" zoomScale="85" zoomScaleNormal="100" zoomScaleSheetLayoutView="85" workbookViewId="0">
      <pane xSplit="1" ySplit="6" topLeftCell="B7"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10.140625" style="64" customWidth="1"/>
    <col min="2" max="2" width="16.28515625" style="64" customWidth="1"/>
    <col min="3" max="3" width="16" style="64" customWidth="1"/>
    <col min="4" max="4" width="11.85546875" style="64" customWidth="1"/>
    <col min="5" max="5" width="11.5703125" style="64" customWidth="1"/>
    <col min="6" max="6" width="10" style="64" customWidth="1"/>
    <col min="7" max="7" width="12.28515625" style="64" customWidth="1"/>
    <col min="8" max="8" width="11.140625" style="64" customWidth="1"/>
    <col min="9" max="9" width="11.7109375" style="64" customWidth="1"/>
    <col min="10" max="10" width="12.42578125" style="64" customWidth="1"/>
    <col min="11" max="11" width="17.7109375" style="64" bestFit="1" customWidth="1"/>
    <col min="12" max="12" width="14" style="64" customWidth="1"/>
    <col min="13" max="16384" width="9.140625" style="64"/>
  </cols>
  <sheetData>
    <row r="1" spans="1:12" ht="15" customHeight="1">
      <c r="A1" s="227" t="s">
        <v>2170</v>
      </c>
      <c r="B1" s="227"/>
      <c r="C1" s="227"/>
      <c r="D1" s="227"/>
      <c r="E1" s="227"/>
      <c r="F1" s="227"/>
      <c r="G1" s="227"/>
      <c r="H1" s="227"/>
      <c r="I1" s="227"/>
      <c r="J1" s="227"/>
      <c r="K1" s="227"/>
      <c r="L1" s="227"/>
    </row>
    <row r="2" spans="1:12" ht="15" customHeight="1">
      <c r="A2" s="238"/>
      <c r="B2" s="94" t="s">
        <v>37</v>
      </c>
      <c r="C2" s="112" t="s">
        <v>63</v>
      </c>
      <c r="D2" s="112"/>
      <c r="E2" s="112"/>
      <c r="F2" s="112"/>
      <c r="G2" s="112"/>
      <c r="H2" s="112"/>
      <c r="I2" s="112"/>
      <c r="J2" s="112"/>
      <c r="K2" s="112"/>
      <c r="L2" s="112"/>
    </row>
    <row r="3" spans="1:12">
      <c r="A3" s="238"/>
      <c r="B3" s="94"/>
      <c r="C3" s="111" t="s">
        <v>774</v>
      </c>
      <c r="D3" s="111"/>
      <c r="E3" s="111"/>
      <c r="F3" s="111"/>
      <c r="G3" s="111"/>
      <c r="H3" s="111"/>
      <c r="I3" s="111" t="s">
        <v>976</v>
      </c>
      <c r="J3" s="111"/>
      <c r="K3" s="111"/>
      <c r="L3" s="111"/>
    </row>
    <row r="4" spans="1:12" ht="60">
      <c r="A4" s="238"/>
      <c r="B4" s="239" t="s">
        <v>956</v>
      </c>
      <c r="C4" s="239" t="s">
        <v>956</v>
      </c>
      <c r="D4" s="239" t="s">
        <v>967</v>
      </c>
      <c r="E4" s="239" t="s">
        <v>778</v>
      </c>
      <c r="F4" s="239" t="s">
        <v>779</v>
      </c>
      <c r="G4" s="239" t="s">
        <v>777</v>
      </c>
      <c r="H4" s="239" t="s">
        <v>776</v>
      </c>
      <c r="I4" s="72" t="s">
        <v>780</v>
      </c>
      <c r="J4" s="72" t="s">
        <v>781</v>
      </c>
      <c r="K4" s="72" t="s">
        <v>782</v>
      </c>
      <c r="L4" s="72" t="s">
        <v>783</v>
      </c>
    </row>
    <row r="5" spans="1:12" ht="30">
      <c r="A5" s="238"/>
      <c r="B5" s="240" t="s">
        <v>794</v>
      </c>
      <c r="C5" s="240" t="s">
        <v>794</v>
      </c>
      <c r="D5" s="97" t="s">
        <v>971</v>
      </c>
      <c r="E5" s="97"/>
      <c r="F5" s="97"/>
      <c r="G5" s="97"/>
      <c r="H5" s="97"/>
      <c r="I5" s="223" t="s">
        <v>978</v>
      </c>
      <c r="J5" s="224"/>
      <c r="K5" s="224"/>
      <c r="L5" s="225"/>
    </row>
    <row r="6" spans="1:12" ht="34.5">
      <c r="A6" s="238"/>
      <c r="B6" s="73" t="s">
        <v>955</v>
      </c>
      <c r="C6" s="73" t="s">
        <v>974</v>
      </c>
      <c r="D6" s="73" t="s">
        <v>970</v>
      </c>
      <c r="E6" s="73" t="s">
        <v>968</v>
      </c>
      <c r="F6" s="73" t="s">
        <v>969</v>
      </c>
      <c r="G6" s="73" t="s">
        <v>972</v>
      </c>
      <c r="H6" s="73" t="s">
        <v>973</v>
      </c>
      <c r="I6" s="73" t="s">
        <v>979</v>
      </c>
      <c r="J6" s="73" t="s">
        <v>981</v>
      </c>
      <c r="K6" s="73" t="s">
        <v>985</v>
      </c>
      <c r="L6" s="73" t="s">
        <v>982</v>
      </c>
    </row>
    <row r="7" spans="1:12">
      <c r="D7" s="135"/>
    </row>
    <row r="8" spans="1:12">
      <c r="A8" s="109">
        <v>1986</v>
      </c>
      <c r="B8" s="221">
        <f>'7'!F14</f>
        <v>29.553249984288652</v>
      </c>
      <c r="C8" s="221">
        <f>'7'!F21</f>
        <v>29.207202420664668</v>
      </c>
      <c r="D8" s="241">
        <f>'7'!D21/'7'!D14</f>
        <v>0.69572899018914058</v>
      </c>
      <c r="E8" s="241">
        <f>'7'!E21/'7'!E14</f>
        <v>0.22951870146686656</v>
      </c>
      <c r="F8" s="241">
        <f>E8*D8</f>
        <v>0.15968281440106588</v>
      </c>
      <c r="G8" s="67">
        <f>C8/B8</f>
        <v>0.98829071036830285</v>
      </c>
      <c r="H8" s="241">
        <f>G8*F8</f>
        <v>0.15781304207803926</v>
      </c>
      <c r="I8" s="242"/>
    </row>
    <row r="9" spans="1:12">
      <c r="A9" s="109">
        <v>1989</v>
      </c>
      <c r="B9" s="221">
        <f>'7'!F15</f>
        <v>30.491081034015572</v>
      </c>
      <c r="C9" s="221">
        <f>'7'!F22</f>
        <v>31.856212530371231</v>
      </c>
      <c r="D9" s="241">
        <f>'7'!D22/'7'!D15</f>
        <v>0.73946554035963719</v>
      </c>
      <c r="E9" s="241">
        <f>'7'!E22/'7'!E15</f>
        <v>0.22810948255961139</v>
      </c>
      <c r="F9" s="241">
        <f>E9*D9</f>
        <v>0.16867910178210027</v>
      </c>
      <c r="G9" s="67">
        <f>C9/B9</f>
        <v>1.0447715020281745</v>
      </c>
      <c r="H9" s="241">
        <f>G9*F9</f>
        <v>0.17623111852964823</v>
      </c>
      <c r="I9" s="242"/>
    </row>
    <row r="10" spans="1:12">
      <c r="A10" s="109">
        <v>2000</v>
      </c>
      <c r="B10" s="221">
        <f>'7'!F16</f>
        <v>37.543822228432624</v>
      </c>
      <c r="C10" s="221">
        <f>'7'!F23</f>
        <v>33.205528397436062</v>
      </c>
      <c r="D10" s="241">
        <f>'7'!D23/'7'!D16</f>
        <v>0.78798372599934674</v>
      </c>
      <c r="E10" s="241">
        <f>'7'!E23/'7'!E16</f>
        <v>0.2099523984234635</v>
      </c>
      <c r="F10" s="241">
        <f>E10*D10</f>
        <v>0.16543907319222015</v>
      </c>
      <c r="G10" s="67">
        <f>C10/B10</f>
        <v>0.88444719867357846</v>
      </c>
      <c r="H10" s="241">
        <f>G10*F10</f>
        <v>0.14632212483601223</v>
      </c>
      <c r="I10" s="242"/>
    </row>
    <row r="11" spans="1:12">
      <c r="A11" s="109">
        <v>2004</v>
      </c>
      <c r="B11" s="221">
        <f>'7'!F17</f>
        <v>43.733631538083671</v>
      </c>
      <c r="C11" s="221">
        <f>'7'!F24</f>
        <v>45.372443844445371</v>
      </c>
      <c r="D11" s="241">
        <f>'7'!D24/'7'!D17</f>
        <v>0.65357800764126317</v>
      </c>
      <c r="E11" s="241">
        <f>'7'!E24/'7'!E17</f>
        <v>0.18430374564580818</v>
      </c>
      <c r="F11" s="241">
        <f>E11*D11</f>
        <v>0.12045687488000945</v>
      </c>
      <c r="G11" s="67">
        <f>C11/B11</f>
        <v>1.0374725868565158</v>
      </c>
      <c r="H11" s="241">
        <f>G11*F11</f>
        <v>0.12497070558641506</v>
      </c>
      <c r="I11" s="242"/>
    </row>
    <row r="12" spans="1:12">
      <c r="A12" s="109">
        <v>2008</v>
      </c>
      <c r="B12" s="221">
        <f>'7'!F18</f>
        <v>49.487754628490265</v>
      </c>
      <c r="C12" s="221">
        <f>'7'!F25</f>
        <v>51.856325158851021</v>
      </c>
      <c r="D12" s="241">
        <f>'7'!D25/'7'!D18</f>
        <v>1.0057110086960148</v>
      </c>
      <c r="E12" s="241">
        <f>'7'!E25/'7'!E18</f>
        <v>0.17853468057030217</v>
      </c>
      <c r="F12" s="241">
        <f>E12*D12</f>
        <v>0.17955429368357939</v>
      </c>
      <c r="G12" s="67">
        <f>C12/B12</f>
        <v>1.047861749803398</v>
      </c>
      <c r="H12" s="241">
        <f>G12*F12</f>
        <v>0.1881480763639887</v>
      </c>
      <c r="I12" s="242"/>
    </row>
    <row r="14" spans="1:12">
      <c r="B14" s="111" t="s">
        <v>975</v>
      </c>
      <c r="C14" s="111"/>
      <c r="D14" s="111"/>
      <c r="E14" s="111"/>
      <c r="F14" s="111"/>
      <c r="G14" s="111"/>
      <c r="H14" s="111"/>
      <c r="I14" s="111"/>
      <c r="J14" s="111"/>
      <c r="K14" s="111"/>
      <c r="L14" s="111"/>
    </row>
    <row r="15" spans="1:12">
      <c r="B15" s="107" t="s">
        <v>784</v>
      </c>
      <c r="C15" s="107"/>
      <c r="D15" s="107"/>
      <c r="E15" s="107"/>
      <c r="F15" s="243" t="s">
        <v>977</v>
      </c>
      <c r="G15" s="107" t="s">
        <v>784</v>
      </c>
      <c r="H15" s="107"/>
      <c r="I15" s="107" t="s">
        <v>795</v>
      </c>
      <c r="J15" s="107"/>
      <c r="K15" s="107"/>
      <c r="L15" s="107"/>
    </row>
    <row r="16" spans="1:12">
      <c r="A16" s="145" t="s">
        <v>803</v>
      </c>
      <c r="B16" s="67">
        <f>(B11/B8-1)</f>
        <v>0.47982477600039641</v>
      </c>
      <c r="C16" s="67">
        <f>(C11/C8-1)</f>
        <v>0.55346764099335566</v>
      </c>
      <c r="D16" s="67">
        <f>(D11/D8-1)*100</f>
        <v>-6.0585347372715148</v>
      </c>
      <c r="E16" s="67">
        <f>(E11/E8-1)*100</f>
        <v>-19.699900501391454</v>
      </c>
      <c r="F16" s="241">
        <f>F11-F8</f>
        <v>-3.9225939521056435E-2</v>
      </c>
      <c r="G16" s="67">
        <f>(G11/G8-1)*100</f>
        <v>4.9764584420594726</v>
      </c>
      <c r="H16" s="67">
        <f>(H11/H8-1)*100</f>
        <v>-20.810914015194971</v>
      </c>
      <c r="I16" s="67">
        <f>H8*C16</f>
        <v>8.7344412116917555E-2</v>
      </c>
      <c r="J16" s="67">
        <f>G8*F16</f>
        <v>-3.8766631634128947E-2</v>
      </c>
      <c r="K16" s="67">
        <f>F16*G8*C16</f>
        <v>-2.1456076159799744E-2</v>
      </c>
      <c r="L16" s="67">
        <f>SUM(I16:K16)</f>
        <v>2.7121704322988865E-2</v>
      </c>
    </row>
    <row r="17" spans="1:13">
      <c r="A17" s="145" t="s">
        <v>796</v>
      </c>
      <c r="B17" s="67">
        <f t="shared" ref="B17:C20" si="0">(B9/B8-1)</f>
        <v>3.1733601219002816E-2</v>
      </c>
      <c r="C17" s="67">
        <f t="shared" si="0"/>
        <v>9.0697153104685402E-2</v>
      </c>
      <c r="D17" s="67">
        <f t="shared" ref="D17:E20" si="1">(D9/D8-1)*100</f>
        <v>6.2864349175109746</v>
      </c>
      <c r="E17" s="67">
        <f t="shared" si="1"/>
        <v>-0.61398870691092844</v>
      </c>
      <c r="F17" s="241">
        <f>F9-F8</f>
        <v>8.9962873810343902E-3</v>
      </c>
      <c r="G17" s="67">
        <f t="shared" ref="G17:H20" si="2">(G9/G8-1)*100</f>
        <v>5.7149977296480969</v>
      </c>
      <c r="H17" s="67">
        <f t="shared" si="2"/>
        <v>11.670820237088609</v>
      </c>
      <c r="I17" s="67">
        <f>H8*C17</f>
        <v>1.4313193639268086E-2</v>
      </c>
      <c r="J17" s="67">
        <f>G8*F17</f>
        <v>8.8909472464798762E-3</v>
      </c>
      <c r="K17" s="67">
        <f>H8*F17*C17</f>
        <v>1.2876560331924919E-4</v>
      </c>
      <c r="L17" s="67">
        <f>SUM(I17:K17)</f>
        <v>2.3332906489067211E-2</v>
      </c>
      <c r="M17" s="67"/>
    </row>
    <row r="18" spans="1:13">
      <c r="A18" s="145" t="s">
        <v>26</v>
      </c>
      <c r="B18" s="67">
        <f t="shared" si="0"/>
        <v>0.2313050556177092</v>
      </c>
      <c r="C18" s="67">
        <f t="shared" si="0"/>
        <v>4.2356443528194454E-2</v>
      </c>
      <c r="D18" s="67">
        <f t="shared" si="1"/>
        <v>6.561250388505302</v>
      </c>
      <c r="E18" s="67">
        <f t="shared" si="1"/>
        <v>-7.9598111978544939</v>
      </c>
      <c r="F18" s="241">
        <f>F10-F9</f>
        <v>-3.2400285898801229E-3</v>
      </c>
      <c r="G18" s="67">
        <f t="shared" si="2"/>
        <v>-15.345393996999789</v>
      </c>
      <c r="H18" s="67">
        <f t="shared" si="2"/>
        <v>-16.97145994599374</v>
      </c>
      <c r="I18" s="67">
        <f>H9*C18</f>
        <v>7.4645234199115888E-3</v>
      </c>
      <c r="J18" s="67">
        <f>G9*F18</f>
        <v>-3.3850895364632839E-3</v>
      </c>
      <c r="K18" s="67">
        <f>H9*F18*C18</f>
        <v>-2.4185269290343296E-5</v>
      </c>
      <c r="L18" s="67">
        <f>SUM(I18:K18)</f>
        <v>4.0552486141579615E-3</v>
      </c>
    </row>
    <row r="19" spans="1:13">
      <c r="A19" s="145" t="s">
        <v>662</v>
      </c>
      <c r="B19" s="67">
        <f t="shared" si="0"/>
        <v>0.16486891696827266</v>
      </c>
      <c r="C19" s="67">
        <f t="shared" si="0"/>
        <v>0.36641234258897581</v>
      </c>
      <c r="D19" s="67">
        <f t="shared" si="1"/>
        <v>-17.056915507693493</v>
      </c>
      <c r="E19" s="67">
        <f t="shared" si="1"/>
        <v>-12.216413325235409</v>
      </c>
      <c r="F19" s="241">
        <f>F11-F10</f>
        <v>-4.4982198312210703E-2</v>
      </c>
      <c r="G19" s="67">
        <f t="shared" si="2"/>
        <v>17.301811618877004</v>
      </c>
      <c r="H19" s="67">
        <f t="shared" si="2"/>
        <v>-14.592064784137316</v>
      </c>
      <c r="I19" s="67">
        <f>H10*C19</f>
        <v>5.3614232533759798E-2</v>
      </c>
      <c r="J19" s="67">
        <f>G10*F19</f>
        <v>-3.9784379287414122E-2</v>
      </c>
      <c r="K19" s="67">
        <f>H10*F19*C19</f>
        <v>-2.4116860401905624E-3</v>
      </c>
      <c r="L19" s="67">
        <f>SUM(I19:K19)</f>
        <v>1.1418167206155114E-2</v>
      </c>
    </row>
    <row r="20" spans="1:13">
      <c r="A20" s="145"/>
      <c r="B20" s="67">
        <f t="shared" si="0"/>
        <v>0.13157203936736539</v>
      </c>
      <c r="C20" s="67">
        <f t="shared" si="0"/>
        <v>0.1429035062919457</v>
      </c>
      <c r="D20" s="67">
        <f t="shared" si="1"/>
        <v>53.877731034063636</v>
      </c>
      <c r="E20" s="67">
        <f t="shared" si="1"/>
        <v>-3.1301941560064162</v>
      </c>
      <c r="F20" s="241">
        <f>F12-F11</f>
        <v>5.9097418803569945E-2</v>
      </c>
      <c r="G20" s="67">
        <f t="shared" si="2"/>
        <v>1.0013915623892089</v>
      </c>
      <c r="H20" s="67">
        <f t="shared" si="2"/>
        <v>50.553744160376525</v>
      </c>
      <c r="I20" s="67">
        <f>H11*C20</f>
        <v>1.7858752012077157E-2</v>
      </c>
      <c r="J20" s="67">
        <f>G11*F20</f>
        <v>6.1311951962682611E-2</v>
      </c>
      <c r="K20" s="67">
        <f>H11*F20*C20</f>
        <v>1.0554061469668211E-3</v>
      </c>
      <c r="L20" s="67">
        <f>SUM(I20:K20)</f>
        <v>8.022611012172659E-2</v>
      </c>
    </row>
    <row r="21" spans="1:13">
      <c r="A21" s="21"/>
      <c r="B21" s="246"/>
      <c r="C21" s="246"/>
      <c r="D21" s="247"/>
      <c r="E21" s="247"/>
      <c r="F21" s="241"/>
      <c r="G21" s="67"/>
      <c r="H21" s="67"/>
      <c r="I21" s="248" t="s">
        <v>984</v>
      </c>
      <c r="J21" s="249"/>
      <c r="K21" s="249"/>
      <c r="L21" s="250"/>
    </row>
    <row r="22" spans="1:13">
      <c r="A22" s="70"/>
      <c r="B22" s="251"/>
      <c r="C22" s="251"/>
      <c r="D22" s="252"/>
      <c r="E22" s="252"/>
      <c r="F22" s="241"/>
      <c r="G22" s="67"/>
      <c r="H22" s="67"/>
      <c r="I22" s="253" t="s">
        <v>784</v>
      </c>
      <c r="J22" s="254"/>
      <c r="K22" s="254"/>
      <c r="L22" s="255"/>
    </row>
    <row r="23" spans="1:13">
      <c r="A23" s="21"/>
      <c r="B23" s="244"/>
      <c r="C23" s="244"/>
      <c r="D23" s="65"/>
      <c r="E23" s="65"/>
      <c r="F23" s="241"/>
      <c r="G23" s="67"/>
      <c r="H23" s="145" t="s">
        <v>803</v>
      </c>
      <c r="I23" s="67">
        <f>I16/$B16*100</f>
        <v>18.203397674663925</v>
      </c>
      <c r="J23" s="67">
        <f t="shared" ref="J23:L27" si="3">J16/$B16*100</f>
        <v>-8.0793309502002284</v>
      </c>
      <c r="K23" s="67">
        <f t="shared" si="3"/>
        <v>-4.471648241811927</v>
      </c>
      <c r="L23" s="67">
        <f t="shared" si="3"/>
        <v>5.6524184826517709</v>
      </c>
    </row>
    <row r="24" spans="1:13">
      <c r="B24" s="252"/>
      <c r="C24" s="252"/>
      <c r="D24" s="67"/>
      <c r="E24" s="67"/>
      <c r="F24" s="241"/>
      <c r="G24" s="67"/>
      <c r="H24" s="145" t="s">
        <v>796</v>
      </c>
      <c r="I24" s="67">
        <f>I17/$B17*100</f>
        <v>45.10422104471715</v>
      </c>
      <c r="J24" s="67">
        <f t="shared" si="3"/>
        <v>28.017454385718349</v>
      </c>
      <c r="K24" s="67">
        <f t="shared" si="3"/>
        <v>0.40577053461597468</v>
      </c>
      <c r="L24" s="67">
        <f t="shared" si="3"/>
        <v>73.52744596505147</v>
      </c>
    </row>
    <row r="25" spans="1:13">
      <c r="B25" s="252"/>
      <c r="C25" s="252"/>
      <c r="D25" s="67"/>
      <c r="E25" s="67"/>
      <c r="F25" s="241"/>
      <c r="G25" s="67"/>
      <c r="H25" s="145" t="s">
        <v>26</v>
      </c>
      <c r="I25" s="67">
        <f>I18/$B18*100</f>
        <v>3.2271337087627798</v>
      </c>
      <c r="J25" s="67">
        <f t="shared" si="3"/>
        <v>-1.4634740807645861</v>
      </c>
      <c r="K25" s="67">
        <f t="shared" si="3"/>
        <v>-1.0456005479757278E-2</v>
      </c>
      <c r="L25" s="67">
        <f t="shared" si="3"/>
        <v>1.7532036225184362</v>
      </c>
    </row>
    <row r="26" spans="1:13">
      <c r="B26" s="252"/>
      <c r="C26" s="252"/>
      <c r="D26" s="67"/>
      <c r="E26" s="67"/>
      <c r="F26" s="241"/>
      <c r="G26" s="67"/>
      <c r="H26" s="145" t="s">
        <v>662</v>
      </c>
      <c r="I26" s="67">
        <f>I19/$B19*100</f>
        <v>32.51930898780472</v>
      </c>
      <c r="J26" s="67">
        <f t="shared" si="3"/>
        <v>-24.130915650443814</v>
      </c>
      <c r="K26" s="67">
        <f t="shared" si="3"/>
        <v>-1.4627900058654881</v>
      </c>
      <c r="L26" s="67">
        <f>L19/$B19*100</f>
        <v>6.925603331495422</v>
      </c>
    </row>
    <row r="27" spans="1:13">
      <c r="B27" s="252"/>
      <c r="C27" s="252"/>
      <c r="D27" s="67"/>
      <c r="E27" s="67"/>
      <c r="F27" s="241"/>
      <c r="G27" s="67"/>
      <c r="H27" s="145" t="s">
        <v>2176</v>
      </c>
      <c r="I27" s="67">
        <f>I20/$B20*100</f>
        <v>13.573364141763673</v>
      </c>
      <c r="J27" s="67">
        <f t="shared" si="3"/>
        <v>46.59953000461752</v>
      </c>
      <c r="K27" s="67">
        <f t="shared" si="3"/>
        <v>0.8021507852591665</v>
      </c>
      <c r="L27" s="67">
        <f>L20/$B20*100</f>
        <v>60.975044931640369</v>
      </c>
    </row>
    <row r="28" spans="1:13">
      <c r="A28" s="137" t="s">
        <v>983</v>
      </c>
      <c r="B28" s="137"/>
      <c r="C28" s="137"/>
      <c r="D28" s="137"/>
      <c r="E28" s="137"/>
      <c r="F28" s="137"/>
      <c r="G28" s="137"/>
      <c r="H28" s="137"/>
      <c r="I28" s="137"/>
      <c r="J28" s="137"/>
      <c r="K28" s="137"/>
      <c r="L28" s="137"/>
    </row>
    <row r="29" spans="1:13">
      <c r="A29" s="256" t="s">
        <v>193</v>
      </c>
      <c r="B29" s="256"/>
      <c r="C29" s="256"/>
      <c r="D29" s="256"/>
      <c r="E29" s="256"/>
      <c r="F29" s="256"/>
      <c r="G29" s="256"/>
      <c r="H29" s="256"/>
      <c r="I29" s="256"/>
      <c r="J29" s="256"/>
      <c r="K29" s="256"/>
      <c r="L29" s="256"/>
    </row>
    <row r="30" spans="1:13" ht="18.75">
      <c r="A30" s="137" t="s">
        <v>980</v>
      </c>
      <c r="B30" s="137"/>
      <c r="C30" s="137"/>
      <c r="D30" s="137"/>
      <c r="E30" s="137"/>
      <c r="F30" s="137"/>
      <c r="G30" s="137"/>
      <c r="H30" s="137"/>
      <c r="I30" s="137"/>
      <c r="J30" s="137"/>
      <c r="K30" s="137"/>
      <c r="L30" s="137"/>
      <c r="M30" s="65"/>
    </row>
    <row r="31" spans="1:13">
      <c r="I31" s="65"/>
      <c r="J31" s="65"/>
      <c r="K31" s="65"/>
      <c r="L31" s="65"/>
    </row>
    <row r="32" spans="1:13">
      <c r="I32" s="65"/>
      <c r="J32" s="65"/>
      <c r="K32" s="65"/>
      <c r="L32" s="65"/>
    </row>
    <row r="33" spans="9:12">
      <c r="I33" s="65"/>
      <c r="J33" s="65"/>
      <c r="K33" s="65"/>
      <c r="L33" s="65"/>
    </row>
    <row r="34" spans="9:12">
      <c r="I34" s="65"/>
      <c r="J34" s="65"/>
      <c r="K34" s="65"/>
      <c r="L34" s="65"/>
    </row>
  </sheetData>
  <mergeCells count="19">
    <mergeCell ref="B22:C22"/>
    <mergeCell ref="I22:L22"/>
    <mergeCell ref="A29:L29"/>
    <mergeCell ref="A30:L30"/>
    <mergeCell ref="A28:L28"/>
    <mergeCell ref="B14:L14"/>
    <mergeCell ref="B15:E15"/>
    <mergeCell ref="G15:H15"/>
    <mergeCell ref="I15:L15"/>
    <mergeCell ref="B21:C21"/>
    <mergeCell ref="I21:L21"/>
    <mergeCell ref="A1:L1"/>
    <mergeCell ref="A2:A6"/>
    <mergeCell ref="B2:B3"/>
    <mergeCell ref="C2:L2"/>
    <mergeCell ref="C3:H3"/>
    <mergeCell ref="I3:L3"/>
    <mergeCell ref="D5:H5"/>
    <mergeCell ref="I5:L5"/>
  </mergeCells>
  <pageMargins left="0.7" right="0.7" top="0.75" bottom="0.75" header="0.3" footer="0.3"/>
  <pageSetup scale="79" orientation="landscape" horizontalDpi="0" verticalDpi="0" r:id="rId1"/>
</worksheet>
</file>

<file path=xl/worksheets/sheet48.xml><?xml version="1.0" encoding="utf-8"?>
<worksheet xmlns="http://schemas.openxmlformats.org/spreadsheetml/2006/main" xmlns:r="http://schemas.openxmlformats.org/officeDocument/2006/relationships">
  <sheetPr codeName="Sheet45"/>
  <dimension ref="A1:M35"/>
  <sheetViews>
    <sheetView view="pageBreakPreview" zoomScale="85" zoomScaleNormal="100" zoomScaleSheetLayoutView="85" workbookViewId="0">
      <pane xSplit="1" ySplit="6" topLeftCell="B7"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10.140625" style="64" customWidth="1"/>
    <col min="2" max="2" width="16.28515625" style="64" customWidth="1"/>
    <col min="3" max="3" width="16" style="64" customWidth="1"/>
    <col min="4" max="4" width="11.85546875" style="64" customWidth="1"/>
    <col min="5" max="5" width="11.5703125" style="64" customWidth="1"/>
    <col min="6" max="6" width="10" style="64" customWidth="1"/>
    <col min="7" max="7" width="12.28515625" style="64" customWidth="1"/>
    <col min="8" max="8" width="11.140625" style="64" customWidth="1"/>
    <col min="9" max="9" width="11.7109375" style="64" customWidth="1"/>
    <col min="10" max="10" width="12.42578125" style="64" customWidth="1"/>
    <col min="11" max="11" width="17.7109375" style="64" bestFit="1" customWidth="1"/>
    <col min="12" max="12" width="14" style="64" customWidth="1"/>
    <col min="13" max="16384" width="9.140625" style="64"/>
  </cols>
  <sheetData>
    <row r="1" spans="1:12" ht="15" customHeight="1">
      <c r="A1" s="227" t="s">
        <v>2171</v>
      </c>
      <c r="B1" s="227"/>
      <c r="C1" s="227"/>
      <c r="D1" s="227"/>
      <c r="E1" s="227"/>
      <c r="F1" s="227"/>
      <c r="G1" s="227"/>
      <c r="H1" s="227"/>
      <c r="I1" s="227"/>
      <c r="J1" s="227"/>
      <c r="K1" s="227"/>
      <c r="L1" s="227"/>
    </row>
    <row r="2" spans="1:12" ht="15" customHeight="1">
      <c r="A2" s="238"/>
      <c r="B2" s="94" t="s">
        <v>37</v>
      </c>
      <c r="C2" s="112" t="s">
        <v>670</v>
      </c>
      <c r="D2" s="112"/>
      <c r="E2" s="112"/>
      <c r="F2" s="112"/>
      <c r="G2" s="112"/>
      <c r="H2" s="112"/>
      <c r="I2" s="112"/>
      <c r="J2" s="112"/>
      <c r="K2" s="112"/>
      <c r="L2" s="112"/>
    </row>
    <row r="3" spans="1:12">
      <c r="A3" s="238"/>
      <c r="B3" s="94"/>
      <c r="C3" s="111" t="s">
        <v>774</v>
      </c>
      <c r="D3" s="111"/>
      <c r="E3" s="111"/>
      <c r="F3" s="111"/>
      <c r="G3" s="111"/>
      <c r="H3" s="111"/>
      <c r="I3" s="111" t="s">
        <v>976</v>
      </c>
      <c r="J3" s="111"/>
      <c r="K3" s="111"/>
      <c r="L3" s="111"/>
    </row>
    <row r="4" spans="1:12" ht="60">
      <c r="A4" s="238"/>
      <c r="B4" s="239" t="s">
        <v>956</v>
      </c>
      <c r="C4" s="239" t="s">
        <v>956</v>
      </c>
      <c r="D4" s="239" t="s">
        <v>967</v>
      </c>
      <c r="E4" s="239" t="s">
        <v>778</v>
      </c>
      <c r="F4" s="239" t="s">
        <v>779</v>
      </c>
      <c r="G4" s="239" t="s">
        <v>777</v>
      </c>
      <c r="H4" s="239" t="s">
        <v>776</v>
      </c>
      <c r="I4" s="72" t="s">
        <v>780</v>
      </c>
      <c r="J4" s="72" t="s">
        <v>781</v>
      </c>
      <c r="K4" s="72" t="s">
        <v>782</v>
      </c>
      <c r="L4" s="72" t="s">
        <v>783</v>
      </c>
    </row>
    <row r="5" spans="1:12" ht="30">
      <c r="A5" s="238"/>
      <c r="B5" s="240" t="s">
        <v>794</v>
      </c>
      <c r="C5" s="240" t="s">
        <v>794</v>
      </c>
      <c r="D5" s="97" t="s">
        <v>971</v>
      </c>
      <c r="E5" s="97"/>
      <c r="F5" s="97"/>
      <c r="G5" s="97"/>
      <c r="H5" s="97"/>
      <c r="I5" s="223" t="s">
        <v>978</v>
      </c>
      <c r="J5" s="224"/>
      <c r="K5" s="224"/>
      <c r="L5" s="225"/>
    </row>
    <row r="6" spans="1:12" ht="34.5">
      <c r="A6" s="238"/>
      <c r="B6" s="73" t="s">
        <v>955</v>
      </c>
      <c r="C6" s="73" t="s">
        <v>974</v>
      </c>
      <c r="D6" s="73" t="s">
        <v>970</v>
      </c>
      <c r="E6" s="73" t="s">
        <v>968</v>
      </c>
      <c r="F6" s="73" t="s">
        <v>969</v>
      </c>
      <c r="G6" s="73" t="s">
        <v>972</v>
      </c>
      <c r="H6" s="73" t="s">
        <v>973</v>
      </c>
      <c r="I6" s="73" t="s">
        <v>979</v>
      </c>
      <c r="J6" s="73" t="s">
        <v>981</v>
      </c>
      <c r="K6" s="73" t="s">
        <v>985</v>
      </c>
      <c r="L6" s="73" t="s">
        <v>982</v>
      </c>
    </row>
    <row r="7" spans="1:12">
      <c r="D7" s="135"/>
    </row>
    <row r="8" spans="1:12">
      <c r="A8" s="109">
        <v>1986</v>
      </c>
      <c r="B8" s="221">
        <f>'7'!F14</f>
        <v>29.553249984288652</v>
      </c>
      <c r="C8" s="221">
        <f>'7'!F29</f>
        <v>24.900578738839375</v>
      </c>
      <c r="D8" s="241">
        <f>'7'!D29/'7'!D14</f>
        <v>1.0126812299339232</v>
      </c>
      <c r="E8" s="241">
        <f>'7'!E29/'7'!E14</f>
        <v>0.37986717408809523</v>
      </c>
      <c r="F8" s="241">
        <f>E8*D8</f>
        <v>0.384684357067056</v>
      </c>
      <c r="G8" s="67">
        <f>C8/B8</f>
        <v>0.84256651136769156</v>
      </c>
      <c r="H8" s="241">
        <f>G8*F8</f>
        <v>0.32412215671171274</v>
      </c>
      <c r="I8" s="242"/>
    </row>
    <row r="9" spans="1:12">
      <c r="A9" s="109">
        <v>1989</v>
      </c>
      <c r="B9" s="221">
        <f>'7'!F15</f>
        <v>30.491081034015572</v>
      </c>
      <c r="C9" s="221">
        <f>'7'!F30</f>
        <v>26.455153915357876</v>
      </c>
      <c r="D9" s="241">
        <f>'7'!D30/'7'!D15</f>
        <v>0.83528097826739833</v>
      </c>
      <c r="E9" s="241">
        <f>'7'!E30/'7'!E15</f>
        <v>0.39046059644712322</v>
      </c>
      <c r="F9" s="241">
        <f>E9*D9</f>
        <v>0.32614430897522489</v>
      </c>
      <c r="G9" s="67">
        <f>C9/B9</f>
        <v>0.86763581408756052</v>
      </c>
      <c r="H9" s="241">
        <f>G9*F9</f>
        <v>0.28297448302774414</v>
      </c>
      <c r="I9" s="242"/>
    </row>
    <row r="10" spans="1:12">
      <c r="A10" s="109">
        <v>2000</v>
      </c>
      <c r="B10" s="221">
        <f>'7'!F16</f>
        <v>37.543822228432624</v>
      </c>
      <c r="C10" s="221">
        <f>'7'!F31</f>
        <v>31.184155870341776</v>
      </c>
      <c r="D10" s="241">
        <f>'7'!D31/'7'!D16</f>
        <v>1.0594653920867736</v>
      </c>
      <c r="E10" s="241">
        <f>'7'!E31/'7'!E16</f>
        <v>0.46442636399853243</v>
      </c>
      <c r="F10" s="241">
        <f>E10*D10</f>
        <v>0.49204365982913978</v>
      </c>
      <c r="G10" s="67">
        <f>C10/B10</f>
        <v>0.83060684872744373</v>
      </c>
      <c r="H10" s="241">
        <f>G10*F10</f>
        <v>0.40869483372700011</v>
      </c>
      <c r="I10" s="242"/>
    </row>
    <row r="11" spans="1:12">
      <c r="A11" s="109">
        <v>2004</v>
      </c>
      <c r="B11" s="221">
        <f>'7'!F17</f>
        <v>43.733631538083671</v>
      </c>
      <c r="C11" s="221">
        <f>'7'!F32</f>
        <v>39.263938772799506</v>
      </c>
      <c r="D11" s="241">
        <f>'7'!D32/'7'!D17</f>
        <v>1.2269501846885797</v>
      </c>
      <c r="E11" s="241">
        <f>'7'!E32/'7'!E17</f>
        <v>0.44732989161358366</v>
      </c>
      <c r="F11" s="241">
        <f>E11*D11</f>
        <v>0.54885149313200887</v>
      </c>
      <c r="G11" s="67">
        <f>C11/B11</f>
        <v>0.89779735622019152</v>
      </c>
      <c r="H11" s="241">
        <f>G11*F11</f>
        <v>0.49275741949142216</v>
      </c>
      <c r="I11" s="242"/>
    </row>
    <row r="12" spans="1:12">
      <c r="A12" s="109">
        <v>2008</v>
      </c>
      <c r="B12" s="221">
        <f>'7'!F18</f>
        <v>49.487754628490265</v>
      </c>
      <c r="C12" s="221">
        <f>'7'!F33</f>
        <v>47.462387826981235</v>
      </c>
      <c r="D12" s="241">
        <f>'7'!D33/'7'!D18</f>
        <v>0.9466681431758408</v>
      </c>
      <c r="E12" s="241">
        <f>'7'!E33/'7'!E18</f>
        <v>0.42390384646936258</v>
      </c>
      <c r="F12" s="241">
        <f t="shared" ref="F12" si="0">E12*D12</f>
        <v>0.40129626722224815</v>
      </c>
      <c r="G12" s="67">
        <f t="shared" ref="G12" si="1">C12/B12</f>
        <v>0.95907337447993612</v>
      </c>
      <c r="H12" s="241">
        <f t="shared" ref="H12" si="2">G12*F12</f>
        <v>0.38487256517104373</v>
      </c>
      <c r="I12" s="242"/>
    </row>
    <row r="13" spans="1:12">
      <c r="B13" s="221"/>
      <c r="C13" s="221"/>
      <c r="D13" s="241"/>
      <c r="E13" s="241"/>
      <c r="F13" s="241"/>
      <c r="G13" s="67"/>
      <c r="H13" s="241"/>
    </row>
    <row r="14" spans="1:12">
      <c r="B14" s="111" t="s">
        <v>975</v>
      </c>
      <c r="C14" s="111"/>
      <c r="D14" s="111"/>
      <c r="E14" s="111"/>
      <c r="F14" s="111"/>
      <c r="G14" s="111"/>
      <c r="H14" s="111"/>
      <c r="I14" s="111"/>
      <c r="J14" s="111"/>
      <c r="K14" s="111"/>
      <c r="L14" s="111"/>
    </row>
    <row r="15" spans="1:12">
      <c r="B15" s="107" t="s">
        <v>784</v>
      </c>
      <c r="C15" s="107"/>
      <c r="D15" s="107"/>
      <c r="E15" s="107"/>
      <c r="F15" s="243" t="s">
        <v>977</v>
      </c>
      <c r="G15" s="107" t="s">
        <v>784</v>
      </c>
      <c r="H15" s="107"/>
      <c r="I15" s="107" t="s">
        <v>795</v>
      </c>
      <c r="J15" s="107"/>
      <c r="K15" s="107"/>
      <c r="L15" s="107"/>
    </row>
    <row r="16" spans="1:12">
      <c r="A16" s="145" t="s">
        <v>803</v>
      </c>
      <c r="B16" s="67">
        <f>(B11/B8-1)</f>
        <v>0.47982477600039641</v>
      </c>
      <c r="C16" s="67">
        <f>(C11/C8-1)</f>
        <v>0.57682836148528871</v>
      </c>
      <c r="D16" s="67">
        <f>(D11/D8-1)*100</f>
        <v>21.158578674222838</v>
      </c>
      <c r="E16" s="67">
        <f>(E11/E8-1)*100</f>
        <v>17.759554425158907</v>
      </c>
      <c r="F16" s="241">
        <f>F11-F8</f>
        <v>0.16416713606495287</v>
      </c>
      <c r="G16" s="67">
        <f>(G11/G8-1)*100</f>
        <v>6.5550724016845585</v>
      </c>
      <c r="H16" s="67">
        <f>(H11/H8-1)*100</f>
        <v>52.028304541272185</v>
      </c>
      <c r="I16" s="67">
        <f>H8*C16</f>
        <v>0.18696285257709525</v>
      </c>
      <c r="J16" s="67">
        <f>G8*F16</f>
        <v>0.13832173111547247</v>
      </c>
      <c r="K16" s="67">
        <f>F16*G8*C16</f>
        <v>7.9787897517146655E-2</v>
      </c>
      <c r="L16" s="67">
        <f>SUM(I16:K16)</f>
        <v>0.4050724812097144</v>
      </c>
    </row>
    <row r="17" spans="1:13">
      <c r="A17" s="145" t="s">
        <v>796</v>
      </c>
      <c r="B17" s="67">
        <f t="shared" ref="B17:C20" si="3">(B9/B8-1)</f>
        <v>3.1733601219002816E-2</v>
      </c>
      <c r="C17" s="67">
        <f t="shared" si="3"/>
        <v>6.2431286952126408E-2</v>
      </c>
      <c r="D17" s="67">
        <f t="shared" ref="D17:E20" si="4">(D9/D8-1)*100</f>
        <v>-17.517876941206868</v>
      </c>
      <c r="E17" s="67">
        <f t="shared" si="4"/>
        <v>2.7887174995992803</v>
      </c>
      <c r="F17" s="241">
        <f>F9-F8</f>
        <v>-5.8540048091831109E-2</v>
      </c>
      <c r="G17" s="67">
        <f t="shared" ref="G17:H20" si="5">(G9/G8-1)*100</f>
        <v>2.9753500028354196</v>
      </c>
      <c r="H17" s="67">
        <f t="shared" si="5"/>
        <v>-12.695112886271144</v>
      </c>
      <c r="I17" s="67">
        <f>H8*C17</f>
        <v>2.0235363373211024E-2</v>
      </c>
      <c r="J17" s="67">
        <f>G8*F17</f>
        <v>-4.9323884096031029E-2</v>
      </c>
      <c r="K17" s="67">
        <f>H8*F17*C17</f>
        <v>-1.184579145023451E-3</v>
      </c>
      <c r="L17" s="67">
        <f>SUM(I17:K17)</f>
        <v>-3.0273099867843455E-2</v>
      </c>
      <c r="M17" s="67"/>
    </row>
    <row r="18" spans="1:13">
      <c r="A18" s="145" t="s">
        <v>26</v>
      </c>
      <c r="B18" s="67">
        <f t="shared" si="3"/>
        <v>0.2313050556177092</v>
      </c>
      <c r="C18" s="67">
        <f t="shared" si="3"/>
        <v>0.17875541265471884</v>
      </c>
      <c r="D18" s="67">
        <f t="shared" si="4"/>
        <v>26.83940130953242</v>
      </c>
      <c r="E18" s="67">
        <f t="shared" si="4"/>
        <v>18.94320918024459</v>
      </c>
      <c r="F18" s="241">
        <f>F10-F9</f>
        <v>0.16589935085391488</v>
      </c>
      <c r="G18" s="67">
        <f t="shared" si="5"/>
        <v>-4.2678004709911459</v>
      </c>
      <c r="H18" s="67">
        <f t="shared" si="5"/>
        <v>44.428158098951201</v>
      </c>
      <c r="I18" s="67">
        <f>H9*C18</f>
        <v>5.0583220484380138E-2</v>
      </c>
      <c r="J18" s="67">
        <f>G9*F18</f>
        <v>0.14394021833473428</v>
      </c>
      <c r="K18" s="67">
        <f>H9*F18*C18</f>
        <v>8.3917234424591147E-3</v>
      </c>
      <c r="L18" s="67">
        <f>SUM(I18:K18)</f>
        <v>0.20291516226157352</v>
      </c>
    </row>
    <row r="19" spans="1:13">
      <c r="A19" s="145" t="s">
        <v>662</v>
      </c>
      <c r="B19" s="67">
        <f t="shared" si="3"/>
        <v>0.16486891696827266</v>
      </c>
      <c r="C19" s="67">
        <f t="shared" si="3"/>
        <v>0.25909897757220191</v>
      </c>
      <c r="D19" s="67">
        <f t="shared" si="4"/>
        <v>15.808425065392662</v>
      </c>
      <c r="E19" s="67">
        <f t="shared" si="4"/>
        <v>-3.6812019536864193</v>
      </c>
      <c r="F19" s="241">
        <f>F11-F10</f>
        <v>5.6807833302869093E-2</v>
      </c>
      <c r="G19" s="67">
        <f t="shared" si="5"/>
        <v>8.0893274111198288</v>
      </c>
      <c r="H19" s="67">
        <f t="shared" si="5"/>
        <v>20.568546217683338</v>
      </c>
      <c r="I19" s="67">
        <f>H10*C19</f>
        <v>0.10589241355770679</v>
      </c>
      <c r="J19" s="67">
        <f>G10*F19</f>
        <v>4.7184975402730027E-2</v>
      </c>
      <c r="K19" s="67">
        <f>H10*F19*C19</f>
        <v>6.0155185774246828E-3</v>
      </c>
      <c r="L19" s="67">
        <f>SUM(I19:K19)</f>
        <v>0.15909290753786151</v>
      </c>
    </row>
    <row r="20" spans="1:13">
      <c r="A20" s="145" t="s">
        <v>2176</v>
      </c>
      <c r="B20" s="67">
        <f t="shared" si="3"/>
        <v>0.13157203936736539</v>
      </c>
      <c r="C20" s="67">
        <f t="shared" si="3"/>
        <v>0.20880353093514104</v>
      </c>
      <c r="D20" s="67">
        <f t="shared" si="4"/>
        <v>-22.84379961064834</v>
      </c>
      <c r="E20" s="67">
        <f t="shared" si="4"/>
        <v>-5.2368611137789012</v>
      </c>
      <c r="F20" s="241">
        <f>F12-F11</f>
        <v>-0.14755522590976072</v>
      </c>
      <c r="G20" s="67">
        <f t="shared" si="5"/>
        <v>6.8251502229547789</v>
      </c>
      <c r="H20" s="67">
        <f t="shared" si="5"/>
        <v>-21.894110581171368</v>
      </c>
      <c r="I20" s="67">
        <f>H11*C20</f>
        <v>0.10288948908429743</v>
      </c>
      <c r="J20" s="67">
        <f>G11*F20</f>
        <v>-0.13247469171825629</v>
      </c>
      <c r="K20" s="67">
        <f>H11*F20*C20</f>
        <v>-1.5181881805573366E-2</v>
      </c>
      <c r="L20" s="67">
        <f>SUM(I20:K20)</f>
        <v>-4.4767084439532229E-2</v>
      </c>
    </row>
    <row r="21" spans="1:13">
      <c r="A21" s="21"/>
      <c r="B21" s="246"/>
      <c r="C21" s="246"/>
      <c r="D21" s="247"/>
      <c r="E21" s="247"/>
      <c r="F21" s="241"/>
      <c r="G21" s="67"/>
      <c r="H21" s="67"/>
      <c r="I21" s="248" t="s">
        <v>984</v>
      </c>
      <c r="J21" s="249"/>
      <c r="K21" s="249"/>
      <c r="L21" s="250"/>
    </row>
    <row r="22" spans="1:13">
      <c r="A22" s="70"/>
      <c r="B22" s="251"/>
      <c r="C22" s="251"/>
      <c r="D22" s="252"/>
      <c r="E22" s="252"/>
      <c r="F22" s="241"/>
      <c r="G22" s="67"/>
      <c r="H22" s="67"/>
      <c r="I22" s="253" t="s">
        <v>784</v>
      </c>
      <c r="J22" s="254"/>
      <c r="K22" s="254"/>
      <c r="L22" s="255"/>
    </row>
    <row r="23" spans="1:13">
      <c r="A23" s="21"/>
      <c r="B23" s="244"/>
      <c r="C23" s="244"/>
      <c r="D23" s="65"/>
      <c r="E23" s="65"/>
      <c r="F23" s="241"/>
      <c r="G23" s="67"/>
      <c r="H23" s="145" t="s">
        <v>803</v>
      </c>
      <c r="I23" s="67">
        <f t="shared" ref="I23:L27" si="6">I16/$B16*100</f>
        <v>38.964818393817325</v>
      </c>
      <c r="J23" s="67">
        <f t="shared" si="6"/>
        <v>28.827550813123953</v>
      </c>
      <c r="K23" s="67">
        <f t="shared" si="6"/>
        <v>16.628548901168191</v>
      </c>
      <c r="L23" s="67">
        <f t="shared" si="6"/>
        <v>84.420918108109475</v>
      </c>
    </row>
    <row r="24" spans="1:13">
      <c r="B24" s="252"/>
      <c r="C24" s="252"/>
      <c r="D24" s="67"/>
      <c r="E24" s="67"/>
      <c r="F24" s="241"/>
      <c r="G24" s="67"/>
      <c r="H24" s="145" t="s">
        <v>796</v>
      </c>
      <c r="I24" s="67">
        <f t="shared" si="6"/>
        <v>63.766363084860409</v>
      </c>
      <c r="J24" s="67">
        <f t="shared" si="6"/>
        <v>-155.43109575125922</v>
      </c>
      <c r="K24" s="67">
        <f t="shared" si="6"/>
        <v>-3.7328859616288916</v>
      </c>
      <c r="L24" s="67">
        <f t="shared" si="6"/>
        <v>-95.397618628027686</v>
      </c>
    </row>
    <row r="25" spans="1:13">
      <c r="B25" s="252"/>
      <c r="C25" s="252"/>
      <c r="D25" s="67"/>
      <c r="E25" s="67"/>
      <c r="F25" s="241"/>
      <c r="G25" s="67"/>
      <c r="H25" s="145" t="s">
        <v>26</v>
      </c>
      <c r="I25" s="67">
        <f t="shared" si="6"/>
        <v>21.868618629755268</v>
      </c>
      <c r="J25" s="67">
        <f t="shared" si="6"/>
        <v>62.229603218285177</v>
      </c>
      <c r="K25" s="67">
        <f t="shared" si="6"/>
        <v>3.6279896347482286</v>
      </c>
      <c r="L25" s="67">
        <f t="shared" si="6"/>
        <v>87.726211482788656</v>
      </c>
    </row>
    <row r="26" spans="1:13">
      <c r="B26" s="252"/>
      <c r="C26" s="252"/>
      <c r="D26" s="67"/>
      <c r="E26" s="67"/>
      <c r="F26" s="241"/>
      <c r="G26" s="67"/>
      <c r="H26" s="145" t="s">
        <v>662</v>
      </c>
      <c r="I26" s="67">
        <f t="shared" si="6"/>
        <v>64.228245993806524</v>
      </c>
      <c r="J26" s="67">
        <f t="shared" si="6"/>
        <v>28.619691492126613</v>
      </c>
      <c r="K26" s="67">
        <f t="shared" si="6"/>
        <v>3.6486674917518309</v>
      </c>
      <c r="L26" s="67">
        <f t="shared" si="6"/>
        <v>96.496604977684967</v>
      </c>
    </row>
    <row r="27" spans="1:13">
      <c r="B27" s="252"/>
      <c r="C27" s="252"/>
      <c r="D27" s="67"/>
      <c r="E27" s="67"/>
      <c r="F27" s="241"/>
      <c r="G27" s="67"/>
      <c r="H27" s="145" t="s">
        <v>2176</v>
      </c>
      <c r="I27" s="67">
        <f t="shared" si="6"/>
        <v>78.200117273410399</v>
      </c>
      <c r="J27" s="67">
        <f t="shared" si="6"/>
        <v>-100.68605180495118</v>
      </c>
      <c r="K27" s="67">
        <f t="shared" si="6"/>
        <v>-11.538835970447852</v>
      </c>
      <c r="L27" s="67">
        <f t="shared" si="6"/>
        <v>-34.024770501988648</v>
      </c>
    </row>
    <row r="28" spans="1:13">
      <c r="B28" s="252"/>
      <c r="C28" s="252"/>
      <c r="D28" s="67"/>
      <c r="E28" s="67"/>
      <c r="F28" s="241"/>
      <c r="G28" s="67"/>
      <c r="H28" s="145"/>
      <c r="I28" s="67"/>
      <c r="J28" s="67"/>
      <c r="K28" s="67"/>
      <c r="L28" s="67"/>
    </row>
    <row r="29" spans="1:13">
      <c r="A29" s="137" t="s">
        <v>983</v>
      </c>
      <c r="B29" s="137"/>
      <c r="C29" s="137"/>
      <c r="D29" s="137"/>
      <c r="E29" s="137"/>
      <c r="F29" s="137"/>
      <c r="G29" s="137"/>
      <c r="H29" s="137"/>
      <c r="I29" s="137"/>
      <c r="J29" s="137"/>
      <c r="K29" s="137"/>
      <c r="L29" s="137"/>
    </row>
    <row r="30" spans="1:13">
      <c r="A30" s="256" t="s">
        <v>193</v>
      </c>
      <c r="B30" s="256"/>
      <c r="C30" s="256"/>
      <c r="D30" s="256"/>
      <c r="E30" s="256"/>
      <c r="F30" s="256"/>
      <c r="G30" s="256"/>
      <c r="H30" s="256"/>
      <c r="I30" s="256"/>
      <c r="J30" s="256"/>
      <c r="K30" s="256"/>
      <c r="L30" s="256"/>
    </row>
    <row r="31" spans="1:13" ht="18.75">
      <c r="A31" s="137" t="s">
        <v>980</v>
      </c>
      <c r="B31" s="137"/>
      <c r="C31" s="137"/>
      <c r="D31" s="137"/>
      <c r="E31" s="137"/>
      <c r="F31" s="137"/>
      <c r="G31" s="137"/>
      <c r="H31" s="137"/>
      <c r="I31" s="137"/>
      <c r="J31" s="137"/>
      <c r="K31" s="137"/>
      <c r="L31" s="137"/>
    </row>
    <row r="32" spans="1:13">
      <c r="I32" s="65"/>
      <c r="J32" s="65"/>
      <c r="K32" s="65"/>
      <c r="L32" s="65"/>
      <c r="M32" s="65"/>
    </row>
    <row r="33" spans="9:12">
      <c r="I33" s="65"/>
      <c r="J33" s="65"/>
      <c r="K33" s="65"/>
      <c r="L33" s="65"/>
    </row>
    <row r="34" spans="9:12">
      <c r="I34" s="65"/>
      <c r="J34" s="65"/>
      <c r="K34" s="65"/>
      <c r="L34" s="65"/>
    </row>
    <row r="35" spans="9:12">
      <c r="I35" s="65"/>
      <c r="J35" s="65"/>
      <c r="K35" s="65"/>
      <c r="L35" s="65"/>
    </row>
  </sheetData>
  <mergeCells count="19">
    <mergeCell ref="B22:C22"/>
    <mergeCell ref="I22:L22"/>
    <mergeCell ref="A30:L30"/>
    <mergeCell ref="A31:L31"/>
    <mergeCell ref="A29:L29"/>
    <mergeCell ref="B14:L14"/>
    <mergeCell ref="B15:E15"/>
    <mergeCell ref="G15:H15"/>
    <mergeCell ref="I15:L15"/>
    <mergeCell ref="B21:C21"/>
    <mergeCell ref="I21:L21"/>
    <mergeCell ref="A1:L1"/>
    <mergeCell ref="A2:A6"/>
    <mergeCell ref="B2:B3"/>
    <mergeCell ref="C2:L2"/>
    <mergeCell ref="C3:H3"/>
    <mergeCell ref="I3:L3"/>
    <mergeCell ref="D5:H5"/>
    <mergeCell ref="I5:L5"/>
  </mergeCells>
  <pageMargins left="0.7" right="0.7" top="0.75" bottom="0.75" header="0.3" footer="0.3"/>
  <pageSetup scale="79" orientation="landscape" horizontalDpi="0" verticalDpi="0" r:id="rId1"/>
</worksheet>
</file>

<file path=xl/worksheets/sheet49.xml><?xml version="1.0" encoding="utf-8"?>
<worksheet xmlns="http://schemas.openxmlformats.org/spreadsheetml/2006/main" xmlns:r="http://schemas.openxmlformats.org/officeDocument/2006/relationships">
  <sheetPr codeName="Sheet46"/>
  <dimension ref="A1:M36"/>
  <sheetViews>
    <sheetView view="pageBreakPreview" zoomScale="85" zoomScaleNormal="100" zoomScaleSheetLayoutView="85" workbookViewId="0">
      <pane xSplit="1" ySplit="6" topLeftCell="B7"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10.140625" style="64" customWidth="1"/>
    <col min="2" max="2" width="16.28515625" style="64" customWidth="1"/>
    <col min="3" max="3" width="16" style="64" customWidth="1"/>
    <col min="4" max="4" width="11.85546875" style="64" customWidth="1"/>
    <col min="5" max="5" width="11.5703125" style="64" customWidth="1"/>
    <col min="6" max="6" width="10" style="64" customWidth="1"/>
    <col min="7" max="7" width="12.28515625" style="64" customWidth="1"/>
    <col min="8" max="8" width="11.140625" style="64" customWidth="1"/>
    <col min="9" max="9" width="11.7109375" style="64" customWidth="1"/>
    <col min="10" max="10" width="12.42578125" style="64" customWidth="1"/>
    <col min="11" max="11" width="17.7109375" style="64" bestFit="1" customWidth="1"/>
    <col min="12" max="12" width="14" style="64" customWidth="1"/>
    <col min="13" max="16384" width="9.140625" style="64"/>
  </cols>
  <sheetData>
    <row r="1" spans="1:12" ht="15" customHeight="1">
      <c r="A1" s="227" t="s">
        <v>2172</v>
      </c>
      <c r="B1" s="227"/>
      <c r="C1" s="227"/>
      <c r="D1" s="227"/>
      <c r="E1" s="227"/>
      <c r="F1" s="227"/>
      <c r="G1" s="227"/>
      <c r="H1" s="227"/>
      <c r="I1" s="227"/>
      <c r="J1" s="227"/>
      <c r="K1" s="227"/>
      <c r="L1" s="227"/>
    </row>
    <row r="2" spans="1:12" ht="15" customHeight="1">
      <c r="A2" s="238"/>
      <c r="B2" s="94" t="s">
        <v>37</v>
      </c>
      <c r="C2" s="112" t="s">
        <v>671</v>
      </c>
      <c r="D2" s="112"/>
      <c r="E2" s="112"/>
      <c r="F2" s="112"/>
      <c r="G2" s="112"/>
      <c r="H2" s="112"/>
      <c r="I2" s="112"/>
      <c r="J2" s="112"/>
      <c r="K2" s="112"/>
      <c r="L2" s="112"/>
    </row>
    <row r="3" spans="1:12">
      <c r="A3" s="238"/>
      <c r="B3" s="94"/>
      <c r="C3" s="111" t="s">
        <v>774</v>
      </c>
      <c r="D3" s="111"/>
      <c r="E3" s="111"/>
      <c r="F3" s="111"/>
      <c r="G3" s="111"/>
      <c r="H3" s="111"/>
      <c r="I3" s="111" t="s">
        <v>976</v>
      </c>
      <c r="J3" s="111"/>
      <c r="K3" s="111"/>
      <c r="L3" s="111"/>
    </row>
    <row r="4" spans="1:12" ht="60">
      <c r="A4" s="238"/>
      <c r="B4" s="239" t="s">
        <v>956</v>
      </c>
      <c r="C4" s="239" t="s">
        <v>956</v>
      </c>
      <c r="D4" s="239" t="s">
        <v>967</v>
      </c>
      <c r="E4" s="239" t="s">
        <v>778</v>
      </c>
      <c r="F4" s="239" t="s">
        <v>779</v>
      </c>
      <c r="G4" s="239" t="s">
        <v>777</v>
      </c>
      <c r="H4" s="239" t="s">
        <v>776</v>
      </c>
      <c r="I4" s="72" t="s">
        <v>780</v>
      </c>
      <c r="J4" s="72" t="s">
        <v>781</v>
      </c>
      <c r="K4" s="72" t="s">
        <v>782</v>
      </c>
      <c r="L4" s="72" t="s">
        <v>783</v>
      </c>
    </row>
    <row r="5" spans="1:12" ht="30">
      <c r="A5" s="238"/>
      <c r="B5" s="240" t="s">
        <v>794</v>
      </c>
      <c r="C5" s="240" t="s">
        <v>794</v>
      </c>
      <c r="D5" s="97" t="s">
        <v>971</v>
      </c>
      <c r="E5" s="97"/>
      <c r="F5" s="97"/>
      <c r="G5" s="97"/>
      <c r="H5" s="97"/>
      <c r="I5" s="223" t="s">
        <v>978</v>
      </c>
      <c r="J5" s="224"/>
      <c r="K5" s="224"/>
      <c r="L5" s="225"/>
    </row>
    <row r="6" spans="1:12" ht="34.5">
      <c r="A6" s="238"/>
      <c r="B6" s="73" t="s">
        <v>955</v>
      </c>
      <c r="C6" s="73" t="s">
        <v>974</v>
      </c>
      <c r="D6" s="73" t="s">
        <v>970</v>
      </c>
      <c r="E6" s="73" t="s">
        <v>968</v>
      </c>
      <c r="F6" s="73" t="s">
        <v>969</v>
      </c>
      <c r="G6" s="73" t="s">
        <v>972</v>
      </c>
      <c r="H6" s="73" t="s">
        <v>973</v>
      </c>
      <c r="I6" s="73" t="s">
        <v>979</v>
      </c>
      <c r="J6" s="73" t="s">
        <v>981</v>
      </c>
      <c r="K6" s="73" t="s">
        <v>985</v>
      </c>
      <c r="L6" s="73" t="s">
        <v>982</v>
      </c>
    </row>
    <row r="7" spans="1:12">
      <c r="D7" s="135"/>
    </row>
    <row r="8" spans="1:12">
      <c r="A8" s="109">
        <v>1986</v>
      </c>
      <c r="B8" s="221">
        <f>'7'!F14</f>
        <v>29.553249984288652</v>
      </c>
      <c r="C8" s="221">
        <f>'7'!F37</f>
        <v>34.428898956486051</v>
      </c>
      <c r="D8" s="241">
        <f>'7'!D37/'7'!D14</f>
        <v>1.1340711351854786</v>
      </c>
      <c r="E8" s="241">
        <f>'7'!E37/'7'!E14</f>
        <v>0.39061412444503818</v>
      </c>
      <c r="F8" s="241">
        <f>E8*D8</f>
        <v>0.44298420352886625</v>
      </c>
      <c r="G8" s="67">
        <f>C8/B8</f>
        <v>1.1649784363746605</v>
      </c>
      <c r="H8" s="241">
        <f>G8*F8</f>
        <v>0.51606704476573295</v>
      </c>
      <c r="I8" s="242"/>
    </row>
    <row r="9" spans="1:12">
      <c r="A9" s="109">
        <v>1989</v>
      </c>
      <c r="B9" s="221">
        <f>'7'!F15</f>
        <v>30.491081034015572</v>
      </c>
      <c r="C9" s="221">
        <f>'7'!F38</f>
        <v>33.781029335198291</v>
      </c>
      <c r="D9" s="241">
        <f>'7'!D38/'7'!D15</f>
        <v>1.2587081499078878</v>
      </c>
      <c r="E9" s="241">
        <f>'7'!E38/'7'!E15</f>
        <v>0.38142992099326523</v>
      </c>
      <c r="F9" s="241">
        <f>E9*D9</f>
        <v>0.48010895017294469</v>
      </c>
      <c r="G9" s="67">
        <f>C9/B9</f>
        <v>1.1078987097083399</v>
      </c>
      <c r="H9" s="241">
        <f>G9*F9</f>
        <v>0.53191208641603105</v>
      </c>
      <c r="I9" s="242"/>
    </row>
    <row r="10" spans="1:12">
      <c r="A10" s="109">
        <v>2000</v>
      </c>
      <c r="B10" s="221">
        <f>'7'!F16</f>
        <v>37.543822228432624</v>
      </c>
      <c r="C10" s="221">
        <f>'7'!F39</f>
        <v>49.599289947007065</v>
      </c>
      <c r="D10" s="241">
        <f>'7'!D39/'7'!D16</f>
        <v>1.0500769569808039</v>
      </c>
      <c r="E10" s="241">
        <f>'7'!E39/'7'!E16</f>
        <v>0.32562123757800404</v>
      </c>
      <c r="F10" s="241">
        <f>E10*D10</f>
        <v>0.34192735828423387</v>
      </c>
      <c r="G10" s="67">
        <f>C10/B10</f>
        <v>1.3211038994704332</v>
      </c>
      <c r="H10" s="241">
        <f>G10*F10</f>
        <v>0.45172156636492528</v>
      </c>
      <c r="I10" s="242"/>
    </row>
    <row r="11" spans="1:12">
      <c r="A11" s="109">
        <v>2004</v>
      </c>
      <c r="B11" s="221">
        <f>'7'!F17</f>
        <v>43.733631538083671</v>
      </c>
      <c r="C11" s="221">
        <f>'7'!F40</f>
        <v>51.045740077324879</v>
      </c>
      <c r="D11" s="241">
        <f>'7'!D40/'7'!D17</f>
        <v>0.87292659327188982</v>
      </c>
      <c r="E11" s="241">
        <f>'7'!E40/'7'!E17</f>
        <v>0.34893903437556378</v>
      </c>
      <c r="F11" s="241">
        <f>E11*D11</f>
        <v>0.30459816253704375</v>
      </c>
      <c r="G11" s="67">
        <f>C11/B11</f>
        <v>1.1671964637300645</v>
      </c>
      <c r="H11" s="241">
        <f>G11*F11</f>
        <v>0.35552589817191288</v>
      </c>
      <c r="I11" s="242"/>
    </row>
    <row r="12" spans="1:12">
      <c r="A12" s="109">
        <v>2008</v>
      </c>
      <c r="B12" s="221">
        <f>'7'!F18</f>
        <v>49.487754628490265</v>
      </c>
      <c r="C12" s="221">
        <f>'7'!F41</f>
        <v>50.583657587548636</v>
      </c>
      <c r="D12" s="241">
        <f>'7'!D41/'7'!D18</f>
        <v>1.0507275261805742</v>
      </c>
      <c r="E12" s="241">
        <f>'7'!E41/'7'!E18</f>
        <v>0.39756147296033528</v>
      </c>
      <c r="F12" s="241">
        <f>E12*D12</f>
        <v>0.41772878298831834</v>
      </c>
      <c r="G12" s="67">
        <f>C12/B12</f>
        <v>1.0221449319591367</v>
      </c>
      <c r="H12" s="241">
        <f>G12*F12</f>
        <v>0.42697935846496765</v>
      </c>
      <c r="I12" s="242"/>
    </row>
    <row r="14" spans="1:12">
      <c r="B14" s="111" t="s">
        <v>975</v>
      </c>
      <c r="C14" s="111"/>
      <c r="D14" s="111"/>
      <c r="E14" s="111"/>
      <c r="F14" s="111"/>
      <c r="G14" s="111"/>
      <c r="H14" s="111"/>
      <c r="I14" s="111"/>
      <c r="J14" s="111"/>
      <c r="K14" s="111"/>
      <c r="L14" s="111"/>
    </row>
    <row r="15" spans="1:12">
      <c r="B15" s="107" t="s">
        <v>784</v>
      </c>
      <c r="C15" s="107"/>
      <c r="D15" s="107"/>
      <c r="E15" s="107"/>
      <c r="F15" s="243" t="s">
        <v>977</v>
      </c>
      <c r="G15" s="107" t="s">
        <v>784</v>
      </c>
      <c r="H15" s="107"/>
      <c r="I15" s="107" t="s">
        <v>795</v>
      </c>
      <c r="J15" s="107"/>
      <c r="K15" s="107"/>
      <c r="L15" s="107"/>
    </row>
    <row r="16" spans="1:12">
      <c r="A16" s="145" t="s">
        <v>803</v>
      </c>
      <c r="B16" s="67">
        <f>(B11/B8-1)</f>
        <v>0.47982477600039641</v>
      </c>
      <c r="C16" s="67">
        <f>(C11/C8-1)</f>
        <v>0.48264224603408024</v>
      </c>
      <c r="D16" s="67">
        <f>(D11/D8-1)*100</f>
        <v>-23.027174734579447</v>
      </c>
      <c r="E16" s="67">
        <f>(E11/E8-1)*100</f>
        <v>-10.66912010124671</v>
      </c>
      <c r="F16" s="241">
        <f>F11-F8</f>
        <v>-0.1383860409918225</v>
      </c>
      <c r="G16" s="67">
        <f>(G11/G8-1)*100</f>
        <v>0.19039213827050094</v>
      </c>
      <c r="H16" s="67">
        <f>(H11/H8-1)*100</f>
        <v>-31.108583317250428</v>
      </c>
      <c r="I16" s="67">
        <f>H8*C16</f>
        <v>0.24907575758990358</v>
      </c>
      <c r="J16" s="67">
        <f>G8*F16</f>
        <v>-0.16121675365073304</v>
      </c>
      <c r="K16" s="67">
        <f>F16*G8*C16</f>
        <v>-7.7810016080312794E-2</v>
      </c>
      <c r="L16" s="67">
        <f>SUM(I16:K16)</f>
        <v>1.0048987858857744E-2</v>
      </c>
    </row>
    <row r="17" spans="1:13">
      <c r="A17" s="145" t="s">
        <v>796</v>
      </c>
      <c r="B17" s="67">
        <f t="shared" ref="B17:C20" si="0">(B9/B8-1)</f>
        <v>3.1733601219002816E-2</v>
      </c>
      <c r="C17" s="67">
        <f t="shared" si="0"/>
        <v>-1.8817610813130825E-2</v>
      </c>
      <c r="D17" s="67">
        <f t="shared" ref="D17:E20" si="1">(D9/D8-1)*100</f>
        <v>10.990228994940843</v>
      </c>
      <c r="E17" s="67">
        <f t="shared" si="1"/>
        <v>-2.3512215450020801</v>
      </c>
      <c r="F17" s="241">
        <f>F9-F8</f>
        <v>3.7124746644078443E-2</v>
      </c>
      <c r="G17" s="67">
        <f t="shared" ref="G17:H20" si="2">(G9/G8-1)*100</f>
        <v>-4.899638043425858</v>
      </c>
      <c r="H17" s="67">
        <f t="shared" si="2"/>
        <v>3.0703455706013738</v>
      </c>
      <c r="I17" s="67">
        <f>H8*C17</f>
        <v>-9.7111488018841261E-3</v>
      </c>
      <c r="J17" s="67">
        <f>G8*F17</f>
        <v>4.3249529296223929E-2</v>
      </c>
      <c r="K17" s="67">
        <f>H8*F17*C17</f>
        <v>-3.6052393889289411E-4</v>
      </c>
      <c r="L17" s="67">
        <f>SUM(I17:K17)</f>
        <v>3.3177856555446909E-2</v>
      </c>
      <c r="M17" s="67"/>
    </row>
    <row r="18" spans="1:13">
      <c r="A18" s="145" t="s">
        <v>26</v>
      </c>
      <c r="B18" s="67">
        <f t="shared" si="0"/>
        <v>0.2313050556177092</v>
      </c>
      <c r="C18" s="67">
        <f t="shared" si="0"/>
        <v>0.46825869202649995</v>
      </c>
      <c r="D18" s="67">
        <f t="shared" si="1"/>
        <v>-16.575025190895243</v>
      </c>
      <c r="E18" s="67">
        <f t="shared" si="1"/>
        <v>-14.631438265234198</v>
      </c>
      <c r="F18" s="241">
        <f>F10-F9</f>
        <v>-0.13818159188871082</v>
      </c>
      <c r="G18" s="67">
        <f t="shared" si="2"/>
        <v>19.24410488917534</v>
      </c>
      <c r="H18" s="67">
        <f t="shared" si="2"/>
        <v>-15.075897333226862</v>
      </c>
      <c r="I18" s="67">
        <f>H9*C18</f>
        <v>0.2490724578582573</v>
      </c>
      <c r="J18" s="67">
        <f>G9*F18</f>
        <v>-0.15309120735894713</v>
      </c>
      <c r="K18" s="67">
        <f>H9*F18*C18</f>
        <v>-3.4417228722487835E-2</v>
      </c>
      <c r="L18" s="67">
        <f>SUM(I18:K18)</f>
        <v>6.1564021776822332E-2</v>
      </c>
    </row>
    <row r="19" spans="1:13">
      <c r="A19" s="145" t="s">
        <v>662</v>
      </c>
      <c r="B19" s="67">
        <f t="shared" si="0"/>
        <v>0.16486891696827266</v>
      </c>
      <c r="C19" s="67">
        <f t="shared" si="0"/>
        <v>2.916271849583385E-2</v>
      </c>
      <c r="D19" s="67">
        <f t="shared" si="1"/>
        <v>-16.870226751595364</v>
      </c>
      <c r="E19" s="67">
        <f t="shared" si="1"/>
        <v>7.16101841851573</v>
      </c>
      <c r="F19" s="241">
        <f>F11-F10</f>
        <v>-3.7329195747190125E-2</v>
      </c>
      <c r="G19" s="67">
        <f t="shared" si="2"/>
        <v>-11.649911547612779</v>
      </c>
      <c r="H19" s="67">
        <f t="shared" si="2"/>
        <v>-21.295345486183916</v>
      </c>
      <c r="I19" s="67">
        <f>H10*C19</f>
        <v>1.3173428878397444E-2</v>
      </c>
      <c r="J19" s="67">
        <f>G10*F19</f>
        <v>-4.9315746065707981E-2</v>
      </c>
      <c r="K19" s="67">
        <f>H10*F19*C19</f>
        <v>-4.9175350526338543E-4</v>
      </c>
      <c r="L19" s="67">
        <f>SUM(I19:K19)</f>
        <v>-3.663407069257392E-2</v>
      </c>
    </row>
    <row r="20" spans="1:13">
      <c r="A20" s="145" t="s">
        <v>2176</v>
      </c>
      <c r="B20" s="67">
        <f t="shared" si="0"/>
        <v>0.13157203936736539</v>
      </c>
      <c r="C20" s="67">
        <f t="shared" si="0"/>
        <v>-9.0523222716777374E-3</v>
      </c>
      <c r="D20" s="67">
        <f t="shared" si="1"/>
        <v>20.368371668258355</v>
      </c>
      <c r="E20" s="67">
        <f t="shared" si="1"/>
        <v>13.934364973463831</v>
      </c>
      <c r="F20" s="241">
        <f>F12-F11</f>
        <v>0.11313062045127459</v>
      </c>
      <c r="G20" s="67">
        <f t="shared" si="2"/>
        <v>-12.427345033875426</v>
      </c>
      <c r="H20" s="67">
        <f t="shared" si="2"/>
        <v>20.097962106407174</v>
      </c>
      <c r="I20" s="67">
        <f>H11*C20</f>
        <v>-3.2183350061798384E-3</v>
      </c>
      <c r="J20" s="67">
        <f>G11*F20</f>
        <v>0.13204566013031582</v>
      </c>
      <c r="K20" s="67">
        <f>H11*F20*C20</f>
        <v>-3.6409223606918178E-4</v>
      </c>
      <c r="L20" s="67">
        <f>SUM(I20:K20)</f>
        <v>0.1284632328880668</v>
      </c>
    </row>
    <row r="21" spans="1:13">
      <c r="A21" s="145"/>
      <c r="B21" s="67"/>
      <c r="C21" s="67"/>
      <c r="D21" s="67"/>
      <c r="E21" s="67"/>
      <c r="F21" s="241"/>
      <c r="G21" s="67"/>
      <c r="H21" s="67"/>
      <c r="I21" s="67"/>
      <c r="J21" s="67"/>
      <c r="K21" s="67"/>
      <c r="L21" s="67"/>
    </row>
    <row r="22" spans="1:13">
      <c r="A22" s="21"/>
      <c r="B22" s="111" t="s">
        <v>23</v>
      </c>
      <c r="C22" s="111"/>
      <c r="D22" s="247"/>
      <c r="E22" s="247"/>
      <c r="F22" s="241"/>
      <c r="G22" s="67"/>
      <c r="H22" s="67"/>
      <c r="I22" s="248" t="s">
        <v>984</v>
      </c>
      <c r="J22" s="249"/>
      <c r="K22" s="249"/>
      <c r="L22" s="250"/>
    </row>
    <row r="23" spans="1:13">
      <c r="A23" s="70"/>
      <c r="B23" s="257" t="s">
        <v>784</v>
      </c>
      <c r="C23" s="257"/>
      <c r="D23" s="252"/>
      <c r="E23" s="252"/>
      <c r="F23" s="241"/>
      <c r="G23" s="67"/>
      <c r="H23" s="67"/>
      <c r="I23" s="253" t="s">
        <v>784</v>
      </c>
      <c r="J23" s="254"/>
      <c r="K23" s="254"/>
      <c r="L23" s="255"/>
    </row>
    <row r="24" spans="1:13">
      <c r="A24" s="145" t="s">
        <v>803</v>
      </c>
      <c r="B24" s="244">
        <f>((B11/B8)^(1/18)-1)*100</f>
        <v>2.2012311432797693</v>
      </c>
      <c r="C24" s="244">
        <f>((C11/C8)^(1/18)-1)*100</f>
        <v>2.2120316088511061</v>
      </c>
      <c r="D24" s="65"/>
      <c r="E24" s="65"/>
      <c r="F24" s="241"/>
      <c r="G24" s="67"/>
      <c r="H24" s="145" t="s">
        <v>803</v>
      </c>
      <c r="I24" s="67">
        <f>I16/$B16*100</f>
        <v>51.909732479028513</v>
      </c>
      <c r="J24" s="67">
        <f t="shared" ref="J24:L28" si="3">J16/$B16*100</f>
        <v>-33.599089024656756</v>
      </c>
      <c r="K24" s="67">
        <f t="shared" si="3"/>
        <v>-16.216339791559349</v>
      </c>
      <c r="L24" s="67">
        <f>L16/$B16*100</f>
        <v>2.0943036628124099</v>
      </c>
    </row>
    <row r="25" spans="1:13">
      <c r="A25" s="145" t="s">
        <v>796</v>
      </c>
      <c r="B25" s="252">
        <f>((B9/B8)^(1/3)-1)*100</f>
        <v>1.0467907635123508</v>
      </c>
      <c r="C25" s="252">
        <f>((C9/C8)^(1/3)-1)*100</f>
        <v>-0.63122982083115842</v>
      </c>
      <c r="D25" s="67"/>
      <c r="E25" s="67"/>
      <c r="F25" s="241"/>
      <c r="G25" s="67"/>
      <c r="H25" s="145" t="s">
        <v>796</v>
      </c>
      <c r="I25" s="67">
        <f>I17/$B17*100</f>
        <v>-30.602101333739789</v>
      </c>
      <c r="J25" s="67">
        <f t="shared" si="3"/>
        <v>136.28938297215731</v>
      </c>
      <c r="K25" s="67">
        <f t="shared" si="3"/>
        <v>-1.1360952587915047</v>
      </c>
      <c r="L25" s="67">
        <f t="shared" si="3"/>
        <v>104.55118637962602</v>
      </c>
    </row>
    <row r="26" spans="1:13">
      <c r="A26" s="145" t="s">
        <v>26</v>
      </c>
      <c r="B26" s="252">
        <f>((B10/B9)^(1/11)-1)*100</f>
        <v>1.9095913820139643</v>
      </c>
      <c r="C26" s="252">
        <f>((C10/C9)^(1/11)-1)*100</f>
        <v>3.5532827282872104</v>
      </c>
      <c r="D26" s="67"/>
      <c r="E26" s="67"/>
      <c r="F26" s="241"/>
      <c r="G26" s="67"/>
      <c r="H26" s="145" t="s">
        <v>26</v>
      </c>
      <c r="I26" s="67">
        <f>I18/$B18*100</f>
        <v>107.68137220049063</v>
      </c>
      <c r="J26" s="67">
        <f t="shared" si="3"/>
        <v>-66.185845765502648</v>
      </c>
      <c r="K26" s="67">
        <f t="shared" si="3"/>
        <v>-14.879583427424567</v>
      </c>
      <c r="L26" s="67">
        <f t="shared" si="3"/>
        <v>26.615943007563413</v>
      </c>
    </row>
    <row r="27" spans="1:13">
      <c r="A27" s="145" t="s">
        <v>662</v>
      </c>
      <c r="B27" s="252">
        <f>((B11/B10)^(1/4)-1)*100</f>
        <v>3.8889278266017513</v>
      </c>
      <c r="C27" s="252">
        <f>((C11/C10)^(1/4)-1)*100</f>
        <v>0.7212278348271095</v>
      </c>
      <c r="D27" s="67"/>
      <c r="E27" s="67"/>
      <c r="F27" s="241"/>
      <c r="G27" s="67"/>
      <c r="H27" s="145" t="s">
        <v>662</v>
      </c>
      <c r="I27" s="67">
        <f>I19/$B19*100</f>
        <v>7.990244080351748</v>
      </c>
      <c r="J27" s="67">
        <f t="shared" si="3"/>
        <v>-29.912094391448139</v>
      </c>
      <c r="K27" s="67">
        <f t="shared" si="3"/>
        <v>-0.29826938534327752</v>
      </c>
      <c r="L27" s="67">
        <f>L19/$B19*100</f>
        <v>-22.220119696439671</v>
      </c>
    </row>
    <row r="28" spans="1:13">
      <c r="A28" s="145" t="s">
        <v>2176</v>
      </c>
      <c r="B28" s="252">
        <f>((B12/B11)^(1/4)-1)*100</f>
        <v>3.1384384893556438</v>
      </c>
      <c r="C28" s="252">
        <f>((C12/C11)^(1/4)-1)*100</f>
        <v>-0.22708036891475603</v>
      </c>
      <c r="D28" s="67"/>
      <c r="E28" s="67"/>
      <c r="F28" s="241"/>
      <c r="G28" s="67"/>
      <c r="H28" s="145" t="s">
        <v>2176</v>
      </c>
      <c r="I28" s="67">
        <f>I20/$B20*100</f>
        <v>-2.4460630249819642</v>
      </c>
      <c r="J28" s="67">
        <f t="shared" si="3"/>
        <v>100.35997067859381</v>
      </c>
      <c r="K28" s="67">
        <f t="shared" si="3"/>
        <v>-0.2767246276791312</v>
      </c>
      <c r="L28" s="67">
        <f>L20/$B20*100</f>
        <v>97.637183025932714</v>
      </c>
    </row>
    <row r="29" spans="1:13">
      <c r="A29" s="145"/>
      <c r="B29" s="252"/>
      <c r="C29" s="252"/>
      <c r="D29" s="67"/>
      <c r="E29" s="67"/>
      <c r="F29" s="241"/>
      <c r="G29" s="67"/>
      <c r="H29" s="145"/>
      <c r="I29" s="67"/>
      <c r="J29" s="67"/>
      <c r="K29" s="67"/>
      <c r="L29" s="67"/>
    </row>
    <row r="30" spans="1:13">
      <c r="A30" s="137" t="s">
        <v>983</v>
      </c>
      <c r="B30" s="137"/>
      <c r="C30" s="137"/>
      <c r="D30" s="137"/>
      <c r="E30" s="137"/>
      <c r="F30" s="137"/>
      <c r="G30" s="137"/>
      <c r="H30" s="137"/>
      <c r="I30" s="137"/>
      <c r="J30" s="137"/>
      <c r="K30" s="137"/>
      <c r="L30" s="137"/>
    </row>
    <row r="31" spans="1:13">
      <c r="A31" s="256" t="s">
        <v>193</v>
      </c>
      <c r="B31" s="256"/>
      <c r="C31" s="256"/>
      <c r="D31" s="256"/>
      <c r="E31" s="256"/>
      <c r="F31" s="256"/>
      <c r="G31" s="256"/>
      <c r="H31" s="256"/>
      <c r="I31" s="256"/>
      <c r="J31" s="256"/>
      <c r="K31" s="256"/>
      <c r="L31" s="256"/>
    </row>
    <row r="32" spans="1:13" ht="18.75">
      <c r="A32" s="137" t="s">
        <v>980</v>
      </c>
      <c r="B32" s="137"/>
      <c r="C32" s="137"/>
      <c r="D32" s="137"/>
      <c r="E32" s="137"/>
      <c r="F32" s="137"/>
      <c r="G32" s="137"/>
      <c r="H32" s="137"/>
      <c r="I32" s="137"/>
      <c r="J32" s="137"/>
      <c r="K32" s="137"/>
      <c r="L32" s="137"/>
    </row>
    <row r="33" spans="9:13">
      <c r="I33" s="65"/>
      <c r="J33" s="65"/>
      <c r="K33" s="65"/>
      <c r="L33" s="65"/>
      <c r="M33" s="65"/>
    </row>
    <row r="34" spans="9:13">
      <c r="I34" s="65"/>
      <c r="J34" s="65"/>
      <c r="K34" s="65"/>
      <c r="L34" s="65"/>
    </row>
    <row r="35" spans="9:13">
      <c r="I35" s="65"/>
      <c r="J35" s="65"/>
      <c r="K35" s="65"/>
      <c r="L35" s="65"/>
    </row>
    <row r="36" spans="9:13">
      <c r="I36" s="65"/>
      <c r="J36" s="65"/>
      <c r="K36" s="65"/>
      <c r="L36" s="65"/>
    </row>
  </sheetData>
  <mergeCells count="19">
    <mergeCell ref="B23:C23"/>
    <mergeCell ref="I23:L23"/>
    <mergeCell ref="A31:L31"/>
    <mergeCell ref="A32:L32"/>
    <mergeCell ref="A30:L30"/>
    <mergeCell ref="B14:L14"/>
    <mergeCell ref="B15:E15"/>
    <mergeCell ref="G15:H15"/>
    <mergeCell ref="I15:L15"/>
    <mergeCell ref="B22:C22"/>
    <mergeCell ref="I22:L22"/>
    <mergeCell ref="A1:L1"/>
    <mergeCell ref="A2:A6"/>
    <mergeCell ref="B2:B3"/>
    <mergeCell ref="C2:L2"/>
    <mergeCell ref="C3:H3"/>
    <mergeCell ref="I3:L3"/>
    <mergeCell ref="D5:H5"/>
    <mergeCell ref="I5:L5"/>
  </mergeCells>
  <pageMargins left="0.7" right="0.7" top="0.75" bottom="0.75" header="0.3" footer="0.3"/>
  <pageSetup scale="79" orientation="landscape" horizontalDpi="0" verticalDpi="0" r:id="rId1"/>
</worksheet>
</file>

<file path=xl/worksheets/sheet5.xml><?xml version="1.0" encoding="utf-8"?>
<worksheet xmlns="http://schemas.openxmlformats.org/spreadsheetml/2006/main" xmlns:r="http://schemas.openxmlformats.org/officeDocument/2006/relationships">
  <dimension ref="A1:S57"/>
  <sheetViews>
    <sheetView view="pageBreakPreview" zoomScale="85" zoomScaleNormal="100" zoomScaleSheetLayoutView="85" workbookViewId="0">
      <pane xSplit="1" ySplit="5" topLeftCell="B18"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9.140625" style="64"/>
    <col min="2" max="2" width="12.7109375" style="64" customWidth="1"/>
    <col min="3" max="3" width="13.42578125" style="64" customWidth="1"/>
    <col min="4" max="5" width="12.7109375" style="64" customWidth="1"/>
    <col min="6" max="6" width="15.140625" style="64" customWidth="1"/>
    <col min="7" max="9" width="14.7109375" style="64" customWidth="1"/>
    <col min="10" max="10" width="9.140625" style="64"/>
    <col min="11" max="18" width="0" style="64" hidden="1" customWidth="1" outlineLevel="1"/>
    <col min="19" max="19" width="9.140625" style="64" collapsed="1"/>
    <col min="20" max="16384" width="9.140625" style="64"/>
  </cols>
  <sheetData>
    <row r="1" spans="1:18" ht="30" customHeight="1">
      <c r="A1" s="140" t="s">
        <v>2162</v>
      </c>
      <c r="B1" s="140"/>
      <c r="C1" s="140"/>
      <c r="D1" s="140"/>
      <c r="E1" s="140"/>
      <c r="F1" s="140"/>
      <c r="G1" s="140"/>
      <c r="H1" s="140"/>
      <c r="I1" s="140"/>
    </row>
    <row r="2" spans="1:18">
      <c r="A2" s="96"/>
      <c r="B2" s="94" t="s">
        <v>36</v>
      </c>
      <c r="C2" s="94" t="s">
        <v>938</v>
      </c>
      <c r="D2" s="111" t="s">
        <v>37</v>
      </c>
      <c r="E2" s="111"/>
      <c r="F2" s="111"/>
      <c r="G2" s="111"/>
      <c r="H2" s="111"/>
      <c r="I2" s="111"/>
      <c r="K2" s="94" t="s">
        <v>36</v>
      </c>
      <c r="L2" s="94" t="s">
        <v>938</v>
      </c>
      <c r="M2" s="111" t="s">
        <v>37</v>
      </c>
      <c r="N2" s="111"/>
      <c r="O2" s="111"/>
      <c r="P2" s="111"/>
      <c r="Q2" s="111"/>
      <c r="R2" s="111"/>
    </row>
    <row r="3" spans="1:18" ht="30" customHeight="1">
      <c r="A3" s="96"/>
      <c r="B3" s="94"/>
      <c r="C3" s="94"/>
      <c r="D3" s="94" t="s">
        <v>39</v>
      </c>
      <c r="E3" s="94" t="s">
        <v>28</v>
      </c>
      <c r="F3" s="94" t="s">
        <v>29</v>
      </c>
      <c r="G3" s="94" t="s">
        <v>2</v>
      </c>
      <c r="H3" s="94"/>
      <c r="I3" s="94"/>
      <c r="K3" s="94"/>
      <c r="L3" s="94"/>
      <c r="M3" s="94" t="s">
        <v>39</v>
      </c>
      <c r="N3" s="94" t="s">
        <v>28</v>
      </c>
      <c r="O3" s="94" t="s">
        <v>29</v>
      </c>
      <c r="P3" s="94" t="s">
        <v>2</v>
      </c>
      <c r="Q3" s="94"/>
      <c r="R3" s="94"/>
    </row>
    <row r="4" spans="1:18" ht="90">
      <c r="A4" s="96"/>
      <c r="B4" s="94"/>
      <c r="C4" s="94"/>
      <c r="D4" s="94"/>
      <c r="E4" s="94"/>
      <c r="F4" s="94"/>
      <c r="G4" s="72" t="s">
        <v>38</v>
      </c>
      <c r="H4" s="72" t="s">
        <v>13</v>
      </c>
      <c r="I4" s="72" t="s">
        <v>19</v>
      </c>
      <c r="K4" s="94"/>
      <c r="L4" s="94"/>
      <c r="M4" s="94"/>
      <c r="N4" s="94"/>
      <c r="O4" s="94"/>
      <c r="P4" s="72" t="s">
        <v>38</v>
      </c>
      <c r="Q4" s="72" t="s">
        <v>13</v>
      </c>
      <c r="R4" s="72" t="s">
        <v>19</v>
      </c>
    </row>
    <row r="5" spans="1:18" hidden="1" outlineLevel="1">
      <c r="B5" s="64" t="s">
        <v>40</v>
      </c>
      <c r="C5" s="64" t="s">
        <v>1634</v>
      </c>
      <c r="K5" s="64" t="s">
        <v>40</v>
      </c>
      <c r="L5" s="64" t="s">
        <v>1634</v>
      </c>
    </row>
    <row r="6" spans="1:18" collapsed="1">
      <c r="A6" s="66">
        <v>1961</v>
      </c>
      <c r="B6" s="56">
        <f t="shared" ref="B6:B50" si="0">B7*(K6/K7)</f>
        <v>39265.531917079599</v>
      </c>
      <c r="C6" s="56">
        <f t="shared" ref="C6:C51" si="1">C7*(L6/L7)</f>
        <v>8656.548568985756</v>
      </c>
      <c r="D6" s="56">
        <f t="shared" ref="D6:D51" si="2">D7*(M6/M7)</f>
        <v>1711.4563456710123</v>
      </c>
      <c r="E6" s="56">
        <f t="shared" ref="E6:E51" si="3">E7*(N6/N7)</f>
        <v>390.47707443846269</v>
      </c>
      <c r="F6" s="56">
        <f t="shared" ref="F6:F51" si="4">F7*(O6/O7)</f>
        <v>397.05191921328122</v>
      </c>
      <c r="G6" s="56">
        <f t="shared" ref="G6:G51" si="5">G7*(P6/P7)</f>
        <v>883.89928934010084</v>
      </c>
      <c r="H6" s="56">
        <f t="shared" ref="H6:H51" si="6">H7*(Q6/Q7)</f>
        <v>711.76215277777715</v>
      </c>
      <c r="I6" s="56">
        <f t="shared" ref="I6:I51" si="7">I7*(R6/R7)</f>
        <v>161.15310187820154</v>
      </c>
      <c r="K6" s="56">
        <v>38301</v>
      </c>
      <c r="L6" s="56">
        <v>8591</v>
      </c>
      <c r="M6" s="56">
        <f t="shared" ref="M6:M52" si="8">N6+O6+P6</f>
        <v>1829</v>
      </c>
      <c r="N6" s="56">
        <v>500</v>
      </c>
      <c r="O6" s="56">
        <v>390</v>
      </c>
      <c r="P6" s="56">
        <v>939</v>
      </c>
      <c r="Q6" s="56">
        <v>775</v>
      </c>
      <c r="R6" s="56">
        <v>164</v>
      </c>
    </row>
    <row r="7" spans="1:18">
      <c r="A7" s="66">
        <v>1962</v>
      </c>
      <c r="B7" s="56">
        <f t="shared" si="0"/>
        <v>42397.465809319445</v>
      </c>
      <c r="C7" s="56">
        <f t="shared" si="1"/>
        <v>9592.6367566923982</v>
      </c>
      <c r="D7" s="56">
        <f t="shared" si="2"/>
        <v>1832.1659512432159</v>
      </c>
      <c r="E7" s="56">
        <f t="shared" si="3"/>
        <v>408.43901986263199</v>
      </c>
      <c r="F7" s="56">
        <f t="shared" si="4"/>
        <v>455.08258432906848</v>
      </c>
      <c r="G7" s="56">
        <f t="shared" si="5"/>
        <v>930.02395939086227</v>
      </c>
      <c r="H7" s="56">
        <f t="shared" si="6"/>
        <v>737.47743055555497</v>
      </c>
      <c r="I7" s="56">
        <f t="shared" si="7"/>
        <v>182.77120091064322</v>
      </c>
      <c r="K7" s="56">
        <v>41356</v>
      </c>
      <c r="L7" s="56">
        <v>9520</v>
      </c>
      <c r="M7" s="56">
        <f t="shared" si="8"/>
        <v>1958</v>
      </c>
      <c r="N7" s="56">
        <v>523</v>
      </c>
      <c r="O7" s="56">
        <v>447</v>
      </c>
      <c r="P7" s="56">
        <v>988</v>
      </c>
      <c r="Q7" s="56">
        <v>803</v>
      </c>
      <c r="R7" s="56">
        <v>186</v>
      </c>
    </row>
    <row r="8" spans="1:18">
      <c r="A8" s="66">
        <v>1963</v>
      </c>
      <c r="B8" s="56">
        <f t="shared" si="0"/>
        <v>45633.968361791194</v>
      </c>
      <c r="C8" s="56">
        <f t="shared" si="1"/>
        <v>10390.679646534876</v>
      </c>
      <c r="D8" s="56">
        <f t="shared" si="2"/>
        <v>1950.0683566858336</v>
      </c>
      <c r="E8" s="56">
        <f t="shared" si="3"/>
        <v>424.83905698904744</v>
      </c>
      <c r="F8" s="56">
        <f t="shared" si="4"/>
        <v>518.2036586655388</v>
      </c>
      <c r="G8" s="56">
        <f t="shared" si="5"/>
        <v>970.50071065989778</v>
      </c>
      <c r="H8" s="56">
        <f t="shared" si="6"/>
        <v>768.70312499999932</v>
      </c>
      <c r="I8" s="56">
        <f t="shared" si="7"/>
        <v>190.63232783153109</v>
      </c>
      <c r="K8" s="56">
        <v>44513</v>
      </c>
      <c r="L8" s="56">
        <v>10312</v>
      </c>
      <c r="M8" s="56">
        <f t="shared" si="8"/>
        <v>2084</v>
      </c>
      <c r="N8" s="56">
        <v>544</v>
      </c>
      <c r="O8" s="56">
        <v>509</v>
      </c>
      <c r="P8" s="56">
        <v>1031</v>
      </c>
      <c r="Q8" s="56">
        <v>837</v>
      </c>
      <c r="R8" s="56">
        <v>194</v>
      </c>
    </row>
    <row r="9" spans="1:18">
      <c r="A9" s="66">
        <v>1964</v>
      </c>
      <c r="B9" s="56">
        <f t="shared" si="0"/>
        <v>49773.657087442414</v>
      </c>
      <c r="C9" s="56">
        <f t="shared" si="1"/>
        <v>11538.370115639145</v>
      </c>
      <c r="D9" s="56">
        <f t="shared" si="2"/>
        <v>2134.4078318619895</v>
      </c>
      <c r="E9" s="56">
        <f t="shared" si="3"/>
        <v>467.79153517727832</v>
      </c>
      <c r="F9" s="56">
        <f t="shared" si="4"/>
        <v>558.92693243100348</v>
      </c>
      <c r="G9" s="56">
        <f t="shared" si="5"/>
        <v>1066.5153299492379</v>
      </c>
      <c r="H9" s="56">
        <f t="shared" si="6"/>
        <v>843.09374999999932</v>
      </c>
      <c r="I9" s="56">
        <f t="shared" si="7"/>
        <v>212.25042686397276</v>
      </c>
      <c r="K9" s="56">
        <v>48551</v>
      </c>
      <c r="L9" s="56">
        <v>11451</v>
      </c>
      <c r="M9" s="56">
        <f t="shared" si="8"/>
        <v>2281</v>
      </c>
      <c r="N9" s="56">
        <v>599</v>
      </c>
      <c r="O9" s="56">
        <v>549</v>
      </c>
      <c r="P9" s="56">
        <v>1133</v>
      </c>
      <c r="Q9" s="56">
        <v>918</v>
      </c>
      <c r="R9" s="56">
        <v>216</v>
      </c>
    </row>
    <row r="10" spans="1:18">
      <c r="A10" s="66">
        <v>1965</v>
      </c>
      <c r="B10" s="56">
        <f t="shared" si="0"/>
        <v>54660.704178868706</v>
      </c>
      <c r="C10" s="56">
        <f t="shared" si="1"/>
        <v>12751.556528985537</v>
      </c>
      <c r="D10" s="56">
        <f t="shared" si="2"/>
        <v>2225.1739693852742</v>
      </c>
      <c r="E10" s="56">
        <f t="shared" si="3"/>
        <v>494.34397623909382</v>
      </c>
      <c r="F10" s="56">
        <f t="shared" si="4"/>
        <v>588.4513059109654</v>
      </c>
      <c r="G10" s="56">
        <f t="shared" si="5"/>
        <v>1098.5202030456846</v>
      </c>
      <c r="H10" s="56">
        <f t="shared" si="6"/>
        <v>858.70659722222149</v>
      </c>
      <c r="I10" s="56">
        <f t="shared" si="7"/>
        <v>228.95532157085952</v>
      </c>
      <c r="K10" s="56">
        <v>53318</v>
      </c>
      <c r="L10" s="56">
        <v>12655</v>
      </c>
      <c r="M10" s="56">
        <f t="shared" si="8"/>
        <v>2378</v>
      </c>
      <c r="N10" s="56">
        <v>633</v>
      </c>
      <c r="O10" s="56">
        <v>578</v>
      </c>
      <c r="P10" s="56">
        <v>1167</v>
      </c>
      <c r="Q10" s="56">
        <v>935</v>
      </c>
      <c r="R10" s="56">
        <v>233</v>
      </c>
    </row>
    <row r="11" spans="1:18">
      <c r="A11" s="66">
        <v>1966</v>
      </c>
      <c r="B11" s="56">
        <f t="shared" si="0"/>
        <v>61229.051297553044</v>
      </c>
      <c r="C11" s="56">
        <f t="shared" si="1"/>
        <v>13765.232219871308</v>
      </c>
      <c r="D11" s="56">
        <f t="shared" si="2"/>
        <v>2397.348910666557</v>
      </c>
      <c r="E11" s="56">
        <f t="shared" si="3"/>
        <v>540.42027102283248</v>
      </c>
      <c r="F11" s="56">
        <f t="shared" si="4"/>
        <v>626.12033414402026</v>
      </c>
      <c r="G11" s="56">
        <f t="shared" si="5"/>
        <v>1181.3563451776643</v>
      </c>
      <c r="H11" s="56">
        <f t="shared" si="6"/>
        <v>905.54513888888812</v>
      </c>
      <c r="I11" s="56">
        <f t="shared" si="7"/>
        <v>265.31303357996597</v>
      </c>
      <c r="K11" s="56">
        <v>59725</v>
      </c>
      <c r="L11" s="56">
        <v>13661</v>
      </c>
      <c r="M11" s="56">
        <f t="shared" si="8"/>
        <v>2562</v>
      </c>
      <c r="N11" s="56">
        <v>692</v>
      </c>
      <c r="O11" s="56">
        <v>615</v>
      </c>
      <c r="P11" s="56">
        <v>1255</v>
      </c>
      <c r="Q11" s="56">
        <v>986</v>
      </c>
      <c r="R11" s="56">
        <v>270</v>
      </c>
    </row>
    <row r="12" spans="1:18">
      <c r="A12" s="66">
        <v>1967</v>
      </c>
      <c r="B12" s="56">
        <f t="shared" si="0"/>
        <v>65720.377772807624</v>
      </c>
      <c r="C12" s="56">
        <f t="shared" si="1"/>
        <v>14339.581269379152</v>
      </c>
      <c r="D12" s="56">
        <f t="shared" si="2"/>
        <v>2396.4131772900282</v>
      </c>
      <c r="E12" s="56">
        <f t="shared" si="3"/>
        <v>532.61072953406324</v>
      </c>
      <c r="F12" s="56">
        <f t="shared" si="4"/>
        <v>665.82552606534841</v>
      </c>
      <c r="G12" s="56">
        <f t="shared" si="5"/>
        <v>1153.1167512690347</v>
      </c>
      <c r="H12" s="56">
        <f t="shared" si="6"/>
        <v>855.0329861111104</v>
      </c>
      <c r="I12" s="56">
        <f t="shared" si="7"/>
        <v>288.89641434262961</v>
      </c>
      <c r="K12" s="56">
        <v>64106</v>
      </c>
      <c r="L12" s="56">
        <v>14231</v>
      </c>
      <c r="M12" s="56">
        <f t="shared" si="8"/>
        <v>2561</v>
      </c>
      <c r="N12" s="56">
        <v>682</v>
      </c>
      <c r="O12" s="56">
        <v>654</v>
      </c>
      <c r="P12" s="56">
        <v>1225</v>
      </c>
      <c r="Q12" s="56">
        <v>931</v>
      </c>
      <c r="R12" s="56">
        <v>294</v>
      </c>
    </row>
    <row r="13" spans="1:18">
      <c r="A13" s="66">
        <v>1968</v>
      </c>
      <c r="B13" s="56">
        <f t="shared" si="0"/>
        <v>71865.324335847108</v>
      </c>
      <c r="C13" s="56">
        <f t="shared" si="1"/>
        <v>15582.99658006806</v>
      </c>
      <c r="D13" s="56">
        <f t="shared" si="2"/>
        <v>2602.2745201263447</v>
      </c>
      <c r="E13" s="56">
        <f t="shared" si="3"/>
        <v>564.62984963801716</v>
      </c>
      <c r="F13" s="56">
        <f t="shared" si="4"/>
        <v>798.1761658031088</v>
      </c>
      <c r="G13" s="56">
        <f t="shared" si="5"/>
        <v>1199.241421319796</v>
      </c>
      <c r="H13" s="56">
        <f t="shared" si="6"/>
        <v>877.99305555555486</v>
      </c>
      <c r="I13" s="56">
        <f t="shared" si="7"/>
        <v>312.47979510529325</v>
      </c>
      <c r="K13" s="56">
        <v>70100</v>
      </c>
      <c r="L13" s="56">
        <v>15465</v>
      </c>
      <c r="M13" s="56">
        <f t="shared" si="8"/>
        <v>2781</v>
      </c>
      <c r="N13" s="56">
        <v>723</v>
      </c>
      <c r="O13" s="56">
        <v>784</v>
      </c>
      <c r="P13" s="56">
        <v>1274</v>
      </c>
      <c r="Q13" s="56">
        <v>956</v>
      </c>
      <c r="R13" s="56">
        <v>318</v>
      </c>
    </row>
    <row r="14" spans="1:18">
      <c r="A14" s="66">
        <v>1969</v>
      </c>
      <c r="B14" s="56">
        <f t="shared" si="0"/>
        <v>79089.788538339475</v>
      </c>
      <c r="C14" s="56">
        <f t="shared" si="1"/>
        <v>17188.15102895577</v>
      </c>
      <c r="D14" s="56">
        <f t="shared" si="2"/>
        <v>2945.6886693123815</v>
      </c>
      <c r="E14" s="56">
        <f t="shared" si="3"/>
        <v>646.63003527009437</v>
      </c>
      <c r="F14" s="56">
        <f t="shared" si="4"/>
        <v>861.29724013957912</v>
      </c>
      <c r="G14" s="56">
        <f t="shared" si="5"/>
        <v>1387.505380710659</v>
      </c>
      <c r="H14" s="56">
        <f t="shared" si="6"/>
        <v>1021.2638888888881</v>
      </c>
      <c r="I14" s="56">
        <f t="shared" si="7"/>
        <v>355.7159931701766</v>
      </c>
      <c r="K14" s="56">
        <v>77147</v>
      </c>
      <c r="L14" s="56">
        <v>17058</v>
      </c>
      <c r="M14" s="56">
        <f t="shared" si="8"/>
        <v>3148</v>
      </c>
      <c r="N14" s="56">
        <v>828</v>
      </c>
      <c r="O14" s="56">
        <v>846</v>
      </c>
      <c r="P14" s="56">
        <v>1474</v>
      </c>
      <c r="Q14" s="56">
        <v>1112</v>
      </c>
      <c r="R14" s="56">
        <v>362</v>
      </c>
    </row>
    <row r="15" spans="1:18">
      <c r="A15" s="66">
        <v>1970</v>
      </c>
      <c r="B15" s="56">
        <f t="shared" si="0"/>
        <v>85316.749736854967</v>
      </c>
      <c r="C15" s="56">
        <f t="shared" si="1"/>
        <v>16947.327480127045</v>
      </c>
      <c r="D15" s="56">
        <f t="shared" si="2"/>
        <v>2872.701465943142</v>
      </c>
      <c r="E15" s="56">
        <f t="shared" si="3"/>
        <v>629.44904399480208</v>
      </c>
      <c r="F15" s="56">
        <f t="shared" si="4"/>
        <v>729.96468224595526</v>
      </c>
      <c r="G15" s="56">
        <f t="shared" si="5"/>
        <v>1456.221725888324</v>
      </c>
      <c r="H15" s="56">
        <f t="shared" si="6"/>
        <v>1071.7760416666658</v>
      </c>
      <c r="I15" s="56">
        <f t="shared" si="7"/>
        <v>374.3861696072853</v>
      </c>
      <c r="K15" s="56">
        <v>83221</v>
      </c>
      <c r="L15" s="56">
        <v>16819</v>
      </c>
      <c r="M15" s="56">
        <f t="shared" si="8"/>
        <v>3070</v>
      </c>
      <c r="N15" s="56">
        <v>806</v>
      </c>
      <c r="O15" s="56">
        <v>717</v>
      </c>
      <c r="P15" s="56">
        <v>1547</v>
      </c>
      <c r="Q15" s="56">
        <v>1167</v>
      </c>
      <c r="R15" s="56">
        <v>381</v>
      </c>
    </row>
    <row r="16" spans="1:18">
      <c r="A16" s="66">
        <v>1971</v>
      </c>
      <c r="B16" s="56">
        <f t="shared" si="0"/>
        <v>93078.409801715155</v>
      </c>
      <c r="C16" s="56">
        <f t="shared" si="1"/>
        <v>18604.878684408453</v>
      </c>
      <c r="D16" s="56">
        <f t="shared" si="2"/>
        <v>3014.9329391755059</v>
      </c>
      <c r="E16" s="56">
        <f t="shared" si="3"/>
        <v>656.78243920549448</v>
      </c>
      <c r="F16" s="56">
        <f t="shared" si="4"/>
        <v>869.44189489267194</v>
      </c>
      <c r="G16" s="56">
        <f t="shared" si="5"/>
        <v>1437.3953299492377</v>
      </c>
      <c r="H16" s="56">
        <f t="shared" si="6"/>
        <v>1020.3454861111104</v>
      </c>
      <c r="I16" s="56">
        <f t="shared" si="7"/>
        <v>408.77859988616979</v>
      </c>
      <c r="K16" s="56">
        <v>90792</v>
      </c>
      <c r="L16" s="56">
        <v>18464</v>
      </c>
      <c r="M16" s="56">
        <f t="shared" si="8"/>
        <v>3222</v>
      </c>
      <c r="N16" s="56">
        <v>841</v>
      </c>
      <c r="O16" s="56">
        <v>854</v>
      </c>
      <c r="P16" s="56">
        <v>1527</v>
      </c>
      <c r="Q16" s="56">
        <v>1111</v>
      </c>
      <c r="R16" s="56">
        <v>416</v>
      </c>
    </row>
    <row r="17" spans="1:18">
      <c r="A17" s="66">
        <v>1972</v>
      </c>
      <c r="B17" s="56">
        <f t="shared" si="0"/>
        <v>103637.79411925047</v>
      </c>
      <c r="C17" s="56">
        <f t="shared" si="1"/>
        <v>20848.870497134711</v>
      </c>
      <c r="D17" s="56">
        <f t="shared" si="2"/>
        <v>3579.1801652223185</v>
      </c>
      <c r="E17" s="56">
        <f t="shared" si="3"/>
        <v>755.18266196398713</v>
      </c>
      <c r="F17" s="56">
        <f t="shared" si="4"/>
        <v>1227.8067040287615</v>
      </c>
      <c r="G17" s="56">
        <f t="shared" si="5"/>
        <v>1555.060304568527</v>
      </c>
      <c r="H17" s="56">
        <f t="shared" si="6"/>
        <v>1098.4097222222215</v>
      </c>
      <c r="I17" s="56">
        <f t="shared" si="7"/>
        <v>449.06687535572019</v>
      </c>
      <c r="K17" s="56">
        <v>101092</v>
      </c>
      <c r="L17" s="56">
        <v>20691</v>
      </c>
      <c r="M17" s="56">
        <f t="shared" si="8"/>
        <v>3825</v>
      </c>
      <c r="N17" s="56">
        <v>967</v>
      </c>
      <c r="O17" s="56">
        <v>1206</v>
      </c>
      <c r="P17" s="56">
        <v>1652</v>
      </c>
      <c r="Q17" s="56">
        <v>1196</v>
      </c>
      <c r="R17" s="56">
        <v>457</v>
      </c>
    </row>
    <row r="18" spans="1:18">
      <c r="A18" s="66">
        <v>1973</v>
      </c>
      <c r="B18" s="56">
        <f t="shared" si="0"/>
        <v>121835.81654843196</v>
      </c>
      <c r="C18" s="56">
        <f t="shared" si="1"/>
        <v>24390.689635766412</v>
      </c>
      <c r="D18" s="56">
        <f t="shared" si="2"/>
        <v>4761.9471531546087</v>
      </c>
      <c r="E18" s="56">
        <f t="shared" si="3"/>
        <v>1021.4880267310189</v>
      </c>
      <c r="F18" s="56">
        <f t="shared" si="4"/>
        <v>1744.9922808501635</v>
      </c>
      <c r="G18" s="56">
        <f t="shared" si="5"/>
        <v>1945.7080203045675</v>
      </c>
      <c r="H18" s="56">
        <f t="shared" si="6"/>
        <v>1429.9531249999989</v>
      </c>
      <c r="I18" s="56">
        <f t="shared" si="7"/>
        <v>501.14684120660235</v>
      </c>
      <c r="K18" s="56">
        <v>118843</v>
      </c>
      <c r="L18" s="56">
        <v>24206</v>
      </c>
      <c r="M18" s="56">
        <f t="shared" si="8"/>
        <v>5089</v>
      </c>
      <c r="N18" s="56">
        <v>1308</v>
      </c>
      <c r="O18" s="56">
        <v>1714</v>
      </c>
      <c r="P18" s="56">
        <v>2067</v>
      </c>
      <c r="Q18" s="56">
        <v>1557</v>
      </c>
      <c r="R18" s="56">
        <v>510</v>
      </c>
    </row>
    <row r="19" spans="1:18">
      <c r="A19" s="66">
        <v>1974</v>
      </c>
      <c r="B19" s="56">
        <f t="shared" si="0"/>
        <v>145668.24443481481</v>
      </c>
      <c r="C19" s="56">
        <f t="shared" si="1"/>
        <v>28738.61270353193</v>
      </c>
      <c r="D19" s="56">
        <f t="shared" si="2"/>
        <v>5868.9197375880731</v>
      </c>
      <c r="E19" s="56">
        <f t="shared" si="3"/>
        <v>1100.3643957675883</v>
      </c>
      <c r="F19" s="56">
        <f t="shared" si="4"/>
        <v>1590.2438405413977</v>
      </c>
      <c r="G19" s="56">
        <f t="shared" si="5"/>
        <v>3107.2966497461912</v>
      </c>
      <c r="H19" s="56">
        <f t="shared" si="6"/>
        <v>2430.0937499999982</v>
      </c>
      <c r="I19" s="56">
        <f t="shared" si="7"/>
        <v>643.62976664769519</v>
      </c>
      <c r="K19" s="56">
        <v>142090</v>
      </c>
      <c r="L19" s="56">
        <v>28521</v>
      </c>
      <c r="M19" s="56">
        <f t="shared" si="8"/>
        <v>6272</v>
      </c>
      <c r="N19" s="56">
        <v>1409</v>
      </c>
      <c r="O19" s="56">
        <v>1562</v>
      </c>
      <c r="P19" s="56">
        <v>3301</v>
      </c>
      <c r="Q19" s="56">
        <v>2646</v>
      </c>
      <c r="R19" s="56">
        <v>655</v>
      </c>
    </row>
    <row r="20" spans="1:18">
      <c r="A20" s="66">
        <v>1975</v>
      </c>
      <c r="B20" s="56">
        <f t="shared" si="0"/>
        <v>167554.8750945295</v>
      </c>
      <c r="C20" s="56">
        <f t="shared" si="1"/>
        <v>30405.23257701609</v>
      </c>
      <c r="D20" s="56">
        <f t="shared" si="2"/>
        <v>5258.8215760913536</v>
      </c>
      <c r="E20" s="56">
        <f t="shared" si="3"/>
        <v>1045.6976053462035</v>
      </c>
      <c r="F20" s="56">
        <f t="shared" si="4"/>
        <v>1488.4356561277357</v>
      </c>
      <c r="G20" s="56">
        <f t="shared" si="5"/>
        <v>2653.5805076142119</v>
      </c>
      <c r="H20" s="56">
        <f t="shared" si="6"/>
        <v>2000.2812499999984</v>
      </c>
      <c r="I20" s="56">
        <f t="shared" si="7"/>
        <v>628.89015367103036</v>
      </c>
      <c r="K20" s="56">
        <v>163439</v>
      </c>
      <c r="L20" s="56">
        <v>30175</v>
      </c>
      <c r="M20" s="56">
        <f t="shared" si="8"/>
        <v>5620</v>
      </c>
      <c r="N20" s="56">
        <v>1339</v>
      </c>
      <c r="O20" s="56">
        <v>1462</v>
      </c>
      <c r="P20" s="56">
        <v>2819</v>
      </c>
      <c r="Q20" s="56">
        <v>2178</v>
      </c>
      <c r="R20" s="56">
        <v>640</v>
      </c>
    </row>
    <row r="21" spans="1:18">
      <c r="A21" s="66">
        <v>1976</v>
      </c>
      <c r="B21" s="56">
        <f t="shared" si="0"/>
        <v>192064.94890653284</v>
      </c>
      <c r="C21" s="56">
        <f t="shared" si="1"/>
        <v>34022.623959004086</v>
      </c>
      <c r="D21" s="56">
        <f t="shared" si="2"/>
        <v>6352.6938932534167</v>
      </c>
      <c r="E21" s="56">
        <f t="shared" si="3"/>
        <v>1253.4314089474658</v>
      </c>
      <c r="F21" s="56">
        <f t="shared" si="4"/>
        <v>1972.0245320926294</v>
      </c>
      <c r="G21" s="56">
        <f t="shared" si="5"/>
        <v>3056.4653807106583</v>
      </c>
      <c r="H21" s="56">
        <f t="shared" si="6"/>
        <v>2301.5173611111095</v>
      </c>
      <c r="I21" s="56">
        <f t="shared" si="7"/>
        <v>728.13688104723974</v>
      </c>
      <c r="K21" s="56">
        <v>187347</v>
      </c>
      <c r="L21" s="56">
        <v>33765</v>
      </c>
      <c r="M21" s="56">
        <f t="shared" si="8"/>
        <v>6789</v>
      </c>
      <c r="N21" s="56">
        <v>1605</v>
      </c>
      <c r="O21" s="56">
        <v>1937</v>
      </c>
      <c r="P21" s="56">
        <v>3247</v>
      </c>
      <c r="Q21" s="56">
        <v>2506</v>
      </c>
      <c r="R21" s="56">
        <v>741</v>
      </c>
    </row>
    <row r="22" spans="1:18">
      <c r="A22" s="66">
        <v>1977</v>
      </c>
      <c r="B22" s="56">
        <f t="shared" si="0"/>
        <v>212410.72960224215</v>
      </c>
      <c r="C22" s="56">
        <f t="shared" si="1"/>
        <v>37398.184162251935</v>
      </c>
      <c r="D22" s="56">
        <f t="shared" si="2"/>
        <v>7225.7331335547042</v>
      </c>
      <c r="E22" s="56">
        <f t="shared" si="3"/>
        <v>1442.422312975682</v>
      </c>
      <c r="F22" s="56">
        <f t="shared" si="4"/>
        <v>2509.5717457967639</v>
      </c>
      <c r="G22" s="56">
        <f t="shared" si="5"/>
        <v>3209.9005076142116</v>
      </c>
      <c r="H22" s="56">
        <f t="shared" si="6"/>
        <v>2466.8298611111095</v>
      </c>
      <c r="I22" s="56">
        <f t="shared" si="7"/>
        <v>711.43198634035298</v>
      </c>
      <c r="K22" s="56">
        <v>207193</v>
      </c>
      <c r="L22" s="56">
        <v>37115</v>
      </c>
      <c r="M22" s="56">
        <f t="shared" si="8"/>
        <v>7722</v>
      </c>
      <c r="N22" s="56">
        <v>1847</v>
      </c>
      <c r="O22" s="56">
        <v>2465</v>
      </c>
      <c r="P22" s="56">
        <v>3410</v>
      </c>
      <c r="Q22" s="56">
        <v>2686</v>
      </c>
      <c r="R22" s="56">
        <v>724</v>
      </c>
    </row>
    <row r="23" spans="1:18">
      <c r="A23" s="66">
        <v>1978</v>
      </c>
      <c r="B23" s="56">
        <f t="shared" si="0"/>
        <v>236361.05352712175</v>
      </c>
      <c r="C23" s="56">
        <f t="shared" si="1"/>
        <v>42485.707584997726</v>
      </c>
      <c r="D23" s="56">
        <f t="shared" si="2"/>
        <v>8570.3819956264615</v>
      </c>
      <c r="E23" s="56">
        <f t="shared" si="3"/>
        <v>1703.2609987005751</v>
      </c>
      <c r="F23" s="56">
        <f t="shared" si="4"/>
        <v>3162.1622078883361</v>
      </c>
      <c r="G23" s="56">
        <f t="shared" si="5"/>
        <v>3644.7902538071044</v>
      </c>
      <c r="H23" s="56">
        <f t="shared" si="6"/>
        <v>2835.1093749999982</v>
      </c>
      <c r="I23" s="56">
        <f t="shared" si="7"/>
        <v>771.37307911212304</v>
      </c>
      <c r="K23" s="56">
        <v>230555</v>
      </c>
      <c r="L23" s="56">
        <v>42164</v>
      </c>
      <c r="M23" s="56">
        <f t="shared" si="8"/>
        <v>9159</v>
      </c>
      <c r="N23" s="56">
        <v>2181</v>
      </c>
      <c r="O23" s="56">
        <v>3106</v>
      </c>
      <c r="P23" s="56">
        <v>3872</v>
      </c>
      <c r="Q23" s="56">
        <v>3087</v>
      </c>
      <c r="R23" s="56">
        <v>785</v>
      </c>
    </row>
    <row r="24" spans="1:18">
      <c r="A24" s="66">
        <v>1979</v>
      </c>
      <c r="B24" s="56">
        <f t="shared" si="0"/>
        <v>271212.14768970554</v>
      </c>
      <c r="C24" s="56">
        <f t="shared" si="1"/>
        <v>49732.581907910724</v>
      </c>
      <c r="D24" s="56">
        <f t="shared" si="2"/>
        <v>10443.720215436941</v>
      </c>
      <c r="E24" s="56">
        <f t="shared" si="3"/>
        <v>2129.6619639873766</v>
      </c>
      <c r="F24" s="56">
        <f t="shared" si="4"/>
        <v>3586.702336893306</v>
      </c>
      <c r="G24" s="56">
        <f t="shared" si="5"/>
        <v>4622.821522842637</v>
      </c>
      <c r="H24" s="56">
        <f t="shared" si="6"/>
        <v>3713.1024305555534</v>
      </c>
      <c r="I24" s="56">
        <f t="shared" si="7"/>
        <v>852.93227091633469</v>
      </c>
      <c r="K24" s="56">
        <v>264550</v>
      </c>
      <c r="L24" s="56">
        <v>49356</v>
      </c>
      <c r="M24" s="56">
        <f t="shared" si="8"/>
        <v>11161</v>
      </c>
      <c r="N24" s="56">
        <v>2727</v>
      </c>
      <c r="O24" s="56">
        <v>3523</v>
      </c>
      <c r="P24" s="56">
        <v>4911</v>
      </c>
      <c r="Q24" s="56">
        <v>4043</v>
      </c>
      <c r="R24" s="56">
        <v>868</v>
      </c>
    </row>
    <row r="25" spans="1:18">
      <c r="A25" s="66">
        <v>1980</v>
      </c>
      <c r="B25" s="56">
        <f t="shared" si="0"/>
        <v>307331.39315333701</v>
      </c>
      <c r="C25" s="56">
        <f t="shared" si="1"/>
        <v>53138.371008501097</v>
      </c>
      <c r="D25" s="56">
        <f t="shared" si="2"/>
        <v>10845.149833967758</v>
      </c>
      <c r="E25" s="56">
        <f t="shared" si="3"/>
        <v>2192.1382958975305</v>
      </c>
      <c r="F25" s="56">
        <f t="shared" si="4"/>
        <v>3158.0898805117895</v>
      </c>
      <c r="G25" s="56">
        <f t="shared" si="5"/>
        <v>5347.6377664974589</v>
      </c>
      <c r="H25" s="56">
        <f t="shared" si="6"/>
        <v>4327.5138888888869</v>
      </c>
      <c r="I25" s="56">
        <f t="shared" si="7"/>
        <v>951.1963574274331</v>
      </c>
      <c r="K25" s="56">
        <v>299782</v>
      </c>
      <c r="L25" s="56">
        <v>52736</v>
      </c>
      <c r="M25" s="56">
        <f t="shared" si="8"/>
        <v>11590</v>
      </c>
      <c r="N25" s="56">
        <v>2807</v>
      </c>
      <c r="O25" s="56">
        <v>3102</v>
      </c>
      <c r="P25" s="56">
        <v>5681</v>
      </c>
      <c r="Q25" s="56">
        <v>4712</v>
      </c>
      <c r="R25" s="56">
        <v>968</v>
      </c>
    </row>
    <row r="26" spans="1:18">
      <c r="A26" s="66">
        <v>1981</v>
      </c>
      <c r="B26" s="56">
        <f t="shared" si="0"/>
        <v>347045.95519964775</v>
      </c>
      <c r="C26" s="56">
        <f t="shared" si="1"/>
        <v>59600.30163042005</v>
      </c>
      <c r="D26" s="56">
        <f t="shared" si="2"/>
        <v>10034.804729893896</v>
      </c>
      <c r="E26" s="56">
        <f t="shared" si="3"/>
        <v>1847.7375162428064</v>
      </c>
      <c r="F26" s="56">
        <f t="shared" si="4"/>
        <v>2689.7722322089448</v>
      </c>
      <c r="G26" s="56">
        <f t="shared" si="5"/>
        <v>5380.5839593908595</v>
      </c>
      <c r="H26" s="56">
        <f t="shared" si="6"/>
        <v>4299.0434027777756</v>
      </c>
      <c r="I26" s="56">
        <f t="shared" si="7"/>
        <v>1017.0332953898691</v>
      </c>
      <c r="K26" s="56">
        <v>338521</v>
      </c>
      <c r="L26" s="56">
        <v>59149</v>
      </c>
      <c r="M26" s="56">
        <f t="shared" si="8"/>
        <v>10724</v>
      </c>
      <c r="N26" s="56">
        <v>2366</v>
      </c>
      <c r="O26" s="56">
        <v>2642</v>
      </c>
      <c r="P26" s="56">
        <v>5716</v>
      </c>
      <c r="Q26" s="56">
        <v>4681</v>
      </c>
      <c r="R26" s="56">
        <v>1035</v>
      </c>
    </row>
    <row r="27" spans="1:18">
      <c r="A27" s="66">
        <v>1982</v>
      </c>
      <c r="B27" s="56">
        <f t="shared" si="0"/>
        <v>366270.18575522269</v>
      </c>
      <c r="C27" s="56">
        <f t="shared" si="1"/>
        <v>56200.558309298191</v>
      </c>
      <c r="D27" s="56">
        <f t="shared" si="2"/>
        <v>8273.7545152668627</v>
      </c>
      <c r="E27" s="56">
        <f t="shared" si="3"/>
        <v>1603.2988676443285</v>
      </c>
      <c r="F27" s="56">
        <f t="shared" si="4"/>
        <v>2042.2721793380558</v>
      </c>
      <c r="G27" s="56">
        <f t="shared" si="5"/>
        <v>4502.3325888324844</v>
      </c>
      <c r="H27" s="56">
        <f t="shared" si="6"/>
        <v>3496.3593749999986</v>
      </c>
      <c r="I27" s="56">
        <f t="shared" si="7"/>
        <v>960.04012521343202</v>
      </c>
      <c r="K27" s="56">
        <v>357273</v>
      </c>
      <c r="L27" s="56">
        <v>55775</v>
      </c>
      <c r="M27" s="56">
        <f t="shared" si="8"/>
        <v>8842</v>
      </c>
      <c r="N27" s="56">
        <v>2053</v>
      </c>
      <c r="O27" s="56">
        <v>2006</v>
      </c>
      <c r="P27" s="56">
        <v>4783</v>
      </c>
      <c r="Q27" s="56">
        <v>3807</v>
      </c>
      <c r="R27" s="56">
        <v>977</v>
      </c>
    </row>
    <row r="28" spans="1:18">
      <c r="A28" s="66">
        <v>1983</v>
      </c>
      <c r="B28" s="56">
        <f t="shared" si="0"/>
        <v>398762.33396492794</v>
      </c>
      <c r="C28" s="56">
        <f t="shared" si="1"/>
        <v>63498.821757693477</v>
      </c>
      <c r="D28" s="56">
        <f t="shared" si="2"/>
        <v>10009.539928727621</v>
      </c>
      <c r="E28" s="56">
        <f t="shared" si="3"/>
        <v>2064.8427696305916</v>
      </c>
      <c r="F28" s="56">
        <f t="shared" si="4"/>
        <v>3134.6739980966472</v>
      </c>
      <c r="G28" s="56">
        <f t="shared" si="5"/>
        <v>4682.1246700507581</v>
      </c>
      <c r="H28" s="56">
        <f t="shared" si="6"/>
        <v>3488.0937499999982</v>
      </c>
      <c r="I28" s="56">
        <f t="shared" si="7"/>
        <v>1155.585657370518</v>
      </c>
      <c r="K28" s="56">
        <v>388967</v>
      </c>
      <c r="L28" s="56">
        <v>63018</v>
      </c>
      <c r="M28" s="56">
        <f t="shared" si="8"/>
        <v>10697</v>
      </c>
      <c r="N28" s="56">
        <v>2644</v>
      </c>
      <c r="O28" s="56">
        <v>3079</v>
      </c>
      <c r="P28" s="56">
        <v>4974</v>
      </c>
      <c r="Q28" s="56">
        <v>3798</v>
      </c>
      <c r="R28" s="56">
        <v>1176</v>
      </c>
    </row>
    <row r="29" spans="1:18">
      <c r="A29" s="66">
        <v>1984</v>
      </c>
      <c r="B29" s="56">
        <f t="shared" si="0"/>
        <v>436006.20511752408</v>
      </c>
      <c r="C29" s="56">
        <f t="shared" si="1"/>
        <v>74108.15709500591</v>
      </c>
      <c r="D29" s="56">
        <f t="shared" si="2"/>
        <v>11329.859723009633</v>
      </c>
      <c r="E29" s="56">
        <f t="shared" si="3"/>
        <v>2155.4334509003152</v>
      </c>
      <c r="F29" s="56">
        <f t="shared" si="4"/>
        <v>3263.9703923019979</v>
      </c>
      <c r="G29" s="56">
        <f t="shared" si="5"/>
        <v>5781.5861928933973</v>
      </c>
      <c r="H29" s="56">
        <f t="shared" si="6"/>
        <v>4523.1336805555529</v>
      </c>
      <c r="I29" s="56">
        <f t="shared" si="7"/>
        <v>1195.8739328400684</v>
      </c>
      <c r="K29" s="56">
        <v>425296</v>
      </c>
      <c r="L29" s="56">
        <v>73547</v>
      </c>
      <c r="M29" s="56">
        <f t="shared" si="8"/>
        <v>12108</v>
      </c>
      <c r="N29" s="56">
        <v>2760</v>
      </c>
      <c r="O29" s="56">
        <v>3206</v>
      </c>
      <c r="P29" s="56">
        <v>6142</v>
      </c>
      <c r="Q29" s="56">
        <v>4925</v>
      </c>
      <c r="R29" s="56">
        <v>1217</v>
      </c>
    </row>
    <row r="30" spans="1:18">
      <c r="A30" s="66">
        <v>1985</v>
      </c>
      <c r="B30" s="56">
        <f t="shared" si="0"/>
        <v>470013.57371764851</v>
      </c>
      <c r="C30" s="56">
        <f t="shared" si="1"/>
        <v>80201.295169346136</v>
      </c>
      <c r="D30" s="56">
        <f t="shared" si="2"/>
        <v>11734.096541670036</v>
      </c>
      <c r="E30" s="56">
        <f t="shared" si="3"/>
        <v>2067.1856320772226</v>
      </c>
      <c r="F30" s="56">
        <f t="shared" si="4"/>
        <v>3742.4688590462088</v>
      </c>
      <c r="G30" s="56">
        <f t="shared" si="5"/>
        <v>5852.185177664971</v>
      </c>
      <c r="H30" s="56">
        <f t="shared" si="6"/>
        <v>4508.4392361111086</v>
      </c>
      <c r="I30" s="56">
        <f t="shared" si="7"/>
        <v>1285.294251565168</v>
      </c>
      <c r="K30" s="56">
        <v>458468</v>
      </c>
      <c r="L30" s="56">
        <v>79594</v>
      </c>
      <c r="M30" s="56">
        <f t="shared" si="8"/>
        <v>12540</v>
      </c>
      <c r="N30" s="56">
        <v>2647</v>
      </c>
      <c r="O30" s="56">
        <v>3676</v>
      </c>
      <c r="P30" s="56">
        <v>6217</v>
      </c>
      <c r="Q30" s="56">
        <v>4909</v>
      </c>
      <c r="R30" s="56">
        <v>1308</v>
      </c>
    </row>
    <row r="31" spans="1:18">
      <c r="A31" s="66">
        <v>1986</v>
      </c>
      <c r="B31" s="56">
        <f t="shared" si="0"/>
        <v>491609.05242142337</v>
      </c>
      <c r="C31" s="56">
        <f t="shared" si="1"/>
        <v>85458.100417210037</v>
      </c>
      <c r="D31" s="56">
        <f t="shared" si="2"/>
        <v>13311.743014497444</v>
      </c>
      <c r="E31" s="56">
        <f t="shared" si="3"/>
        <v>2100.7666604789306</v>
      </c>
      <c r="F31" s="56">
        <f t="shared" si="4"/>
        <v>4314.6308554509878</v>
      </c>
      <c r="G31" s="56">
        <f t="shared" si="5"/>
        <v>6869.7518781725848</v>
      </c>
      <c r="H31" s="56">
        <f t="shared" si="6"/>
        <v>5504.9062499999973</v>
      </c>
      <c r="I31" s="56">
        <f t="shared" si="7"/>
        <v>1281.3636881047241</v>
      </c>
      <c r="K31" s="56">
        <v>479533</v>
      </c>
      <c r="L31" s="56">
        <v>84811</v>
      </c>
      <c r="M31" s="56">
        <f t="shared" si="8"/>
        <v>14226</v>
      </c>
      <c r="N31" s="56">
        <v>2690</v>
      </c>
      <c r="O31" s="56">
        <v>4238</v>
      </c>
      <c r="P31" s="56">
        <v>7298</v>
      </c>
      <c r="Q31" s="56">
        <v>5994</v>
      </c>
      <c r="R31" s="56">
        <v>1304</v>
      </c>
    </row>
    <row r="32" spans="1:18">
      <c r="A32" s="66">
        <v>1987</v>
      </c>
      <c r="B32" s="56">
        <f t="shared" si="0"/>
        <v>534014.71969429043</v>
      </c>
      <c r="C32" s="56">
        <f t="shared" si="1"/>
        <v>93440.54457545765</v>
      </c>
      <c r="D32" s="56">
        <f t="shared" si="2"/>
        <v>16429.60662509111</v>
      </c>
      <c r="E32" s="56">
        <f t="shared" si="3"/>
        <v>2696.6346760720248</v>
      </c>
      <c r="F32" s="56">
        <f t="shared" si="4"/>
        <v>5166.7653589933379</v>
      </c>
      <c r="G32" s="56">
        <f t="shared" si="5"/>
        <v>8500.1177664974566</v>
      </c>
      <c r="H32" s="56">
        <f t="shared" si="6"/>
        <v>6988.1267361111086</v>
      </c>
      <c r="I32" s="56">
        <f t="shared" si="7"/>
        <v>1396.3326693227093</v>
      </c>
      <c r="K32" s="56">
        <v>520897</v>
      </c>
      <c r="L32" s="56">
        <v>92733</v>
      </c>
      <c r="M32" s="56">
        <f t="shared" si="8"/>
        <v>17558</v>
      </c>
      <c r="N32" s="56">
        <v>3453</v>
      </c>
      <c r="O32" s="56">
        <v>5075</v>
      </c>
      <c r="P32" s="56">
        <v>9030</v>
      </c>
      <c r="Q32" s="56">
        <v>7609</v>
      </c>
      <c r="R32" s="56">
        <v>1421</v>
      </c>
    </row>
    <row r="33" spans="1:18">
      <c r="A33" s="66">
        <v>1988</v>
      </c>
      <c r="B33" s="56">
        <f t="shared" si="0"/>
        <v>583213.24915045733</v>
      </c>
      <c r="C33" s="56">
        <f t="shared" si="1"/>
        <v>104611.12977342951</v>
      </c>
      <c r="D33" s="56">
        <f t="shared" si="2"/>
        <v>17716.240017818087</v>
      </c>
      <c r="E33" s="56">
        <f t="shared" si="3"/>
        <v>3010.5782439205491</v>
      </c>
      <c r="F33" s="56">
        <f t="shared" si="4"/>
        <v>4816.545204610341</v>
      </c>
      <c r="G33" s="56">
        <f t="shared" si="5"/>
        <v>9739.8359390862879</v>
      </c>
      <c r="H33" s="56">
        <f t="shared" si="6"/>
        <v>8115.925347222219</v>
      </c>
      <c r="I33" s="56">
        <f t="shared" si="7"/>
        <v>1483.787706317587</v>
      </c>
      <c r="K33" s="56">
        <v>568887</v>
      </c>
      <c r="L33" s="56">
        <v>103819</v>
      </c>
      <c r="M33" s="56">
        <f t="shared" si="8"/>
        <v>18933</v>
      </c>
      <c r="N33" s="56">
        <v>3855</v>
      </c>
      <c r="O33" s="56">
        <v>4731</v>
      </c>
      <c r="P33" s="56">
        <v>10347</v>
      </c>
      <c r="Q33" s="56">
        <v>8837</v>
      </c>
      <c r="R33" s="56">
        <v>1510</v>
      </c>
    </row>
    <row r="34" spans="1:18">
      <c r="A34" s="66">
        <v>1989</v>
      </c>
      <c r="B34" s="56">
        <f t="shared" si="0"/>
        <v>622973.94442922331</v>
      </c>
      <c r="C34" s="56">
        <f t="shared" si="1"/>
        <v>107761.98850643131</v>
      </c>
      <c r="D34" s="56">
        <f t="shared" si="2"/>
        <v>17442.070138495175</v>
      </c>
      <c r="E34" s="56">
        <f t="shared" si="3"/>
        <v>3073.8355299795803</v>
      </c>
      <c r="F34" s="56">
        <f t="shared" si="4"/>
        <v>4935.6607803743254</v>
      </c>
      <c r="G34" s="56">
        <f t="shared" si="5"/>
        <v>9277.6479187817204</v>
      </c>
      <c r="H34" s="56">
        <f t="shared" si="6"/>
        <v>7483.1458333333312</v>
      </c>
      <c r="I34" s="56">
        <f t="shared" si="7"/>
        <v>1678.3505976095619</v>
      </c>
      <c r="K34" s="56">
        <v>607671</v>
      </c>
      <c r="L34" s="56">
        <v>106946</v>
      </c>
      <c r="M34" s="56">
        <f t="shared" si="8"/>
        <v>18640</v>
      </c>
      <c r="N34" s="56">
        <v>3936</v>
      </c>
      <c r="O34" s="56">
        <v>4848</v>
      </c>
      <c r="P34" s="56">
        <v>9856</v>
      </c>
      <c r="Q34" s="56">
        <v>8148</v>
      </c>
      <c r="R34" s="56">
        <v>1708</v>
      </c>
    </row>
    <row r="35" spans="1:18">
      <c r="A35" s="66">
        <v>1990</v>
      </c>
      <c r="B35" s="56">
        <f t="shared" si="0"/>
        <v>647301.5356772925</v>
      </c>
      <c r="C35" s="56">
        <f t="shared" si="1"/>
        <v>103876.56756800631</v>
      </c>
      <c r="D35" s="56">
        <f t="shared" si="2"/>
        <v>15116.772697821329</v>
      </c>
      <c r="E35" s="56">
        <f t="shared" si="3"/>
        <v>2667.7393725635789</v>
      </c>
      <c r="F35" s="56">
        <f t="shared" si="4"/>
        <v>4320.7393465158075</v>
      </c>
      <c r="G35" s="56">
        <f t="shared" si="5"/>
        <v>7996.5116751268988</v>
      </c>
      <c r="H35" s="56">
        <f t="shared" si="6"/>
        <v>6311.2638888888869</v>
      </c>
      <c r="I35" s="56">
        <f t="shared" si="7"/>
        <v>1594.8261240751283</v>
      </c>
      <c r="K35" s="56">
        <v>631401</v>
      </c>
      <c r="L35" s="56">
        <v>103090</v>
      </c>
      <c r="M35" s="56">
        <f t="shared" si="8"/>
        <v>16155</v>
      </c>
      <c r="N35" s="56">
        <v>3416</v>
      </c>
      <c r="O35" s="56">
        <v>4244</v>
      </c>
      <c r="P35" s="56">
        <v>8495</v>
      </c>
      <c r="Q35" s="56">
        <v>6872</v>
      </c>
      <c r="R35" s="56">
        <v>1623</v>
      </c>
    </row>
    <row r="36" spans="1:18">
      <c r="A36" s="66">
        <v>1991</v>
      </c>
      <c r="B36" s="56">
        <f t="shared" si="0"/>
        <v>652100.41703558213</v>
      </c>
      <c r="C36" s="56">
        <f t="shared" si="1"/>
        <v>97293.721356717288</v>
      </c>
      <c r="D36" s="56">
        <f t="shared" si="2"/>
        <v>12390.981371993194</v>
      </c>
      <c r="E36" s="56">
        <f t="shared" si="3"/>
        <v>2356.1386671616851</v>
      </c>
      <c r="F36" s="56">
        <f t="shared" si="4"/>
        <v>3740.4326953579357</v>
      </c>
      <c r="G36" s="56">
        <f t="shared" si="5"/>
        <v>6166.5859898477129</v>
      </c>
      <c r="H36" s="56">
        <f t="shared" si="6"/>
        <v>4443.2326388888878</v>
      </c>
      <c r="I36" s="56">
        <f t="shared" si="7"/>
        <v>1683.263801935117</v>
      </c>
      <c r="K36" s="56">
        <v>636082</v>
      </c>
      <c r="L36" s="56">
        <v>96557</v>
      </c>
      <c r="M36" s="56">
        <f t="shared" si="8"/>
        <v>13242</v>
      </c>
      <c r="N36" s="56">
        <v>3017</v>
      </c>
      <c r="O36" s="56">
        <v>3674</v>
      </c>
      <c r="P36" s="56">
        <v>6551</v>
      </c>
      <c r="Q36" s="56">
        <v>4838</v>
      </c>
      <c r="R36" s="56">
        <v>1713</v>
      </c>
    </row>
    <row r="37" spans="1:18">
      <c r="A37" s="66">
        <v>1992</v>
      </c>
      <c r="B37" s="56">
        <f t="shared" si="0"/>
        <v>665444.19822752767</v>
      </c>
      <c r="C37" s="56">
        <f t="shared" si="1"/>
        <v>96838.272636756679</v>
      </c>
      <c r="D37" s="56">
        <f t="shared" si="2"/>
        <v>12912.184862719685</v>
      </c>
      <c r="E37" s="56">
        <f t="shared" si="3"/>
        <v>2663.0536476703169</v>
      </c>
      <c r="F37" s="56">
        <f t="shared" si="4"/>
        <v>4548.7896796024106</v>
      </c>
      <c r="G37" s="56">
        <f t="shared" si="5"/>
        <v>5573.5545177664953</v>
      </c>
      <c r="H37" s="56">
        <f t="shared" si="6"/>
        <v>3923.4166666666656</v>
      </c>
      <c r="I37" s="56">
        <f t="shared" si="7"/>
        <v>1620.3747865680139</v>
      </c>
      <c r="K37" s="56">
        <v>649098</v>
      </c>
      <c r="L37" s="56">
        <v>96105</v>
      </c>
      <c r="M37" s="56">
        <f t="shared" si="8"/>
        <v>13799</v>
      </c>
      <c r="N37" s="56">
        <v>3410</v>
      </c>
      <c r="O37" s="56">
        <v>4468</v>
      </c>
      <c r="P37" s="56">
        <v>5921</v>
      </c>
      <c r="Q37" s="56">
        <v>4272</v>
      </c>
      <c r="R37" s="56">
        <v>1649</v>
      </c>
    </row>
    <row r="38" spans="1:18">
      <c r="A38" s="66">
        <v>1993</v>
      </c>
      <c r="B38" s="56">
        <f t="shared" si="0"/>
        <v>689781.01612208795</v>
      </c>
      <c r="C38" s="56">
        <f t="shared" si="1"/>
        <v>104162.73446284881</v>
      </c>
      <c r="D38" s="56">
        <f t="shared" si="2"/>
        <v>16007.590872276662</v>
      </c>
      <c r="E38" s="56">
        <f t="shared" si="3"/>
        <v>3368.2552441061807</v>
      </c>
      <c r="F38" s="56">
        <f t="shared" si="4"/>
        <v>6590.0437770963299</v>
      </c>
      <c r="G38" s="56">
        <f t="shared" si="5"/>
        <v>5950.0824365482213</v>
      </c>
      <c r="H38" s="56">
        <f t="shared" si="6"/>
        <v>4218.2239583333321</v>
      </c>
      <c r="I38" s="56">
        <f t="shared" si="7"/>
        <v>1698.0034149117816</v>
      </c>
      <c r="K38" s="56">
        <v>672837</v>
      </c>
      <c r="L38" s="56">
        <v>103374</v>
      </c>
      <c r="M38" s="56">
        <f t="shared" si="8"/>
        <v>17107</v>
      </c>
      <c r="N38" s="56">
        <v>4313</v>
      </c>
      <c r="O38" s="56">
        <v>6473</v>
      </c>
      <c r="P38" s="56">
        <v>6321</v>
      </c>
      <c r="Q38" s="56">
        <v>4593</v>
      </c>
      <c r="R38" s="56">
        <v>1728</v>
      </c>
    </row>
    <row r="39" spans="1:18">
      <c r="A39" s="66">
        <v>1994</v>
      </c>
      <c r="B39" s="56">
        <f t="shared" si="0"/>
        <v>732134.399064839</v>
      </c>
      <c r="C39" s="56">
        <f t="shared" si="1"/>
        <v>119427.31999090902</v>
      </c>
      <c r="D39" s="56">
        <f t="shared" si="2"/>
        <v>19923.635053049318</v>
      </c>
      <c r="E39" s="56">
        <f t="shared" si="3"/>
        <v>3650.9606459996276</v>
      </c>
      <c r="F39" s="56">
        <f t="shared" si="4"/>
        <v>8691.3647033943089</v>
      </c>
      <c r="G39" s="56">
        <f t="shared" si="5"/>
        <v>7605.8639593908601</v>
      </c>
      <c r="H39" s="56">
        <f t="shared" si="6"/>
        <v>5662.8715277777756</v>
      </c>
      <c r="I39" s="56">
        <f t="shared" si="7"/>
        <v>1881.7572566875358</v>
      </c>
      <c r="K39" s="56">
        <v>714150</v>
      </c>
      <c r="L39" s="56">
        <v>118523</v>
      </c>
      <c r="M39" s="56">
        <f t="shared" si="8"/>
        <v>21292</v>
      </c>
      <c r="N39" s="56">
        <v>4675</v>
      </c>
      <c r="O39" s="56">
        <v>8537</v>
      </c>
      <c r="P39" s="56">
        <v>8080</v>
      </c>
      <c r="Q39" s="56">
        <v>6166</v>
      </c>
      <c r="R39" s="56">
        <v>1915</v>
      </c>
    </row>
    <row r="40" spans="1:18">
      <c r="A40" s="66">
        <v>1995</v>
      </c>
      <c r="B40" s="56">
        <f t="shared" si="0"/>
        <v>769568.95424491679</v>
      </c>
      <c r="C40" s="56">
        <f t="shared" si="1"/>
        <v>134867.23312355584</v>
      </c>
      <c r="D40" s="56">
        <f t="shared" si="2"/>
        <v>25696.174252854937</v>
      </c>
      <c r="E40" s="56">
        <f t="shared" si="3"/>
        <v>4306.1811769073684</v>
      </c>
      <c r="F40" s="56">
        <f t="shared" si="4"/>
        <v>7611.1798667653566</v>
      </c>
      <c r="G40" s="56">
        <f t="shared" si="5"/>
        <v>13621.838781725883</v>
      </c>
      <c r="H40" s="56">
        <f t="shared" si="6"/>
        <v>11281.659722222219</v>
      </c>
      <c r="I40" s="56">
        <f t="shared" si="7"/>
        <v>2149.0355719977238</v>
      </c>
      <c r="K40" s="56">
        <v>750665</v>
      </c>
      <c r="L40" s="56">
        <v>133846</v>
      </c>
      <c r="M40" s="56">
        <f t="shared" si="8"/>
        <v>27461</v>
      </c>
      <c r="N40" s="56">
        <v>5514</v>
      </c>
      <c r="O40" s="56">
        <v>7476</v>
      </c>
      <c r="P40" s="56">
        <v>14471</v>
      </c>
      <c r="Q40" s="56">
        <v>12284</v>
      </c>
      <c r="R40" s="56">
        <v>2187</v>
      </c>
    </row>
    <row r="41" spans="1:18">
      <c r="A41" s="66">
        <v>1996</v>
      </c>
      <c r="B41" s="56">
        <f t="shared" si="0"/>
        <v>795353.33045562846</v>
      </c>
      <c r="C41" s="56">
        <f t="shared" si="1"/>
        <v>136218.4648347664</v>
      </c>
      <c r="D41" s="56">
        <f t="shared" si="2"/>
        <v>23987.525107313511</v>
      </c>
      <c r="E41" s="56">
        <f t="shared" si="3"/>
        <v>4256.2001113792448</v>
      </c>
      <c r="F41" s="56">
        <f t="shared" si="4"/>
        <v>8103.9314793274798</v>
      </c>
      <c r="G41" s="56">
        <f t="shared" si="5"/>
        <v>11507.634517766493</v>
      </c>
      <c r="H41" s="56">
        <f t="shared" si="6"/>
        <v>8932.3854166666642</v>
      </c>
      <c r="I41" s="56">
        <f t="shared" si="7"/>
        <v>2454.63688104724</v>
      </c>
      <c r="K41" s="56">
        <v>775816</v>
      </c>
      <c r="L41" s="56">
        <v>135187</v>
      </c>
      <c r="M41" s="56">
        <f t="shared" si="8"/>
        <v>25635</v>
      </c>
      <c r="N41" s="56">
        <v>5450</v>
      </c>
      <c r="O41" s="56">
        <v>7960</v>
      </c>
      <c r="P41" s="56">
        <v>12225</v>
      </c>
      <c r="Q41" s="56">
        <v>9726</v>
      </c>
      <c r="R41" s="56">
        <v>2498</v>
      </c>
    </row>
    <row r="42" spans="1:18">
      <c r="A42" s="66">
        <v>1997</v>
      </c>
      <c r="B42" s="56">
        <f t="shared" si="0"/>
        <v>837324.32016047265</v>
      </c>
      <c r="C42" s="56">
        <f t="shared" si="1"/>
        <v>143359.5380169806</v>
      </c>
      <c r="D42" s="56">
        <f t="shared" si="2"/>
        <v>23953.838705758477</v>
      </c>
      <c r="E42" s="56">
        <f t="shared" si="3"/>
        <v>4345.2288843512142</v>
      </c>
      <c r="F42" s="56">
        <f t="shared" si="4"/>
        <v>9364.3168023686139</v>
      </c>
      <c r="G42" s="56">
        <f t="shared" si="5"/>
        <v>10201.082639593906</v>
      </c>
      <c r="H42" s="56">
        <f t="shared" si="6"/>
        <v>7617.2326388888869</v>
      </c>
      <c r="I42" s="56">
        <f t="shared" si="7"/>
        <v>2498.855719977234</v>
      </c>
      <c r="K42" s="56">
        <v>816756</v>
      </c>
      <c r="L42" s="56">
        <v>142274</v>
      </c>
      <c r="M42" s="56">
        <f t="shared" si="8"/>
        <v>25599</v>
      </c>
      <c r="N42" s="56">
        <v>5564</v>
      </c>
      <c r="O42" s="56">
        <v>9198</v>
      </c>
      <c r="P42" s="56">
        <v>10837</v>
      </c>
      <c r="Q42" s="56">
        <v>8294</v>
      </c>
      <c r="R42" s="56">
        <v>2543</v>
      </c>
    </row>
    <row r="43" spans="1:18">
      <c r="A43" s="66">
        <v>1998</v>
      </c>
      <c r="B43" s="56">
        <f t="shared" si="0"/>
        <v>867852.21785052773</v>
      </c>
      <c r="C43" s="56">
        <f t="shared" si="1"/>
        <v>151231.1428849723</v>
      </c>
      <c r="D43" s="56">
        <f t="shared" si="2"/>
        <v>24671.546205555998</v>
      </c>
      <c r="E43" s="56">
        <f t="shared" si="3"/>
        <v>4531.0959717839223</v>
      </c>
      <c r="F43" s="56">
        <f t="shared" si="4"/>
        <v>9298.1414824997355</v>
      </c>
      <c r="G43" s="56">
        <f t="shared" si="5"/>
        <v>10760.226598984767</v>
      </c>
      <c r="H43" s="56">
        <f t="shared" si="6"/>
        <v>8001.1249999999982</v>
      </c>
      <c r="I43" s="56">
        <f t="shared" si="7"/>
        <v>2671.8005122367672</v>
      </c>
      <c r="K43" s="56">
        <v>846534</v>
      </c>
      <c r="L43" s="56">
        <v>150086</v>
      </c>
      <c r="M43" s="56">
        <f t="shared" si="8"/>
        <v>26366</v>
      </c>
      <c r="N43" s="56">
        <v>5802</v>
      </c>
      <c r="O43" s="56">
        <v>9133</v>
      </c>
      <c r="P43" s="56">
        <v>11431</v>
      </c>
      <c r="Q43" s="56">
        <v>8712</v>
      </c>
      <c r="R43" s="56">
        <v>2719</v>
      </c>
    </row>
    <row r="44" spans="1:18">
      <c r="A44" s="66">
        <v>1999</v>
      </c>
      <c r="B44" s="56">
        <f t="shared" si="0"/>
        <v>932602.77255883161</v>
      </c>
      <c r="C44" s="56">
        <f t="shared" si="1"/>
        <v>171616.50362285509</v>
      </c>
      <c r="D44" s="56">
        <f t="shared" si="2"/>
        <v>27086.674050376601</v>
      </c>
      <c r="E44" s="56">
        <f t="shared" si="3"/>
        <v>4363.9717839242603</v>
      </c>
      <c r="F44" s="56">
        <f t="shared" si="4"/>
        <v>12193.566247224278</v>
      </c>
      <c r="G44" s="56">
        <f t="shared" si="5"/>
        <v>10714.101928934006</v>
      </c>
      <c r="H44" s="56">
        <f t="shared" si="6"/>
        <v>7758.6666666666652</v>
      </c>
      <c r="I44" s="56">
        <f t="shared" si="7"/>
        <v>2883.0682982356288</v>
      </c>
      <c r="K44" s="56">
        <v>909694</v>
      </c>
      <c r="L44" s="56">
        <v>170317</v>
      </c>
      <c r="M44" s="56">
        <f t="shared" si="8"/>
        <v>28947</v>
      </c>
      <c r="N44" s="56">
        <v>5588</v>
      </c>
      <c r="O44" s="56">
        <v>11977</v>
      </c>
      <c r="P44" s="56">
        <v>11382</v>
      </c>
      <c r="Q44" s="56">
        <v>8448</v>
      </c>
      <c r="R44" s="56">
        <v>2934</v>
      </c>
    </row>
    <row r="45" spans="1:18">
      <c r="A45" s="66">
        <v>2000</v>
      </c>
      <c r="B45" s="56">
        <f t="shared" si="0"/>
        <v>1025111.1806439885</v>
      </c>
      <c r="C45" s="56">
        <f t="shared" si="1"/>
        <v>188903.40238312975</v>
      </c>
      <c r="D45" s="56">
        <f t="shared" si="2"/>
        <v>30288.75366485785</v>
      </c>
      <c r="E45" s="56">
        <f t="shared" si="3"/>
        <v>4431.9147948765531</v>
      </c>
      <c r="F45" s="56">
        <f t="shared" si="4"/>
        <v>12378.857142857143</v>
      </c>
      <c r="G45" s="56">
        <f t="shared" si="5"/>
        <v>13682.08324873096</v>
      </c>
      <c r="H45" s="56">
        <f t="shared" si="6"/>
        <v>10536.835069444442</v>
      </c>
      <c r="I45" s="56">
        <f t="shared" si="7"/>
        <v>3008.8463289698348</v>
      </c>
      <c r="K45" s="56">
        <v>999930</v>
      </c>
      <c r="L45" s="56">
        <v>187473</v>
      </c>
      <c r="M45" s="56">
        <f t="shared" si="8"/>
        <v>32369</v>
      </c>
      <c r="N45" s="56">
        <v>5675</v>
      </c>
      <c r="O45" s="56">
        <v>12159</v>
      </c>
      <c r="P45" s="56">
        <v>14535</v>
      </c>
      <c r="Q45" s="56">
        <v>11473</v>
      </c>
      <c r="R45" s="56">
        <v>3062</v>
      </c>
    </row>
    <row r="46" spans="1:18">
      <c r="A46" s="66">
        <v>2001</v>
      </c>
      <c r="B46" s="56">
        <f t="shared" si="0"/>
        <v>1058165.1291067044</v>
      </c>
      <c r="C46" s="56">
        <f t="shared" si="1"/>
        <v>181324.01018944904</v>
      </c>
      <c r="D46" s="56">
        <f t="shared" si="2"/>
        <v>28146.859965983629</v>
      </c>
      <c r="E46" s="56">
        <f t="shared" si="3"/>
        <v>4081.2663820308139</v>
      </c>
      <c r="F46" s="56">
        <f t="shared" si="4"/>
        <v>11504.324838743787</v>
      </c>
      <c r="G46" s="56">
        <f t="shared" si="5"/>
        <v>12758.648527918778</v>
      </c>
      <c r="H46" s="56">
        <f t="shared" si="6"/>
        <v>9111.4739583333321</v>
      </c>
      <c r="I46" s="56">
        <f t="shared" si="7"/>
        <v>3569.9342629482067</v>
      </c>
      <c r="K46" s="56">
        <v>1032172</v>
      </c>
      <c r="L46" s="56">
        <v>179951</v>
      </c>
      <c r="M46" s="56">
        <f t="shared" si="8"/>
        <v>30080</v>
      </c>
      <c r="N46" s="56">
        <v>5226</v>
      </c>
      <c r="O46" s="56">
        <v>11300</v>
      </c>
      <c r="P46" s="56">
        <v>13554</v>
      </c>
      <c r="Q46" s="56">
        <v>9921</v>
      </c>
      <c r="R46" s="56">
        <v>3633</v>
      </c>
    </row>
    <row r="47" spans="1:18">
      <c r="A47" s="66">
        <v>2002</v>
      </c>
      <c r="B47" s="56">
        <f t="shared" si="0"/>
        <v>1095679.6485563715</v>
      </c>
      <c r="C47" s="56">
        <f t="shared" si="1"/>
        <v>184130.25949274615</v>
      </c>
      <c r="D47" s="56">
        <f t="shared" si="2"/>
        <v>27919.476755487154</v>
      </c>
      <c r="E47" s="56">
        <f t="shared" si="3"/>
        <v>4602.1627993317234</v>
      </c>
      <c r="F47" s="56">
        <f t="shared" si="4"/>
        <v>12297.410595326211</v>
      </c>
      <c r="G47" s="56">
        <f t="shared" si="5"/>
        <v>11168.759390862942</v>
      </c>
      <c r="H47" s="56">
        <f t="shared" si="6"/>
        <v>7451.9201388888878</v>
      </c>
      <c r="I47" s="56">
        <f t="shared" si="7"/>
        <v>3685.8858850313031</v>
      </c>
      <c r="K47" s="56">
        <v>1068765</v>
      </c>
      <c r="L47" s="56">
        <v>182736</v>
      </c>
      <c r="M47" s="56">
        <f t="shared" si="8"/>
        <v>29837</v>
      </c>
      <c r="N47" s="56">
        <v>5893</v>
      </c>
      <c r="O47" s="56">
        <v>12079</v>
      </c>
      <c r="P47" s="56">
        <v>11865</v>
      </c>
      <c r="Q47" s="56">
        <v>8114</v>
      </c>
      <c r="R47" s="56">
        <v>3751</v>
      </c>
    </row>
    <row r="48" spans="1:18">
      <c r="A48" s="66">
        <v>2003</v>
      </c>
      <c r="B48" s="56">
        <f t="shared" si="0"/>
        <v>1157222.4058346204</v>
      </c>
      <c r="C48" s="56">
        <f t="shared" si="1"/>
        <v>182031.36638726396</v>
      </c>
      <c r="D48" s="56">
        <f t="shared" si="2"/>
        <v>25951.629464647278</v>
      </c>
      <c r="E48" s="56">
        <f t="shared" si="3"/>
        <v>4239.8000742528302</v>
      </c>
      <c r="F48" s="56">
        <f t="shared" si="4"/>
        <v>11808.731310140636</v>
      </c>
      <c r="G48" s="56">
        <f t="shared" si="5"/>
        <v>10077.769746192893</v>
      </c>
      <c r="H48" s="56">
        <f t="shared" si="6"/>
        <v>6353.5104166666661</v>
      </c>
      <c r="I48" s="56">
        <f t="shared" si="7"/>
        <v>3722.2435970404094</v>
      </c>
      <c r="K48" s="56">
        <v>1128796</v>
      </c>
      <c r="L48" s="56">
        <v>180653</v>
      </c>
      <c r="M48" s="56">
        <f t="shared" si="8"/>
        <v>27734</v>
      </c>
      <c r="N48" s="56">
        <v>5429</v>
      </c>
      <c r="O48" s="56">
        <v>11599</v>
      </c>
      <c r="P48" s="56">
        <v>10706</v>
      </c>
      <c r="Q48" s="56">
        <v>6918</v>
      </c>
      <c r="R48" s="56">
        <v>3788</v>
      </c>
    </row>
    <row r="49" spans="1:18">
      <c r="A49" s="66">
        <v>2004</v>
      </c>
      <c r="B49" s="56">
        <f t="shared" si="0"/>
        <v>1231558.4210641822</v>
      </c>
      <c r="C49" s="56">
        <f t="shared" si="1"/>
        <v>187855.4672752558</v>
      </c>
      <c r="D49" s="56">
        <f t="shared" si="2"/>
        <v>29214.531748602894</v>
      </c>
      <c r="E49" s="56">
        <f t="shared" si="3"/>
        <v>4722.4297382587702</v>
      </c>
      <c r="F49" s="56">
        <f t="shared" si="4"/>
        <v>14395.677276091785</v>
      </c>
      <c r="G49" s="56">
        <f t="shared" si="5"/>
        <v>10386.522639593908</v>
      </c>
      <c r="H49" s="56">
        <f t="shared" si="6"/>
        <v>6587.703125</v>
      </c>
      <c r="I49" s="56">
        <f t="shared" si="7"/>
        <v>3794.9590210586225</v>
      </c>
      <c r="K49" s="56">
        <v>1201306</v>
      </c>
      <c r="L49" s="56">
        <v>186433</v>
      </c>
      <c r="M49" s="56">
        <f t="shared" si="8"/>
        <v>31221</v>
      </c>
      <c r="N49" s="56">
        <v>6047</v>
      </c>
      <c r="O49" s="56">
        <v>14140</v>
      </c>
      <c r="P49" s="56">
        <v>11034</v>
      </c>
      <c r="Q49" s="56">
        <v>7173</v>
      </c>
      <c r="R49" s="56">
        <v>3862</v>
      </c>
    </row>
    <row r="50" spans="1:18">
      <c r="A50" s="66">
        <v>2005</v>
      </c>
      <c r="B50" s="56">
        <f t="shared" si="0"/>
        <v>1312798.0182349365</v>
      </c>
      <c r="C50" s="56">
        <f t="shared" si="1"/>
        <v>186453.85406847438</v>
      </c>
      <c r="D50" s="56">
        <f t="shared" si="2"/>
        <v>28014.92155989309</v>
      </c>
      <c r="E50" s="56">
        <f t="shared" si="3"/>
        <v>4728.6773714497858</v>
      </c>
      <c r="F50" s="56">
        <f t="shared" si="4"/>
        <v>13004.977477001165</v>
      </c>
      <c r="G50" s="56">
        <f t="shared" si="5"/>
        <v>10458.062944162437</v>
      </c>
      <c r="H50" s="56">
        <f t="shared" si="6"/>
        <v>6637.296875</v>
      </c>
      <c r="I50" s="56">
        <f t="shared" si="7"/>
        <v>3814.6118383608423</v>
      </c>
      <c r="K50" s="56">
        <v>1280550</v>
      </c>
      <c r="L50" s="56">
        <v>185042</v>
      </c>
      <c r="M50" s="56">
        <f t="shared" si="8"/>
        <v>29939</v>
      </c>
      <c r="N50" s="56">
        <v>6055</v>
      </c>
      <c r="O50" s="56">
        <v>12774</v>
      </c>
      <c r="P50" s="56">
        <v>11110</v>
      </c>
      <c r="Q50" s="56">
        <v>7227</v>
      </c>
      <c r="R50" s="56">
        <v>3882</v>
      </c>
    </row>
    <row r="51" spans="1:18">
      <c r="A51" s="66">
        <v>2006</v>
      </c>
      <c r="B51" s="56">
        <f>B52*(K51/K52)</f>
        <v>1388459.5950103791</v>
      </c>
      <c r="C51" s="56">
        <f t="shared" si="1"/>
        <v>185912.75680604333</v>
      </c>
      <c r="D51" s="56">
        <f t="shared" si="2"/>
        <v>25747.639588564023</v>
      </c>
      <c r="E51" s="56">
        <f t="shared" si="3"/>
        <v>4513.9149805086317</v>
      </c>
      <c r="F51" s="56">
        <f t="shared" si="4"/>
        <v>11304.780797293011</v>
      </c>
      <c r="G51" s="56">
        <f t="shared" si="5"/>
        <v>10008.112081218274</v>
      </c>
      <c r="H51" s="56">
        <f t="shared" si="6"/>
        <v>6419.635416666667</v>
      </c>
      <c r="I51" s="56">
        <f t="shared" si="7"/>
        <v>3578.7780307342059</v>
      </c>
      <c r="K51" s="56">
        <v>1354353</v>
      </c>
      <c r="L51" s="56">
        <v>184505</v>
      </c>
      <c r="M51" s="56">
        <f t="shared" si="8"/>
        <v>27516</v>
      </c>
      <c r="N51" s="56">
        <v>5780</v>
      </c>
      <c r="O51" s="56">
        <v>11104</v>
      </c>
      <c r="P51" s="56">
        <v>10632</v>
      </c>
      <c r="Q51" s="56">
        <v>6990</v>
      </c>
      <c r="R51" s="56">
        <v>3642</v>
      </c>
    </row>
    <row r="52" spans="1:18">
      <c r="A52" s="66">
        <v>2007</v>
      </c>
      <c r="B52" s="56">
        <v>1466801</v>
      </c>
      <c r="C52" s="56">
        <v>186209</v>
      </c>
      <c r="D52" s="56">
        <f t="shared" ref="D52" si="9">E52+F52+G52</f>
        <v>23107</v>
      </c>
      <c r="E52" s="56">
        <v>4207</v>
      </c>
      <c r="F52" s="56">
        <v>9628</v>
      </c>
      <c r="G52" s="56">
        <v>9272</v>
      </c>
      <c r="H52" s="56">
        <v>5819</v>
      </c>
      <c r="I52" s="56">
        <v>3453</v>
      </c>
      <c r="K52" s="56">
        <v>1430770</v>
      </c>
      <c r="L52" s="56">
        <v>184799</v>
      </c>
      <c r="M52" s="56">
        <f t="shared" si="8"/>
        <v>24694</v>
      </c>
      <c r="N52" s="56">
        <v>5387</v>
      </c>
      <c r="O52" s="56">
        <v>9457</v>
      </c>
      <c r="P52" s="56">
        <v>9850</v>
      </c>
      <c r="Q52" s="56">
        <v>6336</v>
      </c>
      <c r="R52" s="56">
        <v>3514</v>
      </c>
    </row>
    <row r="53" spans="1:18">
      <c r="A53" s="66">
        <v>2008</v>
      </c>
      <c r="B53" s="56">
        <v>1551579</v>
      </c>
      <c r="C53" s="56">
        <v>174933</v>
      </c>
      <c r="D53" s="56">
        <f>E53+F53+G53</f>
        <v>20638</v>
      </c>
      <c r="E53" s="56">
        <v>3883</v>
      </c>
      <c r="F53" s="56">
        <v>7943</v>
      </c>
      <c r="G53" s="56">
        <v>8812</v>
      </c>
      <c r="H53" s="56">
        <v>5452</v>
      </c>
      <c r="I53" s="56">
        <v>3360</v>
      </c>
      <c r="K53" s="56">
        <v>1509227</v>
      </c>
      <c r="L53" s="56">
        <v>173653</v>
      </c>
      <c r="M53" s="56">
        <f>N53+O53+P53</f>
        <v>22007</v>
      </c>
      <c r="N53" s="56">
        <v>4669</v>
      </c>
      <c r="O53" s="56">
        <v>7996</v>
      </c>
      <c r="P53" s="56">
        <v>9342</v>
      </c>
      <c r="Q53" s="56">
        <v>5930</v>
      </c>
      <c r="R53" s="56">
        <v>3412</v>
      </c>
    </row>
    <row r="54" spans="1:18">
      <c r="A54" s="66">
        <v>2009</v>
      </c>
      <c r="B54" s="56">
        <v>1470965</v>
      </c>
      <c r="C54" s="56">
        <v>156667</v>
      </c>
      <c r="D54" s="56">
        <f>E54+F54+G54</f>
        <v>16762</v>
      </c>
      <c r="E54" s="56">
        <v>3270</v>
      </c>
      <c r="F54" s="56">
        <v>5957</v>
      </c>
      <c r="G54" s="56">
        <v>7535</v>
      </c>
      <c r="H54" s="56">
        <v>4547</v>
      </c>
      <c r="I54" s="56">
        <v>2989</v>
      </c>
    </row>
    <row r="56" spans="1:18" ht="30" customHeight="1">
      <c r="A56" s="104" t="s">
        <v>2161</v>
      </c>
      <c r="B56" s="104"/>
      <c r="C56" s="104"/>
      <c r="D56" s="104"/>
      <c r="E56" s="104"/>
      <c r="F56" s="104"/>
      <c r="G56" s="104"/>
      <c r="H56" s="104"/>
      <c r="I56" s="104"/>
    </row>
    <row r="57" spans="1:18">
      <c r="A57" s="137" t="s">
        <v>35</v>
      </c>
      <c r="B57" s="137"/>
      <c r="C57" s="137"/>
      <c r="D57" s="137"/>
      <c r="E57" s="137"/>
      <c r="F57" s="137"/>
      <c r="G57" s="137"/>
      <c r="H57" s="137"/>
      <c r="I57" s="137"/>
    </row>
  </sheetData>
  <mergeCells count="18">
    <mergeCell ref="C2:C4"/>
    <mergeCell ref="A57:I57"/>
    <mergeCell ref="A56:I56"/>
    <mergeCell ref="A2:A4"/>
    <mergeCell ref="A1:I1"/>
    <mergeCell ref="D2:I2"/>
    <mergeCell ref="G3:I3"/>
    <mergeCell ref="F3:F4"/>
    <mergeCell ref="E3:E4"/>
    <mergeCell ref="D3:D4"/>
    <mergeCell ref="B2:B4"/>
    <mergeCell ref="K2:K4"/>
    <mergeCell ref="L2:L4"/>
    <mergeCell ref="M2:R2"/>
    <mergeCell ref="M3:M4"/>
    <mergeCell ref="N3:N4"/>
    <mergeCell ref="O3:O4"/>
    <mergeCell ref="P3:R3"/>
  </mergeCells>
  <pageMargins left="0.7" right="0.7" top="0.75" bottom="0.75" header="0.3" footer="0.3"/>
  <pageSetup scale="71" orientation="portrait" horizontalDpi="0" verticalDpi="0" r:id="rId1"/>
</worksheet>
</file>

<file path=xl/worksheets/sheet50.xml><?xml version="1.0" encoding="utf-8"?>
<worksheet xmlns="http://schemas.openxmlformats.org/spreadsheetml/2006/main" xmlns:r="http://schemas.openxmlformats.org/officeDocument/2006/relationships">
  <sheetPr codeName="Sheet47"/>
  <dimension ref="A1:M35"/>
  <sheetViews>
    <sheetView view="pageBreakPreview" zoomScale="85" zoomScaleNormal="100" zoomScaleSheetLayoutView="85" workbookViewId="0">
      <pane xSplit="1" ySplit="6" topLeftCell="B7"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10.140625" style="64" customWidth="1"/>
    <col min="2" max="2" width="16.28515625" style="64" customWidth="1"/>
    <col min="3" max="3" width="16" style="64" customWidth="1"/>
    <col min="4" max="4" width="11.85546875" style="64" customWidth="1"/>
    <col min="5" max="5" width="11.5703125" style="64" customWidth="1"/>
    <col min="6" max="6" width="10" style="64" customWidth="1"/>
    <col min="7" max="7" width="12.28515625" style="64" customWidth="1"/>
    <col min="8" max="8" width="11.140625" style="64" customWidth="1"/>
    <col min="9" max="9" width="11.7109375" style="64" customWidth="1"/>
    <col min="10" max="10" width="12.42578125" style="64" customWidth="1"/>
    <col min="11" max="11" width="17.7109375" style="64" bestFit="1" customWidth="1"/>
    <col min="12" max="12" width="14" style="64" customWidth="1"/>
    <col min="13" max="16384" width="9.140625" style="64"/>
  </cols>
  <sheetData>
    <row r="1" spans="1:12" ht="15" customHeight="1">
      <c r="A1" s="227" t="s">
        <v>2173</v>
      </c>
      <c r="B1" s="227"/>
      <c r="C1" s="227"/>
      <c r="D1" s="227"/>
      <c r="E1" s="227"/>
      <c r="F1" s="227"/>
      <c r="G1" s="227"/>
      <c r="H1" s="227"/>
      <c r="I1" s="227"/>
      <c r="J1" s="227"/>
      <c r="K1" s="227"/>
      <c r="L1" s="227"/>
    </row>
    <row r="2" spans="1:12" ht="15" customHeight="1">
      <c r="A2" s="238"/>
      <c r="B2" s="94" t="s">
        <v>673</v>
      </c>
      <c r="C2" s="112" t="s">
        <v>63</v>
      </c>
      <c r="D2" s="112"/>
      <c r="E2" s="112"/>
      <c r="F2" s="112"/>
      <c r="G2" s="112"/>
      <c r="H2" s="112"/>
      <c r="I2" s="112"/>
      <c r="J2" s="112"/>
      <c r="K2" s="112"/>
      <c r="L2" s="112"/>
    </row>
    <row r="3" spans="1:12">
      <c r="A3" s="238"/>
      <c r="B3" s="94"/>
      <c r="C3" s="111" t="s">
        <v>774</v>
      </c>
      <c r="D3" s="111"/>
      <c r="E3" s="111"/>
      <c r="F3" s="111"/>
      <c r="G3" s="111"/>
      <c r="H3" s="111"/>
      <c r="I3" s="111" t="s">
        <v>976</v>
      </c>
      <c r="J3" s="111"/>
      <c r="K3" s="111"/>
      <c r="L3" s="111"/>
    </row>
    <row r="4" spans="1:12" ht="60">
      <c r="A4" s="238"/>
      <c r="B4" s="239" t="s">
        <v>956</v>
      </c>
      <c r="C4" s="239" t="s">
        <v>956</v>
      </c>
      <c r="D4" s="239" t="s">
        <v>967</v>
      </c>
      <c r="E4" s="239" t="s">
        <v>778</v>
      </c>
      <c r="F4" s="239" t="s">
        <v>779</v>
      </c>
      <c r="G4" s="239" t="s">
        <v>777</v>
      </c>
      <c r="H4" s="239" t="s">
        <v>776</v>
      </c>
      <c r="I4" s="72" t="s">
        <v>780</v>
      </c>
      <c r="J4" s="72" t="s">
        <v>781</v>
      </c>
      <c r="K4" s="72" t="s">
        <v>782</v>
      </c>
      <c r="L4" s="72" t="s">
        <v>783</v>
      </c>
    </row>
    <row r="5" spans="1:12" ht="30">
      <c r="A5" s="238"/>
      <c r="B5" s="240" t="s">
        <v>794</v>
      </c>
      <c r="C5" s="240" t="s">
        <v>794</v>
      </c>
      <c r="D5" s="97" t="s">
        <v>971</v>
      </c>
      <c r="E5" s="97"/>
      <c r="F5" s="97"/>
      <c r="G5" s="97"/>
      <c r="H5" s="97"/>
      <c r="I5" s="223" t="s">
        <v>978</v>
      </c>
      <c r="J5" s="224"/>
      <c r="K5" s="224"/>
      <c r="L5" s="225"/>
    </row>
    <row r="6" spans="1:12" ht="34.5">
      <c r="A6" s="238"/>
      <c r="B6" s="73" t="s">
        <v>955</v>
      </c>
      <c r="C6" s="73" t="s">
        <v>974</v>
      </c>
      <c r="D6" s="73" t="s">
        <v>970</v>
      </c>
      <c r="E6" s="73" t="s">
        <v>968</v>
      </c>
      <c r="F6" s="73" t="s">
        <v>969</v>
      </c>
      <c r="G6" s="73" t="s">
        <v>972</v>
      </c>
      <c r="H6" s="73" t="s">
        <v>973</v>
      </c>
      <c r="I6" s="73" t="s">
        <v>979</v>
      </c>
      <c r="J6" s="73" t="s">
        <v>981</v>
      </c>
      <c r="K6" s="73" t="s">
        <v>985</v>
      </c>
      <c r="L6" s="73" t="s">
        <v>982</v>
      </c>
    </row>
    <row r="7" spans="1:12">
      <c r="D7" s="135"/>
    </row>
    <row r="8" spans="1:12">
      <c r="A8" s="109">
        <v>1986</v>
      </c>
      <c r="B8" s="221">
        <f>'7'!F7</f>
        <v>38.216459836990339</v>
      </c>
      <c r="C8" s="221">
        <f>'7'!F21</f>
        <v>29.207202420664668</v>
      </c>
      <c r="D8" s="241">
        <f>'7'!D21/'7'!D7</f>
        <v>0.85188513397103938</v>
      </c>
      <c r="E8" s="241">
        <f>'7'!E21/'7'!E7</f>
        <v>6.5635288567360821E-3</v>
      </c>
      <c r="F8" s="241">
        <f>E8*D8</f>
        <v>5.5913726594433999E-3</v>
      </c>
      <c r="G8" s="67">
        <f>C8/B8</f>
        <v>0.7642571432635562</v>
      </c>
      <c r="H8" s="241">
        <f>G8*F8</f>
        <v>4.2732464956281658E-3</v>
      </c>
      <c r="I8" s="242"/>
    </row>
    <row r="9" spans="1:12">
      <c r="A9" s="109">
        <v>1989</v>
      </c>
      <c r="B9" s="221">
        <f>'7'!F8</f>
        <v>38.601623124092313</v>
      </c>
      <c r="C9" s="221">
        <f>'7'!F22</f>
        <v>31.856212530371231</v>
      </c>
      <c r="D9" s="241">
        <f>'7'!D22/'7'!D8</f>
        <v>0.95154959333673073</v>
      </c>
      <c r="E9" s="241">
        <f>'7'!E22/'7'!E8</f>
        <v>6.2833426176921395E-3</v>
      </c>
      <c r="F9" s="241">
        <f>E9*D9</f>
        <v>5.9789121126603041E-3</v>
      </c>
      <c r="G9" s="67">
        <f>C9/B9</f>
        <v>0.8252557781822627</v>
      </c>
      <c r="H9" s="241">
        <f>G9*F9</f>
        <v>4.9341317682168352E-3</v>
      </c>
      <c r="I9" s="242"/>
    </row>
    <row r="10" spans="1:12">
      <c r="A10" s="109">
        <v>2000</v>
      </c>
      <c r="B10" s="221">
        <f>'7'!F9</f>
        <v>46.121740426203758</v>
      </c>
      <c r="C10" s="221">
        <f>'7'!F23</f>
        <v>33.205528397436062</v>
      </c>
      <c r="D10" s="241">
        <f>'7'!D23/'7'!D9</f>
        <v>1.2029610185036355</v>
      </c>
      <c r="E10" s="241">
        <f>'7'!E23/'7'!E9</f>
        <v>4.991880374279647E-3</v>
      </c>
      <c r="F10" s="241">
        <f>E10*D10</f>
        <v>6.0050374992917533E-3</v>
      </c>
      <c r="G10" s="67">
        <f>C10/B10</f>
        <v>0.71995393258339757</v>
      </c>
      <c r="H10" s="241">
        <f>G10*F10</f>
        <v>4.3233503629258692E-3</v>
      </c>
      <c r="I10" s="242"/>
    </row>
    <row r="11" spans="1:12">
      <c r="A11" s="109">
        <v>2004</v>
      </c>
      <c r="B11" s="221">
        <f>'7'!F10</f>
        <v>47.712713395338199</v>
      </c>
      <c r="C11" s="221">
        <f>'7'!F24</f>
        <v>45.372443844445371</v>
      </c>
      <c r="D11" s="241">
        <f>'7'!D24/'7'!D10</f>
        <v>0.83184932813943113</v>
      </c>
      <c r="E11" s="241">
        <f>'7'!E24/'7'!E10</f>
        <v>3.7475670073855742E-3</v>
      </c>
      <c r="F11" s="241">
        <f>E11*D11</f>
        <v>3.1174110972511885E-3</v>
      </c>
      <c r="G11" s="67">
        <f>C11/B11</f>
        <v>0.95095081825462713</v>
      </c>
      <c r="H11" s="241">
        <f>G11*F11</f>
        <v>2.9645046337670729E-3</v>
      </c>
      <c r="I11" s="242"/>
    </row>
    <row r="12" spans="1:12">
      <c r="A12" s="109">
        <v>2008</v>
      </c>
      <c r="B12" s="221">
        <f>'7'!F11</f>
        <v>49.4540754182771</v>
      </c>
      <c r="C12" s="221">
        <f>'7'!F25</f>
        <v>51.856325158851021</v>
      </c>
      <c r="D12" s="241">
        <f>'7'!D25/'7'!D11</f>
        <v>0.93852823086935977</v>
      </c>
      <c r="E12" s="241">
        <f>'7'!E25/'7'!E11</f>
        <v>2.5430008585282005E-3</v>
      </c>
      <c r="F12" s="241">
        <f>E12*D12</f>
        <v>2.3866780968537353E-3</v>
      </c>
      <c r="G12" s="67">
        <f>C12/B12</f>
        <v>1.0485753645226599</v>
      </c>
      <c r="H12" s="241">
        <f>G12*F12</f>
        <v>2.5026118554066536E-3</v>
      </c>
      <c r="I12" s="242"/>
    </row>
    <row r="14" spans="1:12">
      <c r="B14" s="111" t="s">
        <v>975</v>
      </c>
      <c r="C14" s="111"/>
      <c r="D14" s="111"/>
      <c r="E14" s="111"/>
      <c r="F14" s="111"/>
      <c r="G14" s="111"/>
      <c r="H14" s="111"/>
      <c r="I14" s="111"/>
      <c r="J14" s="111"/>
      <c r="K14" s="111"/>
      <c r="L14" s="111"/>
    </row>
    <row r="15" spans="1:12">
      <c r="B15" s="107" t="s">
        <v>784</v>
      </c>
      <c r="C15" s="107"/>
      <c r="D15" s="107"/>
      <c r="E15" s="107"/>
      <c r="F15" s="243" t="s">
        <v>977</v>
      </c>
      <c r="G15" s="107" t="s">
        <v>784</v>
      </c>
      <c r="H15" s="107"/>
      <c r="I15" s="107" t="s">
        <v>795</v>
      </c>
      <c r="J15" s="107"/>
      <c r="K15" s="107"/>
      <c r="L15" s="107"/>
    </row>
    <row r="16" spans="1:12">
      <c r="A16" s="145" t="s">
        <v>803</v>
      </c>
      <c r="B16" s="67">
        <f>(B11/B8-1)</f>
        <v>0.24848595602139678</v>
      </c>
      <c r="C16" s="67">
        <f>(C11/C8-1)</f>
        <v>0.55346764099335566</v>
      </c>
      <c r="D16" s="67">
        <f>(D11/D8-1)*100</f>
        <v>-2.3519374892964628</v>
      </c>
      <c r="E16" s="67">
        <f>(E11/E8-1)*100</f>
        <v>-42.903168567020401</v>
      </c>
      <c r="F16" s="241">
        <f>F11-F8</f>
        <v>-2.4739615621922114E-3</v>
      </c>
      <c r="G16" s="67">
        <f>(G11/G8-1)*100</f>
        <v>24.428122999785828</v>
      </c>
      <c r="H16" s="67">
        <f>(H11/H8-1)*100</f>
        <v>-30.626406953121677</v>
      </c>
      <c r="I16" s="67">
        <f>H8*C16</f>
        <v>2.3651036573184448E-3</v>
      </c>
      <c r="J16" s="67">
        <f>G8*F16</f>
        <v>-1.8907427960648641E-3</v>
      </c>
      <c r="K16" s="67">
        <f>F16*G8*C16</f>
        <v>-1.0464649550632017E-3</v>
      </c>
      <c r="L16" s="67">
        <f>SUM(I16:K16)</f>
        <v>-5.7210409380962102E-4</v>
      </c>
    </row>
    <row r="17" spans="1:13">
      <c r="A17" s="145" t="s">
        <v>796</v>
      </c>
      <c r="B17" s="67">
        <f t="shared" ref="B17:C20" si="0">(B9/B8-1)</f>
        <v>1.0078465895189126E-2</v>
      </c>
      <c r="C17" s="67">
        <f t="shared" si="0"/>
        <v>9.0697153104685402E-2</v>
      </c>
      <c r="D17" s="67">
        <f t="shared" ref="D17:E20" si="1">(D9/D8-1)*100</f>
        <v>11.699283787370284</v>
      </c>
      <c r="E17" s="67">
        <f t="shared" si="1"/>
        <v>-4.268835334766452</v>
      </c>
      <c r="F17" s="241">
        <f>F9-F8</f>
        <v>3.8753945321690422E-4</v>
      </c>
      <c r="G17" s="67">
        <f t="shared" ref="G17:H20" si="2">(G9/G8-1)*100</f>
        <v>7.9814281693499245</v>
      </c>
      <c r="H17" s="67">
        <f t="shared" si="2"/>
        <v>15.465648266834165</v>
      </c>
      <c r="I17" s="67">
        <f>H8*C17</f>
        <v>3.8757129166804813E-4</v>
      </c>
      <c r="J17" s="67">
        <f>G8*F17</f>
        <v>2.9617979541747178E-4</v>
      </c>
      <c r="K17" s="67">
        <f>H8*F17*C17</f>
        <v>1.5019916645560468E-7</v>
      </c>
      <c r="L17" s="67">
        <f>SUM(I17:K17)</f>
        <v>6.8390128625197557E-4</v>
      </c>
      <c r="M17" s="67"/>
    </row>
    <row r="18" spans="1:13">
      <c r="A18" s="145" t="s">
        <v>26</v>
      </c>
      <c r="B18" s="67">
        <f t="shared" si="0"/>
        <v>0.19481349988669083</v>
      </c>
      <c r="C18" s="67">
        <f t="shared" si="0"/>
        <v>4.2356443528194454E-2</v>
      </c>
      <c r="D18" s="67">
        <f t="shared" si="1"/>
        <v>26.421263476693667</v>
      </c>
      <c r="E18" s="67">
        <f t="shared" si="1"/>
        <v>-20.553745386668798</v>
      </c>
      <c r="F18" s="241">
        <f>F10-F9</f>
        <v>2.6125386631449185E-5</v>
      </c>
      <c r="G18" s="67">
        <f t="shared" si="2"/>
        <v>-12.759904066446726</v>
      </c>
      <c r="H18" s="67">
        <f t="shared" si="2"/>
        <v>-12.378700731612168</v>
      </c>
      <c r="I18" s="67">
        <f>H9*C18</f>
        <v>2.0899227360114662E-4</v>
      </c>
      <c r="J18" s="67">
        <f>G9*F18</f>
        <v>2.1560126274849081E-5</v>
      </c>
      <c r="K18" s="67">
        <f>H9*F18*C18</f>
        <v>5.4600039508155672E-9</v>
      </c>
      <c r="L18" s="67">
        <f>SUM(I18:K18)</f>
        <v>2.3055785987994651E-4</v>
      </c>
    </row>
    <row r="19" spans="1:13">
      <c r="A19" s="145" t="s">
        <v>662</v>
      </c>
      <c r="B19" s="67">
        <f t="shared" si="0"/>
        <v>3.4495076604492914E-2</v>
      </c>
      <c r="C19" s="67">
        <f t="shared" si="0"/>
        <v>0.36641234258897581</v>
      </c>
      <c r="D19" s="67">
        <f t="shared" si="1"/>
        <v>-30.849851712221778</v>
      </c>
      <c r="E19" s="67">
        <f t="shared" si="1"/>
        <v>-24.926746508296148</v>
      </c>
      <c r="F19" s="241">
        <f>F11-F10</f>
        <v>-2.8876264020405648E-3</v>
      </c>
      <c r="G19" s="67">
        <f t="shared" si="2"/>
        <v>32.08495366395843</v>
      </c>
      <c r="H19" s="67">
        <f t="shared" si="2"/>
        <v>-31.430386507911521</v>
      </c>
      <c r="I19" s="67">
        <f>H10*C19</f>
        <v>1.5841289343125665E-3</v>
      </c>
      <c r="J19" s="67">
        <f>G10*F19</f>
        <v>-2.0789579839807517E-3</v>
      </c>
      <c r="K19" s="67">
        <f>H10*F19*C19</f>
        <v>-4.5743725349573508E-6</v>
      </c>
      <c r="L19" s="67">
        <f>SUM(I19:K19)</f>
        <v>-4.994034222031425E-4</v>
      </c>
    </row>
    <row r="20" spans="1:13">
      <c r="A20" s="145" t="s">
        <v>2176</v>
      </c>
      <c r="B20" s="67">
        <f t="shared" si="0"/>
        <v>3.6496813931128136E-2</v>
      </c>
      <c r="C20" s="67">
        <f t="shared" si="0"/>
        <v>0.1429035062919457</v>
      </c>
      <c r="D20" s="67">
        <f t="shared" si="1"/>
        <v>12.824305931524126</v>
      </c>
      <c r="E20" s="67">
        <f t="shared" si="1"/>
        <v>-32.142618036807789</v>
      </c>
      <c r="F20" s="241">
        <f>F12-F11</f>
        <v>-7.3073300039745324E-4</v>
      </c>
      <c r="G20" s="67">
        <f t="shared" si="2"/>
        <v>10.265993192709221</v>
      </c>
      <c r="H20" s="67">
        <f t="shared" si="2"/>
        <v>-15.580774376239725</v>
      </c>
      <c r="I20" s="67">
        <f>H11*C20</f>
        <v>4.2363810658403511E-4</v>
      </c>
      <c r="J20" s="67">
        <f>G11*F20</f>
        <v>-6.9489114465361688E-4</v>
      </c>
      <c r="K20" s="67">
        <f>H11*F20*C20</f>
        <v>-3.0956634470684805E-7</v>
      </c>
      <c r="L20" s="67">
        <f>SUM(I20:K20)</f>
        <v>-2.7156260441428862E-4</v>
      </c>
    </row>
    <row r="21" spans="1:13">
      <c r="A21" s="21"/>
      <c r="B21" s="246" t="s">
        <v>23</v>
      </c>
      <c r="C21" s="246"/>
      <c r="D21" s="247"/>
      <c r="E21" s="247"/>
      <c r="F21" s="241"/>
      <c r="G21" s="67"/>
      <c r="H21" s="67"/>
      <c r="I21" s="248" t="s">
        <v>984</v>
      </c>
      <c r="J21" s="249"/>
      <c r="K21" s="249"/>
      <c r="L21" s="250"/>
    </row>
    <row r="22" spans="1:13">
      <c r="A22" s="70"/>
      <c r="B22" s="251" t="s">
        <v>784</v>
      </c>
      <c r="C22" s="251"/>
      <c r="D22" s="252"/>
      <c r="E22" s="252"/>
      <c r="F22" s="241"/>
      <c r="G22" s="67"/>
      <c r="H22" s="67"/>
      <c r="I22" s="253" t="s">
        <v>784</v>
      </c>
      <c r="J22" s="254"/>
      <c r="K22" s="254"/>
      <c r="L22" s="255"/>
    </row>
    <row r="23" spans="1:13">
      <c r="A23" s="145" t="s">
        <v>803</v>
      </c>
      <c r="B23" s="244">
        <f>((B11/B8)^(1/18)-1)*100</f>
        <v>1.2405854365833413</v>
      </c>
      <c r="C23" s="244">
        <f>((C11/C8)^(1/18)-1)*100</f>
        <v>2.4773533804779202</v>
      </c>
      <c r="D23" s="65"/>
      <c r="E23" s="65"/>
      <c r="F23" s="241"/>
      <c r="G23" s="67"/>
      <c r="H23" s="145" t="s">
        <v>803</v>
      </c>
      <c r="I23" s="67">
        <f>I16/$B16*100</f>
        <v>0.95180576608312994</v>
      </c>
      <c r="J23" s="67">
        <f t="shared" ref="J23:L27" si="3">J16/$B16*100</f>
        <v>-0.76090529474513036</v>
      </c>
      <c r="K23" s="67">
        <f t="shared" si="3"/>
        <v>-0.42113645850194126</v>
      </c>
      <c r="L23" s="67">
        <f>L16/$B16*100</f>
        <v>-0.23023598716394172</v>
      </c>
    </row>
    <row r="24" spans="1:13">
      <c r="A24" s="145" t="s">
        <v>796</v>
      </c>
      <c r="B24" s="252">
        <f>((B9/B8)^(1/3)-1)*100</f>
        <v>0.33482652392837764</v>
      </c>
      <c r="C24" s="252">
        <f>((C9/C8)^(1/3)-1)*100</f>
        <v>2.9361829555566876</v>
      </c>
      <c r="D24" s="67"/>
      <c r="E24" s="67"/>
      <c r="F24" s="241"/>
      <c r="G24" s="67"/>
      <c r="H24" s="145" t="s">
        <v>796</v>
      </c>
      <c r="I24" s="67">
        <f>I17/$B17*100</f>
        <v>3.8455385541667817</v>
      </c>
      <c r="J24" s="67">
        <f t="shared" si="3"/>
        <v>2.9387388765074931</v>
      </c>
      <c r="K24" s="67">
        <f t="shared" si="3"/>
        <v>1.4902979086063191E-3</v>
      </c>
      <c r="L24" s="67">
        <f t="shared" si="3"/>
        <v>6.7857677285828828</v>
      </c>
    </row>
    <row r="25" spans="1:13">
      <c r="A25" s="145" t="s">
        <v>26</v>
      </c>
      <c r="B25" s="252">
        <f>((B10/B9)^(1/11)-1)*100</f>
        <v>1.6312538760447914</v>
      </c>
      <c r="C25" s="252">
        <f>((C10/C9)^(1/11)-1)*100</f>
        <v>0.37783893798488677</v>
      </c>
      <c r="D25" s="67"/>
      <c r="E25" s="67"/>
      <c r="F25" s="241"/>
      <c r="G25" s="67"/>
      <c r="H25" s="145" t="s">
        <v>26</v>
      </c>
      <c r="I25" s="67">
        <f>I18/$B18*100</f>
        <v>0.10727812688684436</v>
      </c>
      <c r="J25" s="67">
        <f t="shared" si="3"/>
        <v>1.1067059668549189E-2</v>
      </c>
      <c r="K25" s="67">
        <f t="shared" si="3"/>
        <v>2.8026825420164738E-6</v>
      </c>
      <c r="L25" s="67">
        <f t="shared" si="3"/>
        <v>0.11834798923793559</v>
      </c>
    </row>
    <row r="26" spans="1:13">
      <c r="A26" s="145" t="s">
        <v>662</v>
      </c>
      <c r="B26" s="252">
        <f>((B11/B10)^(1/4)-1)*100</f>
        <v>0.85144078719199268</v>
      </c>
      <c r="C26" s="252">
        <f>((C11/C10)^(1/4)-1)*100</f>
        <v>8.1173628571296277</v>
      </c>
      <c r="D26" s="67"/>
      <c r="E26" s="67"/>
      <c r="F26" s="241"/>
      <c r="G26" s="67"/>
      <c r="H26" s="145" t="s">
        <v>662</v>
      </c>
      <c r="I26" s="67">
        <f>I19/$B19*100</f>
        <v>4.5923334291312656</v>
      </c>
      <c r="J26" s="67">
        <f t="shared" si="3"/>
        <v>-6.026825241808484</v>
      </c>
      <c r="K26" s="67">
        <f t="shared" si="3"/>
        <v>-1.3260943256932927E-2</v>
      </c>
      <c r="L26" s="67">
        <f>L19/$B19*100</f>
        <v>-1.4477527559341503</v>
      </c>
    </row>
    <row r="27" spans="1:13">
      <c r="A27" s="145" t="s">
        <v>2176</v>
      </c>
      <c r="B27" s="252">
        <f>((B12/B11)^(1/4)-1)*100</f>
        <v>0.90019205149116654</v>
      </c>
      <c r="C27" s="252">
        <f>((C12/C11)^(1/4)-1)*100</f>
        <v>3.3956794039681215</v>
      </c>
      <c r="D27" s="67"/>
      <c r="E27" s="67"/>
      <c r="F27" s="241"/>
      <c r="G27" s="67"/>
      <c r="H27" s="145" t="s">
        <v>2176</v>
      </c>
      <c r="I27" s="67">
        <f>I20/$B20*100</f>
        <v>1.1607536684803987</v>
      </c>
      <c r="J27" s="67">
        <f t="shared" si="3"/>
        <v>-1.9039775525746487</v>
      </c>
      <c r="K27" s="67">
        <f t="shared" si="3"/>
        <v>-8.4820101089103258E-4</v>
      </c>
      <c r="L27" s="67">
        <f>L20/$B20*100</f>
        <v>-0.74407208510514078</v>
      </c>
    </row>
    <row r="28" spans="1:13">
      <c r="A28" s="145"/>
      <c r="B28" s="252"/>
      <c r="C28" s="252"/>
      <c r="D28" s="67"/>
      <c r="E28" s="67"/>
      <c r="F28" s="241"/>
      <c r="G28" s="67"/>
      <c r="H28" s="145"/>
      <c r="I28" s="67"/>
      <c r="J28" s="67"/>
      <c r="K28" s="67"/>
      <c r="L28" s="67"/>
    </row>
    <row r="29" spans="1:13">
      <c r="A29" s="137" t="s">
        <v>983</v>
      </c>
      <c r="B29" s="137"/>
      <c r="C29" s="137"/>
      <c r="D29" s="137"/>
      <c r="E29" s="137"/>
      <c r="F29" s="137"/>
      <c r="G29" s="137"/>
      <c r="H29" s="137"/>
      <c r="I29" s="137"/>
      <c r="J29" s="137"/>
      <c r="K29" s="137"/>
      <c r="L29" s="137"/>
    </row>
    <row r="30" spans="1:13">
      <c r="A30" s="256" t="s">
        <v>193</v>
      </c>
      <c r="B30" s="256"/>
      <c r="C30" s="256"/>
      <c r="D30" s="256"/>
      <c r="E30" s="256"/>
      <c r="F30" s="256"/>
      <c r="G30" s="256"/>
      <c r="H30" s="256"/>
      <c r="I30" s="256"/>
      <c r="J30" s="256"/>
      <c r="K30" s="256"/>
      <c r="L30" s="256"/>
    </row>
    <row r="31" spans="1:13" ht="18.75">
      <c r="A31" s="137" t="s">
        <v>980</v>
      </c>
      <c r="B31" s="137"/>
      <c r="C31" s="137"/>
      <c r="D31" s="137"/>
      <c r="E31" s="137"/>
      <c r="F31" s="137"/>
      <c r="G31" s="137"/>
      <c r="H31" s="137"/>
      <c r="I31" s="137"/>
      <c r="J31" s="137"/>
      <c r="K31" s="137"/>
      <c r="L31" s="137"/>
    </row>
    <row r="32" spans="1:13">
      <c r="I32" s="65"/>
      <c r="J32" s="65"/>
      <c r="K32" s="65"/>
      <c r="L32" s="65"/>
      <c r="M32" s="65"/>
    </row>
    <row r="33" spans="9:12">
      <c r="I33" s="65"/>
      <c r="J33" s="65"/>
      <c r="K33" s="65"/>
      <c r="L33" s="65"/>
    </row>
    <row r="34" spans="9:12">
      <c r="I34" s="65"/>
      <c r="J34" s="65"/>
      <c r="K34" s="65"/>
      <c r="L34" s="65"/>
    </row>
    <row r="35" spans="9:12">
      <c r="I35" s="65"/>
      <c r="J35" s="65"/>
      <c r="K35" s="65"/>
      <c r="L35" s="65"/>
    </row>
  </sheetData>
  <mergeCells count="19">
    <mergeCell ref="B22:C22"/>
    <mergeCell ref="I22:L22"/>
    <mergeCell ref="A30:L30"/>
    <mergeCell ref="A31:L31"/>
    <mergeCell ref="A29:L29"/>
    <mergeCell ref="B14:L14"/>
    <mergeCell ref="B15:E15"/>
    <mergeCell ref="G15:H15"/>
    <mergeCell ref="I15:L15"/>
    <mergeCell ref="B21:C21"/>
    <mergeCell ref="I21:L21"/>
    <mergeCell ref="A1:L1"/>
    <mergeCell ref="A2:A6"/>
    <mergeCell ref="B2:B3"/>
    <mergeCell ref="C2:L2"/>
    <mergeCell ref="C3:H3"/>
    <mergeCell ref="I3:L3"/>
    <mergeCell ref="D5:H5"/>
    <mergeCell ref="I5:L5"/>
  </mergeCells>
  <pageMargins left="0.7" right="0.7" top="0.75" bottom="0.75" header="0.3" footer="0.3"/>
  <pageSetup scale="79" orientation="landscape" horizontalDpi="0" verticalDpi="0" r:id="rId1"/>
</worksheet>
</file>

<file path=xl/worksheets/sheet51.xml><?xml version="1.0" encoding="utf-8"?>
<worksheet xmlns="http://schemas.openxmlformats.org/spreadsheetml/2006/main" xmlns:r="http://schemas.openxmlformats.org/officeDocument/2006/relationships">
  <sheetPr codeName="Sheet48"/>
  <dimension ref="A1:M40"/>
  <sheetViews>
    <sheetView view="pageBreakPreview" zoomScale="85" zoomScaleNormal="100" zoomScaleSheetLayoutView="85" workbookViewId="0">
      <pane xSplit="1" ySplit="6" topLeftCell="B7"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10.140625" style="64" customWidth="1"/>
    <col min="2" max="2" width="16.28515625" style="64" customWidth="1"/>
    <col min="3" max="3" width="16" style="64" customWidth="1"/>
    <col min="4" max="4" width="11.85546875" style="64" customWidth="1"/>
    <col min="5" max="5" width="11.5703125" style="64" customWidth="1"/>
    <col min="6" max="6" width="10" style="64" customWidth="1"/>
    <col min="7" max="7" width="12.28515625" style="64" customWidth="1"/>
    <col min="8" max="8" width="11.140625" style="64" customWidth="1"/>
    <col min="9" max="9" width="11.7109375" style="64" customWidth="1"/>
    <col min="10" max="10" width="12.42578125" style="64" customWidth="1"/>
    <col min="11" max="11" width="17.7109375" style="64" bestFit="1" customWidth="1"/>
    <col min="12" max="12" width="14" style="64" customWidth="1"/>
    <col min="13" max="16384" width="9.140625" style="64"/>
  </cols>
  <sheetData>
    <row r="1" spans="1:12" ht="15" customHeight="1">
      <c r="A1" s="227" t="s">
        <v>2174</v>
      </c>
      <c r="B1" s="227"/>
      <c r="C1" s="227"/>
      <c r="D1" s="227"/>
      <c r="E1" s="227"/>
      <c r="F1" s="227"/>
      <c r="G1" s="227"/>
      <c r="H1" s="227"/>
      <c r="I1" s="227"/>
      <c r="J1" s="227"/>
      <c r="K1" s="227"/>
      <c r="L1" s="227"/>
    </row>
    <row r="2" spans="1:12" ht="15" customHeight="1">
      <c r="A2" s="238"/>
      <c r="B2" s="94" t="s">
        <v>673</v>
      </c>
      <c r="C2" s="112" t="s">
        <v>670</v>
      </c>
      <c r="D2" s="112"/>
      <c r="E2" s="112"/>
      <c r="F2" s="112"/>
      <c r="G2" s="112"/>
      <c r="H2" s="112"/>
      <c r="I2" s="112"/>
      <c r="J2" s="112"/>
      <c r="K2" s="112"/>
      <c r="L2" s="112"/>
    </row>
    <row r="3" spans="1:12">
      <c r="A3" s="238"/>
      <c r="B3" s="94"/>
      <c r="C3" s="111" t="s">
        <v>774</v>
      </c>
      <c r="D3" s="111"/>
      <c r="E3" s="111"/>
      <c r="F3" s="111"/>
      <c r="G3" s="111"/>
      <c r="H3" s="111"/>
      <c r="I3" s="111" t="s">
        <v>976</v>
      </c>
      <c r="J3" s="111"/>
      <c r="K3" s="111"/>
      <c r="L3" s="111"/>
    </row>
    <row r="4" spans="1:12" ht="60">
      <c r="A4" s="238"/>
      <c r="B4" s="239" t="s">
        <v>956</v>
      </c>
      <c r="C4" s="239" t="s">
        <v>956</v>
      </c>
      <c r="D4" s="239" t="s">
        <v>967</v>
      </c>
      <c r="E4" s="239" t="s">
        <v>778</v>
      </c>
      <c r="F4" s="239" t="s">
        <v>779</v>
      </c>
      <c r="G4" s="239" t="s">
        <v>777</v>
      </c>
      <c r="H4" s="239" t="s">
        <v>776</v>
      </c>
      <c r="I4" s="72" t="s">
        <v>780</v>
      </c>
      <c r="J4" s="72" t="s">
        <v>781</v>
      </c>
      <c r="K4" s="72" t="s">
        <v>782</v>
      </c>
      <c r="L4" s="72" t="s">
        <v>783</v>
      </c>
    </row>
    <row r="5" spans="1:12" ht="30">
      <c r="A5" s="238"/>
      <c r="B5" s="240" t="s">
        <v>794</v>
      </c>
      <c r="C5" s="240" t="s">
        <v>794</v>
      </c>
      <c r="D5" s="97" t="s">
        <v>971</v>
      </c>
      <c r="E5" s="97"/>
      <c r="F5" s="97"/>
      <c r="G5" s="97"/>
      <c r="H5" s="97"/>
      <c r="I5" s="223" t="s">
        <v>978</v>
      </c>
      <c r="J5" s="224"/>
      <c r="K5" s="224"/>
      <c r="L5" s="225"/>
    </row>
    <row r="6" spans="1:12" ht="34.5">
      <c r="A6" s="238"/>
      <c r="B6" s="73" t="s">
        <v>955</v>
      </c>
      <c r="C6" s="73" t="s">
        <v>974</v>
      </c>
      <c r="D6" s="73" t="s">
        <v>970</v>
      </c>
      <c r="E6" s="73" t="s">
        <v>968</v>
      </c>
      <c r="F6" s="73" t="s">
        <v>969</v>
      </c>
      <c r="G6" s="73" t="s">
        <v>972</v>
      </c>
      <c r="H6" s="73" t="s">
        <v>973</v>
      </c>
      <c r="I6" s="73" t="s">
        <v>979</v>
      </c>
      <c r="J6" s="73" t="s">
        <v>981</v>
      </c>
      <c r="K6" s="73" t="s">
        <v>985</v>
      </c>
      <c r="L6" s="73" t="s">
        <v>982</v>
      </c>
    </row>
    <row r="7" spans="1:12">
      <c r="D7" s="135"/>
    </row>
    <row r="8" spans="1:12">
      <c r="A8" s="64">
        <v>1981</v>
      </c>
      <c r="B8" s="67">
        <f>'7'!F6</f>
        <v>35.444901174774103</v>
      </c>
      <c r="C8" s="65">
        <f>'7'!F28</f>
        <v>17.107232818287383</v>
      </c>
      <c r="D8" s="241">
        <f>'7'!D28/'7'!D6</f>
        <v>1.2736391455527221</v>
      </c>
      <c r="E8" s="241">
        <f>'7'!E28/'7'!E6</f>
        <v>1.2608288101465919E-2</v>
      </c>
      <c r="F8" s="241">
        <f t="shared" ref="F8:F9" si="0">E8*D8</f>
        <v>1.6058409284433604E-2</v>
      </c>
      <c r="G8" s="67">
        <f t="shared" ref="G8:G9" si="1">C8/B8</f>
        <v>0.48264298252473292</v>
      </c>
      <c r="H8" s="241">
        <f t="shared" ref="H8:H9" si="2">G8*F8</f>
        <v>7.750478551641897E-3</v>
      </c>
    </row>
    <row r="9" spans="1:12">
      <c r="A9" s="109">
        <v>1986</v>
      </c>
      <c r="B9" s="67">
        <f>'7'!F7</f>
        <v>38.216459836990339</v>
      </c>
      <c r="C9" s="65">
        <f>'7'!F29</f>
        <v>24.900578738839375</v>
      </c>
      <c r="D9" s="241">
        <f>'7'!D29/'7'!D7</f>
        <v>1.2399772000268192</v>
      </c>
      <c r="E9" s="241">
        <f>'7'!E29/'7'!E7</f>
        <v>1.0863032698073764E-2</v>
      </c>
      <c r="F9" s="241">
        <f t="shared" si="0"/>
        <v>1.3469912868757289E-2</v>
      </c>
      <c r="G9" s="67">
        <f t="shared" si="1"/>
        <v>0.6515668600663449</v>
      </c>
      <c r="H9" s="241">
        <f t="shared" si="2"/>
        <v>8.7765488332634395E-3</v>
      </c>
      <c r="I9" s="242"/>
    </row>
    <row r="10" spans="1:12">
      <c r="A10" s="109">
        <v>1989</v>
      </c>
      <c r="B10" s="67">
        <f>'7'!F8</f>
        <v>38.601623124092313</v>
      </c>
      <c r="C10" s="65">
        <f>'7'!F30</f>
        <v>26.455153915357876</v>
      </c>
      <c r="D10" s="241">
        <f>'7'!D30/'7'!D8</f>
        <v>1.0748455902430492</v>
      </c>
      <c r="E10" s="241">
        <f>'7'!E30/'7'!E8</f>
        <v>1.0755351678747331E-2</v>
      </c>
      <c r="F10" s="241">
        <f>E10*D10</f>
        <v>1.1560342323414744E-2</v>
      </c>
      <c r="G10" s="67">
        <f>C10/B10</f>
        <v>0.68533786339275726</v>
      </c>
      <c r="H10" s="241">
        <f>G10*F10</f>
        <v>7.9227403080179247E-3</v>
      </c>
      <c r="I10" s="242"/>
    </row>
    <row r="11" spans="1:12">
      <c r="A11" s="109">
        <v>2000</v>
      </c>
      <c r="B11" s="67">
        <f>'7'!F9</f>
        <v>46.121740426203758</v>
      </c>
      <c r="C11" s="65">
        <f>'7'!F31</f>
        <v>31.184155870341776</v>
      </c>
      <c r="D11" s="241">
        <f>'7'!D31/'7'!D9</f>
        <v>1.6174135646236876</v>
      </c>
      <c r="E11" s="241">
        <f>'7'!E31/'7'!E9</f>
        <v>1.1042316587716762E-2</v>
      </c>
      <c r="F11" s="241">
        <f>E11*D11</f>
        <v>1.7859992633842244E-2</v>
      </c>
      <c r="G11" s="67">
        <f>C11/B11</f>
        <v>0.67612704078757413</v>
      </c>
      <c r="H11" s="241">
        <f>G11*F11</f>
        <v>1.2075623968007628E-2</v>
      </c>
      <c r="I11" s="242"/>
    </row>
    <row r="12" spans="1:12">
      <c r="A12" s="109">
        <v>2004</v>
      </c>
      <c r="B12" s="67">
        <f>'7'!F10</f>
        <v>47.712713395338199</v>
      </c>
      <c r="C12" s="65">
        <f>'7'!F32</f>
        <v>39.263938772799506</v>
      </c>
      <c r="D12" s="241">
        <f>'7'!D32/'7'!D10</f>
        <v>1.5616157135965858</v>
      </c>
      <c r="E12" s="241">
        <f>'7'!E32/'7'!E10</f>
        <v>9.0958473869006753E-3</v>
      </c>
      <c r="F12" s="241">
        <f>E12*D12</f>
        <v>1.4204218207860539E-2</v>
      </c>
      <c r="G12" s="67">
        <f>C12/B12</f>
        <v>0.82292403803292846</v>
      </c>
      <c r="H12" s="241">
        <f>G12*F12</f>
        <v>1.1688992604713441E-2</v>
      </c>
      <c r="I12" s="242"/>
    </row>
    <row r="13" spans="1:12">
      <c r="A13" s="109">
        <v>2008</v>
      </c>
      <c r="B13" s="67">
        <f>'7'!F11</f>
        <v>49.4540754182771</v>
      </c>
      <c r="C13" s="65">
        <f>'7'!F33</f>
        <v>47.462387826981235</v>
      </c>
      <c r="D13" s="241">
        <f>'7'!D33/'7'!D11</f>
        <v>0.88342950405522813</v>
      </c>
      <c r="E13" s="241">
        <f>'7'!E33/'7'!E11</f>
        <v>6.0379744823892221E-3</v>
      </c>
      <c r="F13" s="241">
        <f>E13*D13</f>
        <v>5.3341248024752329E-3</v>
      </c>
      <c r="G13" s="67">
        <f>C13/B13</f>
        <v>0.9597265225474263</v>
      </c>
      <c r="H13" s="241">
        <f>G13*F13</f>
        <v>5.1193010475135328E-3</v>
      </c>
      <c r="I13" s="242"/>
    </row>
    <row r="15" spans="1:12">
      <c r="B15" s="111" t="s">
        <v>975</v>
      </c>
      <c r="C15" s="111"/>
      <c r="D15" s="111"/>
      <c r="E15" s="111"/>
      <c r="F15" s="111"/>
      <c r="G15" s="111"/>
      <c r="H15" s="111"/>
      <c r="I15" s="111"/>
      <c r="J15" s="111"/>
      <c r="K15" s="111"/>
      <c r="L15" s="111"/>
    </row>
    <row r="16" spans="1:12">
      <c r="B16" s="107" t="s">
        <v>784</v>
      </c>
      <c r="C16" s="107"/>
      <c r="D16" s="107"/>
      <c r="E16" s="107"/>
      <c r="F16" s="243" t="s">
        <v>977</v>
      </c>
      <c r="G16" s="107" t="s">
        <v>784</v>
      </c>
      <c r="H16" s="107"/>
      <c r="I16" s="107" t="s">
        <v>795</v>
      </c>
      <c r="J16" s="107"/>
      <c r="K16" s="107"/>
      <c r="L16" s="107"/>
    </row>
    <row r="17" spans="1:13">
      <c r="A17" s="145" t="s">
        <v>669</v>
      </c>
      <c r="B17" s="244">
        <f>(B12/B8-1)</f>
        <v>0.34610936450557839</v>
      </c>
      <c r="C17" s="244">
        <f>(C12/C8-1)</f>
        <v>1.295165979785283</v>
      </c>
      <c r="D17" s="244">
        <f>(D12/D8-1)*100</f>
        <v>22.610530545438777</v>
      </c>
      <c r="E17" s="244">
        <f>(E12/E8-1)*100</f>
        <v>-27.858188885744649</v>
      </c>
      <c r="F17" s="245">
        <f>F12-F8</f>
        <v>-1.8541910765730654E-3</v>
      </c>
      <c r="G17" s="244">
        <f>(G12/G8-1)*100</f>
        <v>70.503678252642572</v>
      </c>
      <c r="H17" s="244">
        <f>(H12/H8-1)*100</f>
        <v>50.81639832726448</v>
      </c>
      <c r="I17" s="67">
        <f>H8*C17</f>
        <v>1.0038156147142098E-2</v>
      </c>
      <c r="J17" s="67">
        <f>G8*F17</f>
        <v>-8.949123113679697E-4</v>
      </c>
      <c r="K17" s="67">
        <f>F17*G8*C17</f>
        <v>-1.1590599805748087E-3</v>
      </c>
      <c r="L17" s="67">
        <f t="shared" ref="L17:L22" si="3">SUM(I17:K17)</f>
        <v>7.9841838551993199E-3</v>
      </c>
    </row>
    <row r="18" spans="1:13">
      <c r="A18" s="145" t="s">
        <v>25</v>
      </c>
      <c r="B18" s="244">
        <f>(B10/B8-1)</f>
        <v>8.9059973217384236E-2</v>
      </c>
      <c r="C18" s="244">
        <f>(C10/C8-1)</f>
        <v>0.54643092757103906</v>
      </c>
      <c r="D18" s="244">
        <f>(D10/D8-1)*100</f>
        <v>-15.608310721590012</v>
      </c>
      <c r="E18" s="244">
        <f>(E10/E8-1)*100</f>
        <v>-14.696177687303603</v>
      </c>
      <c r="F18" s="245">
        <f>F10-F8</f>
        <v>-4.4980669610188602E-3</v>
      </c>
      <c r="G18" s="244">
        <f>(G10/G8-1)*100</f>
        <v>41.996856518604275</v>
      </c>
      <c r="H18" s="244">
        <f>(H10/H8-1)*100</f>
        <v>2.2225950982024845</v>
      </c>
      <c r="I18" s="67">
        <f>H8*C18</f>
        <v>4.2351011840931251E-3</v>
      </c>
      <c r="J18" s="67">
        <f>G8*F18</f>
        <v>-2.1709604536621044E-3</v>
      </c>
      <c r="K18" s="67">
        <f>F18*G8*C18</f>
        <v>-1.1862799344146274E-3</v>
      </c>
      <c r="L18" s="67">
        <f t="shared" si="3"/>
        <v>8.7786079601639326E-4</v>
      </c>
    </row>
    <row r="19" spans="1:13">
      <c r="A19" s="145" t="s">
        <v>803</v>
      </c>
      <c r="B19" s="67">
        <f>(B12/B9-1)</f>
        <v>0.24848595602139678</v>
      </c>
      <c r="C19" s="67">
        <f>(C12/C9-1)</f>
        <v>0.57682836148528871</v>
      </c>
      <c r="D19" s="67">
        <f>(D12/D9-1)*100</f>
        <v>25.939066747582928</v>
      </c>
      <c r="E19" s="67">
        <f>(E12/E9-1)*100</f>
        <v>-16.267881725942392</v>
      </c>
      <c r="F19" s="241">
        <f>F12-F9</f>
        <v>7.3430533910325002E-4</v>
      </c>
      <c r="G19" s="67">
        <f>(G12/G9-1)*100</f>
        <v>26.299247010373627</v>
      </c>
      <c r="H19" s="67">
        <f>(H12/H9-1)*100</f>
        <v>33.18438519263669</v>
      </c>
      <c r="I19" s="67">
        <f>H9*C19</f>
        <v>5.062562282986972E-3</v>
      </c>
      <c r="J19" s="67">
        <f>G9*F19</f>
        <v>4.7844902412945726E-4</v>
      </c>
      <c r="K19" s="67">
        <f>F19*G9*C19</f>
        <v>2.7598296664283021E-4</v>
      </c>
      <c r="L19" s="67">
        <f t="shared" si="3"/>
        <v>5.8169942737592599E-3</v>
      </c>
    </row>
    <row r="20" spans="1:13">
      <c r="A20" s="145" t="s">
        <v>796</v>
      </c>
      <c r="B20" s="67">
        <f t="shared" ref="B20:C23" si="4">(B10/B9-1)</f>
        <v>1.0078465895189126E-2</v>
      </c>
      <c r="C20" s="67">
        <f t="shared" si="4"/>
        <v>6.2431286952126408E-2</v>
      </c>
      <c r="D20" s="67">
        <f t="shared" ref="D20:E23" si="5">(D10/D9-1)*100</f>
        <v>-13.317310171525609</v>
      </c>
      <c r="E20" s="67">
        <f t="shared" si="5"/>
        <v>-0.99126111758391922</v>
      </c>
      <c r="F20" s="241">
        <f>F10-F9</f>
        <v>-1.9095705453425448E-3</v>
      </c>
      <c r="G20" s="67">
        <f t="shared" ref="G20:H23" si="6">(G10/G9-1)*100</f>
        <v>5.1830449637929155</v>
      </c>
      <c r="H20" s="67">
        <f t="shared" si="6"/>
        <v>-9.7282945889795478</v>
      </c>
      <c r="I20" s="67">
        <f>H9*C20</f>
        <v>5.4793123865882001E-4</v>
      </c>
      <c r="J20" s="67">
        <f>G9*F20</f>
        <v>-1.2442128843040197E-3</v>
      </c>
      <c r="K20" s="67">
        <f>H9*F20*C20</f>
        <v>-1.046313354215939E-6</v>
      </c>
      <c r="L20" s="67">
        <f t="shared" si="3"/>
        <v>-6.9732795899941566E-4</v>
      </c>
      <c r="M20" s="67"/>
    </row>
    <row r="21" spans="1:13">
      <c r="A21" s="145" t="s">
        <v>26</v>
      </c>
      <c r="B21" s="67">
        <f t="shared" si="4"/>
        <v>0.19481349988669083</v>
      </c>
      <c r="C21" s="67">
        <f t="shared" si="4"/>
        <v>0.17875541265471884</v>
      </c>
      <c r="D21" s="67">
        <f t="shared" si="5"/>
        <v>50.478690084028763</v>
      </c>
      <c r="E21" s="67">
        <f t="shared" si="5"/>
        <v>2.668112745550455</v>
      </c>
      <c r="F21" s="241">
        <f>F11-F10</f>
        <v>6.2996503104275001E-3</v>
      </c>
      <c r="G21" s="67">
        <f t="shared" si="6"/>
        <v>-1.343982741532046</v>
      </c>
      <c r="H21" s="67">
        <f t="shared" si="6"/>
        <v>52.417263453491294</v>
      </c>
      <c r="I21" s="67">
        <f>H10*C21</f>
        <v>1.4162327131159184E-3</v>
      </c>
      <c r="J21" s="67">
        <f>G10*F21</f>
        <v>4.3173888838699027E-3</v>
      </c>
      <c r="K21" s="67">
        <f>H10*F21*C21</f>
        <v>8.921770850818276E-6</v>
      </c>
      <c r="L21" s="67">
        <f t="shared" si="3"/>
        <v>5.7425433678366397E-3</v>
      </c>
    </row>
    <row r="22" spans="1:13">
      <c r="A22" s="145" t="s">
        <v>662</v>
      </c>
      <c r="B22" s="67">
        <f t="shared" si="4"/>
        <v>3.4495076604492914E-2</v>
      </c>
      <c r="C22" s="67">
        <f t="shared" si="4"/>
        <v>0.25909897757220191</v>
      </c>
      <c r="D22" s="67">
        <f t="shared" si="5"/>
        <v>-3.4498196532736447</v>
      </c>
      <c r="E22" s="67">
        <f t="shared" si="5"/>
        <v>-17.62736274905664</v>
      </c>
      <c r="F22" s="241">
        <f>F12-F11</f>
        <v>-3.6557744259817053E-3</v>
      </c>
      <c r="G22" s="67">
        <f t="shared" si="6"/>
        <v>21.711451900276103</v>
      </c>
      <c r="H22" s="67">
        <f t="shared" si="6"/>
        <v>-3.2017506036831067</v>
      </c>
      <c r="I22" s="67">
        <f>H11*C22</f>
        <v>3.1287818236571522E-3</v>
      </c>
      <c r="J22" s="67">
        <f>G11*F22</f>
        <v>-2.4717679444259026E-3</v>
      </c>
      <c r="K22" s="67">
        <f>H11*F22*C22</f>
        <v>-1.143812057540222E-5</v>
      </c>
      <c r="L22" s="67">
        <f t="shared" si="3"/>
        <v>6.4557575865584736E-4</v>
      </c>
    </row>
    <row r="23" spans="1:13">
      <c r="A23" s="145" t="s">
        <v>2176</v>
      </c>
      <c r="B23" s="67">
        <f t="shared" si="4"/>
        <v>3.6496813931128136E-2</v>
      </c>
      <c r="C23" s="67">
        <f t="shared" si="4"/>
        <v>0.20880353093514104</v>
      </c>
      <c r="D23" s="67">
        <f t="shared" si="5"/>
        <v>-43.428495476612142</v>
      </c>
      <c r="E23" s="67">
        <f t="shared" si="5"/>
        <v>-33.618340045098257</v>
      </c>
      <c r="F23" s="241">
        <f>F13-F12</f>
        <v>-8.870093405385306E-3</v>
      </c>
      <c r="G23" s="67">
        <f t="shared" si="6"/>
        <v>16.623950473181324</v>
      </c>
      <c r="H23" s="67">
        <f t="shared" si="6"/>
        <v>-56.204086865028579</v>
      </c>
      <c r="I23" s="67">
        <f>H12*C23</f>
        <v>2.4407029289389179E-3</v>
      </c>
      <c r="J23" s="67">
        <f>G12*F23</f>
        <v>-7.2994130828889251E-3</v>
      </c>
      <c r="K23" s="67">
        <f>H12*F23*C23</f>
        <v>-2.1649262954485696E-5</v>
      </c>
      <c r="L23" s="67">
        <f t="shared" ref="L23" si="7">SUM(I23:K23)</f>
        <v>-4.8803594169044935E-3</v>
      </c>
    </row>
    <row r="24" spans="1:13">
      <c r="A24" s="21"/>
      <c r="B24" s="246"/>
      <c r="C24" s="246"/>
      <c r="D24" s="247"/>
      <c r="E24" s="247"/>
      <c r="F24" s="241"/>
      <c r="G24" s="67"/>
      <c r="H24" s="67"/>
      <c r="I24" s="248" t="s">
        <v>984</v>
      </c>
      <c r="J24" s="249"/>
      <c r="K24" s="249"/>
      <c r="L24" s="250"/>
    </row>
    <row r="25" spans="1:13">
      <c r="A25" s="70"/>
      <c r="B25" s="251"/>
      <c r="C25" s="251"/>
      <c r="D25" s="252"/>
      <c r="E25" s="252"/>
      <c r="F25" s="241"/>
      <c r="G25" s="67"/>
      <c r="H25" s="67"/>
      <c r="I25" s="253" t="s">
        <v>784</v>
      </c>
      <c r="J25" s="254"/>
      <c r="K25" s="254"/>
      <c r="L25" s="255"/>
    </row>
    <row r="26" spans="1:13">
      <c r="A26" s="70"/>
      <c r="B26" s="252"/>
      <c r="C26" s="252"/>
      <c r="D26" s="252"/>
      <c r="E26" s="252"/>
      <c r="F26" s="241"/>
      <c r="G26" s="67"/>
      <c r="H26" s="145" t="s">
        <v>669</v>
      </c>
      <c r="I26" s="67">
        <f t="shared" ref="I26:L27" si="8">I17/$B17*100</f>
        <v>2.9002844697605141</v>
      </c>
      <c r="J26" s="67">
        <f t="shared" si="8"/>
        <v>-0.25856344934392722</v>
      </c>
      <c r="K26" s="67">
        <f t="shared" si="8"/>
        <v>-0.33488258320618991</v>
      </c>
      <c r="L26" s="67">
        <f t="shared" si="8"/>
        <v>2.3068384372103967</v>
      </c>
    </row>
    <row r="27" spans="1:13">
      <c r="A27" s="70"/>
      <c r="B27" s="252"/>
      <c r="C27" s="252"/>
      <c r="D27" s="252"/>
      <c r="E27" s="252"/>
      <c r="F27" s="241"/>
      <c r="G27" s="67"/>
      <c r="H27" s="145" t="s">
        <v>25</v>
      </c>
      <c r="I27" s="67">
        <f t="shared" si="8"/>
        <v>4.755336242641544</v>
      </c>
      <c r="J27" s="67">
        <f t="shared" si="8"/>
        <v>-2.4376387901701499</v>
      </c>
      <c r="K27" s="67">
        <f t="shared" si="8"/>
        <v>-1.3320012251958204</v>
      </c>
      <c r="L27" s="67">
        <f t="shared" si="8"/>
        <v>0.98569622727557415</v>
      </c>
    </row>
    <row r="28" spans="1:13">
      <c r="A28" s="21"/>
      <c r="B28" s="244"/>
      <c r="C28" s="244"/>
      <c r="D28" s="65"/>
      <c r="E28" s="65"/>
      <c r="F28" s="241"/>
      <c r="G28" s="67"/>
      <c r="H28" s="145" t="s">
        <v>803</v>
      </c>
      <c r="I28" s="67">
        <f>I19/$B19*100</f>
        <v>2.0373635452262913</v>
      </c>
      <c r="J28" s="67">
        <f t="shared" ref="J28:L32" si="9">J19/$B19*100</f>
        <v>0.19254570028426823</v>
      </c>
      <c r="K28" s="67">
        <f t="shared" si="9"/>
        <v>0.11106582080601195</v>
      </c>
      <c r="L28" s="67">
        <f>L19/$B19*100</f>
        <v>2.3409750663165712</v>
      </c>
    </row>
    <row r="29" spans="1:13">
      <c r="B29" s="252"/>
      <c r="C29" s="252"/>
      <c r="D29" s="67"/>
      <c r="E29" s="67"/>
      <c r="F29" s="241"/>
      <c r="G29" s="67"/>
      <c r="H29" s="145" t="s">
        <v>796</v>
      </c>
      <c r="I29" s="67">
        <f>I20/$B20*100</f>
        <v>5.4366532005666715</v>
      </c>
      <c r="J29" s="67">
        <f t="shared" si="9"/>
        <v>-12.345260650213984</v>
      </c>
      <c r="K29" s="67">
        <f t="shared" si="9"/>
        <v>-1.0381672817044389E-2</v>
      </c>
      <c r="L29" s="67">
        <f t="shared" si="9"/>
        <v>-6.9189891224643567</v>
      </c>
    </row>
    <row r="30" spans="1:13">
      <c r="B30" s="252"/>
      <c r="C30" s="252"/>
      <c r="D30" s="67"/>
      <c r="E30" s="67"/>
      <c r="F30" s="241"/>
      <c r="G30" s="67"/>
      <c r="H30" s="145" t="s">
        <v>26</v>
      </c>
      <c r="I30" s="67">
        <f>I21/$B21*100</f>
        <v>0.72696846673338367</v>
      </c>
      <c r="J30" s="67">
        <f t="shared" si="9"/>
        <v>2.2161651458348737</v>
      </c>
      <c r="K30" s="67">
        <f t="shared" si="9"/>
        <v>4.5796471271279636E-3</v>
      </c>
      <c r="L30" s="67">
        <f t="shared" si="9"/>
        <v>2.947713259695385</v>
      </c>
    </row>
    <row r="31" spans="1:13">
      <c r="B31" s="252"/>
      <c r="C31" s="252"/>
      <c r="D31" s="67"/>
      <c r="E31" s="67"/>
      <c r="F31" s="241"/>
      <c r="G31" s="67"/>
      <c r="H31" s="145" t="s">
        <v>662</v>
      </c>
      <c r="I31" s="67">
        <f>I22/$B22*100</f>
        <v>9.0702272081623221</v>
      </c>
      <c r="J31" s="67">
        <f t="shared" si="9"/>
        <v>-7.1655673439031009</v>
      </c>
      <c r="K31" s="67">
        <f t="shared" si="9"/>
        <v>-3.3158704665443267E-2</v>
      </c>
      <c r="L31" s="67">
        <f>L22/$B22*100</f>
        <v>1.8715011595937792</v>
      </c>
    </row>
    <row r="32" spans="1:13">
      <c r="B32" s="252"/>
      <c r="C32" s="252"/>
      <c r="D32" s="67"/>
      <c r="E32" s="67"/>
      <c r="F32" s="241"/>
      <c r="G32" s="67"/>
      <c r="H32" s="145" t="s">
        <v>2176</v>
      </c>
      <c r="I32" s="67">
        <f>I23/$B23*100</f>
        <v>6.6874410833358864</v>
      </c>
      <c r="J32" s="67">
        <f t="shared" si="9"/>
        <v>-20.000137811106999</v>
      </c>
      <c r="K32" s="67">
        <f t="shared" si="9"/>
        <v>-5.9318227052200405E-2</v>
      </c>
      <c r="L32" s="67">
        <f>L23/$B23*100</f>
        <v>-13.372014954823316</v>
      </c>
    </row>
    <row r="33" spans="1:13">
      <c r="B33" s="252"/>
      <c r="C33" s="252"/>
      <c r="D33" s="67"/>
      <c r="E33" s="67"/>
      <c r="F33" s="241"/>
      <c r="G33" s="67"/>
      <c r="H33" s="145"/>
      <c r="I33" s="67"/>
      <c r="J33" s="67"/>
      <c r="K33" s="67"/>
      <c r="L33" s="67"/>
    </row>
    <row r="34" spans="1:13" ht="14.25" customHeight="1">
      <c r="A34" s="137" t="s">
        <v>983</v>
      </c>
      <c r="B34" s="137"/>
      <c r="C34" s="137"/>
      <c r="D34" s="137"/>
      <c r="E34" s="137"/>
      <c r="F34" s="137"/>
      <c r="G34" s="137"/>
      <c r="H34" s="137"/>
      <c r="I34" s="137"/>
      <c r="J34" s="137"/>
      <c r="K34" s="137"/>
      <c r="L34" s="137"/>
    </row>
    <row r="35" spans="1:13">
      <c r="A35" s="256" t="s">
        <v>193</v>
      </c>
      <c r="B35" s="256"/>
      <c r="C35" s="256"/>
      <c r="D35" s="256"/>
      <c r="E35" s="256"/>
      <c r="F35" s="256"/>
      <c r="G35" s="256"/>
      <c r="H35" s="256"/>
      <c r="I35" s="256"/>
      <c r="J35" s="256"/>
      <c r="K35" s="256"/>
      <c r="L35" s="256"/>
    </row>
    <row r="36" spans="1:13" ht="18.75">
      <c r="A36" s="137" t="s">
        <v>980</v>
      </c>
      <c r="B36" s="137"/>
      <c r="C36" s="137"/>
      <c r="D36" s="137"/>
      <c r="E36" s="137"/>
      <c r="F36" s="137"/>
      <c r="G36" s="137"/>
      <c r="H36" s="137"/>
      <c r="I36" s="137"/>
      <c r="J36" s="137"/>
      <c r="K36" s="137"/>
      <c r="L36" s="137"/>
    </row>
    <row r="37" spans="1:13">
      <c r="I37" s="65"/>
      <c r="J37" s="65"/>
      <c r="K37" s="65"/>
      <c r="L37" s="65"/>
      <c r="M37" s="65"/>
    </row>
    <row r="38" spans="1:13">
      <c r="I38" s="65"/>
      <c r="J38" s="65"/>
      <c r="K38" s="65"/>
      <c r="L38" s="65"/>
    </row>
    <row r="39" spans="1:13">
      <c r="I39" s="65"/>
      <c r="J39" s="65"/>
      <c r="K39" s="65"/>
      <c r="L39" s="65"/>
    </row>
    <row r="40" spans="1:13">
      <c r="I40" s="65"/>
      <c r="J40" s="65"/>
      <c r="K40" s="65"/>
      <c r="L40" s="65"/>
    </row>
  </sheetData>
  <mergeCells count="19">
    <mergeCell ref="B25:C25"/>
    <mergeCell ref="I25:L25"/>
    <mergeCell ref="A35:L35"/>
    <mergeCell ref="A36:L36"/>
    <mergeCell ref="A34:L34"/>
    <mergeCell ref="B15:L15"/>
    <mergeCell ref="B16:E16"/>
    <mergeCell ref="G16:H16"/>
    <mergeCell ref="I16:L16"/>
    <mergeCell ref="B24:C24"/>
    <mergeCell ref="I24:L24"/>
    <mergeCell ref="A1:L1"/>
    <mergeCell ref="A2:A6"/>
    <mergeCell ref="B2:B3"/>
    <mergeCell ref="C2:L2"/>
    <mergeCell ref="C3:H3"/>
    <mergeCell ref="I3:L3"/>
    <mergeCell ref="D5:H5"/>
    <mergeCell ref="I5:L5"/>
  </mergeCells>
  <pageMargins left="0.7" right="0.7" top="0.75" bottom="0.75" header="0.3" footer="0.3"/>
  <pageSetup scale="79" orientation="landscape" horizontalDpi="0" verticalDpi="0" r:id="rId1"/>
</worksheet>
</file>

<file path=xl/worksheets/sheet52.xml><?xml version="1.0" encoding="utf-8"?>
<worksheet xmlns="http://schemas.openxmlformats.org/spreadsheetml/2006/main" xmlns:r="http://schemas.openxmlformats.org/officeDocument/2006/relationships">
  <sheetPr codeName="Sheet49"/>
  <dimension ref="A1:M40"/>
  <sheetViews>
    <sheetView view="pageBreakPreview" zoomScale="85" zoomScaleNormal="100" zoomScaleSheetLayoutView="85" workbookViewId="0">
      <pane xSplit="1" ySplit="6" topLeftCell="B7"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10.140625" style="64" customWidth="1"/>
    <col min="2" max="2" width="16.28515625" style="64" customWidth="1"/>
    <col min="3" max="3" width="16" style="64" customWidth="1"/>
    <col min="4" max="4" width="11.85546875" style="64" customWidth="1"/>
    <col min="5" max="5" width="11.5703125" style="64" customWidth="1"/>
    <col min="6" max="6" width="10" style="64" customWidth="1"/>
    <col min="7" max="7" width="12.28515625" style="64" customWidth="1"/>
    <col min="8" max="8" width="11.140625" style="64" customWidth="1"/>
    <col min="9" max="9" width="11.7109375" style="64" customWidth="1"/>
    <col min="10" max="10" width="12.42578125" style="64" customWidth="1"/>
    <col min="11" max="11" width="17.7109375" style="64" bestFit="1" customWidth="1"/>
    <col min="12" max="12" width="14" style="64" customWidth="1"/>
    <col min="13" max="16384" width="9.140625" style="64"/>
  </cols>
  <sheetData>
    <row r="1" spans="1:12" ht="15" customHeight="1">
      <c r="A1" s="227" t="s">
        <v>2175</v>
      </c>
      <c r="B1" s="227"/>
      <c r="C1" s="227"/>
      <c r="D1" s="227"/>
      <c r="E1" s="227"/>
      <c r="F1" s="227"/>
      <c r="G1" s="227"/>
      <c r="H1" s="227"/>
      <c r="I1" s="227"/>
      <c r="J1" s="227"/>
      <c r="K1" s="227"/>
      <c r="L1" s="227"/>
    </row>
    <row r="2" spans="1:12" ht="15" customHeight="1">
      <c r="A2" s="238"/>
      <c r="B2" s="94" t="s">
        <v>673</v>
      </c>
      <c r="C2" s="112" t="s">
        <v>671</v>
      </c>
      <c r="D2" s="112"/>
      <c r="E2" s="112"/>
      <c r="F2" s="112"/>
      <c r="G2" s="112"/>
      <c r="H2" s="112"/>
      <c r="I2" s="112"/>
      <c r="J2" s="112"/>
      <c r="K2" s="112"/>
      <c r="L2" s="112"/>
    </row>
    <row r="3" spans="1:12">
      <c r="A3" s="238"/>
      <c r="B3" s="94"/>
      <c r="C3" s="111" t="s">
        <v>774</v>
      </c>
      <c r="D3" s="111"/>
      <c r="E3" s="111"/>
      <c r="F3" s="111"/>
      <c r="G3" s="111"/>
      <c r="H3" s="111"/>
      <c r="I3" s="111" t="s">
        <v>976</v>
      </c>
      <c r="J3" s="111"/>
      <c r="K3" s="111"/>
      <c r="L3" s="111"/>
    </row>
    <row r="4" spans="1:12" ht="60">
      <c r="A4" s="238"/>
      <c r="B4" s="239" t="s">
        <v>956</v>
      </c>
      <c r="C4" s="239" t="s">
        <v>956</v>
      </c>
      <c r="D4" s="239" t="s">
        <v>967</v>
      </c>
      <c r="E4" s="239" t="s">
        <v>778</v>
      </c>
      <c r="F4" s="239" t="s">
        <v>779</v>
      </c>
      <c r="G4" s="239" t="s">
        <v>777</v>
      </c>
      <c r="H4" s="239" t="s">
        <v>776</v>
      </c>
      <c r="I4" s="72" t="s">
        <v>780</v>
      </c>
      <c r="J4" s="72" t="s">
        <v>781</v>
      </c>
      <c r="K4" s="72" t="s">
        <v>782</v>
      </c>
      <c r="L4" s="72" t="s">
        <v>783</v>
      </c>
    </row>
    <row r="5" spans="1:12" ht="30">
      <c r="A5" s="238"/>
      <c r="B5" s="240" t="s">
        <v>794</v>
      </c>
      <c r="C5" s="240" t="s">
        <v>794</v>
      </c>
      <c r="D5" s="97" t="s">
        <v>971</v>
      </c>
      <c r="E5" s="97"/>
      <c r="F5" s="97"/>
      <c r="G5" s="97"/>
      <c r="H5" s="97"/>
      <c r="I5" s="223" t="s">
        <v>978</v>
      </c>
      <c r="J5" s="224"/>
      <c r="K5" s="224"/>
      <c r="L5" s="225"/>
    </row>
    <row r="6" spans="1:12" ht="34.5">
      <c r="A6" s="238"/>
      <c r="B6" s="73" t="s">
        <v>955</v>
      </c>
      <c r="C6" s="73" t="s">
        <v>974</v>
      </c>
      <c r="D6" s="73" t="s">
        <v>970</v>
      </c>
      <c r="E6" s="73" t="s">
        <v>968</v>
      </c>
      <c r="F6" s="73" t="s">
        <v>969</v>
      </c>
      <c r="G6" s="73" t="s">
        <v>972</v>
      </c>
      <c r="H6" s="73" t="s">
        <v>973</v>
      </c>
      <c r="I6" s="73" t="s">
        <v>979</v>
      </c>
      <c r="J6" s="73" t="s">
        <v>981</v>
      </c>
      <c r="K6" s="73" t="s">
        <v>985</v>
      </c>
      <c r="L6" s="73" t="s">
        <v>982</v>
      </c>
    </row>
    <row r="7" spans="1:12">
      <c r="D7" s="135"/>
    </row>
    <row r="8" spans="1:12">
      <c r="A8" s="64">
        <v>1981</v>
      </c>
      <c r="B8" s="67">
        <f>'7'!F6</f>
        <v>35.444901174774103</v>
      </c>
      <c r="C8" s="65">
        <f>'7'!F36</f>
        <v>28.424304163987589</v>
      </c>
      <c r="D8" s="241">
        <f>'7'!D36/'7'!D6</f>
        <v>1.445493687990433</v>
      </c>
      <c r="E8" s="241">
        <f>'7'!E36/'7'!E6</f>
        <v>1.3374887997718651E-2</v>
      </c>
      <c r="F8" s="241">
        <f t="shared" ref="F8:F9" si="0">E8*D8</f>
        <v>1.933331617828131E-2</v>
      </c>
      <c r="G8" s="67">
        <f t="shared" ref="G8:G9" si="1">C8/B8</f>
        <v>0.80192928240457262</v>
      </c>
      <c r="H8" s="241">
        <f t="shared" ref="H8:H9" si="2">G8*F8</f>
        <v>1.5503952369349846E-2</v>
      </c>
    </row>
    <row r="9" spans="1:12">
      <c r="A9" s="109">
        <v>1986</v>
      </c>
      <c r="B9" s="67">
        <f>'7'!F7</f>
        <v>38.216459836990339</v>
      </c>
      <c r="C9" s="65">
        <f>'7'!F37</f>
        <v>34.428898956486051</v>
      </c>
      <c r="D9" s="241">
        <f>'7'!D37/'7'!D7</f>
        <v>1.3886130297194126</v>
      </c>
      <c r="E9" s="241">
        <f>'7'!E37/'7'!E7</f>
        <v>1.1170362420396578E-2</v>
      </c>
      <c r="F9" s="241">
        <f t="shared" si="0"/>
        <v>1.5511310803650763E-2</v>
      </c>
      <c r="G9" s="67">
        <f t="shared" si="1"/>
        <v>0.90089189588308638</v>
      </c>
      <c r="H9" s="241">
        <f t="shared" si="2"/>
        <v>1.3974014197532737E-2</v>
      </c>
      <c r="I9" s="242"/>
    </row>
    <row r="10" spans="1:12">
      <c r="A10" s="109">
        <v>1989</v>
      </c>
      <c r="B10" s="67">
        <f>'7'!F8</f>
        <v>38.601623124092313</v>
      </c>
      <c r="C10" s="65">
        <f>'7'!F38</f>
        <v>33.781029335198291</v>
      </c>
      <c r="D10" s="241">
        <f>'7'!D38/'7'!D8</f>
        <v>1.6197147301711581</v>
      </c>
      <c r="E10" s="241">
        <f>'7'!E38/'7'!E8</f>
        <v>1.0506599074037249E-2</v>
      </c>
      <c r="F10" s="241">
        <f>E10*D10</f>
        <v>1.7017693284220783E-2</v>
      </c>
      <c r="G10" s="67">
        <f>C10/B10</f>
        <v>0.87511940175683023</v>
      </c>
      <c r="H10" s="241">
        <f>G10*F10</f>
        <v>1.489251356616852E-2</v>
      </c>
      <c r="I10" s="242"/>
    </row>
    <row r="11" spans="1:12">
      <c r="A11" s="109">
        <v>2000</v>
      </c>
      <c r="B11" s="67">
        <f>'7'!F9</f>
        <v>46.121740426203758</v>
      </c>
      <c r="C11" s="65">
        <f>'7'!F39</f>
        <v>49.599289947007065</v>
      </c>
      <c r="D11" s="241">
        <f>'7'!D39/'7'!D9</f>
        <v>1.6030808809849373</v>
      </c>
      <c r="E11" s="241">
        <f>'7'!E39/'7'!E9</f>
        <v>7.7420514246082225E-3</v>
      </c>
      <c r="F11" s="241">
        <f>E11*D11</f>
        <v>1.2411134618391637E-2</v>
      </c>
      <c r="G11" s="67">
        <f>C11/B11</f>
        <v>1.0753993558930739</v>
      </c>
      <c r="H11" s="241">
        <f>G11*F11</f>
        <v>1.3346926174520598E-2</v>
      </c>
      <c r="I11" s="242"/>
    </row>
    <row r="12" spans="1:12">
      <c r="A12" s="109">
        <v>2004</v>
      </c>
      <c r="B12" s="67">
        <f>'7'!F10</f>
        <v>47.712713395338199</v>
      </c>
      <c r="C12" s="65">
        <f>'7'!F40</f>
        <v>51.045740077324879</v>
      </c>
      <c r="D12" s="241">
        <f>'7'!D40/'7'!D10</f>
        <v>1.1110278981829369</v>
      </c>
      <c r="E12" s="241">
        <f>'7'!E40/'7'!E10</f>
        <v>7.0952025865383458E-3</v>
      </c>
      <c r="F12" s="241">
        <f>E12*D12</f>
        <v>7.8829680169038366E-3</v>
      </c>
      <c r="G12" s="67">
        <f>C12/B12</f>
        <v>1.0698561545718408</v>
      </c>
      <c r="H12" s="241">
        <f>G12*F12</f>
        <v>8.4336418491775481E-3</v>
      </c>
      <c r="I12" s="242"/>
    </row>
    <row r="13" spans="1:12">
      <c r="A13" s="109">
        <v>2008</v>
      </c>
      <c r="B13" s="67">
        <f>'7'!F11</f>
        <v>49.4540754182771</v>
      </c>
      <c r="C13" s="65">
        <f>'7'!F41</f>
        <v>50.583657587548636</v>
      </c>
      <c r="D13" s="241">
        <f>'7'!D41/'7'!D11</f>
        <v>0.98053758758253984</v>
      </c>
      <c r="E13" s="241">
        <f>'7'!E41/'7'!E11</f>
        <v>5.6627606682711938E-3</v>
      </c>
      <c r="F13" s="241">
        <f>E13*D13</f>
        <v>5.5525496847239272E-3</v>
      </c>
      <c r="G13" s="67">
        <f>C13/B13</f>
        <v>1.0228410330133089</v>
      </c>
      <c r="H13" s="241">
        <f>G13*F13</f>
        <v>5.679375655380744E-3</v>
      </c>
      <c r="I13" s="242"/>
    </row>
    <row r="15" spans="1:12">
      <c r="B15" s="111" t="s">
        <v>975</v>
      </c>
      <c r="C15" s="111"/>
      <c r="D15" s="111"/>
      <c r="E15" s="111"/>
      <c r="F15" s="111"/>
      <c r="G15" s="111"/>
      <c r="H15" s="111"/>
      <c r="I15" s="111"/>
      <c r="J15" s="111"/>
      <c r="K15" s="111"/>
      <c r="L15" s="111"/>
    </row>
    <row r="16" spans="1:12">
      <c r="B16" s="107" t="s">
        <v>784</v>
      </c>
      <c r="C16" s="107"/>
      <c r="D16" s="107"/>
      <c r="E16" s="107"/>
      <c r="F16" s="243" t="s">
        <v>977</v>
      </c>
      <c r="G16" s="107" t="s">
        <v>784</v>
      </c>
      <c r="H16" s="107"/>
      <c r="I16" s="107" t="s">
        <v>795</v>
      </c>
      <c r="J16" s="107"/>
      <c r="K16" s="107"/>
      <c r="L16" s="107"/>
    </row>
    <row r="17" spans="1:13">
      <c r="A17" s="145" t="s">
        <v>669</v>
      </c>
      <c r="B17" s="244">
        <f>(B12/B8-1)</f>
        <v>0.34610936450557839</v>
      </c>
      <c r="C17" s="244">
        <f>(C12/C8-1)</f>
        <v>0.79584836212095245</v>
      </c>
      <c r="D17" s="244">
        <f>(D12/D8-1)*100</f>
        <v>-23.138516106042641</v>
      </c>
      <c r="E17" s="244">
        <f>(E12/E8-1)*100</f>
        <v>-46.951312132493584</v>
      </c>
      <c r="F17" s="245">
        <f>F12-F8</f>
        <v>-1.1450348161377473E-2</v>
      </c>
      <c r="G17" s="244">
        <f>(G12/G8-1)*100</f>
        <v>33.410286673145741</v>
      </c>
      <c r="H17" s="244">
        <f>(H12/H8-1)*100</f>
        <v>-45.603278130225512</v>
      </c>
      <c r="I17" s="67">
        <f>H8*C17</f>
        <v>1.2338795099548334E-2</v>
      </c>
      <c r="J17" s="67">
        <f>G8*F17</f>
        <v>-9.1823694843359543E-3</v>
      </c>
      <c r="K17" s="67">
        <f>F17*G8*C17</f>
        <v>-7.3077737144981838E-3</v>
      </c>
      <c r="L17" s="67">
        <f t="shared" ref="L17:L22" si="3">SUM(I17:K17)</f>
        <v>-4.1513480992858036E-3</v>
      </c>
    </row>
    <row r="18" spans="1:13">
      <c r="A18" s="145" t="s">
        <v>25</v>
      </c>
      <c r="B18" s="244">
        <f>(B10/B8-1)</f>
        <v>8.9059973217384236E-2</v>
      </c>
      <c r="C18" s="244">
        <f>(C10/C8-1)</f>
        <v>0.18845580670352691</v>
      </c>
      <c r="D18" s="244">
        <f>(D10/D8-1)*100</f>
        <v>12.052701691346179</v>
      </c>
      <c r="E18" s="244">
        <f>(E10/E8-1)*100</f>
        <v>-21.445330414509979</v>
      </c>
      <c r="F18" s="245">
        <f>F10-F8</f>
        <v>-2.3156228940605268E-3</v>
      </c>
      <c r="G18" s="244">
        <f>(G10/G8-1)*100</f>
        <v>9.1267548097006888</v>
      </c>
      <c r="H18" s="244">
        <f>(H10/H8-1)*100</f>
        <v>-3.9437608463638862</v>
      </c>
      <c r="I18" s="67">
        <f>H8*C18</f>
        <v>2.9218098508588825E-3</v>
      </c>
      <c r="J18" s="67">
        <f>G8*F18</f>
        <v>-1.856965805753558E-3</v>
      </c>
      <c r="K18" s="67">
        <f>F18*G8*C18</f>
        <v>-3.4995598894415161E-4</v>
      </c>
      <c r="L18" s="67">
        <f t="shared" si="3"/>
        <v>7.1488805616117294E-4</v>
      </c>
    </row>
    <row r="19" spans="1:13">
      <c r="A19" s="145" t="s">
        <v>803</v>
      </c>
      <c r="B19" s="67">
        <f>(B12/B9-1)</f>
        <v>0.24848595602139678</v>
      </c>
      <c r="C19" s="67">
        <f>(C12/C9-1)</f>
        <v>0.48264224603408024</v>
      </c>
      <c r="D19" s="67">
        <f>(D12/D9-1)*100</f>
        <v>-19.990099876317981</v>
      </c>
      <c r="E19" s="67">
        <f>(E12/E9-1)*100</f>
        <v>-36.481894503415347</v>
      </c>
      <c r="F19" s="241">
        <f>F12-F9</f>
        <v>-7.628342786746926E-3</v>
      </c>
      <c r="G19" s="67">
        <f>(G12/G9-1)*100</f>
        <v>18.755220183563726</v>
      </c>
      <c r="H19" s="67">
        <f>(H12/H9-1)*100</f>
        <v>-39.647679400049562</v>
      </c>
      <c r="I19" s="67">
        <f>H9*C19</f>
        <v>6.7444495984093251E-3</v>
      </c>
      <c r="J19" s="67">
        <f>G9*F19</f>
        <v>-6.8723121955985046E-3</v>
      </c>
      <c r="K19" s="67">
        <f>F19*G9*C19</f>
        <v>-3.3168681935310637E-3</v>
      </c>
      <c r="L19" s="67">
        <f t="shared" si="3"/>
        <v>-3.4447307907202432E-3</v>
      </c>
    </row>
    <row r="20" spans="1:13">
      <c r="A20" s="145" t="s">
        <v>796</v>
      </c>
      <c r="B20" s="67">
        <f t="shared" ref="B20:C23" si="4">(B10/B9-1)</f>
        <v>1.0078465895189126E-2</v>
      </c>
      <c r="C20" s="67">
        <f t="shared" si="4"/>
        <v>-1.8817610813130825E-2</v>
      </c>
      <c r="D20" s="67">
        <f t="shared" ref="D20:E23" si="5">(D10/D9-1)*100</f>
        <v>16.64262796802667</v>
      </c>
      <c r="E20" s="67">
        <f t="shared" si="5"/>
        <v>-5.9421827276376238</v>
      </c>
      <c r="F20" s="241">
        <f>F10-F9</f>
        <v>1.5063824805700201E-3</v>
      </c>
      <c r="G20" s="67">
        <f t="shared" ref="G20:H23" si="6">(G10/G9-1)*100</f>
        <v>-2.8607754430949872</v>
      </c>
      <c r="H20" s="67">
        <f t="shared" si="6"/>
        <v>6.5729099430710036</v>
      </c>
      <c r="I20" s="67">
        <f>H9*C20</f>
        <v>-2.629575606663357E-4</v>
      </c>
      <c r="J20" s="67">
        <f>G9*F20</f>
        <v>1.357087768845792E-3</v>
      </c>
      <c r="K20" s="67">
        <f>H9*F20*C20</f>
        <v>-3.961146625211963E-7</v>
      </c>
      <c r="L20" s="67">
        <f t="shared" si="3"/>
        <v>1.0937340935169352E-3</v>
      </c>
      <c r="M20" s="67"/>
    </row>
    <row r="21" spans="1:13">
      <c r="A21" s="145" t="s">
        <v>26</v>
      </c>
      <c r="B21" s="67">
        <f t="shared" si="4"/>
        <v>0.19481349988669083</v>
      </c>
      <c r="C21" s="67">
        <f t="shared" si="4"/>
        <v>0.46825869202649995</v>
      </c>
      <c r="D21" s="67">
        <f t="shared" si="5"/>
        <v>-1.0269616541959237</v>
      </c>
      <c r="E21" s="67">
        <f t="shared" si="5"/>
        <v>-26.312488274730804</v>
      </c>
      <c r="F21" s="241">
        <f>F11-F10</f>
        <v>-4.6065586658291455E-3</v>
      </c>
      <c r="G21" s="67">
        <f t="shared" si="6"/>
        <v>22.886014609455032</v>
      </c>
      <c r="H21" s="67">
        <f t="shared" si="6"/>
        <v>-10.37828426195998</v>
      </c>
      <c r="I21" s="67">
        <f>H10*C21</f>
        <v>6.973548923480977E-3</v>
      </c>
      <c r="J21" s="67">
        <f>G10*F21</f>
        <v>-4.0312888637981442E-3</v>
      </c>
      <c r="K21" s="67">
        <f>H10*F21*C21</f>
        <v>-3.2124062225044805E-5</v>
      </c>
      <c r="L21" s="67">
        <f t="shared" si="3"/>
        <v>2.9101359974577881E-3</v>
      </c>
    </row>
    <row r="22" spans="1:13" ht="15.75" customHeight="1">
      <c r="A22" s="145" t="s">
        <v>662</v>
      </c>
      <c r="B22" s="67">
        <f t="shared" si="4"/>
        <v>3.4495076604492914E-2</v>
      </c>
      <c r="C22" s="67">
        <f t="shared" si="4"/>
        <v>2.916271849583385E-2</v>
      </c>
      <c r="D22" s="67">
        <f t="shared" si="5"/>
        <v>-30.694208173681268</v>
      </c>
      <c r="E22" s="67">
        <f t="shared" si="5"/>
        <v>-8.3550057031894447</v>
      </c>
      <c r="F22" s="241">
        <f>F12-F11</f>
        <v>-4.5281666014878007E-3</v>
      </c>
      <c r="G22" s="67">
        <f t="shared" si="6"/>
        <v>-0.51545514611450738</v>
      </c>
      <c r="H22" s="67">
        <f t="shared" si="6"/>
        <v>-36.812103858958579</v>
      </c>
      <c r="I22" s="67">
        <f>H11*C22</f>
        <v>3.8923265081222078E-4</v>
      </c>
      <c r="J22" s="67">
        <f>G11*F22</f>
        <v>-4.8695874466165101E-3</v>
      </c>
      <c r="K22" s="67">
        <f>H11*F22*C22</f>
        <v>-1.7625102896164617E-6</v>
      </c>
      <c r="L22" s="67">
        <f t="shared" si="3"/>
        <v>-4.4821173060939062E-3</v>
      </c>
    </row>
    <row r="23" spans="1:13" ht="15.75" customHeight="1">
      <c r="A23" s="145" t="s">
        <v>2176</v>
      </c>
      <c r="B23" s="67">
        <f t="shared" si="4"/>
        <v>3.6496813931128136E-2</v>
      </c>
      <c r="C23" s="67">
        <f t="shared" si="4"/>
        <v>-9.0523222716777374E-3</v>
      </c>
      <c r="D23" s="67">
        <f t="shared" si="5"/>
        <v>-11.745007556858944</v>
      </c>
      <c r="E23" s="67">
        <f t="shared" si="5"/>
        <v>-20.188879750733392</v>
      </c>
      <c r="F23" s="241">
        <f>F13-F12</f>
        <v>-2.3304183321799093E-3</v>
      </c>
      <c r="G23" s="67">
        <f t="shared" si="6"/>
        <v>-4.3945273724529388</v>
      </c>
      <c r="H23" s="67">
        <f t="shared" si="6"/>
        <v>-32.658088202612035</v>
      </c>
      <c r="I23" s="67">
        <f>H12*C23</f>
        <v>-7.6344043942663337E-5</v>
      </c>
      <c r="J23" s="67">
        <f>G12*F23</f>
        <v>-2.4932123954097204E-3</v>
      </c>
      <c r="K23" s="67">
        <f>H12*F23*C23</f>
        <v>1.7791355955673123E-7</v>
      </c>
      <c r="L23" s="67">
        <f t="shared" ref="L23" si="7">SUM(I23:K23)</f>
        <v>-2.569378525792827E-3</v>
      </c>
    </row>
    <row r="24" spans="1:13">
      <c r="A24" s="21"/>
      <c r="B24" s="246"/>
      <c r="C24" s="246"/>
      <c r="D24" s="247"/>
      <c r="E24" s="247"/>
      <c r="F24" s="241"/>
      <c r="G24" s="67"/>
      <c r="H24" s="67"/>
      <c r="I24" s="248" t="s">
        <v>984</v>
      </c>
      <c r="J24" s="249"/>
      <c r="K24" s="249"/>
      <c r="L24" s="250"/>
    </row>
    <row r="25" spans="1:13">
      <c r="A25" s="70"/>
      <c r="B25" s="251"/>
      <c r="C25" s="251"/>
      <c r="D25" s="252"/>
      <c r="E25" s="252"/>
      <c r="F25" s="241"/>
      <c r="G25" s="67"/>
      <c r="H25" s="67"/>
      <c r="I25" s="253" t="s">
        <v>784</v>
      </c>
      <c r="J25" s="254"/>
      <c r="K25" s="254"/>
      <c r="L25" s="255"/>
    </row>
    <row r="26" spans="1:13">
      <c r="A26" s="70"/>
      <c r="B26" s="252"/>
      <c r="C26" s="252"/>
      <c r="D26" s="252"/>
      <c r="E26" s="252"/>
      <c r="F26" s="241"/>
      <c r="G26" s="67"/>
      <c r="H26" s="145" t="s">
        <v>669</v>
      </c>
      <c r="I26" s="67">
        <f t="shared" ref="I26:L32" si="8">I17/$B17*100</f>
        <v>3.5649989179502439</v>
      </c>
      <c r="J26" s="67">
        <f t="shared" si="8"/>
        <v>-2.6530254382030622</v>
      </c>
      <c r="K26" s="67">
        <f t="shared" si="8"/>
        <v>-2.1114059496591291</v>
      </c>
      <c r="L26" s="67">
        <f t="shared" si="8"/>
        <v>-1.1994324699119474</v>
      </c>
    </row>
    <row r="27" spans="1:13">
      <c r="A27" s="70"/>
      <c r="B27" s="252"/>
      <c r="C27" s="252"/>
      <c r="D27" s="252"/>
      <c r="E27" s="252"/>
      <c r="F27" s="241"/>
      <c r="G27" s="67"/>
      <c r="H27" s="145" t="s">
        <v>25</v>
      </c>
      <c r="I27" s="67">
        <f t="shared" si="8"/>
        <v>3.2807216814753701</v>
      </c>
      <c r="J27" s="67">
        <f t="shared" si="8"/>
        <v>-2.0850733934322405</v>
      </c>
      <c r="K27" s="67">
        <f t="shared" si="8"/>
        <v>-0.39294418839533318</v>
      </c>
      <c r="L27" s="67">
        <f t="shared" si="8"/>
        <v>0.80270409964779665</v>
      </c>
    </row>
    <row r="28" spans="1:13">
      <c r="A28" s="21"/>
      <c r="B28" s="244"/>
      <c r="C28" s="244"/>
      <c r="D28" s="65"/>
      <c r="E28" s="65"/>
      <c r="F28" s="241"/>
      <c r="G28" s="67"/>
      <c r="H28" s="145" t="s">
        <v>803</v>
      </c>
      <c r="I28" s="67">
        <f>I19/$B19*100</f>
        <v>2.7142176187327745</v>
      </c>
      <c r="J28" s="67">
        <f t="shared" si="8"/>
        <v>-2.7656742882510188</v>
      </c>
      <c r="K28" s="67">
        <f t="shared" si="8"/>
        <v>-1.3348312502801778</v>
      </c>
      <c r="L28" s="67">
        <f>L19/$B19*100</f>
        <v>-1.3862879197984221</v>
      </c>
    </row>
    <row r="29" spans="1:13">
      <c r="B29" s="252"/>
      <c r="C29" s="252"/>
      <c r="D29" s="67"/>
      <c r="E29" s="67"/>
      <c r="F29" s="241"/>
      <c r="G29" s="67"/>
      <c r="H29" s="145" t="s">
        <v>796</v>
      </c>
      <c r="I29" s="67">
        <f>I20/$B20*100</f>
        <v>-2.6091030460484701</v>
      </c>
      <c r="J29" s="67">
        <f t="shared" si="8"/>
        <v>13.465221621611946</v>
      </c>
      <c r="K29" s="67">
        <f t="shared" si="8"/>
        <v>-3.9303071185692899E-3</v>
      </c>
      <c r="L29" s="67">
        <f t="shared" si="8"/>
        <v>10.852188268444905</v>
      </c>
    </row>
    <row r="30" spans="1:13">
      <c r="B30" s="252"/>
      <c r="C30" s="252"/>
      <c r="D30" s="67"/>
      <c r="E30" s="67"/>
      <c r="F30" s="241"/>
      <c r="G30" s="67"/>
      <c r="H30" s="145" t="s">
        <v>26</v>
      </c>
      <c r="I30" s="67">
        <f>I21/$B21*100</f>
        <v>3.5796025057488285</v>
      </c>
      <c r="J30" s="67">
        <f t="shared" si="8"/>
        <v>-2.0693067298430847</v>
      </c>
      <c r="K30" s="67">
        <f t="shared" si="8"/>
        <v>-1.6489648943080991E-2</v>
      </c>
      <c r="L30" s="67">
        <f t="shared" si="8"/>
        <v>1.4938061269626628</v>
      </c>
    </row>
    <row r="31" spans="1:13">
      <c r="B31" s="252"/>
      <c r="C31" s="252"/>
      <c r="D31" s="67"/>
      <c r="E31" s="67"/>
      <c r="F31" s="241"/>
      <c r="G31" s="67"/>
      <c r="H31" s="145" t="s">
        <v>662</v>
      </c>
      <c r="I31" s="67">
        <f>I22/$B22*100</f>
        <v>1.1283716087226316</v>
      </c>
      <c r="J31" s="67">
        <f t="shared" si="8"/>
        <v>-14.116760784297711</v>
      </c>
      <c r="K31" s="67">
        <f t="shared" si="8"/>
        <v>-5.1094546326848804E-3</v>
      </c>
      <c r="L31" s="67">
        <f>L22/$B22*100</f>
        <v>-12.993498630207764</v>
      </c>
    </row>
    <row r="32" spans="1:13">
      <c r="B32" s="252"/>
      <c r="C32" s="252"/>
      <c r="D32" s="67"/>
      <c r="E32" s="67"/>
      <c r="F32" s="241"/>
      <c r="G32" s="67"/>
      <c r="H32" s="145" t="s">
        <v>2176</v>
      </c>
      <c r="I32" s="67">
        <f>I23/$B23*100</f>
        <v>-0.20918002345829287</v>
      </c>
      <c r="J32" s="67">
        <f t="shared" si="8"/>
        <v>-6.8313151940182353</v>
      </c>
      <c r="K32" s="67">
        <f t="shared" si="8"/>
        <v>4.8747696139302929E-4</v>
      </c>
      <c r="L32" s="67">
        <f>L23/$B23*100</f>
        <v>-7.0400077405151347</v>
      </c>
    </row>
    <row r="33" spans="1:13">
      <c r="B33" s="252"/>
      <c r="C33" s="252"/>
      <c r="D33" s="67"/>
      <c r="E33" s="67"/>
      <c r="F33" s="241"/>
      <c r="G33" s="67"/>
      <c r="H33" s="145"/>
      <c r="I33" s="67"/>
      <c r="J33" s="67"/>
      <c r="K33" s="67"/>
      <c r="L33" s="67"/>
    </row>
    <row r="34" spans="1:13">
      <c r="A34" s="137" t="s">
        <v>983</v>
      </c>
      <c r="B34" s="137"/>
      <c r="C34" s="137"/>
      <c r="D34" s="137"/>
      <c r="E34" s="137"/>
      <c r="F34" s="137"/>
      <c r="G34" s="137"/>
      <c r="H34" s="137"/>
      <c r="I34" s="137"/>
      <c r="J34" s="137"/>
      <c r="K34" s="137"/>
      <c r="L34" s="137"/>
    </row>
    <row r="35" spans="1:13">
      <c r="A35" s="256" t="s">
        <v>193</v>
      </c>
      <c r="B35" s="256"/>
      <c r="C35" s="256"/>
      <c r="D35" s="256"/>
      <c r="E35" s="256"/>
      <c r="F35" s="256"/>
      <c r="G35" s="256"/>
      <c r="H35" s="256"/>
      <c r="I35" s="256"/>
      <c r="J35" s="256"/>
      <c r="K35" s="256"/>
      <c r="L35" s="256"/>
    </row>
    <row r="36" spans="1:13" ht="18.75">
      <c r="A36" s="137" t="s">
        <v>980</v>
      </c>
      <c r="B36" s="137"/>
      <c r="C36" s="137"/>
      <c r="D36" s="137"/>
      <c r="E36" s="137"/>
      <c r="F36" s="137"/>
      <c r="G36" s="137"/>
      <c r="H36" s="137"/>
      <c r="I36" s="137"/>
      <c r="J36" s="137"/>
      <c r="K36" s="137"/>
      <c r="L36" s="137"/>
      <c r="M36" s="65"/>
    </row>
    <row r="37" spans="1:13">
      <c r="I37" s="65"/>
      <c r="J37" s="65"/>
      <c r="K37" s="65"/>
      <c r="L37" s="65"/>
    </row>
    <row r="38" spans="1:13">
      <c r="I38" s="65"/>
      <c r="J38" s="65"/>
      <c r="K38" s="65"/>
      <c r="L38" s="65"/>
    </row>
    <row r="39" spans="1:13">
      <c r="I39" s="65"/>
      <c r="J39" s="65"/>
      <c r="K39" s="65"/>
      <c r="L39" s="65"/>
    </row>
    <row r="40" spans="1:13">
      <c r="I40" s="65"/>
      <c r="J40" s="65"/>
      <c r="K40" s="65"/>
      <c r="L40" s="65"/>
    </row>
  </sheetData>
  <mergeCells count="19">
    <mergeCell ref="B25:C25"/>
    <mergeCell ref="I25:L25"/>
    <mergeCell ref="A35:L35"/>
    <mergeCell ref="A36:L36"/>
    <mergeCell ref="A34:L34"/>
    <mergeCell ref="B15:L15"/>
    <mergeCell ref="B16:E16"/>
    <mergeCell ref="G16:H16"/>
    <mergeCell ref="I16:L16"/>
    <mergeCell ref="B24:C24"/>
    <mergeCell ref="I24:L24"/>
    <mergeCell ref="A1:L1"/>
    <mergeCell ref="A2:A6"/>
    <mergeCell ref="B2:B3"/>
    <mergeCell ref="C2:L2"/>
    <mergeCell ref="C3:H3"/>
    <mergeCell ref="I3:L3"/>
    <mergeCell ref="D5:H5"/>
    <mergeCell ref="I5:L5"/>
  </mergeCells>
  <pageMargins left="0.7" right="0.7" top="0.75" bottom="0.75" header="0.3" footer="0.3"/>
  <pageSetup scale="79" orientation="landscape" horizontalDpi="0" verticalDpi="0" r:id="rId1"/>
</worksheet>
</file>

<file path=xl/worksheets/sheet53.xml><?xml version="1.0" encoding="utf-8"?>
<worksheet xmlns="http://schemas.openxmlformats.org/spreadsheetml/2006/main" xmlns:r="http://schemas.openxmlformats.org/officeDocument/2006/relationships">
  <sheetPr codeName="Sheet50"/>
  <dimension ref="A1:Z68"/>
  <sheetViews>
    <sheetView view="pageBreakPreview" zoomScale="85" zoomScaleNormal="70" zoomScaleSheetLayoutView="85"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0.140625" style="64" customWidth="1"/>
    <col min="2" max="2" width="10.42578125" style="64" customWidth="1"/>
    <col min="3" max="3" width="13.7109375" style="64" customWidth="1"/>
    <col min="4" max="4" width="12.28515625" style="64" customWidth="1"/>
    <col min="5" max="5" width="13.28515625" style="64" customWidth="1"/>
    <col min="6" max="12" width="13.42578125" style="64" customWidth="1"/>
    <col min="13" max="13" width="9.140625" style="64"/>
    <col min="14" max="25" width="9.140625" style="64" hidden="1" customWidth="1" outlineLevel="1"/>
    <col min="26" max="26" width="9.140625" style="64" collapsed="1"/>
    <col min="27" max="16384" width="9.140625" style="64"/>
  </cols>
  <sheetData>
    <row r="1" spans="1:25">
      <c r="A1" s="108" t="s">
        <v>1808</v>
      </c>
      <c r="B1" s="108"/>
      <c r="C1" s="108"/>
      <c r="D1" s="108"/>
      <c r="E1" s="108"/>
      <c r="F1" s="108"/>
      <c r="G1" s="108"/>
      <c r="H1" s="108"/>
      <c r="I1" s="108"/>
      <c r="J1" s="108"/>
      <c r="K1" s="108"/>
      <c r="L1" s="108"/>
    </row>
    <row r="2" spans="1:25">
      <c r="A2" s="158"/>
      <c r="B2" s="111" t="s">
        <v>1806</v>
      </c>
      <c r="C2" s="111"/>
      <c r="D2" s="111"/>
      <c r="E2" s="111"/>
      <c r="F2" s="111"/>
      <c r="G2" s="111" t="s">
        <v>1807</v>
      </c>
      <c r="H2" s="111"/>
      <c r="I2" s="111"/>
      <c r="J2" s="111"/>
      <c r="K2" s="111"/>
      <c r="L2" s="111"/>
      <c r="N2" s="233" t="s">
        <v>746</v>
      </c>
      <c r="O2" s="233"/>
      <c r="P2" s="233"/>
      <c r="Q2" s="233"/>
      <c r="R2" s="233"/>
      <c r="T2" s="233" t="s">
        <v>674</v>
      </c>
      <c r="U2" s="233"/>
      <c r="V2" s="233"/>
      <c r="W2" s="233"/>
      <c r="X2" s="233"/>
      <c r="Y2" s="233"/>
    </row>
    <row r="3" spans="1:25" ht="15" customHeight="1">
      <c r="A3" s="158"/>
      <c r="B3" s="94" t="s">
        <v>87</v>
      </c>
      <c r="C3" s="94" t="s">
        <v>938</v>
      </c>
      <c r="D3" s="94" t="s">
        <v>0</v>
      </c>
      <c r="E3" s="94" t="s">
        <v>745</v>
      </c>
      <c r="F3" s="94" t="s">
        <v>678</v>
      </c>
      <c r="G3" s="94" t="s">
        <v>87</v>
      </c>
      <c r="H3" s="94" t="s">
        <v>938</v>
      </c>
      <c r="I3" s="94" t="s">
        <v>37</v>
      </c>
      <c r="J3" s="94"/>
      <c r="K3" s="94"/>
      <c r="L3" s="94"/>
      <c r="N3" s="234"/>
      <c r="O3" s="234"/>
      <c r="P3" s="234"/>
      <c r="Q3" s="235"/>
      <c r="R3" s="235"/>
      <c r="T3" s="123" t="s">
        <v>87</v>
      </c>
      <c r="U3" s="236"/>
      <c r="V3" s="159" t="s">
        <v>37</v>
      </c>
      <c r="W3" s="160"/>
      <c r="X3" s="160"/>
      <c r="Y3" s="160"/>
    </row>
    <row r="4" spans="1:25" ht="75">
      <c r="A4" s="158"/>
      <c r="B4" s="94"/>
      <c r="C4" s="94"/>
      <c r="D4" s="94"/>
      <c r="E4" s="94"/>
      <c r="F4" s="94"/>
      <c r="G4" s="94"/>
      <c r="H4" s="94"/>
      <c r="I4" s="72" t="s">
        <v>78</v>
      </c>
      <c r="J4" s="72" t="s">
        <v>0</v>
      </c>
      <c r="K4" s="72" t="s">
        <v>745</v>
      </c>
      <c r="L4" s="72" t="s">
        <v>678</v>
      </c>
      <c r="N4" s="237" t="s">
        <v>87</v>
      </c>
      <c r="O4" s="237" t="s">
        <v>938</v>
      </c>
      <c r="P4" s="237" t="s">
        <v>0</v>
      </c>
      <c r="Q4" s="72" t="s">
        <v>548</v>
      </c>
      <c r="R4" s="72" t="s">
        <v>547</v>
      </c>
      <c r="T4" s="126"/>
      <c r="U4" s="237" t="s">
        <v>938</v>
      </c>
      <c r="V4" s="237" t="s">
        <v>78</v>
      </c>
      <c r="W4" s="237" t="s">
        <v>0</v>
      </c>
      <c r="X4" s="237" t="s">
        <v>745</v>
      </c>
      <c r="Y4" s="237" t="s">
        <v>678</v>
      </c>
    </row>
    <row r="5" spans="1:25" ht="75" hidden="1" customHeight="1" outlineLevel="1">
      <c r="N5" s="64" t="s">
        <v>83</v>
      </c>
      <c r="P5" s="64" t="s">
        <v>84</v>
      </c>
      <c r="Q5" s="64" t="s">
        <v>85</v>
      </c>
      <c r="R5" s="64" t="s">
        <v>86</v>
      </c>
      <c r="T5" s="64" t="s">
        <v>589</v>
      </c>
      <c r="W5" s="64" t="s">
        <v>590</v>
      </c>
      <c r="X5" s="64" t="s">
        <v>591</v>
      </c>
      <c r="Y5" s="64" t="s">
        <v>592</v>
      </c>
    </row>
    <row r="6" spans="1:25" collapsed="1">
      <c r="A6" s="49">
        <v>1961</v>
      </c>
      <c r="B6" s="56">
        <v>404536.1</v>
      </c>
      <c r="C6" s="56">
        <v>60200.4</v>
      </c>
      <c r="D6" s="56">
        <v>2786.6</v>
      </c>
      <c r="E6" s="56">
        <v>2873.3</v>
      </c>
      <c r="F6" s="56">
        <v>9399.7999999999993</v>
      </c>
      <c r="G6" s="56">
        <v>445428.8</v>
      </c>
      <c r="H6" s="56">
        <v>65243.199999999997</v>
      </c>
      <c r="I6" s="56">
        <f>J6+K6+L6</f>
        <v>15350.5</v>
      </c>
      <c r="J6" s="56">
        <v>2950.8</v>
      </c>
      <c r="K6" s="56">
        <v>3056.5</v>
      </c>
      <c r="L6" s="56">
        <v>9343.2000000000007</v>
      </c>
      <c r="N6" s="64">
        <v>323214800000</v>
      </c>
      <c r="O6" s="64">
        <v>51462300000</v>
      </c>
      <c r="P6" s="64">
        <v>2403200000</v>
      </c>
      <c r="Q6" s="64">
        <v>2377100000</v>
      </c>
      <c r="R6" s="64">
        <v>8288200000</v>
      </c>
      <c r="T6" s="64">
        <v>352225200000</v>
      </c>
      <c r="U6" s="64">
        <v>53746800000</v>
      </c>
      <c r="V6" s="64">
        <f t="shared" ref="V6:V52" si="0">W6+X6+Y6</f>
        <v>13295900000</v>
      </c>
      <c r="W6" s="64">
        <v>2479600000</v>
      </c>
      <c r="X6" s="64">
        <v>2382100000</v>
      </c>
      <c r="Y6" s="64">
        <v>8434200000</v>
      </c>
    </row>
    <row r="7" spans="1:25" hidden="1" outlineLevel="1">
      <c r="A7" s="49">
        <v>1962</v>
      </c>
      <c r="B7" s="56">
        <v>422176.2</v>
      </c>
      <c r="C7" s="56">
        <v>62078.400000000001</v>
      </c>
      <c r="D7" s="56">
        <v>2848.7</v>
      </c>
      <c r="E7" s="56">
        <v>2868.2</v>
      </c>
      <c r="F7" s="56">
        <v>9620.7999999999993</v>
      </c>
      <c r="G7" s="56">
        <v>464936</v>
      </c>
      <c r="H7" s="56">
        <v>67251.199999999997</v>
      </c>
      <c r="I7" s="56">
        <f t="shared" ref="I7:I57" si="1">J7+K7+L7</f>
        <v>15652.300000000001</v>
      </c>
      <c r="J7" s="56">
        <v>3031.3</v>
      </c>
      <c r="K7" s="56">
        <v>3052.9</v>
      </c>
      <c r="L7" s="56">
        <v>9568.1</v>
      </c>
      <c r="N7" s="64">
        <v>334933700000</v>
      </c>
      <c r="O7" s="64">
        <v>52476900000</v>
      </c>
      <c r="P7" s="64">
        <v>2454200000</v>
      </c>
      <c r="Q7" s="64">
        <v>2370100000</v>
      </c>
      <c r="R7" s="64">
        <v>8418200000</v>
      </c>
      <c r="T7" s="64">
        <v>364489300000</v>
      </c>
      <c r="U7" s="64">
        <v>54875900000</v>
      </c>
      <c r="V7" s="64">
        <f t="shared" si="0"/>
        <v>13483300000</v>
      </c>
      <c r="W7" s="64">
        <v>2537100000</v>
      </c>
      <c r="X7" s="64">
        <v>2375100000</v>
      </c>
      <c r="Y7" s="64">
        <v>8571100000</v>
      </c>
    </row>
    <row r="8" spans="1:25" hidden="1" outlineLevel="1">
      <c r="A8" s="49">
        <v>1963</v>
      </c>
      <c r="B8" s="56">
        <v>440048</v>
      </c>
      <c r="C8" s="56">
        <v>63840.7</v>
      </c>
      <c r="D8" s="56">
        <v>2931.9</v>
      </c>
      <c r="E8" s="56">
        <v>2915.9</v>
      </c>
      <c r="F8" s="56">
        <v>9964.4</v>
      </c>
      <c r="G8" s="56">
        <v>484602.5</v>
      </c>
      <c r="H8" s="56">
        <v>69093.7</v>
      </c>
      <c r="I8" s="56">
        <f t="shared" si="1"/>
        <v>16115.5</v>
      </c>
      <c r="J8" s="56">
        <v>3114.2</v>
      </c>
      <c r="K8" s="56">
        <v>3095.3</v>
      </c>
      <c r="L8" s="56">
        <v>9906</v>
      </c>
      <c r="N8" s="64">
        <v>347211900000</v>
      </c>
      <c r="O8" s="64">
        <v>53477000000</v>
      </c>
      <c r="P8" s="64">
        <v>2524800000</v>
      </c>
      <c r="Q8" s="64">
        <v>2413800000</v>
      </c>
      <c r="R8" s="64">
        <v>8678100000</v>
      </c>
      <c r="T8" s="64">
        <v>377454000000</v>
      </c>
      <c r="U8" s="64">
        <v>55955500000</v>
      </c>
      <c r="V8" s="64">
        <f t="shared" si="0"/>
        <v>13886100000</v>
      </c>
      <c r="W8" s="64">
        <v>2606500000</v>
      </c>
      <c r="X8" s="64">
        <v>2422100000</v>
      </c>
      <c r="Y8" s="64">
        <v>8857500000</v>
      </c>
    </row>
    <row r="9" spans="1:25" hidden="1" outlineLevel="1">
      <c r="A9" s="49">
        <v>1964</v>
      </c>
      <c r="B9" s="56">
        <v>462544</v>
      </c>
      <c r="C9" s="56">
        <v>67763.7</v>
      </c>
      <c r="D9" s="56">
        <v>3146.5</v>
      </c>
      <c r="E9" s="56">
        <v>3016</v>
      </c>
      <c r="F9" s="56">
        <v>10908.2</v>
      </c>
      <c r="G9" s="56">
        <v>508759.7</v>
      </c>
      <c r="H9" s="56">
        <v>72974.899999999994</v>
      </c>
      <c r="I9" s="56">
        <f t="shared" si="1"/>
        <v>17310</v>
      </c>
      <c r="J9" s="56">
        <v>3315.6</v>
      </c>
      <c r="K9" s="56">
        <v>3190.4</v>
      </c>
      <c r="L9" s="56">
        <v>10804</v>
      </c>
      <c r="N9" s="64">
        <v>363596900000</v>
      </c>
      <c r="O9" s="64">
        <v>56542200000</v>
      </c>
      <c r="P9" s="64">
        <v>2712500000</v>
      </c>
      <c r="Q9" s="64">
        <v>2506500000</v>
      </c>
      <c r="R9" s="64">
        <v>9531500000</v>
      </c>
      <c r="T9" s="64">
        <v>395036600000</v>
      </c>
      <c r="U9" s="64">
        <v>59164400000</v>
      </c>
      <c r="V9" s="64">
        <f t="shared" si="0"/>
        <v>15053400000</v>
      </c>
      <c r="W9" s="64">
        <v>2792600000</v>
      </c>
      <c r="X9" s="64">
        <v>2518900000</v>
      </c>
      <c r="Y9" s="64">
        <v>9741900000</v>
      </c>
    </row>
    <row r="10" spans="1:25" hidden="1" outlineLevel="1">
      <c r="A10" s="49">
        <v>1965</v>
      </c>
      <c r="B10" s="56">
        <v>490304.3</v>
      </c>
      <c r="C10" s="56">
        <v>73498.600000000006</v>
      </c>
      <c r="D10" s="56">
        <v>3329.2</v>
      </c>
      <c r="E10" s="56">
        <v>3180</v>
      </c>
      <c r="F10" s="56">
        <v>12221.4</v>
      </c>
      <c r="G10" s="56">
        <v>538148.19999999995</v>
      </c>
      <c r="H10" s="56">
        <v>78773.2</v>
      </c>
      <c r="I10" s="56">
        <f t="shared" si="1"/>
        <v>18942.400000000001</v>
      </c>
      <c r="J10" s="56">
        <v>3484.1</v>
      </c>
      <c r="K10" s="56">
        <v>3357.2</v>
      </c>
      <c r="L10" s="56">
        <v>12101.1</v>
      </c>
      <c r="N10" s="64">
        <v>384471300000</v>
      </c>
      <c r="O10" s="64">
        <v>61297400000</v>
      </c>
      <c r="P10" s="64">
        <v>2872600000</v>
      </c>
      <c r="Q10" s="64">
        <v>2662100000</v>
      </c>
      <c r="R10" s="64">
        <v>10737900000</v>
      </c>
      <c r="T10" s="64">
        <v>417327500000</v>
      </c>
      <c r="U10" s="64">
        <v>64183000000</v>
      </c>
      <c r="V10" s="64">
        <f t="shared" si="0"/>
        <v>16600500000</v>
      </c>
      <c r="W10" s="64">
        <v>2947500000</v>
      </c>
      <c r="X10" s="64">
        <v>2678000000</v>
      </c>
      <c r="Y10" s="64">
        <v>10975000000</v>
      </c>
    </row>
    <row r="11" spans="1:25" hidden="1" outlineLevel="1">
      <c r="A11" s="49">
        <v>1966</v>
      </c>
      <c r="B11" s="56">
        <v>524832.6</v>
      </c>
      <c r="C11" s="56">
        <v>81123.3</v>
      </c>
      <c r="D11" s="56">
        <v>3450.8</v>
      </c>
      <c r="E11" s="56">
        <v>3291.2</v>
      </c>
      <c r="F11" s="56">
        <v>14062.5</v>
      </c>
      <c r="G11" s="56">
        <v>574229.5</v>
      </c>
      <c r="H11" s="56">
        <v>86505.5</v>
      </c>
      <c r="I11" s="56">
        <f t="shared" si="1"/>
        <v>20947.400000000001</v>
      </c>
      <c r="J11" s="56">
        <v>3596.6</v>
      </c>
      <c r="K11" s="56">
        <v>3472.5</v>
      </c>
      <c r="L11" s="56">
        <v>13878.3</v>
      </c>
      <c r="N11" s="64">
        <v>410956100000</v>
      </c>
      <c r="O11" s="64">
        <v>67814100000</v>
      </c>
      <c r="P11" s="64">
        <v>2977600000</v>
      </c>
      <c r="Q11" s="64">
        <v>2766000000</v>
      </c>
      <c r="R11" s="64">
        <v>12444800000</v>
      </c>
      <c r="T11" s="64">
        <v>445443500000</v>
      </c>
      <c r="U11" s="64">
        <v>71068000000</v>
      </c>
      <c r="V11" s="64">
        <f t="shared" si="0"/>
        <v>18559400000</v>
      </c>
      <c r="W11" s="64">
        <v>3045000000</v>
      </c>
      <c r="X11" s="64">
        <v>2782200000</v>
      </c>
      <c r="Y11" s="64">
        <v>12732200000</v>
      </c>
    </row>
    <row r="12" spans="1:25" hidden="1" outlineLevel="1">
      <c r="A12" s="49">
        <v>1967</v>
      </c>
      <c r="B12" s="56">
        <v>555210.1</v>
      </c>
      <c r="C12" s="56">
        <v>85730.8</v>
      </c>
      <c r="D12" s="56">
        <v>3531</v>
      </c>
      <c r="E12" s="56">
        <v>3331.5</v>
      </c>
      <c r="F12" s="56">
        <v>15187.6</v>
      </c>
      <c r="G12" s="56">
        <v>606212.30000000005</v>
      </c>
      <c r="H12" s="56">
        <v>91186.4</v>
      </c>
      <c r="I12" s="56">
        <f t="shared" si="1"/>
        <v>22130.699999999997</v>
      </c>
      <c r="J12" s="56">
        <v>3676.8</v>
      </c>
      <c r="K12" s="56">
        <v>3507.6</v>
      </c>
      <c r="L12" s="56">
        <v>14946.3</v>
      </c>
      <c r="N12" s="64">
        <v>433820200000</v>
      </c>
      <c r="O12" s="64">
        <v>71487100000</v>
      </c>
      <c r="P12" s="64">
        <v>3045200000</v>
      </c>
      <c r="Q12" s="64">
        <v>2794700000</v>
      </c>
      <c r="R12" s="64">
        <v>13457000000</v>
      </c>
      <c r="T12" s="64">
        <v>469479100000</v>
      </c>
      <c r="U12" s="64">
        <v>74888800000</v>
      </c>
      <c r="V12" s="64">
        <f t="shared" si="0"/>
        <v>19685200000</v>
      </c>
      <c r="W12" s="64">
        <v>3111700000</v>
      </c>
      <c r="X12" s="64">
        <v>2813900000</v>
      </c>
      <c r="Y12" s="64">
        <v>13759600000</v>
      </c>
    </row>
    <row r="13" spans="1:25" hidden="1" outlineLevel="1">
      <c r="A13" s="49">
        <v>1968</v>
      </c>
      <c r="B13" s="56">
        <v>580453.30000000005</v>
      </c>
      <c r="C13" s="56">
        <v>88031.6</v>
      </c>
      <c r="D13" s="56">
        <v>3540</v>
      </c>
      <c r="E13" s="56">
        <v>3399.5</v>
      </c>
      <c r="F13" s="56">
        <v>15147.8</v>
      </c>
      <c r="G13" s="56">
        <v>633306.80000000005</v>
      </c>
      <c r="H13" s="56">
        <v>93659.4</v>
      </c>
      <c r="I13" s="56">
        <f t="shared" si="1"/>
        <v>22182.699999999997</v>
      </c>
      <c r="J13" s="56">
        <v>3692</v>
      </c>
      <c r="K13" s="56">
        <v>3571.4</v>
      </c>
      <c r="L13" s="56">
        <v>14919.3</v>
      </c>
      <c r="N13" s="64">
        <v>452581000000</v>
      </c>
      <c r="O13" s="64">
        <v>73033500000</v>
      </c>
      <c r="P13" s="64">
        <v>3049400000</v>
      </c>
      <c r="Q13" s="64">
        <v>2852600000</v>
      </c>
      <c r="R13" s="64">
        <v>13346600000</v>
      </c>
      <c r="T13" s="64">
        <v>489031400000</v>
      </c>
      <c r="U13" s="64">
        <v>76381400000</v>
      </c>
      <c r="V13" s="64">
        <f t="shared" si="0"/>
        <v>19601600000</v>
      </c>
      <c r="W13" s="64">
        <v>3110600000</v>
      </c>
      <c r="X13" s="64">
        <v>2873700000</v>
      </c>
      <c r="Y13" s="64">
        <v>13617300000</v>
      </c>
    </row>
    <row r="14" spans="1:25" hidden="1" outlineLevel="1">
      <c r="A14" s="49">
        <v>1969</v>
      </c>
      <c r="B14" s="56">
        <v>605009.69999999995</v>
      </c>
      <c r="C14" s="56">
        <v>91610.8</v>
      </c>
      <c r="D14" s="56">
        <v>3668.3</v>
      </c>
      <c r="E14" s="56">
        <v>3906.9</v>
      </c>
      <c r="F14" s="56">
        <v>15483.7</v>
      </c>
      <c r="G14" s="56">
        <v>659378.80000000005</v>
      </c>
      <c r="H14" s="56">
        <v>97361</v>
      </c>
      <c r="I14" s="56">
        <f t="shared" si="1"/>
        <v>23156.1</v>
      </c>
      <c r="J14" s="56">
        <v>3826.8</v>
      </c>
      <c r="K14" s="56">
        <v>4084.3</v>
      </c>
      <c r="L14" s="56">
        <v>15245</v>
      </c>
      <c r="N14" s="64">
        <v>471007200000</v>
      </c>
      <c r="O14" s="64">
        <v>75826700000</v>
      </c>
      <c r="P14" s="64">
        <v>3160500000</v>
      </c>
      <c r="Q14" s="64">
        <v>3333000000</v>
      </c>
      <c r="R14" s="64">
        <v>13607100000</v>
      </c>
      <c r="T14" s="64">
        <v>508297800000</v>
      </c>
      <c r="U14" s="64">
        <v>79172000000</v>
      </c>
      <c r="V14" s="64">
        <f t="shared" si="0"/>
        <v>20425400000</v>
      </c>
      <c r="W14" s="64">
        <v>3225400000</v>
      </c>
      <c r="X14" s="64">
        <v>3362600000</v>
      </c>
      <c r="Y14" s="64">
        <v>13837400000</v>
      </c>
    </row>
    <row r="15" spans="1:25" hidden="1" outlineLevel="1">
      <c r="A15" s="49">
        <v>1970</v>
      </c>
      <c r="B15" s="56">
        <v>629452.69999999995</v>
      </c>
      <c r="C15" s="56">
        <v>96855</v>
      </c>
      <c r="D15" s="56">
        <v>3700.5</v>
      </c>
      <c r="E15" s="56">
        <v>4400.1000000000004</v>
      </c>
      <c r="F15" s="56">
        <v>16331.9</v>
      </c>
      <c r="G15" s="56">
        <v>686213.6</v>
      </c>
      <c r="H15" s="56">
        <v>102905.2</v>
      </c>
      <c r="I15" s="56">
        <f t="shared" si="1"/>
        <v>24504.9</v>
      </c>
      <c r="J15" s="56">
        <v>3875.4</v>
      </c>
      <c r="K15" s="56">
        <v>4571.5</v>
      </c>
      <c r="L15" s="56">
        <v>16058</v>
      </c>
      <c r="N15" s="64">
        <v>489425700000</v>
      </c>
      <c r="O15" s="64">
        <v>80251700000</v>
      </c>
      <c r="P15" s="64">
        <v>3186400000</v>
      </c>
      <c r="Q15" s="64">
        <v>3796300000</v>
      </c>
      <c r="R15" s="64">
        <v>14369500000</v>
      </c>
      <c r="T15" s="64">
        <v>528201100000</v>
      </c>
      <c r="U15" s="64">
        <v>83706100000</v>
      </c>
      <c r="V15" s="64">
        <f t="shared" si="0"/>
        <v>21680000000</v>
      </c>
      <c r="W15" s="64">
        <v>3251800000</v>
      </c>
      <c r="X15" s="64">
        <v>3821700000</v>
      </c>
      <c r="Y15" s="64">
        <v>14606500000</v>
      </c>
    </row>
    <row r="16" spans="1:25" hidden="1" outlineLevel="1">
      <c r="A16" s="49">
        <v>1971</v>
      </c>
      <c r="B16" s="56">
        <v>655512.69999999995</v>
      </c>
      <c r="C16" s="56">
        <v>99781.6</v>
      </c>
      <c r="D16" s="56">
        <v>3734.8</v>
      </c>
      <c r="E16" s="56">
        <v>4720.7</v>
      </c>
      <c r="F16" s="56">
        <v>17136.400000000001</v>
      </c>
      <c r="G16" s="56">
        <v>714815</v>
      </c>
      <c r="H16" s="56">
        <v>106023</v>
      </c>
      <c r="I16" s="56">
        <f t="shared" si="1"/>
        <v>25644.699999999997</v>
      </c>
      <c r="J16" s="56">
        <v>3910.2</v>
      </c>
      <c r="K16" s="56">
        <v>4882.2</v>
      </c>
      <c r="L16" s="56">
        <v>16852.3</v>
      </c>
      <c r="N16" s="64">
        <v>508961900000</v>
      </c>
      <c r="O16" s="64">
        <v>82515300000</v>
      </c>
      <c r="P16" s="64">
        <v>3213900000</v>
      </c>
      <c r="Q16" s="64">
        <v>4085900000</v>
      </c>
      <c r="R16" s="64">
        <v>15114700000</v>
      </c>
      <c r="T16" s="64">
        <v>549444700000</v>
      </c>
      <c r="U16" s="64">
        <v>86125900000</v>
      </c>
      <c r="V16" s="64">
        <f t="shared" si="0"/>
        <v>22761100000</v>
      </c>
      <c r="W16" s="64">
        <v>3274300000</v>
      </c>
      <c r="X16" s="64">
        <v>4119300000</v>
      </c>
      <c r="Y16" s="64">
        <v>15367500000</v>
      </c>
    </row>
    <row r="17" spans="1:25" hidden="1" outlineLevel="1">
      <c r="A17" s="49">
        <v>1972</v>
      </c>
      <c r="B17" s="56">
        <v>680922.6</v>
      </c>
      <c r="C17" s="56">
        <v>101624.6</v>
      </c>
      <c r="D17" s="56">
        <v>3853.4</v>
      </c>
      <c r="E17" s="56">
        <v>5067.6000000000004</v>
      </c>
      <c r="F17" s="56">
        <v>17292.599999999999</v>
      </c>
      <c r="G17" s="56">
        <v>741561.5</v>
      </c>
      <c r="H17" s="56">
        <v>107973.9</v>
      </c>
      <c r="I17" s="56">
        <f t="shared" si="1"/>
        <v>26244.3</v>
      </c>
      <c r="J17" s="56">
        <v>4022.6</v>
      </c>
      <c r="K17" s="56">
        <v>5219.7</v>
      </c>
      <c r="L17" s="56">
        <v>17002</v>
      </c>
      <c r="N17" s="64">
        <v>528221700000</v>
      </c>
      <c r="O17" s="64">
        <v>83879700000</v>
      </c>
      <c r="P17" s="64">
        <v>3317400000</v>
      </c>
      <c r="Q17" s="64">
        <v>4410900000</v>
      </c>
      <c r="R17" s="64">
        <v>15237700000</v>
      </c>
      <c r="T17" s="64">
        <v>569948300000</v>
      </c>
      <c r="U17" s="64">
        <v>87541200000</v>
      </c>
      <c r="V17" s="64">
        <f t="shared" si="0"/>
        <v>23288400000</v>
      </c>
      <c r="W17" s="64">
        <v>3375600000</v>
      </c>
      <c r="X17" s="64">
        <v>4460900000</v>
      </c>
      <c r="Y17" s="64">
        <v>15451900000</v>
      </c>
    </row>
    <row r="18" spans="1:25" collapsed="1">
      <c r="A18" s="49">
        <v>1973</v>
      </c>
      <c r="B18" s="56">
        <v>710543.3</v>
      </c>
      <c r="C18" s="56">
        <v>104925.5</v>
      </c>
      <c r="D18" s="56">
        <v>4172.7</v>
      </c>
      <c r="E18" s="56">
        <v>5729.5</v>
      </c>
      <c r="F18" s="56">
        <v>17038.5</v>
      </c>
      <c r="G18" s="56">
        <v>771497.7</v>
      </c>
      <c r="H18" s="56">
        <v>111321.3</v>
      </c>
      <c r="I18" s="56">
        <f t="shared" si="1"/>
        <v>26942.5</v>
      </c>
      <c r="J18" s="56">
        <v>4330.7</v>
      </c>
      <c r="K18" s="56">
        <v>5882.3</v>
      </c>
      <c r="L18" s="56">
        <v>16729.5</v>
      </c>
      <c r="M18" s="147"/>
      <c r="N18" s="64">
        <v>551325000000</v>
      </c>
      <c r="O18" s="64">
        <v>86734500000</v>
      </c>
      <c r="P18" s="64">
        <v>3600700000</v>
      </c>
      <c r="Q18" s="64">
        <v>5039800000</v>
      </c>
      <c r="R18" s="64">
        <v>14949200000</v>
      </c>
      <c r="T18" s="64">
        <v>594576200000</v>
      </c>
      <c r="U18" s="64">
        <v>90653400000</v>
      </c>
      <c r="V18" s="64">
        <f t="shared" si="0"/>
        <v>23948300000</v>
      </c>
      <c r="W18" s="64">
        <v>3669000000</v>
      </c>
      <c r="X18" s="64">
        <v>5140500000</v>
      </c>
      <c r="Y18" s="64">
        <v>15138800000</v>
      </c>
    </row>
    <row r="19" spans="1:25" hidden="1" outlineLevel="1">
      <c r="A19" s="49">
        <v>1974</v>
      </c>
      <c r="B19" s="56">
        <v>742594.5</v>
      </c>
      <c r="C19" s="56">
        <v>109853.8</v>
      </c>
      <c r="D19" s="56">
        <v>4480.8999999999996</v>
      </c>
      <c r="E19" s="56">
        <v>6145.7</v>
      </c>
      <c r="F19" s="56">
        <v>17119.2</v>
      </c>
      <c r="G19" s="56">
        <v>803048.4</v>
      </c>
      <c r="H19" s="56">
        <v>116310.6</v>
      </c>
      <c r="I19" s="56">
        <f t="shared" si="1"/>
        <v>27713.599999999999</v>
      </c>
      <c r="J19" s="56">
        <v>4624.5</v>
      </c>
      <c r="K19" s="56">
        <v>6293.1</v>
      </c>
      <c r="L19" s="56">
        <v>16796</v>
      </c>
      <c r="M19" s="147"/>
      <c r="N19" s="64">
        <v>576550600000</v>
      </c>
      <c r="O19" s="64">
        <v>91207200000</v>
      </c>
      <c r="P19" s="64">
        <v>3873200000</v>
      </c>
      <c r="Q19" s="64">
        <v>5427200000</v>
      </c>
      <c r="R19" s="64">
        <v>15002900000</v>
      </c>
      <c r="T19" s="64">
        <v>621125000000</v>
      </c>
      <c r="U19" s="64">
        <v>95466000000</v>
      </c>
      <c r="V19" s="64">
        <f t="shared" si="0"/>
        <v>24721600000</v>
      </c>
      <c r="W19" s="64">
        <v>3966400000</v>
      </c>
      <c r="X19" s="64">
        <v>5536400000</v>
      </c>
      <c r="Y19" s="64">
        <v>15218800000</v>
      </c>
    </row>
    <row r="20" spans="1:25" hidden="1" outlineLevel="1">
      <c r="A20" s="49">
        <v>1975</v>
      </c>
      <c r="B20" s="56">
        <v>776040.9</v>
      </c>
      <c r="C20" s="56">
        <v>113871.8</v>
      </c>
      <c r="D20" s="56">
        <v>4515.3</v>
      </c>
      <c r="E20" s="56">
        <v>6317.5</v>
      </c>
      <c r="F20" s="56">
        <v>17016.099999999999</v>
      </c>
      <c r="G20" s="56">
        <v>836430.1</v>
      </c>
      <c r="H20" s="56">
        <v>120358.5</v>
      </c>
      <c r="I20" s="56">
        <f t="shared" si="1"/>
        <v>27826</v>
      </c>
      <c r="J20" s="56">
        <v>4659.8</v>
      </c>
      <c r="K20" s="56">
        <v>6461.7</v>
      </c>
      <c r="L20" s="56">
        <v>16704.5</v>
      </c>
      <c r="M20" s="147"/>
      <c r="N20" s="64">
        <v>603033300000</v>
      </c>
      <c r="O20" s="64">
        <v>94735400000</v>
      </c>
      <c r="P20" s="64">
        <v>3900300000</v>
      </c>
      <c r="Q20" s="64">
        <v>5572000000</v>
      </c>
      <c r="R20" s="64">
        <v>14848600000</v>
      </c>
      <c r="T20" s="64">
        <v>648784500000</v>
      </c>
      <c r="U20" s="64">
        <v>99197200000</v>
      </c>
      <c r="V20" s="64">
        <f t="shared" si="0"/>
        <v>24745000000</v>
      </c>
      <c r="W20" s="64">
        <v>3985700000</v>
      </c>
      <c r="X20" s="64">
        <v>5673300000</v>
      </c>
      <c r="Y20" s="64">
        <v>15086000000</v>
      </c>
    </row>
    <row r="21" spans="1:25" hidden="1" outlineLevel="1">
      <c r="A21" s="49">
        <v>1976</v>
      </c>
      <c r="B21" s="56">
        <v>804789.8</v>
      </c>
      <c r="C21" s="56">
        <v>116250</v>
      </c>
      <c r="D21" s="56">
        <v>4484.8</v>
      </c>
      <c r="E21" s="56">
        <v>6364.6</v>
      </c>
      <c r="F21" s="56">
        <v>17123.8</v>
      </c>
      <c r="G21" s="56">
        <v>865047.2</v>
      </c>
      <c r="H21" s="56">
        <v>122556.3</v>
      </c>
      <c r="I21" s="56">
        <f t="shared" si="1"/>
        <v>27948.100000000002</v>
      </c>
      <c r="J21" s="56">
        <v>4624.3</v>
      </c>
      <c r="K21" s="56">
        <v>6497.4</v>
      </c>
      <c r="L21" s="56">
        <v>16826.400000000001</v>
      </c>
      <c r="M21" s="147"/>
      <c r="N21" s="64">
        <v>625408200000</v>
      </c>
      <c r="O21" s="64">
        <v>96653700000</v>
      </c>
      <c r="P21" s="64">
        <v>3864400000</v>
      </c>
      <c r="Q21" s="64">
        <v>5594900000</v>
      </c>
      <c r="R21" s="64">
        <v>14926000000</v>
      </c>
      <c r="T21" s="64">
        <v>671900900000</v>
      </c>
      <c r="U21" s="64">
        <v>101031600000</v>
      </c>
      <c r="V21" s="64">
        <f t="shared" si="0"/>
        <v>24800100000</v>
      </c>
      <c r="W21" s="64">
        <v>3933000000</v>
      </c>
      <c r="X21" s="64">
        <v>5681700000</v>
      </c>
      <c r="Y21" s="64">
        <v>15185400000</v>
      </c>
    </row>
    <row r="22" spans="1:25" hidden="1" outlineLevel="1">
      <c r="A22" s="49">
        <v>1977</v>
      </c>
      <c r="B22" s="56">
        <v>832926.9</v>
      </c>
      <c r="C22" s="56">
        <v>118842.3</v>
      </c>
      <c r="D22" s="56">
        <v>4507.3999999999996</v>
      </c>
      <c r="E22" s="56">
        <v>6335.8</v>
      </c>
      <c r="F22" s="56">
        <v>17278.599999999999</v>
      </c>
      <c r="G22" s="56">
        <v>893049.7</v>
      </c>
      <c r="H22" s="56">
        <v>125044.5</v>
      </c>
      <c r="I22" s="56">
        <f t="shared" si="1"/>
        <v>28103.699999999997</v>
      </c>
      <c r="J22" s="56">
        <v>4640.8</v>
      </c>
      <c r="K22" s="56">
        <v>6472.3</v>
      </c>
      <c r="L22" s="56">
        <v>16990.599999999999</v>
      </c>
      <c r="M22" s="147"/>
      <c r="N22" s="64">
        <v>646852900000</v>
      </c>
      <c r="O22" s="64">
        <v>98742800000</v>
      </c>
      <c r="P22" s="64">
        <v>3881200000</v>
      </c>
      <c r="Q22" s="64">
        <v>5550200000</v>
      </c>
      <c r="R22" s="64">
        <v>15037700000</v>
      </c>
      <c r="T22" s="64">
        <v>692938300000</v>
      </c>
      <c r="U22" s="64">
        <v>102894300000</v>
      </c>
      <c r="V22" s="64">
        <f t="shared" si="0"/>
        <v>24819800000</v>
      </c>
      <c r="W22" s="64">
        <v>3935100000</v>
      </c>
      <c r="X22" s="64">
        <v>5612100000</v>
      </c>
      <c r="Y22" s="64">
        <v>15272600000</v>
      </c>
    </row>
    <row r="23" spans="1:25" hidden="1" outlineLevel="1">
      <c r="A23" s="49">
        <v>1978</v>
      </c>
      <c r="B23" s="56">
        <v>860012.1</v>
      </c>
      <c r="C23" s="56">
        <v>119890.3</v>
      </c>
      <c r="D23" s="56">
        <v>4533.2</v>
      </c>
      <c r="E23" s="56">
        <v>6421.9</v>
      </c>
      <c r="F23" s="56">
        <v>16934.8</v>
      </c>
      <c r="G23" s="56">
        <v>919139.3</v>
      </c>
      <c r="H23" s="56">
        <v>125727.8</v>
      </c>
      <c r="I23" s="56">
        <f t="shared" si="1"/>
        <v>27835.300000000003</v>
      </c>
      <c r="J23" s="56">
        <v>4656.5</v>
      </c>
      <c r="K23" s="56">
        <v>6550.9</v>
      </c>
      <c r="L23" s="56">
        <v>16627.900000000001</v>
      </c>
      <c r="M23" s="147"/>
      <c r="N23" s="64">
        <v>667472900000</v>
      </c>
      <c r="O23" s="64">
        <v>99362600000</v>
      </c>
      <c r="P23" s="64">
        <v>3901500000</v>
      </c>
      <c r="Q23" s="64">
        <v>5621500000</v>
      </c>
      <c r="R23" s="64">
        <v>14682200000</v>
      </c>
      <c r="T23" s="64">
        <v>711869100000</v>
      </c>
      <c r="U23" s="64">
        <v>102996200000</v>
      </c>
      <c r="V23" s="64">
        <f t="shared" si="0"/>
        <v>24494500000</v>
      </c>
      <c r="W23" s="64">
        <v>3947600000</v>
      </c>
      <c r="X23" s="64">
        <v>5662400000</v>
      </c>
      <c r="Y23" s="64">
        <v>14884500000</v>
      </c>
    </row>
    <row r="24" spans="1:25" hidden="1" outlineLevel="1">
      <c r="A24" s="49">
        <v>1979</v>
      </c>
      <c r="B24" s="56">
        <v>892901.7</v>
      </c>
      <c r="C24" s="56">
        <v>121999.2</v>
      </c>
      <c r="D24" s="56">
        <v>4635.1000000000004</v>
      </c>
      <c r="E24" s="56">
        <v>6628.7</v>
      </c>
      <c r="F24" s="56">
        <v>16849</v>
      </c>
      <c r="G24" s="56">
        <v>952197.2</v>
      </c>
      <c r="H24" s="56">
        <v>127628.5</v>
      </c>
      <c r="I24" s="56">
        <f t="shared" si="1"/>
        <v>28005.5</v>
      </c>
      <c r="J24" s="56">
        <v>4760.5</v>
      </c>
      <c r="K24" s="56">
        <v>6752.2</v>
      </c>
      <c r="L24" s="56">
        <v>16492.8</v>
      </c>
      <c r="M24" s="147"/>
      <c r="N24" s="64">
        <v>693080200000</v>
      </c>
      <c r="O24" s="64">
        <v>100877900000</v>
      </c>
      <c r="P24" s="64">
        <v>3988800000</v>
      </c>
      <c r="Q24" s="64">
        <v>5802800000</v>
      </c>
      <c r="R24" s="64">
        <v>14552300000</v>
      </c>
      <c r="T24" s="64">
        <v>736731000000</v>
      </c>
      <c r="U24" s="64">
        <v>104291300000</v>
      </c>
      <c r="V24" s="64">
        <f t="shared" si="0"/>
        <v>24611400000</v>
      </c>
      <c r="W24" s="64">
        <v>4029200000</v>
      </c>
      <c r="X24" s="64">
        <v>5828000000</v>
      </c>
      <c r="Y24" s="64">
        <v>14754200000</v>
      </c>
    </row>
    <row r="25" spans="1:25" hidden="1" outlineLevel="1">
      <c r="A25" s="49">
        <v>1980</v>
      </c>
      <c r="B25" s="56">
        <v>931477.5</v>
      </c>
      <c r="C25" s="56">
        <v>126700.3</v>
      </c>
      <c r="D25" s="56">
        <v>4733.5</v>
      </c>
      <c r="E25" s="56">
        <v>6827</v>
      </c>
      <c r="F25" s="56">
        <v>17556.3</v>
      </c>
      <c r="G25" s="56">
        <v>991160</v>
      </c>
      <c r="H25" s="56">
        <v>132037.6</v>
      </c>
      <c r="I25" s="56">
        <f t="shared" si="1"/>
        <v>28909.5</v>
      </c>
      <c r="J25" s="56">
        <v>4860</v>
      </c>
      <c r="K25" s="56">
        <v>6940.8</v>
      </c>
      <c r="L25" s="56">
        <v>17108.7</v>
      </c>
      <c r="M25" s="147"/>
      <c r="N25" s="64">
        <v>722728400000</v>
      </c>
      <c r="O25" s="64">
        <v>104658900000</v>
      </c>
      <c r="P25" s="64">
        <v>4073400000</v>
      </c>
      <c r="Q25" s="64">
        <v>5971800000</v>
      </c>
      <c r="R25" s="64">
        <v>15184500000</v>
      </c>
      <c r="T25" s="64">
        <v>764899800000</v>
      </c>
      <c r="U25" s="64">
        <v>107714100000</v>
      </c>
      <c r="V25" s="64">
        <f t="shared" si="0"/>
        <v>25449600000</v>
      </c>
      <c r="W25" s="64">
        <v>4112600000</v>
      </c>
      <c r="X25" s="64">
        <v>5973500000</v>
      </c>
      <c r="Y25" s="64">
        <v>15363500000</v>
      </c>
    </row>
    <row r="26" spans="1:25" collapsed="1">
      <c r="A26" s="49">
        <v>1981</v>
      </c>
      <c r="B26" s="56">
        <v>974424.1</v>
      </c>
      <c r="C26" s="56">
        <v>133085.79999999999</v>
      </c>
      <c r="D26" s="56">
        <v>4631.3</v>
      </c>
      <c r="E26" s="56">
        <v>6822.1</v>
      </c>
      <c r="F26" s="56">
        <v>19119.5</v>
      </c>
      <c r="G26" s="56">
        <v>1033101.7</v>
      </c>
      <c r="H26" s="56">
        <v>138626.4</v>
      </c>
      <c r="I26" s="56">
        <f t="shared" si="1"/>
        <v>30325.199999999997</v>
      </c>
      <c r="J26" s="56">
        <v>4769.7</v>
      </c>
      <c r="K26" s="56">
        <v>6957.4</v>
      </c>
      <c r="L26" s="56">
        <v>18598.099999999999</v>
      </c>
      <c r="M26" s="147"/>
      <c r="N26" s="64">
        <v>758834900000</v>
      </c>
      <c r="O26" s="64">
        <v>111100100000</v>
      </c>
      <c r="P26" s="64">
        <v>3998800000</v>
      </c>
      <c r="Q26" s="64">
        <v>6005200000</v>
      </c>
      <c r="R26" s="64">
        <v>16920100000</v>
      </c>
      <c r="T26" s="64">
        <v>799353000000</v>
      </c>
      <c r="U26" s="64">
        <v>114274200000</v>
      </c>
      <c r="V26" s="64">
        <f t="shared" si="0"/>
        <v>27194000000</v>
      </c>
      <c r="W26" s="64">
        <v>4030700000</v>
      </c>
      <c r="X26" s="64">
        <v>6013500000</v>
      </c>
      <c r="Y26" s="64">
        <v>17149800000</v>
      </c>
    </row>
    <row r="27" spans="1:25">
      <c r="A27" s="49">
        <v>1982</v>
      </c>
      <c r="B27" s="56">
        <v>1000289</v>
      </c>
      <c r="C27" s="56">
        <v>135311.9</v>
      </c>
      <c r="D27" s="56">
        <v>4343.5</v>
      </c>
      <c r="E27" s="56">
        <v>6571.8</v>
      </c>
      <c r="F27" s="56">
        <v>19721.400000000001</v>
      </c>
      <c r="G27" s="56">
        <v>1059797.6000000001</v>
      </c>
      <c r="H27" s="56">
        <v>141072.5</v>
      </c>
      <c r="I27" s="56">
        <f t="shared" si="1"/>
        <v>30409.399999999998</v>
      </c>
      <c r="J27" s="56">
        <v>4496.6000000000004</v>
      </c>
      <c r="K27" s="56">
        <v>6730.7</v>
      </c>
      <c r="L27" s="56">
        <v>19182.099999999999</v>
      </c>
      <c r="M27" s="147"/>
      <c r="N27" s="64">
        <v>779241000000</v>
      </c>
      <c r="O27" s="64">
        <v>113273300000</v>
      </c>
      <c r="P27" s="64">
        <v>3741300000</v>
      </c>
      <c r="Q27" s="64">
        <v>5774200000</v>
      </c>
      <c r="R27" s="64">
        <v>17602500000</v>
      </c>
      <c r="T27" s="64">
        <v>818649600000</v>
      </c>
      <c r="U27" s="64">
        <v>116218900000</v>
      </c>
      <c r="V27" s="64">
        <f t="shared" si="0"/>
        <v>27365900000</v>
      </c>
      <c r="W27" s="64">
        <v>3748900000</v>
      </c>
      <c r="X27" s="64">
        <v>5773000000</v>
      </c>
      <c r="Y27" s="64">
        <v>17844000000</v>
      </c>
    </row>
    <row r="28" spans="1:25">
      <c r="A28" s="49">
        <v>1983</v>
      </c>
      <c r="B28" s="56">
        <v>1015975.4</v>
      </c>
      <c r="C28" s="56">
        <v>132694.6</v>
      </c>
      <c r="D28" s="56">
        <v>4105.5</v>
      </c>
      <c r="E28" s="56">
        <v>6271.6</v>
      </c>
      <c r="F28" s="56">
        <v>18825.900000000001</v>
      </c>
      <c r="G28" s="56">
        <v>1074049.8</v>
      </c>
      <c r="H28" s="56">
        <v>138303.29999999999</v>
      </c>
      <c r="I28" s="56">
        <f t="shared" si="1"/>
        <v>29073.1</v>
      </c>
      <c r="J28" s="56">
        <v>4264.2</v>
      </c>
      <c r="K28" s="56">
        <v>6440.1</v>
      </c>
      <c r="L28" s="56">
        <v>18368.8</v>
      </c>
      <c r="M28" s="147"/>
      <c r="N28" s="64">
        <v>790591300000</v>
      </c>
      <c r="O28" s="64">
        <v>110940600000</v>
      </c>
      <c r="P28" s="64">
        <v>3529300000</v>
      </c>
      <c r="Q28" s="64">
        <v>5494300000</v>
      </c>
      <c r="R28" s="64">
        <v>16754100000</v>
      </c>
      <c r="T28" s="64">
        <v>826965900000</v>
      </c>
      <c r="U28" s="64">
        <v>113399800000</v>
      </c>
      <c r="V28" s="64">
        <f t="shared" si="0"/>
        <v>25974500000</v>
      </c>
      <c r="W28" s="64">
        <v>3516500000</v>
      </c>
      <c r="X28" s="64">
        <v>5486700000</v>
      </c>
      <c r="Y28" s="64">
        <v>16971300000</v>
      </c>
    </row>
    <row r="29" spans="1:25">
      <c r="A29" s="49">
        <v>1984</v>
      </c>
      <c r="B29" s="56">
        <v>1031220</v>
      </c>
      <c r="C29" s="56">
        <v>129895.3</v>
      </c>
      <c r="D29" s="56">
        <v>3958.1</v>
      </c>
      <c r="E29" s="56">
        <v>6071.5</v>
      </c>
      <c r="F29" s="56">
        <v>18230</v>
      </c>
      <c r="G29" s="56">
        <v>1088381.1000000001</v>
      </c>
      <c r="H29" s="56">
        <v>135541.79999999999</v>
      </c>
      <c r="I29" s="56">
        <f t="shared" si="1"/>
        <v>28187.600000000002</v>
      </c>
      <c r="J29" s="56">
        <v>4114.3</v>
      </c>
      <c r="K29" s="56">
        <v>6245.4</v>
      </c>
      <c r="L29" s="56">
        <v>17827.900000000001</v>
      </c>
      <c r="M29" s="147"/>
      <c r="N29" s="64">
        <v>801329600000</v>
      </c>
      <c r="O29" s="64">
        <v>108263800000</v>
      </c>
      <c r="P29" s="64">
        <v>3400800000</v>
      </c>
      <c r="Q29" s="64">
        <v>5311100000</v>
      </c>
      <c r="R29" s="64">
        <v>16187600000</v>
      </c>
      <c r="T29" s="64">
        <v>834996600000</v>
      </c>
      <c r="U29" s="64">
        <v>110369700000</v>
      </c>
      <c r="V29" s="64">
        <f t="shared" si="0"/>
        <v>25061100000</v>
      </c>
      <c r="W29" s="64">
        <v>3380000000</v>
      </c>
      <c r="X29" s="64">
        <v>5303600000</v>
      </c>
      <c r="Y29" s="64">
        <v>16377500000</v>
      </c>
    </row>
    <row r="30" spans="1:25">
      <c r="A30" s="49">
        <v>1985</v>
      </c>
      <c r="B30" s="56">
        <v>1052144</v>
      </c>
      <c r="C30" s="56">
        <v>130400.3</v>
      </c>
      <c r="D30" s="56">
        <v>3840.2</v>
      </c>
      <c r="E30" s="56">
        <v>5898</v>
      </c>
      <c r="F30" s="56">
        <v>18722.3</v>
      </c>
      <c r="G30" s="56">
        <v>1108421.7</v>
      </c>
      <c r="H30" s="56">
        <v>136215.70000000001</v>
      </c>
      <c r="I30" s="56">
        <f t="shared" si="1"/>
        <v>28311.9</v>
      </c>
      <c r="J30" s="56">
        <v>3999.9</v>
      </c>
      <c r="K30" s="56">
        <v>6075.3</v>
      </c>
      <c r="L30" s="56">
        <v>18236.7</v>
      </c>
      <c r="M30" s="147"/>
      <c r="N30" s="64">
        <v>816469600000</v>
      </c>
      <c r="O30" s="64">
        <v>108771100000</v>
      </c>
      <c r="P30" s="64">
        <v>3299000000</v>
      </c>
      <c r="Q30" s="64">
        <v>5157900000</v>
      </c>
      <c r="R30" s="64">
        <v>16776000000</v>
      </c>
      <c r="T30" s="64">
        <v>847996800000</v>
      </c>
      <c r="U30" s="64">
        <v>110814400000</v>
      </c>
      <c r="V30" s="64">
        <f t="shared" si="0"/>
        <v>25394700000</v>
      </c>
      <c r="W30" s="64">
        <v>3273900000</v>
      </c>
      <c r="X30" s="64">
        <v>5146600000</v>
      </c>
      <c r="Y30" s="64">
        <v>16974200000</v>
      </c>
    </row>
    <row r="31" spans="1:25">
      <c r="A31" s="49">
        <v>1986</v>
      </c>
      <c r="B31" s="56">
        <v>1069762.3999999999</v>
      </c>
      <c r="C31" s="56">
        <v>133659.20000000001</v>
      </c>
      <c r="D31" s="56">
        <v>3755.1</v>
      </c>
      <c r="E31" s="56">
        <v>5888.7</v>
      </c>
      <c r="F31" s="56">
        <v>18957.7</v>
      </c>
      <c r="G31" s="56">
        <v>1124464.2</v>
      </c>
      <c r="H31" s="56">
        <v>139017.1</v>
      </c>
      <c r="I31" s="56">
        <f t="shared" si="1"/>
        <v>28366.199999999997</v>
      </c>
      <c r="J31" s="56">
        <v>3916.7</v>
      </c>
      <c r="K31" s="56">
        <v>6060.7</v>
      </c>
      <c r="L31" s="56">
        <v>18388.8</v>
      </c>
      <c r="M31" s="147"/>
      <c r="N31" s="64">
        <v>829902900000</v>
      </c>
      <c r="O31" s="64">
        <v>112146600000</v>
      </c>
      <c r="P31" s="64">
        <v>3228700000</v>
      </c>
      <c r="Q31" s="64">
        <v>5170400000</v>
      </c>
      <c r="R31" s="64">
        <v>17092000000</v>
      </c>
      <c r="T31" s="64">
        <v>859098000000</v>
      </c>
      <c r="U31" s="64">
        <v>114085300000</v>
      </c>
      <c r="V31" s="64">
        <f t="shared" si="0"/>
        <v>25641100000</v>
      </c>
      <c r="W31" s="64">
        <v>3208000000</v>
      </c>
      <c r="X31" s="64">
        <v>5157700000</v>
      </c>
      <c r="Y31" s="64">
        <v>17275400000</v>
      </c>
    </row>
    <row r="32" spans="1:25">
      <c r="A32" s="49">
        <v>1987</v>
      </c>
      <c r="B32" s="56">
        <v>1092733.5</v>
      </c>
      <c r="C32" s="56">
        <v>137184.70000000001</v>
      </c>
      <c r="D32" s="56">
        <v>3713</v>
      </c>
      <c r="E32" s="56">
        <v>6270.4</v>
      </c>
      <c r="F32" s="56">
        <v>19889.5</v>
      </c>
      <c r="G32" s="56">
        <v>1143612.3</v>
      </c>
      <c r="H32" s="56">
        <v>142065.9</v>
      </c>
      <c r="I32" s="56">
        <f t="shared" si="1"/>
        <v>29409.399999999998</v>
      </c>
      <c r="J32" s="56">
        <v>3879</v>
      </c>
      <c r="K32" s="56">
        <v>6409.3</v>
      </c>
      <c r="L32" s="56">
        <v>19121.099999999999</v>
      </c>
      <c r="M32" s="147"/>
      <c r="N32" s="64">
        <v>848389400000</v>
      </c>
      <c r="O32" s="64">
        <v>115806400000</v>
      </c>
      <c r="P32" s="64">
        <v>3194700000</v>
      </c>
      <c r="Q32" s="64">
        <v>5568000000</v>
      </c>
      <c r="R32" s="64">
        <v>18103100000</v>
      </c>
      <c r="T32" s="64">
        <v>873635600000</v>
      </c>
      <c r="U32" s="64">
        <v>117597500000</v>
      </c>
      <c r="V32" s="64">
        <f t="shared" si="0"/>
        <v>27028200000</v>
      </c>
      <c r="W32" s="64">
        <v>3182400000</v>
      </c>
      <c r="X32" s="64">
        <v>5564100000</v>
      </c>
      <c r="Y32" s="64">
        <v>18281700000</v>
      </c>
    </row>
    <row r="33" spans="1:25">
      <c r="A33" s="49">
        <v>1988</v>
      </c>
      <c r="B33" s="56">
        <v>1127058.3999999999</v>
      </c>
      <c r="C33" s="56">
        <v>142518.39999999999</v>
      </c>
      <c r="D33" s="56">
        <v>3680.8</v>
      </c>
      <c r="E33" s="56">
        <v>7008.2</v>
      </c>
      <c r="F33" s="56">
        <v>21988.1</v>
      </c>
      <c r="G33" s="56">
        <v>1174036.8</v>
      </c>
      <c r="H33" s="56">
        <v>146742.9</v>
      </c>
      <c r="I33" s="56">
        <f t="shared" si="1"/>
        <v>32002.799999999999</v>
      </c>
      <c r="J33" s="56">
        <v>3854.2</v>
      </c>
      <c r="K33" s="56">
        <v>7092.1</v>
      </c>
      <c r="L33" s="56">
        <v>21056.5</v>
      </c>
      <c r="M33" s="147"/>
      <c r="N33" s="64">
        <v>875910800000</v>
      </c>
      <c r="O33" s="64">
        <v>121358300000</v>
      </c>
      <c r="P33" s="64">
        <v>3168700000</v>
      </c>
      <c r="Q33" s="64">
        <v>6345200000</v>
      </c>
      <c r="R33" s="64">
        <v>20349600000</v>
      </c>
      <c r="T33" s="64">
        <v>899569400000</v>
      </c>
      <c r="U33" s="64">
        <v>123190400000</v>
      </c>
      <c r="V33" s="64">
        <f t="shared" si="0"/>
        <v>30097800000</v>
      </c>
      <c r="W33" s="64">
        <v>3162800000</v>
      </c>
      <c r="X33" s="64">
        <v>6371700000</v>
      </c>
      <c r="Y33" s="64">
        <v>20563300000</v>
      </c>
    </row>
    <row r="34" spans="1:25">
      <c r="A34" s="49">
        <v>1989</v>
      </c>
      <c r="B34" s="56">
        <v>1162863.6000000001</v>
      </c>
      <c r="C34" s="56">
        <v>149997</v>
      </c>
      <c r="D34" s="56">
        <v>3650.2</v>
      </c>
      <c r="E34" s="56">
        <v>7382.9</v>
      </c>
      <c r="F34" s="56">
        <v>25855.5</v>
      </c>
      <c r="G34" s="56">
        <v>1205561.2</v>
      </c>
      <c r="H34" s="56">
        <v>153687.9</v>
      </c>
      <c r="I34" s="56">
        <f t="shared" si="1"/>
        <v>36013.300000000003</v>
      </c>
      <c r="J34" s="56">
        <v>3812.6</v>
      </c>
      <c r="K34" s="56">
        <v>7493.5</v>
      </c>
      <c r="L34" s="56">
        <v>24707.200000000001</v>
      </c>
      <c r="M34" s="147"/>
      <c r="N34" s="64">
        <v>905015000000</v>
      </c>
      <c r="O34" s="64">
        <v>128995100000</v>
      </c>
      <c r="P34" s="64">
        <v>3145600000</v>
      </c>
      <c r="Q34" s="64">
        <v>6731200000</v>
      </c>
      <c r="R34" s="64">
        <v>24410900000</v>
      </c>
      <c r="T34" s="64">
        <v>926629000000</v>
      </c>
      <c r="U34" s="64">
        <v>130969900000</v>
      </c>
      <c r="V34" s="64">
        <f t="shared" si="0"/>
        <v>34639300000</v>
      </c>
      <c r="W34" s="64">
        <v>3138000000</v>
      </c>
      <c r="X34" s="64">
        <v>6772800000</v>
      </c>
      <c r="Y34" s="64">
        <v>24728500000</v>
      </c>
    </row>
    <row r="35" spans="1:25">
      <c r="A35" s="49">
        <v>1990</v>
      </c>
      <c r="B35" s="56">
        <v>1192584.3999999999</v>
      </c>
      <c r="C35" s="56">
        <v>154862.70000000001</v>
      </c>
      <c r="D35" s="56">
        <v>3564.7</v>
      </c>
      <c r="E35" s="56">
        <v>7452.8</v>
      </c>
      <c r="F35" s="56">
        <v>27611.4</v>
      </c>
      <c r="G35" s="56">
        <v>1233038.7</v>
      </c>
      <c r="H35" s="56">
        <v>158120</v>
      </c>
      <c r="I35" s="56">
        <f t="shared" si="1"/>
        <v>37591.1</v>
      </c>
      <c r="J35" s="56">
        <v>3723.7</v>
      </c>
      <c r="K35" s="56">
        <v>7564.8</v>
      </c>
      <c r="L35" s="56">
        <v>26302.6</v>
      </c>
      <c r="M35" s="147"/>
      <c r="N35" s="64">
        <v>928038100000</v>
      </c>
      <c r="O35" s="64">
        <v>133653400000</v>
      </c>
      <c r="P35" s="64">
        <v>3071700000</v>
      </c>
      <c r="Q35" s="64">
        <v>6817700000</v>
      </c>
      <c r="R35" s="64">
        <v>26295800000</v>
      </c>
      <c r="T35" s="64">
        <v>948290200000</v>
      </c>
      <c r="U35" s="64">
        <v>135609300000</v>
      </c>
      <c r="V35" s="64">
        <f t="shared" si="0"/>
        <v>36584800000</v>
      </c>
      <c r="W35" s="64">
        <v>3061200000</v>
      </c>
      <c r="X35" s="64">
        <v>6865400000</v>
      </c>
      <c r="Y35" s="64">
        <v>26658200000</v>
      </c>
    </row>
    <row r="36" spans="1:25">
      <c r="A36" s="49">
        <v>1991</v>
      </c>
      <c r="B36" s="56">
        <v>1217672.5</v>
      </c>
      <c r="C36" s="56">
        <v>156961.1</v>
      </c>
      <c r="D36" s="56">
        <v>3329.5</v>
      </c>
      <c r="E36" s="56">
        <v>7150.2</v>
      </c>
      <c r="F36" s="56">
        <v>27907.599999999999</v>
      </c>
      <c r="G36" s="56">
        <v>1255675.8999999999</v>
      </c>
      <c r="H36" s="56">
        <v>159902.79999999999</v>
      </c>
      <c r="I36" s="56">
        <f t="shared" si="1"/>
        <v>37514.6</v>
      </c>
      <c r="J36" s="56">
        <v>3493.2</v>
      </c>
      <c r="K36" s="56">
        <v>7310.7</v>
      </c>
      <c r="L36" s="56">
        <v>26710.7</v>
      </c>
      <c r="M36" s="147"/>
      <c r="N36" s="64">
        <v>945842400000</v>
      </c>
      <c r="O36" s="64">
        <v>135163100000</v>
      </c>
      <c r="P36" s="64">
        <v>2854700000</v>
      </c>
      <c r="Q36" s="64">
        <v>6486700000</v>
      </c>
      <c r="R36" s="64">
        <v>26514800000</v>
      </c>
      <c r="T36" s="64">
        <v>964505600000</v>
      </c>
      <c r="U36" s="64">
        <v>136950800000</v>
      </c>
      <c r="V36" s="64">
        <f t="shared" si="0"/>
        <v>36162500000</v>
      </c>
      <c r="W36" s="64">
        <v>2832300000</v>
      </c>
      <c r="X36" s="64">
        <v>6516200000</v>
      </c>
      <c r="Y36" s="64">
        <v>26814000000</v>
      </c>
    </row>
    <row r="37" spans="1:25">
      <c r="A37" s="49">
        <v>1992</v>
      </c>
      <c r="B37" s="56">
        <v>1230043.2</v>
      </c>
      <c r="C37" s="56">
        <v>154179.29999999999</v>
      </c>
      <c r="D37" s="56">
        <v>3250</v>
      </c>
      <c r="E37" s="56">
        <v>6953</v>
      </c>
      <c r="F37" s="56">
        <v>27079</v>
      </c>
      <c r="G37" s="56">
        <v>1265045.1000000001</v>
      </c>
      <c r="H37" s="56">
        <v>157121.60000000001</v>
      </c>
      <c r="I37" s="56">
        <f t="shared" si="1"/>
        <v>36756</v>
      </c>
      <c r="J37" s="56">
        <v>3398.3</v>
      </c>
      <c r="K37" s="56">
        <v>7162.5</v>
      </c>
      <c r="L37" s="56">
        <v>26195.200000000001</v>
      </c>
      <c r="M37" s="147"/>
      <c r="N37" s="64">
        <v>952432300000</v>
      </c>
      <c r="O37" s="64">
        <v>131557300000</v>
      </c>
      <c r="P37" s="64">
        <v>2784700000</v>
      </c>
      <c r="Q37" s="64">
        <v>6257500000</v>
      </c>
      <c r="R37" s="64">
        <v>25535800000</v>
      </c>
      <c r="T37" s="64">
        <v>968227700000</v>
      </c>
      <c r="U37" s="64">
        <v>133000300000</v>
      </c>
      <c r="V37" s="64">
        <f t="shared" si="0"/>
        <v>34772300000</v>
      </c>
      <c r="W37" s="64">
        <v>2768200000</v>
      </c>
      <c r="X37" s="64">
        <v>6272700000</v>
      </c>
      <c r="Y37" s="64">
        <v>25731400000</v>
      </c>
    </row>
    <row r="38" spans="1:25">
      <c r="A38" s="49">
        <v>1993</v>
      </c>
      <c r="B38" s="56">
        <v>1238159.8</v>
      </c>
      <c r="C38" s="56">
        <v>150752.1</v>
      </c>
      <c r="D38" s="56">
        <v>3328.8</v>
      </c>
      <c r="E38" s="56">
        <v>6974.5</v>
      </c>
      <c r="F38" s="56">
        <v>25752.5</v>
      </c>
      <c r="G38" s="56">
        <v>1271535</v>
      </c>
      <c r="H38" s="56">
        <v>153630.6</v>
      </c>
      <c r="I38" s="56">
        <f t="shared" si="1"/>
        <v>35696.300000000003</v>
      </c>
      <c r="J38" s="56">
        <v>3445.4</v>
      </c>
      <c r="K38" s="56">
        <v>7170.3</v>
      </c>
      <c r="L38" s="56">
        <v>25080.6</v>
      </c>
      <c r="M38" s="147"/>
      <c r="N38" s="64">
        <v>955534300000</v>
      </c>
      <c r="O38" s="64">
        <v>127278700000</v>
      </c>
      <c r="P38" s="64">
        <v>2863800000</v>
      </c>
      <c r="Q38" s="64">
        <v>6250000000</v>
      </c>
      <c r="R38" s="64">
        <v>24078200000</v>
      </c>
      <c r="T38" s="64">
        <v>968714200000</v>
      </c>
      <c r="U38" s="64">
        <v>128490600000</v>
      </c>
      <c r="V38" s="64">
        <f t="shared" si="0"/>
        <v>33299800000</v>
      </c>
      <c r="W38" s="64">
        <v>2859300000</v>
      </c>
      <c r="X38" s="64">
        <v>6237200000</v>
      </c>
      <c r="Y38" s="64">
        <v>24203300000</v>
      </c>
    </row>
    <row r="39" spans="1:25">
      <c r="A39" s="49">
        <v>1994</v>
      </c>
      <c r="B39" s="56">
        <v>1254654.6000000001</v>
      </c>
      <c r="C39" s="56">
        <v>150338.5</v>
      </c>
      <c r="D39" s="56">
        <v>3457.7</v>
      </c>
      <c r="E39" s="56">
        <v>7560.6</v>
      </c>
      <c r="F39" s="56">
        <v>24697.4</v>
      </c>
      <c r="G39" s="56">
        <v>1286687.1000000001</v>
      </c>
      <c r="H39" s="56">
        <v>153041.70000000001</v>
      </c>
      <c r="I39" s="56">
        <f t="shared" si="1"/>
        <v>35377.9</v>
      </c>
      <c r="J39" s="56">
        <v>3536.6</v>
      </c>
      <c r="K39" s="56">
        <v>7706</v>
      </c>
      <c r="L39" s="56">
        <v>24135.3</v>
      </c>
      <c r="M39" s="147"/>
      <c r="N39" s="64">
        <v>965879900000</v>
      </c>
      <c r="O39" s="64">
        <v>125849700000</v>
      </c>
      <c r="P39" s="64">
        <v>2985200000</v>
      </c>
      <c r="Q39" s="64">
        <v>6806000000</v>
      </c>
      <c r="R39" s="64">
        <v>22907900000</v>
      </c>
      <c r="T39" s="64">
        <v>976576200000</v>
      </c>
      <c r="U39" s="64">
        <v>126952600000</v>
      </c>
      <c r="V39" s="64">
        <f t="shared" si="0"/>
        <v>32832700000</v>
      </c>
      <c r="W39" s="64">
        <v>2990500000</v>
      </c>
      <c r="X39" s="64">
        <v>6812200000</v>
      </c>
      <c r="Y39" s="64">
        <v>23030000000</v>
      </c>
    </row>
    <row r="40" spans="1:25">
      <c r="A40" s="49">
        <v>1995</v>
      </c>
      <c r="B40" s="56">
        <v>1270190.8999999999</v>
      </c>
      <c r="C40" s="56">
        <v>151721.20000000001</v>
      </c>
      <c r="D40" s="56">
        <v>3462.7</v>
      </c>
      <c r="E40" s="56">
        <v>8625.5</v>
      </c>
      <c r="F40" s="56">
        <v>25383.7</v>
      </c>
      <c r="G40" s="56">
        <v>1300337.8999999999</v>
      </c>
      <c r="H40" s="56">
        <v>154030.6</v>
      </c>
      <c r="I40" s="56">
        <f t="shared" si="1"/>
        <v>37032</v>
      </c>
      <c r="J40" s="56">
        <v>3517.3</v>
      </c>
      <c r="K40" s="56">
        <v>8647.9</v>
      </c>
      <c r="L40" s="56">
        <v>24866.799999999999</v>
      </c>
      <c r="M40" s="147"/>
      <c r="N40" s="64">
        <v>974900500000</v>
      </c>
      <c r="O40" s="64">
        <v>126247100000</v>
      </c>
      <c r="P40" s="64">
        <v>2991100000</v>
      </c>
      <c r="Q40" s="64">
        <v>7842000000</v>
      </c>
      <c r="R40" s="64">
        <v>23471600000</v>
      </c>
      <c r="T40" s="64">
        <v>983589400000</v>
      </c>
      <c r="U40" s="64">
        <v>127246200000</v>
      </c>
      <c r="V40" s="64">
        <f t="shared" si="0"/>
        <v>34439500000</v>
      </c>
      <c r="W40" s="64">
        <v>3000100000</v>
      </c>
      <c r="X40" s="64">
        <v>7862500000</v>
      </c>
      <c r="Y40" s="64">
        <v>23576900000</v>
      </c>
    </row>
    <row r="41" spans="1:25">
      <c r="A41" s="49">
        <v>1996</v>
      </c>
      <c r="B41" s="56">
        <v>1286034</v>
      </c>
      <c r="C41" s="56">
        <v>154147.20000000001</v>
      </c>
      <c r="D41" s="56">
        <v>3428.9</v>
      </c>
      <c r="E41" s="56">
        <v>8878.5</v>
      </c>
      <c r="F41" s="56">
        <v>25586.9</v>
      </c>
      <c r="G41" s="56">
        <v>1313041.1000000001</v>
      </c>
      <c r="H41" s="56">
        <v>156263.9</v>
      </c>
      <c r="I41" s="56">
        <f t="shared" si="1"/>
        <v>37423</v>
      </c>
      <c r="J41" s="56">
        <v>3475.3</v>
      </c>
      <c r="K41" s="56">
        <v>8883.2000000000007</v>
      </c>
      <c r="L41" s="56">
        <v>25064.5</v>
      </c>
      <c r="M41" s="147"/>
      <c r="N41" s="64">
        <v>982767200000</v>
      </c>
      <c r="O41" s="64">
        <v>127152100000</v>
      </c>
      <c r="P41" s="64">
        <v>2951300000</v>
      </c>
      <c r="Q41" s="64">
        <v>8021100000</v>
      </c>
      <c r="R41" s="64">
        <v>23453500000</v>
      </c>
      <c r="T41" s="64">
        <v>989240700000</v>
      </c>
      <c r="U41" s="64">
        <v>127977700000</v>
      </c>
      <c r="V41" s="64">
        <f t="shared" si="0"/>
        <v>34524800000</v>
      </c>
      <c r="W41" s="64">
        <v>2966400000</v>
      </c>
      <c r="X41" s="64">
        <v>8039800000</v>
      </c>
      <c r="Y41" s="64">
        <v>23518600000</v>
      </c>
    </row>
    <row r="42" spans="1:25">
      <c r="A42" s="49">
        <v>1997</v>
      </c>
      <c r="B42" s="56">
        <v>1315729.7</v>
      </c>
      <c r="C42" s="56">
        <v>157645.70000000001</v>
      </c>
      <c r="D42" s="56">
        <v>3362.5</v>
      </c>
      <c r="E42" s="56">
        <v>9223.5</v>
      </c>
      <c r="F42" s="56">
        <v>25063.7</v>
      </c>
      <c r="G42" s="56">
        <v>1339235.2</v>
      </c>
      <c r="H42" s="56">
        <v>159383.4</v>
      </c>
      <c r="I42" s="56">
        <f t="shared" si="1"/>
        <v>37175.1</v>
      </c>
      <c r="J42" s="56">
        <v>3416.2</v>
      </c>
      <c r="K42" s="56">
        <v>9217.2999999999993</v>
      </c>
      <c r="L42" s="56">
        <v>24541.599999999999</v>
      </c>
      <c r="M42" s="147"/>
      <c r="N42" s="64">
        <v>1004542100000</v>
      </c>
      <c r="O42" s="64">
        <v>129599300000</v>
      </c>
      <c r="P42" s="64">
        <v>2883200000</v>
      </c>
      <c r="Q42" s="64">
        <v>8297000000</v>
      </c>
      <c r="R42" s="64">
        <v>22790800000</v>
      </c>
      <c r="T42" s="64">
        <v>1009384200000</v>
      </c>
      <c r="U42" s="64">
        <v>130314100000</v>
      </c>
      <c r="V42" s="64">
        <f t="shared" si="0"/>
        <v>34041000000</v>
      </c>
      <c r="W42" s="64">
        <v>2898600000</v>
      </c>
      <c r="X42" s="64">
        <v>8314200000</v>
      </c>
      <c r="Y42" s="64">
        <v>22828200000</v>
      </c>
    </row>
    <row r="43" spans="1:25">
      <c r="A43" s="49">
        <v>1998</v>
      </c>
      <c r="B43" s="56">
        <v>1346342.3</v>
      </c>
      <c r="C43" s="56">
        <v>160926.20000000001</v>
      </c>
      <c r="D43" s="56">
        <v>3366.6</v>
      </c>
      <c r="E43" s="56">
        <v>9127.2000000000007</v>
      </c>
      <c r="F43" s="56">
        <v>23941</v>
      </c>
      <c r="G43" s="56">
        <v>1363915.8</v>
      </c>
      <c r="H43" s="56">
        <v>161721.4</v>
      </c>
      <c r="I43" s="56">
        <f t="shared" si="1"/>
        <v>35985.399999999994</v>
      </c>
      <c r="J43" s="56">
        <v>3392.4</v>
      </c>
      <c r="K43" s="56">
        <v>9134.9</v>
      </c>
      <c r="L43" s="56">
        <v>23458.1</v>
      </c>
      <c r="M43" s="147"/>
      <c r="N43" s="64">
        <v>1025354000000</v>
      </c>
      <c r="O43" s="64">
        <v>131315300000</v>
      </c>
      <c r="P43" s="64">
        <v>2878900000</v>
      </c>
      <c r="Q43" s="64">
        <v>8124800000</v>
      </c>
      <c r="R43" s="64">
        <v>21497600000</v>
      </c>
      <c r="T43" s="64">
        <v>1027555300000</v>
      </c>
      <c r="U43" s="64">
        <v>131695200000</v>
      </c>
      <c r="V43" s="64">
        <f t="shared" si="0"/>
        <v>32516500000</v>
      </c>
      <c r="W43" s="64">
        <v>2886800000</v>
      </c>
      <c r="X43" s="64">
        <v>8117500000</v>
      </c>
      <c r="Y43" s="64">
        <v>21512200000</v>
      </c>
    </row>
    <row r="44" spans="1:25">
      <c r="A44" s="49">
        <v>1999</v>
      </c>
      <c r="B44" s="56">
        <v>1375011.1</v>
      </c>
      <c r="C44" s="56">
        <v>162411</v>
      </c>
      <c r="D44" s="56">
        <v>3377</v>
      </c>
      <c r="E44" s="56">
        <v>8923.7999999999993</v>
      </c>
      <c r="F44" s="56">
        <v>22648.3</v>
      </c>
      <c r="G44" s="56">
        <v>1389176.8</v>
      </c>
      <c r="H44" s="56">
        <v>162773.1</v>
      </c>
      <c r="I44" s="56">
        <f t="shared" si="1"/>
        <v>34637.300000000003</v>
      </c>
      <c r="J44" s="56">
        <v>3393.6</v>
      </c>
      <c r="K44" s="56">
        <v>8997.5</v>
      </c>
      <c r="L44" s="56">
        <v>22246.2</v>
      </c>
      <c r="M44" s="147"/>
      <c r="N44" s="64">
        <v>1047715700000</v>
      </c>
      <c r="O44" s="64">
        <v>132329200000</v>
      </c>
      <c r="P44" s="64">
        <v>2890100000</v>
      </c>
      <c r="Q44" s="64">
        <v>7902000000</v>
      </c>
      <c r="R44" s="64">
        <v>20208400000</v>
      </c>
      <c r="T44" s="64">
        <v>1049320800000</v>
      </c>
      <c r="U44" s="64">
        <v>132425700000</v>
      </c>
      <c r="V44" s="64">
        <f t="shared" si="0"/>
        <v>30978800000</v>
      </c>
      <c r="W44" s="64">
        <v>2891600000</v>
      </c>
      <c r="X44" s="64">
        <v>7888300000</v>
      </c>
      <c r="Y44" s="64">
        <v>20198900000</v>
      </c>
    </row>
    <row r="45" spans="1:25">
      <c r="A45" s="49">
        <v>2000</v>
      </c>
      <c r="B45" s="56">
        <v>1405313.6</v>
      </c>
      <c r="C45" s="56">
        <v>164307</v>
      </c>
      <c r="D45" s="56">
        <v>3360</v>
      </c>
      <c r="E45" s="56">
        <v>9382.4</v>
      </c>
      <c r="F45" s="56">
        <v>21942.2</v>
      </c>
      <c r="G45" s="56">
        <v>1415208.2</v>
      </c>
      <c r="H45" s="56">
        <v>164740.20000000001</v>
      </c>
      <c r="I45" s="56">
        <f t="shared" si="1"/>
        <v>34469.300000000003</v>
      </c>
      <c r="J45" s="56">
        <v>3370.6</v>
      </c>
      <c r="K45" s="56">
        <v>9426.5</v>
      </c>
      <c r="L45" s="56">
        <v>21672.2</v>
      </c>
      <c r="M45" s="147"/>
      <c r="N45" s="64">
        <v>1069854800000</v>
      </c>
      <c r="O45" s="64">
        <v>133256400000</v>
      </c>
      <c r="P45" s="64">
        <v>2883000000</v>
      </c>
      <c r="Q45" s="64">
        <v>8376300000</v>
      </c>
      <c r="R45" s="64">
        <v>19403300000</v>
      </c>
      <c r="T45" s="64">
        <v>1070008900000</v>
      </c>
      <c r="U45" s="64">
        <v>133301300000</v>
      </c>
      <c r="V45" s="64">
        <f t="shared" si="0"/>
        <v>30652400000</v>
      </c>
      <c r="W45" s="64">
        <v>2883100000</v>
      </c>
      <c r="X45" s="64">
        <v>8371800000</v>
      </c>
      <c r="Y45" s="64">
        <v>19397500000</v>
      </c>
    </row>
    <row r="46" spans="1:25">
      <c r="A46" s="49">
        <v>2001</v>
      </c>
      <c r="B46" s="56">
        <v>1432618.9</v>
      </c>
      <c r="C46" s="56">
        <v>162220</v>
      </c>
      <c r="D46" s="56">
        <v>3220.3</v>
      </c>
      <c r="E46" s="56">
        <v>8885.4</v>
      </c>
      <c r="F46" s="56">
        <v>20904</v>
      </c>
      <c r="G46" s="56">
        <v>1440903.6</v>
      </c>
      <c r="H46" s="56">
        <v>163100.70000000001</v>
      </c>
      <c r="I46" s="56">
        <f t="shared" si="1"/>
        <v>32955.300000000003</v>
      </c>
      <c r="J46" s="56">
        <v>3240.3</v>
      </c>
      <c r="K46" s="56">
        <v>8975</v>
      </c>
      <c r="L46" s="56">
        <v>20740</v>
      </c>
      <c r="M46" s="147"/>
      <c r="N46" s="64">
        <v>1087482500000</v>
      </c>
      <c r="O46" s="64">
        <v>129228800000</v>
      </c>
      <c r="P46" s="64">
        <v>2761600000</v>
      </c>
      <c r="Q46" s="64">
        <v>7859900000</v>
      </c>
      <c r="R46" s="64">
        <v>18096700000</v>
      </c>
      <c r="T46" s="64">
        <v>1087174500000</v>
      </c>
      <c r="U46" s="64">
        <v>129197100000</v>
      </c>
      <c r="V46" s="64">
        <f t="shared" si="0"/>
        <v>28702700000</v>
      </c>
      <c r="W46" s="64">
        <v>2760900000</v>
      </c>
      <c r="X46" s="64">
        <v>7851600000</v>
      </c>
      <c r="Y46" s="64">
        <v>18090200000</v>
      </c>
    </row>
    <row r="47" spans="1:25">
      <c r="A47" s="49">
        <v>2002</v>
      </c>
      <c r="B47" s="56">
        <v>1448435.2</v>
      </c>
      <c r="C47" s="56">
        <v>159279.29999999999</v>
      </c>
      <c r="D47" s="56">
        <v>3181.6</v>
      </c>
      <c r="E47" s="56">
        <v>8366.9</v>
      </c>
      <c r="F47" s="56">
        <v>19591.400000000001</v>
      </c>
      <c r="G47" s="56">
        <v>1457688.8</v>
      </c>
      <c r="H47" s="56">
        <v>160874.4</v>
      </c>
      <c r="I47" s="56">
        <f t="shared" si="1"/>
        <v>31292.799999999999</v>
      </c>
      <c r="J47" s="56">
        <v>3199.2</v>
      </c>
      <c r="K47" s="56">
        <v>8511</v>
      </c>
      <c r="L47" s="56">
        <v>19582.599999999999</v>
      </c>
      <c r="M47" s="147"/>
      <c r="N47" s="64">
        <v>1096862900000</v>
      </c>
      <c r="O47" s="64">
        <v>124701800000</v>
      </c>
      <c r="P47" s="64">
        <v>2738100000</v>
      </c>
      <c r="Q47" s="64">
        <v>7334700000</v>
      </c>
      <c r="R47" s="64">
        <v>16620500000</v>
      </c>
      <c r="T47" s="64">
        <v>1096862900000</v>
      </c>
      <c r="U47" s="64">
        <v>124701800000</v>
      </c>
      <c r="V47" s="64">
        <f t="shared" si="0"/>
        <v>26693300000</v>
      </c>
      <c r="W47" s="64">
        <v>2738100000</v>
      </c>
      <c r="X47" s="64">
        <v>7334700000</v>
      </c>
      <c r="Y47" s="64">
        <v>16620500000</v>
      </c>
    </row>
    <row r="48" spans="1:25">
      <c r="A48" s="49">
        <v>2003</v>
      </c>
      <c r="B48" s="56">
        <v>1472251.5</v>
      </c>
      <c r="C48" s="56">
        <v>158951.5</v>
      </c>
      <c r="D48" s="56">
        <v>3137</v>
      </c>
      <c r="E48" s="56">
        <v>8232.7999999999993</v>
      </c>
      <c r="F48" s="56">
        <v>19175.7</v>
      </c>
      <c r="G48" s="56">
        <v>1480607.6</v>
      </c>
      <c r="H48" s="56">
        <v>160254.39999999999</v>
      </c>
      <c r="I48" s="56">
        <f t="shared" si="1"/>
        <v>30623.9</v>
      </c>
      <c r="J48" s="56">
        <v>3150.4</v>
      </c>
      <c r="K48" s="56">
        <v>8361.7999999999993</v>
      </c>
      <c r="L48" s="56">
        <v>19111.7</v>
      </c>
      <c r="M48" s="147"/>
      <c r="N48" s="64">
        <v>1114199900000</v>
      </c>
      <c r="O48" s="64">
        <v>123204200000</v>
      </c>
      <c r="P48" s="64">
        <v>2706400000</v>
      </c>
      <c r="Q48" s="64">
        <v>7201400000</v>
      </c>
      <c r="R48" s="64">
        <v>16110600000</v>
      </c>
      <c r="T48" s="64">
        <v>1114431300000</v>
      </c>
      <c r="U48" s="64">
        <v>123246500000</v>
      </c>
      <c r="V48" s="64">
        <f t="shared" si="0"/>
        <v>26029600000</v>
      </c>
      <c r="W48" s="64">
        <v>2708100000</v>
      </c>
      <c r="X48" s="64">
        <v>7202200000</v>
      </c>
      <c r="Y48" s="64">
        <v>16119300000</v>
      </c>
    </row>
    <row r="49" spans="1:25">
      <c r="A49" s="49">
        <v>2004</v>
      </c>
      <c r="B49" s="56">
        <v>1507950</v>
      </c>
      <c r="C49" s="56">
        <v>158136.6</v>
      </c>
      <c r="D49" s="56">
        <v>3104.3</v>
      </c>
      <c r="E49" s="56">
        <v>8380.7000000000007</v>
      </c>
      <c r="F49" s="56">
        <v>18096</v>
      </c>
      <c r="G49" s="56">
        <v>1514195</v>
      </c>
      <c r="H49" s="56">
        <v>158980.6</v>
      </c>
      <c r="I49" s="56">
        <f t="shared" si="1"/>
        <v>29685.3</v>
      </c>
      <c r="J49" s="56">
        <v>3110.9</v>
      </c>
      <c r="K49" s="56">
        <v>8458.9</v>
      </c>
      <c r="L49" s="56">
        <v>18115.5</v>
      </c>
      <c r="M49" s="147"/>
      <c r="N49" s="64">
        <v>1139081100000</v>
      </c>
      <c r="O49" s="64">
        <v>121093100000</v>
      </c>
      <c r="P49" s="64">
        <v>2676400000</v>
      </c>
      <c r="Q49" s="64">
        <v>7315600000</v>
      </c>
      <c r="R49" s="64">
        <v>14894400000</v>
      </c>
      <c r="T49" s="64">
        <v>1140548100000</v>
      </c>
      <c r="U49" s="64">
        <v>121380200000</v>
      </c>
      <c r="V49" s="64">
        <f t="shared" si="0"/>
        <v>24896600000</v>
      </c>
      <c r="W49" s="64">
        <v>2680900000</v>
      </c>
      <c r="X49" s="64">
        <v>7336600000</v>
      </c>
      <c r="Y49" s="64">
        <v>14879100000</v>
      </c>
    </row>
    <row r="50" spans="1:25">
      <c r="A50" s="49">
        <v>2005</v>
      </c>
      <c r="B50" s="56">
        <v>1557892.9</v>
      </c>
      <c r="C50" s="56">
        <v>157999.9</v>
      </c>
      <c r="D50" s="56">
        <v>3066.7</v>
      </c>
      <c r="E50" s="56">
        <v>8821.5</v>
      </c>
      <c r="F50" s="56">
        <v>17164.7</v>
      </c>
      <c r="G50" s="56">
        <v>1561802.5</v>
      </c>
      <c r="H50" s="56">
        <v>158292.4</v>
      </c>
      <c r="I50" s="56">
        <f t="shared" si="1"/>
        <v>29089.899999999998</v>
      </c>
      <c r="J50" s="56">
        <v>3069.4</v>
      </c>
      <c r="K50" s="56">
        <v>8848.4</v>
      </c>
      <c r="L50" s="56">
        <v>17172.099999999999</v>
      </c>
      <c r="M50" s="147"/>
      <c r="N50" s="64">
        <v>1173998600000</v>
      </c>
      <c r="O50" s="64">
        <v>119650400000</v>
      </c>
      <c r="P50" s="64">
        <v>2636200000</v>
      </c>
      <c r="Q50" s="64">
        <v>7643400000</v>
      </c>
      <c r="R50" s="64">
        <v>13908800000</v>
      </c>
      <c r="T50" s="64">
        <v>1178306300000</v>
      </c>
      <c r="U50" s="64">
        <v>120539900000</v>
      </c>
      <c r="V50" s="64">
        <f t="shared" si="0"/>
        <v>24273500000</v>
      </c>
      <c r="W50" s="64">
        <v>2647700000</v>
      </c>
      <c r="X50" s="64">
        <v>7705900000</v>
      </c>
      <c r="Y50" s="64">
        <v>13919900000</v>
      </c>
    </row>
    <row r="51" spans="1:25">
      <c r="A51" s="49">
        <v>2006</v>
      </c>
      <c r="B51" s="56">
        <v>1614730.5</v>
      </c>
      <c r="C51" s="56">
        <v>157285.6</v>
      </c>
      <c r="D51" s="56">
        <v>2982.8</v>
      </c>
      <c r="E51" s="56">
        <v>8956.5</v>
      </c>
      <c r="F51" s="56">
        <v>16266.4</v>
      </c>
      <c r="G51" s="56">
        <v>1617192.8</v>
      </c>
      <c r="H51" s="56">
        <v>157360.29999999999</v>
      </c>
      <c r="I51" s="56">
        <f t="shared" si="1"/>
        <v>28210.5</v>
      </c>
      <c r="J51" s="56">
        <v>2981.6</v>
      </c>
      <c r="K51" s="56">
        <v>8959.7000000000007</v>
      </c>
      <c r="L51" s="56">
        <v>16269.2</v>
      </c>
      <c r="M51" s="147"/>
      <c r="N51" s="64">
        <v>1215452400000</v>
      </c>
      <c r="O51" s="64">
        <v>118637100000</v>
      </c>
      <c r="P51" s="64">
        <v>2572500000</v>
      </c>
      <c r="Q51" s="64">
        <v>7800300000</v>
      </c>
      <c r="R51" s="64">
        <v>12951800000</v>
      </c>
      <c r="T51" s="64">
        <v>1222663700000</v>
      </c>
      <c r="U51" s="64">
        <v>120271100000</v>
      </c>
      <c r="V51" s="64">
        <f t="shared" si="0"/>
        <v>23512800000</v>
      </c>
      <c r="W51" s="64">
        <v>2597900000</v>
      </c>
      <c r="X51" s="64">
        <v>7924000000</v>
      </c>
      <c r="Y51" s="64">
        <v>12990900000</v>
      </c>
    </row>
    <row r="52" spans="1:25">
      <c r="A52" s="49">
        <v>2007</v>
      </c>
      <c r="B52" s="56">
        <v>1666987.3</v>
      </c>
      <c r="C52" s="56">
        <v>156236.1</v>
      </c>
      <c r="D52" s="56">
        <v>2823.6</v>
      </c>
      <c r="E52" s="56">
        <v>8745.1</v>
      </c>
      <c r="F52" s="56">
        <v>15379.8</v>
      </c>
      <c r="G52" s="56">
        <v>1666987.3</v>
      </c>
      <c r="H52" s="56">
        <v>156236.1</v>
      </c>
      <c r="I52" s="56">
        <f t="shared" si="1"/>
        <v>26948.5</v>
      </c>
      <c r="J52" s="56">
        <v>2823.6</v>
      </c>
      <c r="K52" s="56">
        <v>8745.1</v>
      </c>
      <c r="L52" s="56">
        <v>15379.8</v>
      </c>
      <c r="M52" s="147"/>
      <c r="N52" s="64">
        <v>1256593500000</v>
      </c>
      <c r="O52" s="64">
        <v>118799600000</v>
      </c>
      <c r="P52" s="64">
        <v>2506800000</v>
      </c>
      <c r="Q52" s="64">
        <v>7975100000</v>
      </c>
      <c r="R52" s="64">
        <v>12208700000</v>
      </c>
      <c r="T52" s="64">
        <v>1270505800000</v>
      </c>
      <c r="U52" s="64">
        <v>121766000000</v>
      </c>
      <c r="V52" s="64">
        <f t="shared" si="0"/>
        <v>23078800000</v>
      </c>
      <c r="W52" s="64">
        <v>2543600000</v>
      </c>
      <c r="X52" s="64">
        <v>8221000000</v>
      </c>
      <c r="Y52" s="64">
        <v>12314200000</v>
      </c>
    </row>
    <row r="53" spans="1:25">
      <c r="A53" s="49">
        <v>2008</v>
      </c>
      <c r="B53" s="56">
        <v>1719995.8</v>
      </c>
      <c r="C53" s="56">
        <v>154000.70000000001</v>
      </c>
      <c r="D53" s="56">
        <v>2705.1</v>
      </c>
      <c r="E53" s="56">
        <v>8367.2000000000007</v>
      </c>
      <c r="F53" s="56">
        <v>14412.6</v>
      </c>
      <c r="G53" s="56">
        <v>1720391.5</v>
      </c>
      <c r="H53" s="56">
        <v>154060</v>
      </c>
      <c r="I53" s="56">
        <f>J53+K53+L53</f>
        <v>25481.5</v>
      </c>
      <c r="J53" s="56">
        <v>2706.7</v>
      </c>
      <c r="K53" s="56">
        <v>8365.1</v>
      </c>
      <c r="L53" s="56">
        <v>14409.7</v>
      </c>
      <c r="M53" s="147"/>
    </row>
    <row r="54" spans="1:25">
      <c r="A54" s="49">
        <v>2009</v>
      </c>
      <c r="B54" s="56">
        <v>1733765.1</v>
      </c>
      <c r="C54" s="56">
        <v>147076</v>
      </c>
      <c r="D54" s="56">
        <v>2524.3000000000002</v>
      </c>
      <c r="E54" s="56">
        <v>7731.5</v>
      </c>
      <c r="F54" s="56">
        <v>13088.3</v>
      </c>
      <c r="G54" s="56">
        <v>1733609</v>
      </c>
      <c r="H54" s="56">
        <v>147128.70000000001</v>
      </c>
      <c r="I54" s="56">
        <f t="shared" si="1"/>
        <v>23333.200000000001</v>
      </c>
      <c r="J54" s="56">
        <v>2526.4</v>
      </c>
      <c r="K54" s="56">
        <v>7726.1</v>
      </c>
      <c r="L54" s="56">
        <v>13080.7</v>
      </c>
      <c r="M54" s="147"/>
    </row>
    <row r="55" spans="1:25">
      <c r="A55" s="49">
        <v>2010</v>
      </c>
      <c r="B55" s="56">
        <v>1773752.8</v>
      </c>
      <c r="C55" s="56">
        <v>142866.4</v>
      </c>
      <c r="D55" s="56">
        <v>2399</v>
      </c>
      <c r="E55" s="56">
        <v>7405.2</v>
      </c>
      <c r="F55" s="56">
        <v>12050.9</v>
      </c>
      <c r="G55" s="56">
        <v>1773013.2</v>
      </c>
      <c r="H55" s="56">
        <v>142973</v>
      </c>
      <c r="I55" s="56">
        <f t="shared" si="1"/>
        <v>21847.200000000001</v>
      </c>
      <c r="J55" s="56">
        <v>2404.4</v>
      </c>
      <c r="K55" s="56">
        <v>7398.8</v>
      </c>
      <c r="L55" s="56">
        <v>12044</v>
      </c>
      <c r="M55" s="147"/>
    </row>
    <row r="56" spans="1:25">
      <c r="A56" s="49">
        <v>2011</v>
      </c>
      <c r="B56" s="56">
        <v>1823270.6</v>
      </c>
      <c r="C56" s="56">
        <v>142728.4</v>
      </c>
      <c r="D56" s="56">
        <v>2289.3000000000002</v>
      </c>
      <c r="E56" s="56">
        <v>7261.2</v>
      </c>
      <c r="F56" s="56">
        <v>11456.5</v>
      </c>
      <c r="G56" s="56">
        <v>1822400.4</v>
      </c>
      <c r="H56" s="56">
        <v>142977.9</v>
      </c>
      <c r="I56" s="56">
        <f t="shared" si="1"/>
        <v>21010.7</v>
      </c>
      <c r="J56" s="56">
        <v>2301</v>
      </c>
      <c r="K56" s="56">
        <v>7256.6</v>
      </c>
      <c r="L56" s="56">
        <v>11453.1</v>
      </c>
      <c r="M56" s="147"/>
    </row>
    <row r="57" spans="1:25">
      <c r="A57" s="49">
        <v>2012</v>
      </c>
      <c r="B57" s="56">
        <v>1875709.1</v>
      </c>
      <c r="C57" s="56">
        <v>142841.4</v>
      </c>
      <c r="D57" s="56">
        <v>2161.4</v>
      </c>
      <c r="E57" s="56">
        <v>7186.4</v>
      </c>
      <c r="F57" s="56">
        <v>10951.4</v>
      </c>
      <c r="G57" s="56">
        <v>1874546.7</v>
      </c>
      <c r="H57" s="56">
        <v>143450.79999999999</v>
      </c>
      <c r="I57" s="56">
        <f t="shared" si="1"/>
        <v>20329</v>
      </c>
      <c r="J57" s="56">
        <v>2174.5</v>
      </c>
      <c r="K57" s="56">
        <v>7200.4</v>
      </c>
      <c r="L57" s="56">
        <v>10954.1</v>
      </c>
      <c r="M57" s="147"/>
    </row>
    <row r="59" spans="1:25">
      <c r="A59" s="66" t="s">
        <v>23</v>
      </c>
      <c r="B59" s="56"/>
      <c r="C59" s="56"/>
    </row>
    <row r="60" spans="1:25">
      <c r="A60" s="64" t="s">
        <v>2117</v>
      </c>
      <c r="B60" s="65">
        <f>((B57/B26)^(1/31)-1)*100</f>
        <v>2.1350385269579109</v>
      </c>
      <c r="C60" s="65">
        <f t="shared" ref="C60:L60" si="2">((C57/C26)^(1/31)-1)*100</f>
        <v>0.22845698828379835</v>
      </c>
      <c r="D60" s="65">
        <f t="shared" si="2"/>
        <v>-2.4283564774933764</v>
      </c>
      <c r="E60" s="65">
        <f t="shared" si="2"/>
        <v>0.16795704684213764</v>
      </c>
      <c r="F60" s="65">
        <f t="shared" si="2"/>
        <v>-1.7814934649211578</v>
      </c>
      <c r="G60" s="65">
        <f t="shared" si="2"/>
        <v>1.9405276137064886</v>
      </c>
      <c r="H60" s="65">
        <f t="shared" si="2"/>
        <v>0.11041437784093944</v>
      </c>
      <c r="I60" s="65">
        <f t="shared" si="2"/>
        <v>-1.281812645689917</v>
      </c>
      <c r="J60" s="65">
        <f t="shared" si="2"/>
        <v>-2.5019896378933981</v>
      </c>
      <c r="K60" s="65">
        <f t="shared" si="2"/>
        <v>0.11080566254579871</v>
      </c>
      <c r="L60" s="65">
        <f t="shared" si="2"/>
        <v>-1.6930701945161108</v>
      </c>
    </row>
    <row r="61" spans="1:25">
      <c r="A61" s="64" t="s">
        <v>25</v>
      </c>
      <c r="B61" s="65">
        <f>((B34/B26)^(1/8)-1)*100</f>
        <v>2.2345276968232186</v>
      </c>
      <c r="C61" s="65">
        <f t="shared" ref="C61:L61" si="3">((C34/C26)^(1/8)-1)*100</f>
        <v>1.5065007875748382</v>
      </c>
      <c r="D61" s="65">
        <f t="shared" si="3"/>
        <v>-2.9318576532811225</v>
      </c>
      <c r="E61" s="65">
        <f t="shared" si="3"/>
        <v>0.99238143042013061</v>
      </c>
      <c r="F61" s="65">
        <f t="shared" si="3"/>
        <v>3.8447514621742229</v>
      </c>
      <c r="G61" s="65">
        <f t="shared" si="3"/>
        <v>1.9484842696831706</v>
      </c>
      <c r="H61" s="65">
        <f t="shared" si="3"/>
        <v>1.2976141056100898</v>
      </c>
      <c r="I61" s="65">
        <f t="shared" si="3"/>
        <v>2.1721201992286776</v>
      </c>
      <c r="J61" s="65">
        <f t="shared" si="3"/>
        <v>-2.7608234542672694</v>
      </c>
      <c r="K61" s="65">
        <f t="shared" si="3"/>
        <v>0.93219483081004029</v>
      </c>
      <c r="L61" s="65">
        <f t="shared" si="3"/>
        <v>3.6142216749893263</v>
      </c>
    </row>
    <row r="62" spans="1:25">
      <c r="A62" s="64" t="s">
        <v>2119</v>
      </c>
      <c r="B62" s="65">
        <f>((B57/B34)^(1/23)-1)*100</f>
        <v>2.1004562975814878</v>
      </c>
      <c r="C62" s="65">
        <f t="shared" ref="C62:L62" si="4">((C57/C34)^(1/23)-1)*100</f>
        <v>-0.2122976770371432</v>
      </c>
      <c r="D62" s="65">
        <f t="shared" si="4"/>
        <v>-2.2526141268980004</v>
      </c>
      <c r="E62" s="65">
        <f t="shared" si="4"/>
        <v>-0.11721891629757897</v>
      </c>
      <c r="F62" s="65">
        <f t="shared" si="4"/>
        <v>-3.6661345357902775</v>
      </c>
      <c r="G62" s="65">
        <f t="shared" si="4"/>
        <v>1.9377602267567795</v>
      </c>
      <c r="H62" s="65">
        <f t="shared" si="4"/>
        <v>-0.29925483040890155</v>
      </c>
      <c r="I62" s="65">
        <f t="shared" si="4"/>
        <v>-2.4556074433099373</v>
      </c>
      <c r="J62" s="65">
        <f t="shared" si="4"/>
        <v>-2.4117990798612987</v>
      </c>
      <c r="K62" s="65">
        <f t="shared" si="4"/>
        <v>-0.1733252617524772</v>
      </c>
      <c r="L62" s="65">
        <f t="shared" si="4"/>
        <v>-3.4746372980614559</v>
      </c>
    </row>
    <row r="63" spans="1:25">
      <c r="A63" s="64" t="s">
        <v>26</v>
      </c>
      <c r="B63" s="65">
        <f>((B45/B34)^(1/11)-1)*100</f>
        <v>1.7364947426631083</v>
      </c>
      <c r="C63" s="65">
        <f t="shared" ref="C63:L63" si="5">((C45/C34)^(1/11)-1)*100</f>
        <v>0.83181630054103284</v>
      </c>
      <c r="D63" s="65">
        <f t="shared" si="5"/>
        <v>-0.75027118681031402</v>
      </c>
      <c r="E63" s="65">
        <f t="shared" si="5"/>
        <v>2.2027191961101256</v>
      </c>
      <c r="F63" s="65">
        <f t="shared" si="5"/>
        <v>-1.4808497841236834</v>
      </c>
      <c r="G63" s="65">
        <f t="shared" si="5"/>
        <v>1.4682330360088924</v>
      </c>
      <c r="H63" s="65">
        <f t="shared" si="5"/>
        <v>0.63332219292246972</v>
      </c>
      <c r="I63" s="65">
        <f t="shared" si="5"/>
        <v>-0.39756435626568942</v>
      </c>
      <c r="J63" s="65">
        <f t="shared" si="5"/>
        <v>-1.1139365461821482</v>
      </c>
      <c r="K63" s="65">
        <f t="shared" si="5"/>
        <v>2.1081772635495044</v>
      </c>
      <c r="L63" s="65">
        <f t="shared" si="5"/>
        <v>-1.1844240509789938</v>
      </c>
    </row>
    <row r="64" spans="1:25">
      <c r="A64" s="64" t="s">
        <v>2028</v>
      </c>
      <c r="B64" s="65">
        <f>((B57/B45)^(1/12)-1)*100</f>
        <v>2.4352314414822107</v>
      </c>
      <c r="C64" s="65">
        <f t="shared" ref="C64:L64" si="6">((C57/C45)^(1/12)-1)*100</f>
        <v>-1.1599015459210271</v>
      </c>
      <c r="D64" s="65">
        <f t="shared" si="6"/>
        <v>-3.6097760840157034</v>
      </c>
      <c r="E64" s="65">
        <f t="shared" si="6"/>
        <v>-2.1975381435796804</v>
      </c>
      <c r="F64" s="65">
        <f t="shared" si="6"/>
        <v>-5.6267040848526744</v>
      </c>
      <c r="G64" s="65">
        <f t="shared" si="6"/>
        <v>2.3700685264154142</v>
      </c>
      <c r="H64" s="65">
        <f t="shared" si="6"/>
        <v>-1.1465231522325925</v>
      </c>
      <c r="I64" s="65">
        <f t="shared" si="6"/>
        <v>-4.3047688069262291</v>
      </c>
      <c r="J64" s="65">
        <f t="shared" si="6"/>
        <v>-3.5865368364715766</v>
      </c>
      <c r="K64" s="65">
        <f t="shared" si="6"/>
        <v>-2.2198920001294642</v>
      </c>
      <c r="L64" s="65">
        <f t="shared" si="6"/>
        <v>-5.5273404065011906</v>
      </c>
    </row>
    <row r="65" spans="1:3">
      <c r="B65" s="65"/>
      <c r="C65" s="65"/>
    </row>
    <row r="66" spans="1:3">
      <c r="A66" s="64" t="s">
        <v>88</v>
      </c>
    </row>
    <row r="67" spans="1:3">
      <c r="A67" s="64" t="s">
        <v>62</v>
      </c>
    </row>
    <row r="68" spans="1:3">
      <c r="A68" s="64" t="s">
        <v>553</v>
      </c>
    </row>
  </sheetData>
  <mergeCells count="16">
    <mergeCell ref="T2:Y2"/>
    <mergeCell ref="N2:R2"/>
    <mergeCell ref="T3:T4"/>
    <mergeCell ref="V3:Y3"/>
    <mergeCell ref="G3:G4"/>
    <mergeCell ref="I3:L3"/>
    <mergeCell ref="H3:H4"/>
    <mergeCell ref="A1:L1"/>
    <mergeCell ref="B2:F2"/>
    <mergeCell ref="G2:L2"/>
    <mergeCell ref="F3:F4"/>
    <mergeCell ref="E3:E4"/>
    <mergeCell ref="D3:D4"/>
    <mergeCell ref="B3:B4"/>
    <mergeCell ref="A2:A4"/>
    <mergeCell ref="C3:C4"/>
  </mergeCells>
  <pageMargins left="0.70866141732283472" right="0.70866141732283472" top="0.74803149606299213" bottom="0.74803149606299213" header="0.31496062992125984" footer="0.31496062992125984"/>
  <pageSetup scale="59" orientation="portrait" horizontalDpi="0" verticalDpi="0" r:id="rId1"/>
</worksheet>
</file>

<file path=xl/worksheets/sheet54.xml><?xml version="1.0" encoding="utf-8"?>
<worksheet xmlns="http://schemas.openxmlformats.org/spreadsheetml/2006/main" xmlns:r="http://schemas.openxmlformats.org/officeDocument/2006/relationships">
  <sheetPr codeName="Sheet51"/>
  <dimension ref="A1:T70"/>
  <sheetViews>
    <sheetView view="pageBreakPreview" zoomScale="85" zoomScaleNormal="55" zoomScaleSheetLayoutView="85"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6" style="64" customWidth="1"/>
    <col min="2" max="2" width="13.140625" style="64" customWidth="1"/>
    <col min="3" max="3" width="11.140625" style="64" customWidth="1"/>
    <col min="4" max="7" width="15.28515625" style="64" customWidth="1"/>
    <col min="8" max="13" width="13.28515625" style="64" customWidth="1"/>
    <col min="14" max="14" width="9.140625" style="64"/>
    <col min="15" max="16" width="19.140625" style="64" hidden="1" customWidth="1" outlineLevel="1"/>
    <col min="17" max="17" width="21.7109375" style="64" hidden="1" customWidth="1" outlineLevel="1"/>
    <col min="18" max="18" width="20.42578125" style="64" hidden="1" customWidth="1" outlineLevel="1"/>
    <col min="19" max="19" width="20.85546875" style="64" hidden="1" customWidth="1" outlineLevel="1"/>
    <col min="20" max="20" width="9.140625" style="64" collapsed="1"/>
    <col min="21" max="16384" width="9.140625" style="64"/>
  </cols>
  <sheetData>
    <row r="1" spans="1:19">
      <c r="A1" s="93" t="s">
        <v>1978</v>
      </c>
      <c r="B1" s="93"/>
      <c r="C1" s="93"/>
      <c r="D1" s="93"/>
      <c r="E1" s="93"/>
      <c r="F1" s="93"/>
      <c r="G1" s="93"/>
      <c r="H1" s="93"/>
      <c r="I1" s="93"/>
      <c r="J1" s="93"/>
      <c r="K1" s="93"/>
      <c r="L1" s="93"/>
      <c r="M1" s="93"/>
    </row>
    <row r="2" spans="1:19" s="135" customFormat="1">
      <c r="A2" s="203"/>
      <c r="B2" s="112" t="s">
        <v>747</v>
      </c>
      <c r="C2" s="112"/>
      <c r="D2" s="112"/>
      <c r="E2" s="112"/>
      <c r="F2" s="112"/>
      <c r="G2" s="112"/>
      <c r="H2" s="94" t="s">
        <v>748</v>
      </c>
      <c r="I2" s="94"/>
      <c r="J2" s="94"/>
      <c r="K2" s="94"/>
      <c r="L2" s="94"/>
      <c r="M2" s="94"/>
    </row>
    <row r="3" spans="1:19" ht="15" customHeight="1">
      <c r="A3" s="113"/>
      <c r="B3" s="94" t="s">
        <v>87</v>
      </c>
      <c r="C3" s="94" t="s">
        <v>938</v>
      </c>
      <c r="D3" s="94" t="s">
        <v>37</v>
      </c>
      <c r="E3" s="94"/>
      <c r="F3" s="94"/>
      <c r="G3" s="94"/>
      <c r="H3" s="94" t="s">
        <v>87</v>
      </c>
      <c r="I3" s="94" t="s">
        <v>938</v>
      </c>
      <c r="J3" s="94" t="s">
        <v>37</v>
      </c>
      <c r="K3" s="94"/>
      <c r="L3" s="94"/>
      <c r="M3" s="94"/>
    </row>
    <row r="4" spans="1:19" ht="45">
      <c r="A4" s="113"/>
      <c r="B4" s="94"/>
      <c r="C4" s="94"/>
      <c r="D4" s="72" t="s">
        <v>78</v>
      </c>
      <c r="E4" s="72" t="s">
        <v>0</v>
      </c>
      <c r="F4" s="72" t="s">
        <v>548</v>
      </c>
      <c r="G4" s="72" t="s">
        <v>547</v>
      </c>
      <c r="H4" s="94"/>
      <c r="I4" s="94"/>
      <c r="J4" s="72" t="s">
        <v>78</v>
      </c>
      <c r="K4" s="72" t="s">
        <v>0</v>
      </c>
      <c r="L4" s="72" t="s">
        <v>548</v>
      </c>
      <c r="M4" s="72" t="s">
        <v>547</v>
      </c>
      <c r="O4" s="117" t="s">
        <v>87</v>
      </c>
      <c r="P4" s="117" t="s">
        <v>938</v>
      </c>
      <c r="Q4" s="117" t="s">
        <v>0</v>
      </c>
      <c r="R4" s="117" t="s">
        <v>1</v>
      </c>
      <c r="S4" s="117" t="s">
        <v>2</v>
      </c>
    </row>
    <row r="5" spans="1:19" hidden="1" outlineLevel="1">
      <c r="O5" s="64" t="s">
        <v>549</v>
      </c>
      <c r="Q5" s="64" t="s">
        <v>550</v>
      </c>
      <c r="R5" s="64" t="s">
        <v>551</v>
      </c>
      <c r="S5" s="64" t="s">
        <v>552</v>
      </c>
    </row>
    <row r="6" spans="1:19" collapsed="1">
      <c r="A6" s="49">
        <v>1961</v>
      </c>
      <c r="B6" s="56">
        <v>59076.2</v>
      </c>
      <c r="C6" s="56">
        <v>8923.7000000000007</v>
      </c>
      <c r="D6" s="56">
        <f>E6+F6+G6</f>
        <v>2097.1</v>
      </c>
      <c r="E6" s="56">
        <v>372.5</v>
      </c>
      <c r="F6" s="56">
        <v>418.5</v>
      </c>
      <c r="G6" s="56">
        <v>1306.0999999999999</v>
      </c>
      <c r="H6" s="28">
        <f>B6/$B6*100</f>
        <v>100</v>
      </c>
      <c r="I6" s="65">
        <f>C6/$B6*100</f>
        <v>15.105406238045102</v>
      </c>
      <c r="J6" s="65">
        <f t="shared" ref="J6:M6" si="0">D6/$B6*100</f>
        <v>3.5498220941766738</v>
      </c>
      <c r="K6" s="65">
        <f t="shared" si="0"/>
        <v>0.63054157173277914</v>
      </c>
      <c r="L6" s="65">
        <f t="shared" si="0"/>
        <v>0.70840710810783369</v>
      </c>
      <c r="M6" s="65">
        <f t="shared" si="0"/>
        <v>2.2108734143360609</v>
      </c>
      <c r="O6" s="64">
        <v>55152100000</v>
      </c>
      <c r="P6" s="64">
        <v>7956300000</v>
      </c>
      <c r="Q6" s="64">
        <v>359500000</v>
      </c>
      <c r="R6" s="64">
        <v>360200000</v>
      </c>
      <c r="S6" s="64">
        <v>1179500000</v>
      </c>
    </row>
    <row r="7" spans="1:19" hidden="1" outlineLevel="1">
      <c r="A7" s="49">
        <v>1962</v>
      </c>
      <c r="B7" s="56">
        <v>62198.1</v>
      </c>
      <c r="C7" s="56">
        <v>9228.7999999999993</v>
      </c>
      <c r="D7" s="56">
        <f t="shared" ref="D7:D57" si="1">E7+F7+G7</f>
        <v>2137.6</v>
      </c>
      <c r="E7" s="56">
        <v>383.8</v>
      </c>
      <c r="F7" s="56">
        <v>419.2</v>
      </c>
      <c r="G7" s="56">
        <v>1334.6</v>
      </c>
      <c r="H7" s="28">
        <f t="shared" ref="H7:I52" si="2">B7/$B7*100</f>
        <v>100</v>
      </c>
      <c r="I7" s="65">
        <f t="shared" si="2"/>
        <v>14.837752278606581</v>
      </c>
      <c r="J7" s="65">
        <f t="shared" ref="J7:J52" si="3">D7/$B7*100</f>
        <v>3.4367609299962543</v>
      </c>
      <c r="K7" s="65">
        <f t="shared" ref="K7:K52" si="4">E7/$B7*100</f>
        <v>0.61706064976261332</v>
      </c>
      <c r="L7" s="65">
        <f t="shared" ref="L7:L52" si="5">F7/$B7*100</f>
        <v>0.67397557160106181</v>
      </c>
      <c r="M7" s="65">
        <f t="shared" ref="M7:M52" si="6">G7/$B7*100</f>
        <v>2.1457247086325784</v>
      </c>
      <c r="O7" s="64">
        <v>57681200000</v>
      </c>
      <c r="P7" s="64">
        <v>8121600000</v>
      </c>
      <c r="Q7" s="64">
        <v>370400000</v>
      </c>
      <c r="R7" s="64">
        <v>359900000</v>
      </c>
      <c r="S7" s="64">
        <v>1193300000</v>
      </c>
    </row>
    <row r="8" spans="1:19" hidden="1" outlineLevel="1">
      <c r="A8" s="49">
        <v>1963</v>
      </c>
      <c r="B8" s="56">
        <v>66726</v>
      </c>
      <c r="C8" s="56">
        <v>9806</v>
      </c>
      <c r="D8" s="56">
        <f t="shared" si="1"/>
        <v>2278.5</v>
      </c>
      <c r="E8" s="56">
        <v>408.3</v>
      </c>
      <c r="F8" s="56">
        <v>436.7</v>
      </c>
      <c r="G8" s="56">
        <v>1433.5</v>
      </c>
      <c r="H8" s="28">
        <f t="shared" si="2"/>
        <v>100</v>
      </c>
      <c r="I8" s="65">
        <f t="shared" si="2"/>
        <v>14.695920630638732</v>
      </c>
      <c r="J8" s="65">
        <f t="shared" si="3"/>
        <v>3.4147109072925099</v>
      </c>
      <c r="K8" s="65">
        <f t="shared" si="4"/>
        <v>0.61190540419027062</v>
      </c>
      <c r="L8" s="65">
        <f t="shared" si="5"/>
        <v>0.65446752390372565</v>
      </c>
      <c r="M8" s="65">
        <f t="shared" si="6"/>
        <v>2.1483379791985135</v>
      </c>
      <c r="O8" s="64">
        <v>61571500000</v>
      </c>
      <c r="P8" s="64">
        <v>8582400000</v>
      </c>
      <c r="Q8" s="64">
        <v>393700000</v>
      </c>
      <c r="R8" s="64">
        <v>376400000</v>
      </c>
      <c r="S8" s="64">
        <v>1280100000</v>
      </c>
    </row>
    <row r="9" spans="1:19" hidden="1" outlineLevel="1">
      <c r="A9" s="49">
        <v>1964</v>
      </c>
      <c r="B9" s="56">
        <v>71988.7</v>
      </c>
      <c r="C9" s="56">
        <v>10659.3</v>
      </c>
      <c r="D9" s="56">
        <f t="shared" si="1"/>
        <v>2550.1999999999998</v>
      </c>
      <c r="E9" s="56">
        <v>461.6</v>
      </c>
      <c r="F9" s="56">
        <v>467.2</v>
      </c>
      <c r="G9" s="56">
        <v>1621.4</v>
      </c>
      <c r="H9" s="28">
        <f t="shared" si="2"/>
        <v>100</v>
      </c>
      <c r="I9" s="65">
        <f t="shared" si="2"/>
        <v>14.806907195157018</v>
      </c>
      <c r="J9" s="65">
        <f t="shared" si="3"/>
        <v>3.5425004202048376</v>
      </c>
      <c r="K9" s="65">
        <f t="shared" si="4"/>
        <v>0.64121174573231643</v>
      </c>
      <c r="L9" s="65">
        <f t="shared" si="5"/>
        <v>0.64899074438071525</v>
      </c>
      <c r="M9" s="65">
        <f t="shared" si="6"/>
        <v>2.2522979300918062</v>
      </c>
      <c r="O9" s="64">
        <v>66227800000</v>
      </c>
      <c r="P9" s="64">
        <v>9289800000</v>
      </c>
      <c r="Q9" s="64">
        <v>446100000</v>
      </c>
      <c r="R9" s="64">
        <v>404800000</v>
      </c>
      <c r="S9" s="64">
        <v>1453800000</v>
      </c>
    </row>
    <row r="10" spans="1:19" hidden="1" outlineLevel="1">
      <c r="A10" s="49">
        <v>1965</v>
      </c>
      <c r="B10" s="56">
        <v>80331.600000000006</v>
      </c>
      <c r="C10" s="56">
        <v>12117.2</v>
      </c>
      <c r="D10" s="56">
        <f t="shared" si="1"/>
        <v>2949.7000000000003</v>
      </c>
      <c r="E10" s="56">
        <v>527.20000000000005</v>
      </c>
      <c r="F10" s="56">
        <v>518.1</v>
      </c>
      <c r="G10" s="56">
        <v>1904.4</v>
      </c>
      <c r="H10" s="28">
        <f t="shared" si="2"/>
        <v>100</v>
      </c>
      <c r="I10" s="65">
        <f t="shared" si="2"/>
        <v>15.083976915684488</v>
      </c>
      <c r="J10" s="65">
        <f t="shared" si="3"/>
        <v>3.6719049539658122</v>
      </c>
      <c r="K10" s="65">
        <f t="shared" si="4"/>
        <v>0.65627972055828598</v>
      </c>
      <c r="L10" s="65">
        <f t="shared" si="5"/>
        <v>0.64495167530585717</v>
      </c>
      <c r="M10" s="65">
        <f t="shared" si="6"/>
        <v>2.3706735581016685</v>
      </c>
      <c r="O10" s="64">
        <v>73759200000</v>
      </c>
      <c r="P10" s="64">
        <v>10565000000</v>
      </c>
      <c r="Q10" s="64">
        <v>510000000</v>
      </c>
      <c r="R10" s="64">
        <v>452700000</v>
      </c>
      <c r="S10" s="64">
        <v>1718700000</v>
      </c>
    </row>
    <row r="11" spans="1:19" hidden="1" outlineLevel="1">
      <c r="A11" s="49">
        <v>1966</v>
      </c>
      <c r="B11" s="56">
        <v>90430.6</v>
      </c>
      <c r="C11" s="56">
        <v>13910</v>
      </c>
      <c r="D11" s="56">
        <f t="shared" si="1"/>
        <v>3400</v>
      </c>
      <c r="E11" s="56">
        <v>567.9</v>
      </c>
      <c r="F11" s="56">
        <v>557.70000000000005</v>
      </c>
      <c r="G11" s="56">
        <v>2274.4</v>
      </c>
      <c r="H11" s="28">
        <f t="shared" si="2"/>
        <v>100</v>
      </c>
      <c r="I11" s="65">
        <f t="shared" si="2"/>
        <v>15.381961415715475</v>
      </c>
      <c r="J11" s="65">
        <f t="shared" si="3"/>
        <v>3.7597892748693469</v>
      </c>
      <c r="K11" s="65">
        <f t="shared" si="4"/>
        <v>0.62799539094067713</v>
      </c>
      <c r="L11" s="65">
        <f t="shared" si="5"/>
        <v>0.6167160231160691</v>
      </c>
      <c r="M11" s="65">
        <f t="shared" si="6"/>
        <v>2.515077860812601</v>
      </c>
      <c r="O11" s="64">
        <v>82887900000</v>
      </c>
      <c r="P11" s="64">
        <v>12136500000</v>
      </c>
      <c r="Q11" s="64">
        <v>549600000</v>
      </c>
      <c r="R11" s="64">
        <v>487800000</v>
      </c>
      <c r="S11" s="64">
        <v>2063900000</v>
      </c>
    </row>
    <row r="12" spans="1:19" hidden="1" outlineLevel="1">
      <c r="A12" s="49">
        <v>1967</v>
      </c>
      <c r="B12" s="56">
        <v>98232.2</v>
      </c>
      <c r="C12" s="56">
        <v>14962.9</v>
      </c>
      <c r="D12" s="56">
        <f t="shared" si="1"/>
        <v>3619</v>
      </c>
      <c r="E12" s="56">
        <v>571</v>
      </c>
      <c r="F12" s="56">
        <v>572.5</v>
      </c>
      <c r="G12" s="56">
        <v>2475.5</v>
      </c>
      <c r="H12" s="28">
        <f t="shared" si="2"/>
        <v>100</v>
      </c>
      <c r="I12" s="65">
        <f t="shared" si="2"/>
        <v>15.232174378666057</v>
      </c>
      <c r="J12" s="65">
        <f t="shared" si="3"/>
        <v>3.6841280150500548</v>
      </c>
      <c r="K12" s="65">
        <f t="shared" si="4"/>
        <v>0.58127579347708791</v>
      </c>
      <c r="L12" s="65">
        <f t="shared" si="5"/>
        <v>0.582802787680618</v>
      </c>
      <c r="M12" s="65">
        <f t="shared" si="6"/>
        <v>2.5200494338923489</v>
      </c>
      <c r="O12" s="64">
        <v>89769900000</v>
      </c>
      <c r="P12" s="64">
        <v>12976400000</v>
      </c>
      <c r="Q12" s="64">
        <v>551400000</v>
      </c>
      <c r="R12" s="64">
        <v>498200000</v>
      </c>
      <c r="S12" s="64">
        <v>2242500000</v>
      </c>
    </row>
    <row r="13" spans="1:19" hidden="1" outlineLevel="1">
      <c r="A13" s="49">
        <v>1968</v>
      </c>
      <c r="B13" s="56">
        <v>103529.7</v>
      </c>
      <c r="C13" s="56">
        <v>15424.4</v>
      </c>
      <c r="D13" s="56">
        <f t="shared" si="1"/>
        <v>3644.9</v>
      </c>
      <c r="E13" s="56">
        <v>584.4</v>
      </c>
      <c r="F13" s="56">
        <v>586.20000000000005</v>
      </c>
      <c r="G13" s="56">
        <v>2474.3000000000002</v>
      </c>
      <c r="H13" s="28">
        <f t="shared" si="2"/>
        <v>100</v>
      </c>
      <c r="I13" s="65">
        <f t="shared" si="2"/>
        <v>14.898526702965428</v>
      </c>
      <c r="J13" s="65">
        <f t="shared" si="3"/>
        <v>3.5206322436943216</v>
      </c>
      <c r="K13" s="65">
        <f t="shared" si="4"/>
        <v>0.56447570117560464</v>
      </c>
      <c r="L13" s="65">
        <f t="shared" si="5"/>
        <v>0.56621433269873289</v>
      </c>
      <c r="M13" s="65">
        <f t="shared" si="6"/>
        <v>2.3899422098199845</v>
      </c>
      <c r="O13" s="64">
        <v>94327400000</v>
      </c>
      <c r="P13" s="64">
        <v>13283900000</v>
      </c>
      <c r="Q13" s="64">
        <v>564100000</v>
      </c>
      <c r="R13" s="64">
        <v>510300000</v>
      </c>
      <c r="S13" s="64">
        <v>2226200000</v>
      </c>
    </row>
    <row r="14" spans="1:19" hidden="1" outlineLevel="1">
      <c r="A14" s="49">
        <v>1969</v>
      </c>
      <c r="B14" s="56">
        <v>112947.8</v>
      </c>
      <c r="C14" s="56">
        <v>16716.400000000001</v>
      </c>
      <c r="D14" s="56">
        <f t="shared" si="1"/>
        <v>3979.6</v>
      </c>
      <c r="E14" s="56">
        <v>644.1</v>
      </c>
      <c r="F14" s="56">
        <v>700</v>
      </c>
      <c r="G14" s="56">
        <v>2635.5</v>
      </c>
      <c r="H14" s="28">
        <f t="shared" si="2"/>
        <v>100</v>
      </c>
      <c r="I14" s="65">
        <f t="shared" si="2"/>
        <v>14.800111201811811</v>
      </c>
      <c r="J14" s="65">
        <f t="shared" si="3"/>
        <v>3.5233975340821155</v>
      </c>
      <c r="K14" s="65">
        <f t="shared" si="4"/>
        <v>0.57026343142584457</v>
      </c>
      <c r="L14" s="65">
        <f t="shared" si="5"/>
        <v>0.6197553205994274</v>
      </c>
      <c r="M14" s="65">
        <f t="shared" si="6"/>
        <v>2.3333787820568439</v>
      </c>
      <c r="O14" s="64">
        <v>102709200000</v>
      </c>
      <c r="P14" s="64">
        <v>14346900000</v>
      </c>
      <c r="Q14" s="64">
        <v>622000000</v>
      </c>
      <c r="R14" s="64">
        <v>619700000</v>
      </c>
      <c r="S14" s="64">
        <v>2364400000</v>
      </c>
    </row>
    <row r="15" spans="1:19" hidden="1" outlineLevel="1">
      <c r="A15" s="49">
        <v>1970</v>
      </c>
      <c r="B15" s="56">
        <v>123412.1</v>
      </c>
      <c r="C15" s="56">
        <v>18704.5</v>
      </c>
      <c r="D15" s="56">
        <f t="shared" si="1"/>
        <v>4454</v>
      </c>
      <c r="E15" s="56">
        <v>658.7</v>
      </c>
      <c r="F15" s="56">
        <v>834.5</v>
      </c>
      <c r="G15" s="56">
        <v>2960.8</v>
      </c>
      <c r="H15" s="28">
        <f t="shared" si="2"/>
        <v>100</v>
      </c>
      <c r="I15" s="65">
        <f t="shared" si="2"/>
        <v>15.1561313679939</v>
      </c>
      <c r="J15" s="65">
        <f t="shared" si="3"/>
        <v>3.6090464387203522</v>
      </c>
      <c r="K15" s="65">
        <f t="shared" si="4"/>
        <v>0.53374020861811766</v>
      </c>
      <c r="L15" s="65">
        <f t="shared" si="5"/>
        <v>0.67618977393626722</v>
      </c>
      <c r="M15" s="65">
        <f t="shared" si="6"/>
        <v>2.3991164561659675</v>
      </c>
      <c r="O15" s="64">
        <v>112086200000</v>
      </c>
      <c r="P15" s="64">
        <v>16081500000</v>
      </c>
      <c r="Q15" s="64">
        <v>634500000</v>
      </c>
      <c r="R15" s="64">
        <v>746600000</v>
      </c>
      <c r="S15" s="64">
        <v>2662400000</v>
      </c>
    </row>
    <row r="16" spans="1:19" hidden="1" outlineLevel="1">
      <c r="A16" s="49">
        <v>1971</v>
      </c>
      <c r="B16" s="56">
        <v>134949.79999999999</v>
      </c>
      <c r="C16" s="56">
        <v>20083.400000000001</v>
      </c>
      <c r="D16" s="56">
        <f t="shared" si="1"/>
        <v>4853.6000000000004</v>
      </c>
      <c r="E16" s="56">
        <v>696.4</v>
      </c>
      <c r="F16" s="56">
        <v>930.5</v>
      </c>
      <c r="G16" s="56">
        <v>3226.7</v>
      </c>
      <c r="H16" s="28">
        <f t="shared" si="2"/>
        <v>100</v>
      </c>
      <c r="I16" s="65">
        <f t="shared" si="2"/>
        <v>14.882126538905579</v>
      </c>
      <c r="J16" s="65">
        <f t="shared" si="3"/>
        <v>3.5965966603877892</v>
      </c>
      <c r="K16" s="65">
        <f t="shared" si="4"/>
        <v>0.51604374367357342</v>
      </c>
      <c r="L16" s="65">
        <f t="shared" si="5"/>
        <v>0.68951565693317085</v>
      </c>
      <c r="M16" s="65">
        <f t="shared" si="6"/>
        <v>2.3910372597810445</v>
      </c>
      <c r="O16" s="64">
        <v>122437800000</v>
      </c>
      <c r="P16" s="64">
        <v>17229100000</v>
      </c>
      <c r="Q16" s="64">
        <v>671100000</v>
      </c>
      <c r="R16" s="64">
        <v>834700000</v>
      </c>
      <c r="S16" s="64">
        <v>2906100000</v>
      </c>
    </row>
    <row r="17" spans="1:19" hidden="1" outlineLevel="1">
      <c r="A17" s="49">
        <v>1972</v>
      </c>
      <c r="B17" s="56">
        <v>147490.6</v>
      </c>
      <c r="C17" s="56">
        <v>21119</v>
      </c>
      <c r="D17" s="56">
        <f t="shared" si="1"/>
        <v>5108.2</v>
      </c>
      <c r="E17" s="56">
        <v>737.5</v>
      </c>
      <c r="F17" s="56">
        <v>1023.7</v>
      </c>
      <c r="G17" s="56">
        <v>3347</v>
      </c>
      <c r="H17" s="28">
        <f t="shared" si="2"/>
        <v>100</v>
      </c>
      <c r="I17" s="65">
        <f t="shared" si="2"/>
        <v>14.318878626841302</v>
      </c>
      <c r="J17" s="65">
        <f t="shared" si="3"/>
        <v>3.4634071595071139</v>
      </c>
      <c r="K17" s="65">
        <f t="shared" si="4"/>
        <v>0.5000318664375899</v>
      </c>
      <c r="L17" s="65">
        <f t="shared" si="5"/>
        <v>0.694078131080896</v>
      </c>
      <c r="M17" s="65">
        <f t="shared" si="6"/>
        <v>2.2692971619886282</v>
      </c>
      <c r="O17" s="64">
        <v>133619700000</v>
      </c>
      <c r="P17" s="64">
        <v>18053400000</v>
      </c>
      <c r="Q17" s="64">
        <v>708800000</v>
      </c>
      <c r="R17" s="64">
        <v>924000000</v>
      </c>
      <c r="S17" s="64">
        <v>3009800000</v>
      </c>
    </row>
    <row r="18" spans="1:19" collapsed="1">
      <c r="A18" s="49">
        <v>1973</v>
      </c>
      <c r="B18" s="56">
        <v>168862.6</v>
      </c>
      <c r="C18" s="56">
        <v>24117.599999999999</v>
      </c>
      <c r="D18" s="56">
        <f t="shared" si="1"/>
        <v>5802.7999999999993</v>
      </c>
      <c r="E18" s="56">
        <v>858.5</v>
      </c>
      <c r="F18" s="56">
        <v>1289.7</v>
      </c>
      <c r="G18" s="56">
        <v>3654.6</v>
      </c>
      <c r="H18" s="28">
        <f t="shared" si="2"/>
        <v>100</v>
      </c>
      <c r="I18" s="65">
        <f t="shared" si="2"/>
        <v>14.282381060104484</v>
      </c>
      <c r="J18" s="65">
        <f t="shared" si="3"/>
        <v>3.4364033243595675</v>
      </c>
      <c r="K18" s="65">
        <f t="shared" si="4"/>
        <v>0.50840150512902205</v>
      </c>
      <c r="L18" s="65">
        <f t="shared" si="5"/>
        <v>0.76375704270809519</v>
      </c>
      <c r="M18" s="65">
        <f t="shared" si="6"/>
        <v>2.1642447765224508</v>
      </c>
      <c r="O18" s="64">
        <v>152668500000</v>
      </c>
      <c r="P18" s="64">
        <v>20542100000</v>
      </c>
      <c r="Q18" s="64">
        <v>826100000</v>
      </c>
      <c r="R18" s="64">
        <v>1168500000</v>
      </c>
      <c r="S18" s="64">
        <v>3256100000</v>
      </c>
    </row>
    <row r="19" spans="1:19" hidden="1" outlineLevel="1">
      <c r="A19" s="49">
        <v>1974</v>
      </c>
      <c r="B19" s="56">
        <v>209627</v>
      </c>
      <c r="C19" s="56">
        <v>29902.7</v>
      </c>
      <c r="D19" s="56">
        <f t="shared" si="1"/>
        <v>7270.3</v>
      </c>
      <c r="E19" s="56">
        <v>1244.9000000000001</v>
      </c>
      <c r="F19" s="56">
        <v>1655.1</v>
      </c>
      <c r="G19" s="56">
        <v>4370.3</v>
      </c>
      <c r="H19" s="28">
        <f t="shared" si="2"/>
        <v>100</v>
      </c>
      <c r="I19" s="65">
        <f t="shared" si="2"/>
        <v>14.264717808297595</v>
      </c>
      <c r="J19" s="65">
        <f t="shared" si="3"/>
        <v>3.4682078167411636</v>
      </c>
      <c r="K19" s="65">
        <f t="shared" si="4"/>
        <v>0.59386433999437094</v>
      </c>
      <c r="L19" s="65">
        <f t="shared" si="5"/>
        <v>0.78954523987845082</v>
      </c>
      <c r="M19" s="65">
        <f t="shared" si="6"/>
        <v>2.0847982368683424</v>
      </c>
      <c r="O19" s="64">
        <v>189760200000</v>
      </c>
      <c r="P19" s="64">
        <v>25524700000</v>
      </c>
      <c r="Q19" s="64">
        <v>1205200000</v>
      </c>
      <c r="R19" s="64">
        <v>1501100000</v>
      </c>
      <c r="S19" s="64">
        <v>3877800000</v>
      </c>
    </row>
    <row r="20" spans="1:19" hidden="1" outlineLevel="1">
      <c r="A20" s="49">
        <v>1975</v>
      </c>
      <c r="B20" s="56">
        <v>245787.4</v>
      </c>
      <c r="C20" s="56">
        <v>34674.300000000003</v>
      </c>
      <c r="D20" s="56">
        <f t="shared" si="1"/>
        <v>8205.5999999999985</v>
      </c>
      <c r="E20" s="56">
        <v>1401.9</v>
      </c>
      <c r="F20" s="56">
        <v>1902.3</v>
      </c>
      <c r="G20" s="56">
        <v>4901.3999999999996</v>
      </c>
      <c r="H20" s="28">
        <f t="shared" si="2"/>
        <v>100</v>
      </c>
      <c r="I20" s="65">
        <f t="shared" si="2"/>
        <v>14.107435938538753</v>
      </c>
      <c r="J20" s="65">
        <f t="shared" si="3"/>
        <v>3.3384949757391951</v>
      </c>
      <c r="K20" s="65">
        <f t="shared" si="4"/>
        <v>0.57037097914701906</v>
      </c>
      <c r="L20" s="65">
        <f t="shared" si="5"/>
        <v>0.77396156190268495</v>
      </c>
      <c r="M20" s="65">
        <f t="shared" si="6"/>
        <v>1.9941624346894917</v>
      </c>
      <c r="O20" s="64">
        <v>223184300000</v>
      </c>
      <c r="P20" s="64">
        <v>29871700000</v>
      </c>
      <c r="Q20" s="64">
        <v>1355100000</v>
      </c>
      <c r="R20" s="64">
        <v>1733400000</v>
      </c>
      <c r="S20" s="64">
        <v>4360300000</v>
      </c>
    </row>
    <row r="21" spans="1:19" hidden="1" outlineLevel="1">
      <c r="A21" s="49">
        <v>1976</v>
      </c>
      <c r="B21" s="56">
        <v>270315.09999999998</v>
      </c>
      <c r="C21" s="56">
        <v>37390.1</v>
      </c>
      <c r="D21" s="56">
        <f t="shared" si="1"/>
        <v>8774.6</v>
      </c>
      <c r="E21" s="56">
        <v>1518.6</v>
      </c>
      <c r="F21" s="56">
        <v>2024</v>
      </c>
      <c r="G21" s="56">
        <v>5232</v>
      </c>
      <c r="H21" s="28">
        <f t="shared" si="2"/>
        <v>100</v>
      </c>
      <c r="I21" s="65">
        <f t="shared" si="2"/>
        <v>13.832042679080821</v>
      </c>
      <c r="J21" s="65">
        <f t="shared" si="3"/>
        <v>3.2460635754347433</v>
      </c>
      <c r="K21" s="65">
        <f t="shared" si="4"/>
        <v>0.56178881608907538</v>
      </c>
      <c r="L21" s="65">
        <f t="shared" si="5"/>
        <v>0.74875580387481133</v>
      </c>
      <c r="M21" s="65">
        <f t="shared" si="6"/>
        <v>1.9355189554708563</v>
      </c>
      <c r="O21" s="64">
        <v>245566200000</v>
      </c>
      <c r="P21" s="64">
        <v>32194300000</v>
      </c>
      <c r="Q21" s="64">
        <v>1467400000</v>
      </c>
      <c r="R21" s="64">
        <v>1841800000</v>
      </c>
      <c r="S21" s="64">
        <v>4655100000</v>
      </c>
    </row>
    <row r="22" spans="1:19" hidden="1" outlineLevel="1">
      <c r="A22" s="49">
        <v>1977</v>
      </c>
      <c r="B22" s="56">
        <v>297231.2</v>
      </c>
      <c r="C22" s="56">
        <v>40802.1</v>
      </c>
      <c r="D22" s="56">
        <f t="shared" si="1"/>
        <v>9452.5</v>
      </c>
      <c r="E22" s="56">
        <v>1600.8</v>
      </c>
      <c r="F22" s="56">
        <v>2163.5</v>
      </c>
      <c r="G22" s="56">
        <v>5688.2</v>
      </c>
      <c r="H22" s="28">
        <f t="shared" si="2"/>
        <v>100</v>
      </c>
      <c r="I22" s="65">
        <f t="shared" si="2"/>
        <v>13.72739470149836</v>
      </c>
      <c r="J22" s="65">
        <f t="shared" si="3"/>
        <v>3.1801843144326707</v>
      </c>
      <c r="K22" s="65">
        <f t="shared" si="4"/>
        <v>0.53857064803425747</v>
      </c>
      <c r="L22" s="65">
        <f t="shared" si="5"/>
        <v>0.72788455586089207</v>
      </c>
      <c r="M22" s="65">
        <f t="shared" si="6"/>
        <v>1.9137291105375209</v>
      </c>
      <c r="O22" s="64">
        <v>270268300000</v>
      </c>
      <c r="P22" s="64">
        <v>35265500000</v>
      </c>
      <c r="Q22" s="64">
        <v>1546800000</v>
      </c>
      <c r="R22" s="64">
        <v>1970000000</v>
      </c>
      <c r="S22" s="64">
        <v>5078600000</v>
      </c>
    </row>
    <row r="23" spans="1:19" hidden="1" outlineLevel="1">
      <c r="A23" s="49">
        <v>1978</v>
      </c>
      <c r="B23" s="56">
        <v>330361.40000000002</v>
      </c>
      <c r="C23" s="56">
        <v>44842.7</v>
      </c>
      <c r="D23" s="56">
        <f t="shared" si="1"/>
        <v>10244.700000000001</v>
      </c>
      <c r="E23" s="56">
        <v>1695.5</v>
      </c>
      <c r="F23" s="56">
        <v>2403.3000000000002</v>
      </c>
      <c r="G23" s="56">
        <v>6145.9</v>
      </c>
      <c r="H23" s="28">
        <f t="shared" si="2"/>
        <v>100</v>
      </c>
      <c r="I23" s="65">
        <f t="shared" si="2"/>
        <v>13.573831567489419</v>
      </c>
      <c r="J23" s="65">
        <f t="shared" si="3"/>
        <v>3.1010584166309987</v>
      </c>
      <c r="K23" s="65">
        <f t="shared" si="4"/>
        <v>0.51322581875485451</v>
      </c>
      <c r="L23" s="65">
        <f t="shared" si="5"/>
        <v>0.72747603079536527</v>
      </c>
      <c r="M23" s="65">
        <f t="shared" si="6"/>
        <v>1.8603565670807787</v>
      </c>
      <c r="O23" s="64">
        <v>300682700000</v>
      </c>
      <c r="P23" s="64">
        <v>38806300000</v>
      </c>
      <c r="Q23" s="64">
        <v>1637200000</v>
      </c>
      <c r="R23" s="64">
        <v>2193900000</v>
      </c>
      <c r="S23" s="64">
        <v>5492400000</v>
      </c>
    </row>
    <row r="24" spans="1:19" hidden="1" outlineLevel="1">
      <c r="A24" s="49">
        <v>1979</v>
      </c>
      <c r="B24" s="56">
        <v>375029.6</v>
      </c>
      <c r="C24" s="56">
        <v>50407.8</v>
      </c>
      <c r="D24" s="56">
        <f t="shared" si="1"/>
        <v>11399.4</v>
      </c>
      <c r="E24" s="56">
        <v>1866.6</v>
      </c>
      <c r="F24" s="56">
        <v>2745.9</v>
      </c>
      <c r="G24" s="56">
        <v>6786.9</v>
      </c>
      <c r="H24" s="28">
        <f t="shared" si="2"/>
        <v>100</v>
      </c>
      <c r="I24" s="65">
        <f t="shared" si="2"/>
        <v>13.441019055562551</v>
      </c>
      <c r="J24" s="65">
        <f t="shared" si="3"/>
        <v>3.0396000742341407</v>
      </c>
      <c r="K24" s="65">
        <f t="shared" si="4"/>
        <v>0.49772071324503447</v>
      </c>
      <c r="L24" s="65">
        <f t="shared" si="5"/>
        <v>0.73218220641784015</v>
      </c>
      <c r="M24" s="65">
        <f t="shared" si="6"/>
        <v>1.8096971545712659</v>
      </c>
      <c r="O24" s="64">
        <v>341463700000</v>
      </c>
      <c r="P24" s="64">
        <v>43600300000</v>
      </c>
      <c r="Q24" s="64">
        <v>1802800000</v>
      </c>
      <c r="R24" s="64">
        <v>2510200000</v>
      </c>
      <c r="S24" s="64">
        <v>6056200000</v>
      </c>
    </row>
    <row r="25" spans="1:19" hidden="1" outlineLevel="1">
      <c r="A25" s="49">
        <v>1980</v>
      </c>
      <c r="B25" s="56">
        <v>431486.9</v>
      </c>
      <c r="C25" s="56">
        <v>58807.4</v>
      </c>
      <c r="D25" s="56">
        <f t="shared" si="1"/>
        <v>13373</v>
      </c>
      <c r="E25" s="56">
        <v>2159.5</v>
      </c>
      <c r="F25" s="56">
        <v>3202.3</v>
      </c>
      <c r="G25" s="56">
        <v>8011.2</v>
      </c>
      <c r="H25" s="28">
        <f t="shared" si="2"/>
        <v>100</v>
      </c>
      <c r="I25" s="65">
        <f t="shared" si="2"/>
        <v>13.629011680308253</v>
      </c>
      <c r="J25" s="65">
        <f t="shared" si="3"/>
        <v>3.0992829678027305</v>
      </c>
      <c r="K25" s="65">
        <f t="shared" si="4"/>
        <v>0.50047869355941044</v>
      </c>
      <c r="L25" s="65">
        <f t="shared" si="5"/>
        <v>0.74215462856462155</v>
      </c>
      <c r="M25" s="65">
        <f t="shared" si="6"/>
        <v>1.8566496456786985</v>
      </c>
      <c r="O25" s="64">
        <v>392636200000</v>
      </c>
      <c r="P25" s="64">
        <v>50815400000</v>
      </c>
      <c r="Q25" s="64">
        <v>2086900000</v>
      </c>
      <c r="R25" s="64">
        <v>2920900000</v>
      </c>
      <c r="S25" s="64">
        <v>7158600000</v>
      </c>
    </row>
    <row r="26" spans="1:19" collapsed="1">
      <c r="A26" s="49">
        <v>1981</v>
      </c>
      <c r="B26" s="56">
        <v>502905.5</v>
      </c>
      <c r="C26" s="56">
        <v>68325.2</v>
      </c>
      <c r="D26" s="56">
        <f t="shared" si="1"/>
        <v>15759.8</v>
      </c>
      <c r="E26" s="56">
        <v>2460</v>
      </c>
      <c r="F26" s="56">
        <v>3567.2</v>
      </c>
      <c r="G26" s="56">
        <v>9732.6</v>
      </c>
      <c r="H26" s="28">
        <f t="shared" si="2"/>
        <v>100</v>
      </c>
      <c r="I26" s="65">
        <f t="shared" si="2"/>
        <v>13.586091223897927</v>
      </c>
      <c r="J26" s="65">
        <f t="shared" si="3"/>
        <v>3.1337497800282552</v>
      </c>
      <c r="K26" s="65">
        <f t="shared" si="4"/>
        <v>0.48915750573417871</v>
      </c>
      <c r="L26" s="65">
        <f t="shared" si="5"/>
        <v>0.7093181522174643</v>
      </c>
      <c r="M26" s="65">
        <f t="shared" si="6"/>
        <v>1.9352741220766128</v>
      </c>
      <c r="O26" s="64">
        <v>459822900000</v>
      </c>
      <c r="P26" s="64">
        <v>59902900000</v>
      </c>
      <c r="Q26" s="64">
        <v>2386000000</v>
      </c>
      <c r="R26" s="64">
        <v>3281100000</v>
      </c>
      <c r="S26" s="64">
        <v>8929700000</v>
      </c>
    </row>
    <row r="27" spans="1:19">
      <c r="A27" s="49">
        <v>1982</v>
      </c>
      <c r="B27" s="56">
        <v>558043.80000000005</v>
      </c>
      <c r="C27" s="56">
        <v>75331.899999999994</v>
      </c>
      <c r="D27" s="56">
        <f t="shared" si="1"/>
        <v>17078.8</v>
      </c>
      <c r="E27" s="56">
        <v>2490</v>
      </c>
      <c r="F27" s="56">
        <v>3712.5</v>
      </c>
      <c r="G27" s="56">
        <v>10876.3</v>
      </c>
      <c r="H27" s="28">
        <f t="shared" si="2"/>
        <v>100</v>
      </c>
      <c r="I27" s="65">
        <f t="shared" si="2"/>
        <v>13.499280880819747</v>
      </c>
      <c r="J27" s="65">
        <f t="shared" si="3"/>
        <v>3.0604766149180405</v>
      </c>
      <c r="K27" s="65">
        <f t="shared" si="4"/>
        <v>0.44620153471824248</v>
      </c>
      <c r="L27" s="65">
        <f t="shared" si="5"/>
        <v>0.66527036049858446</v>
      </c>
      <c r="M27" s="65">
        <f t="shared" si="6"/>
        <v>1.9490047197012133</v>
      </c>
      <c r="O27" s="64">
        <v>510109700000</v>
      </c>
      <c r="P27" s="64">
        <v>66197300000</v>
      </c>
      <c r="Q27" s="64">
        <v>2407700000</v>
      </c>
      <c r="R27" s="64">
        <v>3408000000</v>
      </c>
      <c r="S27" s="64">
        <v>10066600000</v>
      </c>
    </row>
    <row r="28" spans="1:19">
      <c r="A28" s="49">
        <v>1983</v>
      </c>
      <c r="B28" s="56">
        <v>581851.4</v>
      </c>
      <c r="C28" s="56">
        <v>75477.2</v>
      </c>
      <c r="D28" s="56">
        <f t="shared" si="1"/>
        <v>16700.2</v>
      </c>
      <c r="E28" s="56">
        <v>2487.4</v>
      </c>
      <c r="F28" s="56">
        <v>3605.7</v>
      </c>
      <c r="G28" s="56">
        <v>10607.1</v>
      </c>
      <c r="H28" s="28">
        <f t="shared" si="2"/>
        <v>100</v>
      </c>
      <c r="I28" s="65">
        <f t="shared" si="2"/>
        <v>12.971903135405363</v>
      </c>
      <c r="J28" s="65">
        <f t="shared" si="3"/>
        <v>2.8701830054890305</v>
      </c>
      <c r="K28" s="65">
        <f t="shared" si="4"/>
        <v>0.42749746756646112</v>
      </c>
      <c r="L28" s="65">
        <f t="shared" si="5"/>
        <v>0.61969430682816939</v>
      </c>
      <c r="M28" s="65">
        <f t="shared" si="6"/>
        <v>1.8229912310943996</v>
      </c>
      <c r="O28" s="64">
        <v>530918400000</v>
      </c>
      <c r="P28" s="64">
        <v>66110800000</v>
      </c>
      <c r="Q28" s="64">
        <v>2404200000</v>
      </c>
      <c r="R28" s="64">
        <v>3302800000</v>
      </c>
      <c r="S28" s="64">
        <v>9784900000</v>
      </c>
    </row>
    <row r="29" spans="1:19">
      <c r="A29" s="49">
        <v>1984</v>
      </c>
      <c r="B29" s="56">
        <v>606586.5</v>
      </c>
      <c r="C29" s="56">
        <v>76434.3</v>
      </c>
      <c r="D29" s="56">
        <f t="shared" si="1"/>
        <v>16653.2</v>
      </c>
      <c r="E29" s="56">
        <v>2426.1999999999998</v>
      </c>
      <c r="F29" s="56">
        <v>3571.9</v>
      </c>
      <c r="G29" s="56">
        <v>10655.1</v>
      </c>
      <c r="H29" s="28">
        <f t="shared" si="2"/>
        <v>100</v>
      </c>
      <c r="I29" s="65">
        <f t="shared" si="2"/>
        <v>12.600725535434766</v>
      </c>
      <c r="J29" s="65">
        <f t="shared" si="3"/>
        <v>2.7453957514715546</v>
      </c>
      <c r="K29" s="65">
        <f t="shared" si="4"/>
        <v>0.39997593088537248</v>
      </c>
      <c r="L29" s="65">
        <f t="shared" si="5"/>
        <v>0.58885253793152337</v>
      </c>
      <c r="M29" s="65">
        <f t="shared" si="6"/>
        <v>1.7565672826546586</v>
      </c>
      <c r="O29" s="64">
        <v>553312500000</v>
      </c>
      <c r="P29" s="64">
        <v>66880200000</v>
      </c>
      <c r="Q29" s="64">
        <v>2344300000</v>
      </c>
      <c r="R29" s="64">
        <v>3283000000</v>
      </c>
      <c r="S29" s="64">
        <v>9841900000</v>
      </c>
    </row>
    <row r="30" spans="1:19">
      <c r="A30" s="49">
        <v>1985</v>
      </c>
      <c r="B30" s="56">
        <v>639214.6</v>
      </c>
      <c r="C30" s="56">
        <v>80353.5</v>
      </c>
      <c r="D30" s="56">
        <f t="shared" si="1"/>
        <v>17378.3</v>
      </c>
      <c r="E30" s="56">
        <v>2262.5</v>
      </c>
      <c r="F30" s="56">
        <v>3609.4</v>
      </c>
      <c r="G30" s="56">
        <v>11506.4</v>
      </c>
      <c r="H30" s="28">
        <f t="shared" si="2"/>
        <v>100</v>
      </c>
      <c r="I30" s="65">
        <f t="shared" si="2"/>
        <v>12.570660932963673</v>
      </c>
      <c r="J30" s="65">
        <f t="shared" si="3"/>
        <v>2.7186957244092986</v>
      </c>
      <c r="K30" s="65">
        <f t="shared" si="4"/>
        <v>0.35394998800089988</v>
      </c>
      <c r="L30" s="65">
        <f t="shared" si="5"/>
        <v>0.56466169577478365</v>
      </c>
      <c r="M30" s="65">
        <f t="shared" si="6"/>
        <v>1.8000840406336149</v>
      </c>
      <c r="O30" s="64">
        <v>582281900000</v>
      </c>
      <c r="P30" s="64">
        <v>70496200000</v>
      </c>
      <c r="Q30" s="64">
        <v>2182800000</v>
      </c>
      <c r="R30" s="64">
        <v>3324700000</v>
      </c>
      <c r="S30" s="64">
        <v>10752600000</v>
      </c>
    </row>
    <row r="31" spans="1:19">
      <c r="A31" s="49">
        <v>1986</v>
      </c>
      <c r="B31" s="56">
        <v>668644.19999999995</v>
      </c>
      <c r="C31" s="56">
        <v>85283.199999999997</v>
      </c>
      <c r="D31" s="56">
        <f t="shared" si="1"/>
        <v>18052.5</v>
      </c>
      <c r="E31" s="56">
        <v>2263.8000000000002</v>
      </c>
      <c r="F31" s="56">
        <v>3722.9</v>
      </c>
      <c r="G31" s="56">
        <v>12065.8</v>
      </c>
      <c r="H31" s="28">
        <f t="shared" si="2"/>
        <v>100</v>
      </c>
      <c r="I31" s="65">
        <f t="shared" si="2"/>
        <v>12.75464589388497</v>
      </c>
      <c r="J31" s="65">
        <f t="shared" si="3"/>
        <v>2.6998663863382051</v>
      </c>
      <c r="K31" s="65">
        <f t="shared" si="4"/>
        <v>0.33856571252693141</v>
      </c>
      <c r="L31" s="65">
        <f t="shared" si="5"/>
        <v>0.5567834133609475</v>
      </c>
      <c r="M31" s="65">
        <f t="shared" si="6"/>
        <v>1.8045172604503261</v>
      </c>
      <c r="O31" s="64">
        <v>608233000000</v>
      </c>
      <c r="P31" s="64">
        <v>75117300000</v>
      </c>
      <c r="Q31" s="64">
        <v>2183800000</v>
      </c>
      <c r="R31" s="64">
        <v>3441500000</v>
      </c>
      <c r="S31" s="64">
        <v>11326800000</v>
      </c>
    </row>
    <row r="32" spans="1:19">
      <c r="A32" s="49">
        <v>1987</v>
      </c>
      <c r="B32" s="56">
        <v>699549.5</v>
      </c>
      <c r="C32" s="56">
        <v>89643.9</v>
      </c>
      <c r="D32" s="56">
        <f t="shared" si="1"/>
        <v>19026.5</v>
      </c>
      <c r="E32" s="56">
        <v>2120</v>
      </c>
      <c r="F32" s="56">
        <v>4020</v>
      </c>
      <c r="G32" s="56">
        <v>12886.5</v>
      </c>
      <c r="H32" s="28">
        <f t="shared" si="2"/>
        <v>100</v>
      </c>
      <c r="I32" s="65">
        <f t="shared" si="2"/>
        <v>12.814518486540265</v>
      </c>
      <c r="J32" s="65">
        <f t="shared" si="3"/>
        <v>2.7198218281908573</v>
      </c>
      <c r="K32" s="65">
        <f t="shared" si="4"/>
        <v>0.30305217858064371</v>
      </c>
      <c r="L32" s="65">
        <f t="shared" si="5"/>
        <v>0.57465554617650361</v>
      </c>
      <c r="M32" s="65">
        <f t="shared" si="6"/>
        <v>1.8421141034337098</v>
      </c>
      <c r="O32" s="64">
        <v>635027300000</v>
      </c>
      <c r="P32" s="64">
        <v>78957200000</v>
      </c>
      <c r="Q32" s="64">
        <v>2039300000</v>
      </c>
      <c r="R32" s="64">
        <v>3744400000</v>
      </c>
      <c r="S32" s="64">
        <v>12164400000</v>
      </c>
    </row>
    <row r="33" spans="1:19">
      <c r="A33" s="49">
        <v>1988</v>
      </c>
      <c r="B33" s="56">
        <v>746695.1</v>
      </c>
      <c r="C33" s="56">
        <v>95430.3</v>
      </c>
      <c r="D33" s="56">
        <f t="shared" si="1"/>
        <v>21276.3</v>
      </c>
      <c r="E33" s="56">
        <v>2291.9</v>
      </c>
      <c r="F33" s="56">
        <v>4576.5</v>
      </c>
      <c r="G33" s="56">
        <v>14407.9</v>
      </c>
      <c r="H33" s="28">
        <f t="shared" si="2"/>
        <v>100</v>
      </c>
      <c r="I33" s="65">
        <f t="shared" si="2"/>
        <v>12.780357069438383</v>
      </c>
      <c r="J33" s="65">
        <f t="shared" si="3"/>
        <v>2.8493959582699819</v>
      </c>
      <c r="K33" s="65">
        <f t="shared" si="4"/>
        <v>0.30693920450261425</v>
      </c>
      <c r="L33" s="65">
        <f t="shared" si="5"/>
        <v>0.61290076766273149</v>
      </c>
      <c r="M33" s="65">
        <f t="shared" si="6"/>
        <v>1.9295559861046363</v>
      </c>
      <c r="O33" s="64">
        <v>677101500000</v>
      </c>
      <c r="P33" s="64">
        <v>84181300000</v>
      </c>
      <c r="Q33" s="64">
        <v>2207200000</v>
      </c>
      <c r="R33" s="64">
        <v>4321300000</v>
      </c>
      <c r="S33" s="64">
        <v>13746600000</v>
      </c>
    </row>
    <row r="34" spans="1:19">
      <c r="A34" s="49">
        <v>1989</v>
      </c>
      <c r="B34" s="56">
        <v>801483.2</v>
      </c>
      <c r="C34" s="56">
        <v>104659.7</v>
      </c>
      <c r="D34" s="56">
        <f t="shared" si="1"/>
        <v>24990.3</v>
      </c>
      <c r="E34" s="56">
        <v>2364.1999999999998</v>
      </c>
      <c r="F34" s="56">
        <v>5040.8</v>
      </c>
      <c r="G34" s="56">
        <v>17585.3</v>
      </c>
      <c r="H34" s="28">
        <f t="shared" si="2"/>
        <v>100</v>
      </c>
      <c r="I34" s="65">
        <f t="shared" si="2"/>
        <v>13.058252499865249</v>
      </c>
      <c r="J34" s="65">
        <f t="shared" si="3"/>
        <v>3.1180067155493716</v>
      </c>
      <c r="K34" s="65">
        <f t="shared" si="4"/>
        <v>0.29497811058297913</v>
      </c>
      <c r="L34" s="65">
        <f t="shared" si="5"/>
        <v>0.62893395644475159</v>
      </c>
      <c r="M34" s="65">
        <f t="shared" si="6"/>
        <v>2.1940946485216406</v>
      </c>
      <c r="O34" s="64">
        <v>726271000000</v>
      </c>
      <c r="P34" s="64">
        <v>92938300000</v>
      </c>
      <c r="Q34" s="64">
        <v>2276200000</v>
      </c>
      <c r="R34" s="64">
        <v>4775400000</v>
      </c>
      <c r="S34" s="64">
        <v>17073200000</v>
      </c>
    </row>
    <row r="35" spans="1:19">
      <c r="A35" s="49">
        <v>1990</v>
      </c>
      <c r="B35" s="56">
        <v>847470.5</v>
      </c>
      <c r="C35" s="56">
        <v>110710.9</v>
      </c>
      <c r="D35" s="56">
        <f t="shared" si="1"/>
        <v>26928.400000000001</v>
      </c>
      <c r="E35" s="56">
        <v>2514.9</v>
      </c>
      <c r="F35" s="56">
        <v>5220.1000000000004</v>
      </c>
      <c r="G35" s="56">
        <v>19193.400000000001</v>
      </c>
      <c r="H35" s="28">
        <f t="shared" si="2"/>
        <v>100</v>
      </c>
      <c r="I35" s="65">
        <f t="shared" si="2"/>
        <v>13.063687762582884</v>
      </c>
      <c r="J35" s="65">
        <f t="shared" si="3"/>
        <v>3.177502933730437</v>
      </c>
      <c r="K35" s="65">
        <f t="shared" si="4"/>
        <v>0.2967536923114138</v>
      </c>
      <c r="L35" s="65">
        <f t="shared" si="5"/>
        <v>0.61596244353048279</v>
      </c>
      <c r="M35" s="65">
        <f t="shared" si="6"/>
        <v>2.2647867978885401</v>
      </c>
      <c r="O35" s="64">
        <v>767608700000</v>
      </c>
      <c r="P35" s="64">
        <v>98513300000</v>
      </c>
      <c r="Q35" s="64">
        <v>2424000000</v>
      </c>
      <c r="R35" s="64">
        <v>4956700000</v>
      </c>
      <c r="S35" s="64">
        <v>18781000000</v>
      </c>
    </row>
    <row r="36" spans="1:19">
      <c r="A36" s="49">
        <v>1991</v>
      </c>
      <c r="B36" s="56">
        <v>846683</v>
      </c>
      <c r="C36" s="56">
        <v>110776.6</v>
      </c>
      <c r="D36" s="56">
        <f t="shared" si="1"/>
        <v>26265.9</v>
      </c>
      <c r="E36" s="56">
        <v>2242.4</v>
      </c>
      <c r="F36" s="56">
        <v>4899</v>
      </c>
      <c r="G36" s="56">
        <v>19124.5</v>
      </c>
      <c r="H36" s="28">
        <f t="shared" si="2"/>
        <v>100</v>
      </c>
      <c r="I36" s="65">
        <f t="shared" si="2"/>
        <v>13.083597993582014</v>
      </c>
      <c r="J36" s="65">
        <f t="shared" si="3"/>
        <v>3.1022118077249692</v>
      </c>
      <c r="K36" s="65">
        <f t="shared" si="4"/>
        <v>0.26484528448073247</v>
      </c>
      <c r="L36" s="65">
        <f t="shared" si="5"/>
        <v>0.5786108850656031</v>
      </c>
      <c r="M36" s="65">
        <f t="shared" si="6"/>
        <v>2.2587556381786338</v>
      </c>
      <c r="O36" s="64">
        <v>764334900000</v>
      </c>
      <c r="P36" s="64">
        <v>98119000000</v>
      </c>
      <c r="Q36" s="64">
        <v>2150800000</v>
      </c>
      <c r="R36" s="64">
        <v>4619200000</v>
      </c>
      <c r="S36" s="64">
        <v>18670400000</v>
      </c>
    </row>
    <row r="37" spans="1:19">
      <c r="A37" s="49">
        <v>1992</v>
      </c>
      <c r="B37" s="56">
        <v>857154.3</v>
      </c>
      <c r="C37" s="56">
        <v>111243.6</v>
      </c>
      <c r="D37" s="56">
        <f t="shared" si="1"/>
        <v>26267.800000000003</v>
      </c>
      <c r="E37" s="56">
        <v>2248.1999999999998</v>
      </c>
      <c r="F37" s="56">
        <v>4894.2</v>
      </c>
      <c r="G37" s="56">
        <v>19125.400000000001</v>
      </c>
      <c r="H37" s="28">
        <f t="shared" si="2"/>
        <v>100</v>
      </c>
      <c r="I37" s="65">
        <f t="shared" si="2"/>
        <v>12.978246740406016</v>
      </c>
      <c r="J37" s="65">
        <f t="shared" si="3"/>
        <v>3.0645357551143362</v>
      </c>
      <c r="K37" s="65">
        <f t="shared" si="4"/>
        <v>0.26228649847524532</v>
      </c>
      <c r="L37" s="65">
        <f t="shared" si="5"/>
        <v>0.57098237738526181</v>
      </c>
      <c r="M37" s="65">
        <f t="shared" si="6"/>
        <v>2.2312668792538286</v>
      </c>
      <c r="O37" s="64">
        <v>771283500000</v>
      </c>
      <c r="P37" s="64">
        <v>98033400000</v>
      </c>
      <c r="Q37" s="64">
        <v>2157500000</v>
      </c>
      <c r="R37" s="64">
        <v>4593000000</v>
      </c>
      <c r="S37" s="64">
        <v>18588300000</v>
      </c>
    </row>
    <row r="38" spans="1:19">
      <c r="A38" s="49">
        <v>1993</v>
      </c>
      <c r="B38" s="56">
        <v>873882.8</v>
      </c>
      <c r="C38" s="56">
        <v>111831.7</v>
      </c>
      <c r="D38" s="56">
        <f t="shared" si="1"/>
        <v>26264.1</v>
      </c>
      <c r="E38" s="56">
        <v>2323.1</v>
      </c>
      <c r="F38" s="56">
        <v>5076</v>
      </c>
      <c r="G38" s="56">
        <v>18865</v>
      </c>
      <c r="H38" s="28">
        <f t="shared" si="2"/>
        <v>100</v>
      </c>
      <c r="I38" s="65">
        <f t="shared" si="2"/>
        <v>12.797105058023797</v>
      </c>
      <c r="J38" s="65">
        <f t="shared" si="3"/>
        <v>3.0054487855808576</v>
      </c>
      <c r="K38" s="65">
        <f t="shared" si="4"/>
        <v>0.26583656298075664</v>
      </c>
      <c r="L38" s="65">
        <f t="shared" si="5"/>
        <v>0.58085592255620544</v>
      </c>
      <c r="M38" s="65">
        <f t="shared" si="6"/>
        <v>2.1587563000438958</v>
      </c>
      <c r="O38" s="64">
        <v>784210900000</v>
      </c>
      <c r="P38" s="64">
        <v>97974600000</v>
      </c>
      <c r="Q38" s="64">
        <v>2239300000</v>
      </c>
      <c r="R38" s="64">
        <v>4758600000</v>
      </c>
      <c r="S38" s="64">
        <v>18242700000</v>
      </c>
    </row>
    <row r="39" spans="1:19">
      <c r="A39" s="49">
        <v>1994</v>
      </c>
      <c r="B39" s="56">
        <v>911483.6</v>
      </c>
      <c r="C39" s="56">
        <v>115705.3</v>
      </c>
      <c r="D39" s="56">
        <f t="shared" si="1"/>
        <v>27089.599999999999</v>
      </c>
      <c r="E39" s="56">
        <v>2487.8000000000002</v>
      </c>
      <c r="F39" s="56">
        <v>5726.5</v>
      </c>
      <c r="G39" s="56">
        <v>18875.3</v>
      </c>
      <c r="H39" s="28">
        <f t="shared" si="2"/>
        <v>100</v>
      </c>
      <c r="I39" s="65">
        <f t="shared" si="2"/>
        <v>12.694172445889318</v>
      </c>
      <c r="J39" s="65">
        <f t="shared" si="3"/>
        <v>2.9720337261142165</v>
      </c>
      <c r="K39" s="65">
        <f t="shared" si="4"/>
        <v>0.27293963380142</v>
      </c>
      <c r="L39" s="65">
        <f t="shared" si="5"/>
        <v>0.6282614410176991</v>
      </c>
      <c r="M39" s="65">
        <f t="shared" si="6"/>
        <v>2.0708326512950972</v>
      </c>
      <c r="O39" s="64">
        <v>817102900000</v>
      </c>
      <c r="P39" s="64">
        <v>101011700000</v>
      </c>
      <c r="Q39" s="64">
        <v>2410400000</v>
      </c>
      <c r="R39" s="64">
        <v>5407800000</v>
      </c>
      <c r="S39" s="64">
        <v>18161200000</v>
      </c>
    </row>
    <row r="40" spans="1:19">
      <c r="A40" s="49">
        <v>1995</v>
      </c>
      <c r="B40" s="56">
        <v>943956.3</v>
      </c>
      <c r="C40" s="56">
        <v>120516.1</v>
      </c>
      <c r="D40" s="56">
        <f t="shared" si="1"/>
        <v>29475</v>
      </c>
      <c r="E40" s="56">
        <v>2603.9</v>
      </c>
      <c r="F40" s="56">
        <v>6770.9</v>
      </c>
      <c r="G40" s="56">
        <v>20100.2</v>
      </c>
      <c r="H40" s="28">
        <f t="shared" si="2"/>
        <v>100</v>
      </c>
      <c r="I40" s="65">
        <f t="shared" si="2"/>
        <v>12.767127037554598</v>
      </c>
      <c r="J40" s="65">
        <f t="shared" si="3"/>
        <v>3.1224962426756409</v>
      </c>
      <c r="K40" s="65">
        <f t="shared" si="4"/>
        <v>0.27584963414090247</v>
      </c>
      <c r="L40" s="65">
        <f t="shared" si="5"/>
        <v>0.71728956096802354</v>
      </c>
      <c r="M40" s="65">
        <f t="shared" si="6"/>
        <v>2.1293570475667147</v>
      </c>
      <c r="O40" s="64">
        <v>843621700000</v>
      </c>
      <c r="P40" s="64">
        <v>104726100000</v>
      </c>
      <c r="Q40" s="64">
        <v>2525900000</v>
      </c>
      <c r="R40" s="64">
        <v>6461400000</v>
      </c>
      <c r="S40" s="64">
        <v>19296200000</v>
      </c>
    </row>
    <row r="41" spans="1:19">
      <c r="A41" s="49">
        <v>1996</v>
      </c>
      <c r="B41" s="56">
        <v>978526.9</v>
      </c>
      <c r="C41" s="56">
        <v>124924.4</v>
      </c>
      <c r="D41" s="56">
        <f t="shared" si="1"/>
        <v>30495.3</v>
      </c>
      <c r="E41" s="56">
        <v>2675.5</v>
      </c>
      <c r="F41" s="56">
        <v>7124.2</v>
      </c>
      <c r="G41" s="56">
        <v>20695.599999999999</v>
      </c>
      <c r="H41" s="28">
        <f t="shared" si="2"/>
        <v>100</v>
      </c>
      <c r="I41" s="65">
        <f t="shared" si="2"/>
        <v>12.7665780061846</v>
      </c>
      <c r="J41" s="65">
        <f t="shared" si="3"/>
        <v>3.116449839038661</v>
      </c>
      <c r="K41" s="65">
        <f t="shared" si="4"/>
        <v>0.27342120078661097</v>
      </c>
      <c r="L41" s="65">
        <f t="shared" si="5"/>
        <v>0.72805356705063495</v>
      </c>
      <c r="M41" s="65">
        <f t="shared" si="6"/>
        <v>2.1149750712014148</v>
      </c>
      <c r="O41" s="64">
        <v>871424300000</v>
      </c>
      <c r="P41" s="64">
        <v>107683800000</v>
      </c>
      <c r="Q41" s="64">
        <v>2588100000</v>
      </c>
      <c r="R41" s="64">
        <v>6759800000</v>
      </c>
      <c r="S41" s="64">
        <v>19711800000</v>
      </c>
    </row>
    <row r="42" spans="1:19">
      <c r="A42" s="49">
        <v>1997</v>
      </c>
      <c r="B42" s="56">
        <v>1025132.5</v>
      </c>
      <c r="C42" s="56">
        <v>131196.6</v>
      </c>
      <c r="D42" s="56">
        <f t="shared" si="1"/>
        <v>31148.699999999997</v>
      </c>
      <c r="E42" s="56">
        <v>2694.9</v>
      </c>
      <c r="F42" s="56">
        <v>7626</v>
      </c>
      <c r="G42" s="56">
        <v>20827.8</v>
      </c>
      <c r="H42" s="28">
        <f t="shared" si="2"/>
        <v>100</v>
      </c>
      <c r="I42" s="65">
        <f t="shared" si="2"/>
        <v>12.798013915274367</v>
      </c>
      <c r="J42" s="65">
        <f t="shared" si="3"/>
        <v>3.0385047786505646</v>
      </c>
      <c r="K42" s="65">
        <f t="shared" si="4"/>
        <v>0.26288309072241883</v>
      </c>
      <c r="L42" s="65">
        <f t="shared" si="5"/>
        <v>0.74390383682109384</v>
      </c>
      <c r="M42" s="65">
        <f t="shared" si="6"/>
        <v>2.0317178511070519</v>
      </c>
      <c r="O42" s="64">
        <v>912891600000</v>
      </c>
      <c r="P42" s="64">
        <v>112921800000</v>
      </c>
      <c r="Q42" s="64">
        <v>2599000000</v>
      </c>
      <c r="R42" s="64">
        <v>7212700000</v>
      </c>
      <c r="S42" s="64">
        <v>19702200000</v>
      </c>
    </row>
    <row r="43" spans="1:19">
      <c r="A43" s="49">
        <v>1998</v>
      </c>
      <c r="B43" s="56">
        <v>1073464.8999999999</v>
      </c>
      <c r="C43" s="56">
        <v>139589.20000000001</v>
      </c>
      <c r="D43" s="56">
        <f t="shared" si="1"/>
        <v>31582.400000000001</v>
      </c>
      <c r="E43" s="56">
        <v>2761.2</v>
      </c>
      <c r="F43" s="56">
        <v>7884.7</v>
      </c>
      <c r="G43" s="56">
        <v>20936.5</v>
      </c>
      <c r="H43" s="28">
        <f t="shared" si="2"/>
        <v>100</v>
      </c>
      <c r="I43" s="65">
        <f t="shared" si="2"/>
        <v>13.003611016997391</v>
      </c>
      <c r="J43" s="65">
        <f t="shared" si="3"/>
        <v>2.9420989917788654</v>
      </c>
      <c r="K43" s="65">
        <f t="shared" si="4"/>
        <v>0.25722312858110219</v>
      </c>
      <c r="L43" s="65">
        <f t="shared" si="5"/>
        <v>0.73450934446016825</v>
      </c>
      <c r="M43" s="65">
        <f t="shared" si="6"/>
        <v>1.9503665187375947</v>
      </c>
      <c r="O43" s="64">
        <v>955043100000</v>
      </c>
      <c r="P43" s="64">
        <v>120086900000</v>
      </c>
      <c r="Q43" s="64">
        <v>2658800000</v>
      </c>
      <c r="R43" s="64">
        <v>7401000000</v>
      </c>
      <c r="S43" s="64">
        <v>19648200000</v>
      </c>
    </row>
    <row r="44" spans="1:19">
      <c r="A44" s="49">
        <v>1999</v>
      </c>
      <c r="B44" s="56">
        <v>1109937.3</v>
      </c>
      <c r="C44" s="56">
        <v>142892.1</v>
      </c>
      <c r="D44" s="56">
        <f t="shared" si="1"/>
        <v>30774.5</v>
      </c>
      <c r="E44" s="56">
        <v>2840.6</v>
      </c>
      <c r="F44" s="56">
        <v>7825.2</v>
      </c>
      <c r="G44" s="56">
        <v>20108.7</v>
      </c>
      <c r="H44" s="28">
        <f t="shared" si="2"/>
        <v>100</v>
      </c>
      <c r="I44" s="65">
        <f t="shared" si="2"/>
        <v>12.873889362939691</v>
      </c>
      <c r="J44" s="65">
        <f t="shared" si="3"/>
        <v>2.7726340938357508</v>
      </c>
      <c r="K44" s="65">
        <f t="shared" si="4"/>
        <v>0.25592436617816156</v>
      </c>
      <c r="L44" s="65">
        <f t="shared" si="5"/>
        <v>0.7050127966687848</v>
      </c>
      <c r="M44" s="65">
        <f t="shared" si="6"/>
        <v>1.8116969309888047</v>
      </c>
      <c r="O44" s="64">
        <v>987227200000</v>
      </c>
      <c r="P44" s="64">
        <v>122674300000</v>
      </c>
      <c r="Q44" s="64">
        <v>2738000000</v>
      </c>
      <c r="R44" s="64">
        <v>7307300000</v>
      </c>
      <c r="S44" s="64">
        <v>18750700000</v>
      </c>
    </row>
    <row r="45" spans="1:19">
      <c r="A45" s="49">
        <v>2000</v>
      </c>
      <c r="B45" s="56">
        <v>1167822.3</v>
      </c>
      <c r="C45" s="56">
        <v>148805.79999999999</v>
      </c>
      <c r="D45" s="56">
        <f t="shared" si="1"/>
        <v>31327.4</v>
      </c>
      <c r="E45" s="56">
        <v>2928.3</v>
      </c>
      <c r="F45" s="56">
        <v>8433.6</v>
      </c>
      <c r="G45" s="56">
        <v>19965.5</v>
      </c>
      <c r="H45" s="28">
        <f t="shared" si="2"/>
        <v>100</v>
      </c>
      <c r="I45" s="65">
        <f t="shared" si="2"/>
        <v>12.742161200381256</v>
      </c>
      <c r="J45" s="65">
        <f t="shared" si="3"/>
        <v>2.6825485349954357</v>
      </c>
      <c r="K45" s="65">
        <f t="shared" si="4"/>
        <v>0.25074876545858049</v>
      </c>
      <c r="L45" s="65">
        <f t="shared" si="5"/>
        <v>0.72216466494945342</v>
      </c>
      <c r="M45" s="65">
        <f t="shared" si="6"/>
        <v>1.7096351045874016</v>
      </c>
      <c r="O45" s="64">
        <v>1035769200000</v>
      </c>
      <c r="P45" s="64">
        <v>126692900000</v>
      </c>
      <c r="Q45" s="64">
        <v>2828200000</v>
      </c>
      <c r="R45" s="64">
        <v>7922400000</v>
      </c>
      <c r="S45" s="64">
        <v>18403200000</v>
      </c>
    </row>
    <row r="46" spans="1:19">
      <c r="A46" s="49">
        <v>2001</v>
      </c>
      <c r="B46" s="56">
        <v>1214550.7</v>
      </c>
      <c r="C46" s="56">
        <v>151605</v>
      </c>
      <c r="D46" s="56">
        <f t="shared" si="1"/>
        <v>30746</v>
      </c>
      <c r="E46" s="56">
        <v>2824.2</v>
      </c>
      <c r="F46" s="56">
        <v>8253.4</v>
      </c>
      <c r="G46" s="56">
        <v>19668.400000000001</v>
      </c>
      <c r="H46" s="28">
        <f t="shared" si="2"/>
        <v>100</v>
      </c>
      <c r="I46" s="65">
        <f t="shared" si="2"/>
        <v>12.482393695051183</v>
      </c>
      <c r="J46" s="65">
        <f t="shared" si="3"/>
        <v>2.5314711028530961</v>
      </c>
      <c r="K46" s="65">
        <f t="shared" si="4"/>
        <v>0.23253043285883412</v>
      </c>
      <c r="L46" s="65">
        <f t="shared" si="5"/>
        <v>0.67954347233096157</v>
      </c>
      <c r="M46" s="65">
        <f t="shared" si="6"/>
        <v>1.6193971976633008</v>
      </c>
      <c r="O46" s="64">
        <v>1073834600000</v>
      </c>
      <c r="P46" s="64">
        <v>127036100000</v>
      </c>
      <c r="Q46" s="64">
        <v>2724900000</v>
      </c>
      <c r="R46" s="64">
        <v>7690600000</v>
      </c>
      <c r="S46" s="64">
        <v>17780900000</v>
      </c>
    </row>
    <row r="47" spans="1:19">
      <c r="A47" s="49">
        <v>2002</v>
      </c>
      <c r="B47" s="56">
        <v>1244284.1000000001</v>
      </c>
      <c r="C47" s="56">
        <v>151457.60000000001</v>
      </c>
      <c r="D47" s="56">
        <f t="shared" si="1"/>
        <v>29530.799999999999</v>
      </c>
      <c r="E47" s="56">
        <v>2827.9</v>
      </c>
      <c r="F47" s="56">
        <v>7939.8</v>
      </c>
      <c r="G47" s="56">
        <v>18763.099999999999</v>
      </c>
      <c r="H47" s="28">
        <f t="shared" si="2"/>
        <v>100</v>
      </c>
      <c r="I47" s="65">
        <f t="shared" si="2"/>
        <v>12.172268375043931</v>
      </c>
      <c r="J47" s="65">
        <f t="shared" si="3"/>
        <v>2.3733165118802044</v>
      </c>
      <c r="K47" s="65">
        <f t="shared" si="4"/>
        <v>0.22727124778014923</v>
      </c>
      <c r="L47" s="65">
        <f t="shared" si="5"/>
        <v>0.63810186114248335</v>
      </c>
      <c r="M47" s="65">
        <f t="shared" si="6"/>
        <v>1.507943402957572</v>
      </c>
      <c r="O47" s="64">
        <v>1096862900000</v>
      </c>
      <c r="P47" s="64">
        <v>124701800000</v>
      </c>
      <c r="Q47" s="64">
        <v>2738100000</v>
      </c>
      <c r="R47" s="64">
        <v>7334700000</v>
      </c>
      <c r="S47" s="64">
        <v>16620500000</v>
      </c>
    </row>
    <row r="48" spans="1:19">
      <c r="A48" s="49">
        <v>2003</v>
      </c>
      <c r="B48" s="56">
        <v>1264181.5</v>
      </c>
      <c r="C48" s="56">
        <v>147663.79999999999</v>
      </c>
      <c r="D48" s="56">
        <f t="shared" si="1"/>
        <v>28147.7</v>
      </c>
      <c r="E48" s="56">
        <v>2811.8</v>
      </c>
      <c r="F48" s="56">
        <v>7553.2</v>
      </c>
      <c r="G48" s="56">
        <v>17782.7</v>
      </c>
      <c r="H48" s="28">
        <f t="shared" si="2"/>
        <v>100</v>
      </c>
      <c r="I48" s="65">
        <f t="shared" si="2"/>
        <v>11.680585422267292</v>
      </c>
      <c r="J48" s="65">
        <f t="shared" si="3"/>
        <v>2.2265552849808352</v>
      </c>
      <c r="K48" s="65">
        <f t="shared" si="4"/>
        <v>0.22242059387833157</v>
      </c>
      <c r="L48" s="65">
        <f t="shared" si="5"/>
        <v>0.5974774982864407</v>
      </c>
      <c r="M48" s="65">
        <f t="shared" si="6"/>
        <v>1.4066571928160634</v>
      </c>
      <c r="O48" s="64">
        <v>1107028300000</v>
      </c>
      <c r="P48" s="64">
        <v>118357200000</v>
      </c>
      <c r="Q48" s="64">
        <v>2715900000</v>
      </c>
      <c r="R48" s="64">
        <v>6892000000</v>
      </c>
      <c r="S48" s="64">
        <v>15393300000</v>
      </c>
    </row>
    <row r="49" spans="1:19">
      <c r="A49" s="49">
        <v>2004</v>
      </c>
      <c r="B49" s="56">
        <v>1333230</v>
      </c>
      <c r="C49" s="56">
        <v>148927</v>
      </c>
      <c r="D49" s="56">
        <f t="shared" si="1"/>
        <v>27588.5</v>
      </c>
      <c r="E49" s="56">
        <v>2817.9</v>
      </c>
      <c r="F49" s="56">
        <v>7794.6</v>
      </c>
      <c r="G49" s="56">
        <v>16976</v>
      </c>
      <c r="H49" s="28">
        <f t="shared" si="2"/>
        <v>100</v>
      </c>
      <c r="I49" s="65">
        <f t="shared" si="2"/>
        <v>11.17039070527966</v>
      </c>
      <c r="J49" s="65">
        <f t="shared" si="3"/>
        <v>2.0692978705849701</v>
      </c>
      <c r="K49" s="65">
        <f t="shared" si="4"/>
        <v>0.21135888031322431</v>
      </c>
      <c r="L49" s="65">
        <f t="shared" si="5"/>
        <v>0.58464030962399582</v>
      </c>
      <c r="M49" s="65">
        <f t="shared" si="6"/>
        <v>1.2732986806477502</v>
      </c>
      <c r="O49" s="64">
        <v>1164668700000</v>
      </c>
      <c r="P49" s="64">
        <v>116664500000</v>
      </c>
      <c r="Q49" s="64">
        <v>2731400000</v>
      </c>
      <c r="R49" s="64">
        <v>7030700000</v>
      </c>
      <c r="S49" s="64">
        <v>14231100000</v>
      </c>
    </row>
    <row r="50" spans="1:19">
      <c r="A50" s="49">
        <v>2005</v>
      </c>
      <c r="B50" s="56">
        <v>1423898.9</v>
      </c>
      <c r="C50" s="56">
        <v>150609.20000000001</v>
      </c>
      <c r="D50" s="56">
        <f t="shared" si="1"/>
        <v>27452.800000000003</v>
      </c>
      <c r="E50" s="56">
        <v>2862.8</v>
      </c>
      <c r="F50" s="56">
        <v>8306.9</v>
      </c>
      <c r="G50" s="56">
        <v>16283.1</v>
      </c>
      <c r="H50" s="28">
        <f t="shared" si="2"/>
        <v>100</v>
      </c>
      <c r="I50" s="65">
        <f t="shared" si="2"/>
        <v>10.577239718353601</v>
      </c>
      <c r="J50" s="65">
        <f t="shared" si="3"/>
        <v>1.92800205126923</v>
      </c>
      <c r="K50" s="65">
        <f t="shared" si="4"/>
        <v>0.20105360008354525</v>
      </c>
      <c r="L50" s="65">
        <f t="shared" si="5"/>
        <v>0.5833911382331991</v>
      </c>
      <c r="M50" s="65">
        <f t="shared" si="6"/>
        <v>1.1435573129524856</v>
      </c>
      <c r="O50" s="64">
        <v>1243591100000</v>
      </c>
      <c r="P50" s="64">
        <v>115742100000</v>
      </c>
      <c r="Q50" s="64">
        <v>2777500000</v>
      </c>
      <c r="R50" s="64">
        <v>7382500000</v>
      </c>
      <c r="S50" s="64">
        <v>13317200000</v>
      </c>
    </row>
    <row r="51" spans="1:19">
      <c r="A51" s="49">
        <v>2006</v>
      </c>
      <c r="B51" s="56">
        <v>1543565.3</v>
      </c>
      <c r="C51" s="56">
        <v>152949.5</v>
      </c>
      <c r="D51" s="56">
        <f t="shared" si="1"/>
        <v>27312.7</v>
      </c>
      <c r="E51" s="56">
        <v>2900</v>
      </c>
      <c r="F51" s="56">
        <v>8646</v>
      </c>
      <c r="G51" s="56">
        <v>15766.7</v>
      </c>
      <c r="H51" s="28">
        <f t="shared" si="2"/>
        <v>100</v>
      </c>
      <c r="I51" s="65">
        <f t="shared" si="2"/>
        <v>9.9088454502054439</v>
      </c>
      <c r="J51" s="65">
        <f t="shared" si="3"/>
        <v>1.7694554289345583</v>
      </c>
      <c r="K51" s="65">
        <f t="shared" si="4"/>
        <v>0.18787672928382101</v>
      </c>
      <c r="L51" s="65">
        <f t="shared" si="5"/>
        <v>0.56013179358204024</v>
      </c>
      <c r="M51" s="65">
        <f t="shared" si="6"/>
        <v>1.021446906068697</v>
      </c>
      <c r="O51" s="64">
        <v>1339575500000</v>
      </c>
      <c r="P51" s="64">
        <v>115834400000</v>
      </c>
      <c r="Q51" s="64">
        <v>2811300000</v>
      </c>
      <c r="R51" s="64">
        <v>7633100000</v>
      </c>
      <c r="S51" s="64">
        <v>12502700000</v>
      </c>
    </row>
    <row r="52" spans="1:19">
      <c r="A52" s="49">
        <v>2007</v>
      </c>
      <c r="B52" s="56">
        <v>1666987.3</v>
      </c>
      <c r="C52" s="56">
        <v>156236.1</v>
      </c>
      <c r="D52" s="56">
        <f t="shared" si="1"/>
        <v>26948.5</v>
      </c>
      <c r="E52" s="56">
        <v>2823.6</v>
      </c>
      <c r="F52" s="56">
        <v>8745.1</v>
      </c>
      <c r="G52" s="56">
        <v>15379.8</v>
      </c>
      <c r="H52" s="28">
        <f t="shared" si="2"/>
        <v>100</v>
      </c>
      <c r="I52" s="65">
        <f t="shared" si="2"/>
        <v>9.3723629448166754</v>
      </c>
      <c r="J52" s="65">
        <f t="shared" si="3"/>
        <v>1.616598998684633</v>
      </c>
      <c r="K52" s="65">
        <f t="shared" si="4"/>
        <v>0.16938341401881105</v>
      </c>
      <c r="L52" s="65">
        <f t="shared" si="5"/>
        <v>0.52460507647538768</v>
      </c>
      <c r="M52" s="65">
        <f t="shared" si="6"/>
        <v>0.92261050819043433</v>
      </c>
      <c r="O52" s="64">
        <v>1441985800000</v>
      </c>
      <c r="P52" s="64">
        <v>116258700000</v>
      </c>
      <c r="Q52" s="64">
        <v>2803800000</v>
      </c>
      <c r="R52" s="64">
        <v>7871900000</v>
      </c>
      <c r="S52" s="64">
        <v>11828100000</v>
      </c>
    </row>
    <row r="53" spans="1:19">
      <c r="A53" s="49">
        <v>2008</v>
      </c>
      <c r="B53" s="56">
        <v>1823393.3</v>
      </c>
      <c r="C53" s="56">
        <v>162676.79999999999</v>
      </c>
      <c r="D53" s="56">
        <f t="shared" si="1"/>
        <v>27140.400000000001</v>
      </c>
      <c r="E53" s="56">
        <v>2913.2</v>
      </c>
      <c r="F53" s="56">
        <v>8932</v>
      </c>
      <c r="G53" s="56">
        <v>15295.2</v>
      </c>
      <c r="H53" s="28">
        <f t="shared" ref="H53:H57" si="7">B53/$B53*100</f>
        <v>100</v>
      </c>
      <c r="I53" s="65">
        <f t="shared" ref="I53:I57" si="8">C53/$B53*100</f>
        <v>8.9216517358048844</v>
      </c>
      <c r="J53" s="65">
        <f t="shared" ref="J53:J57" si="9">D53/$B53*100</f>
        <v>1.4884556173371921</v>
      </c>
      <c r="K53" s="65">
        <f t="shared" ref="K53:K57" si="10">E53/$B53*100</f>
        <v>0.15976805442906913</v>
      </c>
      <c r="L53" s="65">
        <f t="shared" ref="L53:L57" si="11">F53/$B53*100</f>
        <v>0.48985591863258465</v>
      </c>
      <c r="M53" s="65">
        <f t="shared" ref="M53:M57" si="12">G53/$B53*100</f>
        <v>0.83883164427553847</v>
      </c>
    </row>
    <row r="54" spans="1:19">
      <c r="A54" s="49">
        <v>2009</v>
      </c>
      <c r="B54" s="56">
        <v>1848993.4</v>
      </c>
      <c r="C54" s="56">
        <v>157637.1</v>
      </c>
      <c r="D54" s="56">
        <f t="shared" si="1"/>
        <v>24847.599999999999</v>
      </c>
      <c r="E54" s="56">
        <v>2743.8</v>
      </c>
      <c r="F54" s="56">
        <v>8168.2</v>
      </c>
      <c r="G54" s="56">
        <v>13935.6</v>
      </c>
      <c r="H54" s="28">
        <f t="shared" si="7"/>
        <v>100</v>
      </c>
      <c r="I54" s="65">
        <f t="shared" si="8"/>
        <v>8.5255631523617126</v>
      </c>
      <c r="J54" s="65">
        <f t="shared" si="9"/>
        <v>1.343844710316435</v>
      </c>
      <c r="K54" s="65">
        <f t="shared" si="10"/>
        <v>0.1483942560314169</v>
      </c>
      <c r="L54" s="65">
        <f t="shared" si="11"/>
        <v>0.44176469207515834</v>
      </c>
      <c r="M54" s="65">
        <f t="shared" si="12"/>
        <v>0.75368576220985972</v>
      </c>
    </row>
    <row r="55" spans="1:19">
      <c r="A55" s="49">
        <v>2010</v>
      </c>
      <c r="B55" s="56">
        <v>1898215.5</v>
      </c>
      <c r="C55" s="56">
        <v>148735.29999999999</v>
      </c>
      <c r="D55" s="56">
        <f t="shared" si="1"/>
        <v>22560.800000000003</v>
      </c>
      <c r="E55" s="56">
        <v>2601.3000000000002</v>
      </c>
      <c r="F55" s="56">
        <v>7542.6</v>
      </c>
      <c r="G55" s="56">
        <v>12416.9</v>
      </c>
      <c r="H55" s="28">
        <f t="shared" si="7"/>
        <v>100</v>
      </c>
      <c r="I55" s="65">
        <f t="shared" si="8"/>
        <v>7.8355328991887383</v>
      </c>
      <c r="J55" s="65">
        <f t="shared" si="9"/>
        <v>1.1885268032001637</v>
      </c>
      <c r="K55" s="65">
        <f t="shared" si="10"/>
        <v>0.13703923500782711</v>
      </c>
      <c r="L55" s="65">
        <f t="shared" si="11"/>
        <v>0.39735214468536373</v>
      </c>
      <c r="M55" s="65">
        <f t="shared" si="12"/>
        <v>0.65413542350697274</v>
      </c>
    </row>
    <row r="56" spans="1:19">
      <c r="A56" s="49">
        <v>2011</v>
      </c>
      <c r="B56" s="56">
        <v>2004650.2</v>
      </c>
      <c r="C56" s="56">
        <v>150020.29999999999</v>
      </c>
      <c r="D56" s="56">
        <f t="shared" si="1"/>
        <v>22048.799999999999</v>
      </c>
      <c r="E56" s="56">
        <v>2587.1</v>
      </c>
      <c r="F56" s="56">
        <v>7504.9</v>
      </c>
      <c r="G56" s="56">
        <v>11956.8</v>
      </c>
      <c r="H56" s="28">
        <f t="shared" si="7"/>
        <v>100</v>
      </c>
      <c r="I56" s="65">
        <f t="shared" si="8"/>
        <v>7.4836148471189636</v>
      </c>
      <c r="J56" s="65">
        <f t="shared" si="9"/>
        <v>1.0998826628206757</v>
      </c>
      <c r="K56" s="65">
        <f t="shared" si="10"/>
        <v>0.12905493437209145</v>
      </c>
      <c r="L56" s="65">
        <f t="shared" si="11"/>
        <v>0.37437454175297014</v>
      </c>
      <c r="M56" s="65">
        <f t="shared" si="12"/>
        <v>0.59645318669561398</v>
      </c>
    </row>
    <row r="57" spans="1:19">
      <c r="A57" s="49">
        <v>2012</v>
      </c>
      <c r="B57" s="56">
        <v>2129122</v>
      </c>
      <c r="C57" s="56">
        <v>154023.5</v>
      </c>
      <c r="D57" s="56">
        <f t="shared" si="1"/>
        <v>21976.7</v>
      </c>
      <c r="E57" s="56">
        <v>2534.3000000000002</v>
      </c>
      <c r="F57" s="56">
        <v>7672.3</v>
      </c>
      <c r="G57" s="56">
        <v>11770.1</v>
      </c>
      <c r="H57" s="28">
        <f t="shared" si="7"/>
        <v>100</v>
      </c>
      <c r="I57" s="65">
        <f t="shared" si="8"/>
        <v>7.2341321915794401</v>
      </c>
      <c r="J57" s="65">
        <f t="shared" si="9"/>
        <v>1.0321954307925989</v>
      </c>
      <c r="K57" s="65">
        <f t="shared" si="10"/>
        <v>0.11903028572341089</v>
      </c>
      <c r="L57" s="65">
        <f t="shared" si="11"/>
        <v>0.36035041674455481</v>
      </c>
      <c r="M57" s="65">
        <f t="shared" si="12"/>
        <v>0.5528147283246333</v>
      </c>
    </row>
    <row r="58" spans="1:19">
      <c r="A58" s="49"/>
      <c r="B58" s="56"/>
      <c r="C58" s="56"/>
      <c r="D58" s="56"/>
      <c r="E58" s="56"/>
      <c r="F58" s="56"/>
      <c r="G58" s="56"/>
      <c r="H58" s="28"/>
      <c r="I58" s="28"/>
      <c r="J58" s="28"/>
      <c r="K58" s="28"/>
      <c r="L58" s="28"/>
      <c r="M58" s="28"/>
    </row>
    <row r="59" spans="1:19">
      <c r="A59" s="49" t="s">
        <v>1039</v>
      </c>
      <c r="B59" s="56"/>
      <c r="C59" s="56"/>
      <c r="D59" s="56"/>
      <c r="E59" s="56"/>
      <c r="F59" s="56"/>
      <c r="G59" s="56"/>
      <c r="H59" s="28"/>
      <c r="I59" s="28"/>
      <c r="J59" s="28"/>
      <c r="K59" s="28"/>
      <c r="L59" s="28"/>
    </row>
    <row r="60" spans="1:19">
      <c r="A60" s="64" t="s">
        <v>2121</v>
      </c>
      <c r="B60" s="58"/>
      <c r="C60" s="58"/>
      <c r="D60" s="58"/>
      <c r="E60" s="58"/>
      <c r="F60" s="58"/>
      <c r="G60" s="58"/>
      <c r="H60" s="58"/>
      <c r="I60" s="58">
        <f>(I57-I6)/I6*100</f>
        <v>-52.108986163117841</v>
      </c>
      <c r="J60" s="58">
        <f t="shared" ref="J60:M60" si="13">(J57-J6)/J6*100</f>
        <v>-70.922615178775573</v>
      </c>
      <c r="K60" s="58">
        <f t="shared" si="13"/>
        <v>-81.122531636366801</v>
      </c>
      <c r="L60" s="58">
        <f t="shared" si="13"/>
        <v>-49.132297993585027</v>
      </c>
      <c r="M60" s="58">
        <f t="shared" si="13"/>
        <v>-74.995640874778573</v>
      </c>
    </row>
    <row r="61" spans="1:19">
      <c r="A61" s="69" t="s">
        <v>1031</v>
      </c>
      <c r="B61" s="58"/>
      <c r="C61" s="58"/>
      <c r="D61" s="58"/>
      <c r="E61" s="58"/>
      <c r="F61" s="58"/>
      <c r="G61" s="58"/>
      <c r="H61" s="58"/>
      <c r="I61" s="58">
        <f>(I18-I6)/I6*100</f>
        <v>-5.4485471292239254</v>
      </c>
      <c r="J61" s="58">
        <f>(J18-J6)/J6*100</f>
        <v>-3.1950550424249364</v>
      </c>
      <c r="K61" s="58">
        <f>(K18-K6)/K6*100</f>
        <v>-19.370660409924493</v>
      </c>
      <c r="L61" s="58">
        <f>(L18-L6)/L6*100</f>
        <v>7.8132946390250133</v>
      </c>
      <c r="M61" s="58">
        <f>(M18-M6)/M6*100</f>
        <v>-2.1090595920713495</v>
      </c>
    </row>
    <row r="62" spans="1:19">
      <c r="A62" s="68" t="s">
        <v>1032</v>
      </c>
      <c r="B62" s="58"/>
      <c r="C62" s="58"/>
      <c r="D62" s="58"/>
      <c r="E62" s="58"/>
      <c r="F62" s="58"/>
      <c r="G62" s="58"/>
      <c r="H62" s="58"/>
      <c r="I62" s="58">
        <f>(I26-I18)/I18*100</f>
        <v>-4.8751663555002693</v>
      </c>
      <c r="J62" s="58">
        <f>(J26-J18)/J18*100</f>
        <v>-8.8072765552837708</v>
      </c>
      <c r="K62" s="58">
        <f>(K26-K18)/K18*100</f>
        <v>-3.7851971720578597</v>
      </c>
      <c r="L62" s="58">
        <f>(L26-L18)/L18*100</f>
        <v>-7.1277759086324011</v>
      </c>
      <c r="M62" s="58">
        <f>(M26-M18)/M18*100</f>
        <v>-10.579702302146822</v>
      </c>
    </row>
    <row r="63" spans="1:19">
      <c r="A63" s="69" t="s">
        <v>587</v>
      </c>
      <c r="B63" s="58"/>
      <c r="C63" s="58"/>
      <c r="D63" s="58"/>
      <c r="E63" s="58"/>
      <c r="F63" s="58"/>
      <c r="G63" s="58"/>
      <c r="H63" s="58"/>
      <c r="I63" s="58">
        <f>(I52-I26)/I26*100</f>
        <v>-31.015015353859145</v>
      </c>
      <c r="J63" s="58">
        <f>(J52-J26)/J26*100</f>
        <v>-48.413271251348696</v>
      </c>
      <c r="K63" s="58">
        <f>(K52-K26)/K26*100</f>
        <v>-65.37241848827756</v>
      </c>
      <c r="L63" s="58">
        <f>(L52-L26)/L26*100</f>
        <v>-26.040934546032439</v>
      </c>
      <c r="M63" s="58">
        <f>(M52-M26)/M26*100</f>
        <v>-52.326624033992509</v>
      </c>
    </row>
    <row r="64" spans="1:19">
      <c r="A64" s="229" t="s">
        <v>25</v>
      </c>
      <c r="B64" s="58"/>
      <c r="C64" s="58"/>
      <c r="D64" s="58"/>
      <c r="E64" s="58"/>
      <c r="F64" s="58"/>
      <c r="G64" s="58"/>
      <c r="H64" s="58"/>
      <c r="I64" s="58">
        <f>(I34-I26)/I26*100</f>
        <v>-3.8851404376279342</v>
      </c>
      <c r="J64" s="58">
        <f>(J34-J26)/J26*100</f>
        <v>-0.50237145860259724</v>
      </c>
      <c r="K64" s="58">
        <f>(K34-K26)/K26*100</f>
        <v>-39.696701548053497</v>
      </c>
      <c r="L64" s="58">
        <f>(L34-L26)/L26*100</f>
        <v>-11.332600966352874</v>
      </c>
      <c r="M64" s="58">
        <f>(M34-M26)/M26*100</f>
        <v>13.373843193196059</v>
      </c>
    </row>
    <row r="65" spans="1:13">
      <c r="A65" s="229" t="s">
        <v>26</v>
      </c>
      <c r="B65" s="58"/>
      <c r="C65" s="58"/>
      <c r="D65" s="58"/>
      <c r="E65" s="58"/>
      <c r="F65" s="58"/>
      <c r="G65" s="58"/>
      <c r="H65" s="58"/>
      <c r="I65" s="58">
        <f>(I45-I34)/I34*100</f>
        <v>-2.4206248078543058</v>
      </c>
      <c r="J65" s="58">
        <f>(J45-J34)/J34*100</f>
        <v>-13.965915415843199</v>
      </c>
      <c r="K65" s="58">
        <f>(K45-K34)/K34*100</f>
        <v>-14.994110931481016</v>
      </c>
      <c r="L65" s="58">
        <f>(L45-L34)/L34*100</f>
        <v>14.823608671364788</v>
      </c>
      <c r="M65" s="58">
        <f>(M45-M34)/M34*100</f>
        <v>-22.080157037011279</v>
      </c>
    </row>
    <row r="66" spans="1:13">
      <c r="A66" s="229" t="s">
        <v>2028</v>
      </c>
      <c r="B66" s="31"/>
      <c r="C66" s="31"/>
      <c r="D66" s="31"/>
      <c r="E66" s="31"/>
      <c r="F66" s="31"/>
      <c r="G66" s="31"/>
      <c r="H66" s="31"/>
      <c r="I66" s="31">
        <f>(I57-I45)/I45*100</f>
        <v>-43.226803696668121</v>
      </c>
      <c r="J66" s="31">
        <f t="shared" ref="J66:M66" si="14">(J57-J45)/J45*100</f>
        <v>-61.521835771953512</v>
      </c>
      <c r="K66" s="31">
        <f t="shared" si="14"/>
        <v>-52.530061112874073</v>
      </c>
      <c r="L66" s="31">
        <f t="shared" si="14"/>
        <v>-50.101350255100499</v>
      </c>
      <c r="M66" s="31">
        <f t="shared" si="14"/>
        <v>-67.664753324186805</v>
      </c>
    </row>
    <row r="67" spans="1:13">
      <c r="A67" s="229"/>
    </row>
    <row r="68" spans="1:13">
      <c r="A68" s="64" t="s">
        <v>88</v>
      </c>
    </row>
    <row r="69" spans="1:13">
      <c r="A69" s="64" t="s">
        <v>62</v>
      </c>
    </row>
    <row r="70" spans="1:13">
      <c r="A70" s="64" t="s">
        <v>553</v>
      </c>
    </row>
  </sheetData>
  <mergeCells count="10">
    <mergeCell ref="H2:M2"/>
    <mergeCell ref="H3:H4"/>
    <mergeCell ref="J3:M3"/>
    <mergeCell ref="A1:M1"/>
    <mergeCell ref="B3:B4"/>
    <mergeCell ref="D3:G3"/>
    <mergeCell ref="B2:G2"/>
    <mergeCell ref="A3:A4"/>
    <mergeCell ref="C3:C4"/>
    <mergeCell ref="I3:I4"/>
  </mergeCells>
  <pageMargins left="0.7" right="0.7" top="0.75" bottom="0.75" header="0.3" footer="0.3"/>
  <pageSetup scale="50" orientation="portrait" horizontalDpi="0" verticalDpi="0" r:id="rId1"/>
</worksheet>
</file>

<file path=xl/worksheets/sheet55.xml><?xml version="1.0" encoding="utf-8"?>
<worksheet xmlns="http://schemas.openxmlformats.org/spreadsheetml/2006/main" xmlns:r="http://schemas.openxmlformats.org/officeDocument/2006/relationships">
  <sheetPr codeName="Sheet52"/>
  <dimension ref="A1:G48"/>
  <sheetViews>
    <sheetView view="pageBreakPreview" zoomScale="85" zoomScaleNormal="70"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2.28515625" style="64" customWidth="1"/>
    <col min="2" max="2" width="15.5703125" style="64" customWidth="1"/>
    <col min="3" max="7" width="16.28515625" style="64" customWidth="1"/>
    <col min="8" max="16384" width="9.140625" style="64"/>
  </cols>
  <sheetData>
    <row r="1" spans="1:7">
      <c r="A1" s="93" t="s">
        <v>1979</v>
      </c>
      <c r="B1" s="93"/>
      <c r="C1" s="93"/>
      <c r="D1" s="93"/>
      <c r="E1" s="93"/>
      <c r="F1" s="93"/>
      <c r="G1" s="93"/>
    </row>
    <row r="2" spans="1:7" ht="15" customHeight="1">
      <c r="A2" s="113"/>
      <c r="B2" s="123" t="s">
        <v>751</v>
      </c>
      <c r="C2" s="123" t="s">
        <v>938</v>
      </c>
      <c r="D2" s="159" t="s">
        <v>37</v>
      </c>
      <c r="E2" s="160"/>
      <c r="F2" s="160"/>
      <c r="G2" s="161"/>
    </row>
    <row r="3" spans="1:7" ht="45">
      <c r="A3" s="113"/>
      <c r="B3" s="126"/>
      <c r="C3" s="126"/>
      <c r="D3" s="72" t="s">
        <v>78</v>
      </c>
      <c r="E3" s="72" t="s">
        <v>750</v>
      </c>
      <c r="F3" s="72" t="s">
        <v>745</v>
      </c>
      <c r="G3" s="72" t="s">
        <v>678</v>
      </c>
    </row>
    <row r="4" spans="1:7" hidden="1" outlineLevel="1"/>
    <row r="5" spans="1:7" collapsed="1">
      <c r="A5" s="49">
        <v>1981</v>
      </c>
      <c r="B5" s="56">
        <f>'1a'!B7/'8'!G26*1000</f>
        <v>701.39333621690901</v>
      </c>
      <c r="C5" s="56">
        <f>'1a'!C7/'8'!H26*1000</f>
        <v>751.38844500446567</v>
      </c>
      <c r="D5" s="56" t="s">
        <v>22</v>
      </c>
      <c r="E5" s="56" t="s">
        <v>22</v>
      </c>
      <c r="F5" s="56">
        <f>'1a'!F7/'8'!K26*1000</f>
        <v>633.78193889851673</v>
      </c>
      <c r="G5" s="56">
        <f>'1a'!O7/'8'!L26*1000</f>
        <v>417.89036590615655</v>
      </c>
    </row>
    <row r="6" spans="1:7">
      <c r="A6" s="49">
        <v>1982</v>
      </c>
      <c r="B6" s="56">
        <f>'1a'!B8/'8'!G27*1000</f>
        <v>665.88093700808281</v>
      </c>
      <c r="C6" s="56">
        <f>'1a'!C8/'8'!H27*1000</f>
        <v>657.6163409528433</v>
      </c>
      <c r="D6" s="56" t="s">
        <v>22</v>
      </c>
      <c r="E6" s="56" t="s">
        <v>22</v>
      </c>
      <c r="F6" s="56">
        <f>'1a'!F8/'8'!K27*1000</f>
        <v>549.82093536400123</v>
      </c>
      <c r="G6" s="56">
        <f>'1a'!O8/'8'!L27*1000</f>
        <v>360.16389511614335</v>
      </c>
    </row>
    <row r="7" spans="1:7">
      <c r="A7" s="49">
        <v>1983</v>
      </c>
      <c r="B7" s="56">
        <f>'1a'!B9/'8'!G28*1000</f>
        <v>674.65833892816363</v>
      </c>
      <c r="C7" s="56">
        <f>'1a'!C9/'8'!H28*1000</f>
        <v>706.31749153769044</v>
      </c>
      <c r="D7" s="56" t="s">
        <v>22</v>
      </c>
      <c r="E7" s="56" t="s">
        <v>22</v>
      </c>
      <c r="F7" s="56">
        <f>'1a'!F9/'8'!K28*1000</f>
        <v>709.77197617360514</v>
      </c>
      <c r="G7" s="56">
        <f>'1a'!O9/'8'!L28*1000</f>
        <v>420.54773459010062</v>
      </c>
    </row>
    <row r="8" spans="1:7">
      <c r="A8" s="49">
        <v>1984</v>
      </c>
      <c r="B8" s="56">
        <f>'1a'!B10/'8'!G29*1000</f>
        <v>702.07944154413144</v>
      </c>
      <c r="C8" s="56">
        <f>'1a'!C10/'8'!H29*1000</f>
        <v>817.42081034364469</v>
      </c>
      <c r="D8" s="56" t="s">
        <v>22</v>
      </c>
      <c r="E8" s="56" t="s">
        <v>22</v>
      </c>
      <c r="F8" s="56">
        <f>'1a'!F10/'8'!K29*1000</f>
        <v>820.16960710758008</v>
      </c>
      <c r="G8" s="56">
        <f>'1a'!O10/'8'!L29*1000</f>
        <v>452.53225856704222</v>
      </c>
    </row>
    <row r="9" spans="1:7">
      <c r="A9" s="49">
        <v>1985</v>
      </c>
      <c r="B9" s="56">
        <f>'1a'!B11/'8'!G30*1000</f>
        <v>724.31976712751054</v>
      </c>
      <c r="C9" s="56">
        <f>'1a'!C11/'8'!H30*1000</f>
        <v>854.2300512245738</v>
      </c>
      <c r="D9" s="56" t="s">
        <v>22</v>
      </c>
      <c r="E9" s="56" t="s">
        <v>22</v>
      </c>
      <c r="F9" s="56">
        <f>'1a'!F11/'8'!K30*1000</f>
        <v>956.36228361932922</v>
      </c>
      <c r="G9" s="56">
        <f>'1a'!O11/'8'!L30*1000</f>
        <v>439.81039691867079</v>
      </c>
    </row>
    <row r="10" spans="1:7">
      <c r="A10" s="49">
        <v>1986</v>
      </c>
      <c r="B10" s="56">
        <f>'1a'!B12/'8'!G31*1000</f>
        <v>733.65445295075119</v>
      </c>
      <c r="C10" s="56">
        <f>'1a'!C12/'8'!H31*1000</f>
        <v>845.95185215444189</v>
      </c>
      <c r="D10" s="56">
        <f>'1a'!D12/'8'!I31*1000</f>
        <v>643.14684675776323</v>
      </c>
      <c r="E10" s="56">
        <f>'1a'!E12/'8'!J31*1000</f>
        <v>1056.5590848138083</v>
      </c>
      <c r="F10" s="56">
        <f>'1a'!F12/'8'!K31*1000</f>
        <v>963.43956593560165</v>
      </c>
      <c r="G10" s="56">
        <f>'1a'!O12/'8'!L31*1000</f>
        <v>451.46464521048716</v>
      </c>
    </row>
    <row r="11" spans="1:7">
      <c r="A11" s="49">
        <v>1987</v>
      </c>
      <c r="B11" s="56">
        <f>'1a'!B13/'8'!G32*1000</f>
        <v>749.72685643788009</v>
      </c>
      <c r="C11" s="56">
        <f>'1a'!C13/'8'!H32*1000</f>
        <v>865.52179453724295</v>
      </c>
      <c r="D11" s="56">
        <f>'1a'!D13/'8'!I32*1000</f>
        <v>688.25978566674883</v>
      </c>
      <c r="E11" s="56">
        <f>'1a'!E13/'8'!J32*1000</f>
        <v>1278.9844687358245</v>
      </c>
      <c r="F11" s="56">
        <f>'1a'!F13/'8'!K32*1000</f>
        <v>1044.9482127330295</v>
      </c>
      <c r="G11" s="56">
        <f>'1a'!O13/'8'!L32*1000</f>
        <v>448.389159243054</v>
      </c>
    </row>
    <row r="12" spans="1:7">
      <c r="A12" s="49">
        <v>1988</v>
      </c>
      <c r="B12" s="56">
        <f>'1a'!B14/'8'!G33*1000</f>
        <v>762.61479200736687</v>
      </c>
      <c r="C12" s="56">
        <f>'1a'!C14/'8'!H33*1000</f>
        <v>892.61395044466485</v>
      </c>
      <c r="D12" s="56">
        <f>'1a'!D14/'8'!I33*1000</f>
        <v>640.00992175616875</v>
      </c>
      <c r="E12" s="56">
        <f>'1a'!E14/'8'!J33*1000</f>
        <v>1271.8032627369021</v>
      </c>
      <c r="F12" s="56">
        <f>'1a'!F14/'8'!K33*1000</f>
        <v>976.07207566424574</v>
      </c>
      <c r="G12" s="56">
        <f>'1a'!O14/'8'!L33*1000</f>
        <v>410.82889993889876</v>
      </c>
    </row>
    <row r="13" spans="1:7">
      <c r="A13" s="49">
        <v>1989</v>
      </c>
      <c r="B13" s="56">
        <f>'1a'!B15/'8'!G34*1000</f>
        <v>760.3717453398317</v>
      </c>
      <c r="C13" s="56">
        <f>'1a'!C15/'8'!H34*1000</f>
        <v>866.21027094206602</v>
      </c>
      <c r="D13" s="56">
        <f>'1a'!D15/'8'!I34*1000</f>
        <v>553.81787878644525</v>
      </c>
      <c r="E13" s="56">
        <f>'1a'!E15/'8'!J34*1000</f>
        <v>1246.7325677428341</v>
      </c>
      <c r="F13" s="56">
        <f>'1a'!F15/'8'!K34*1000</f>
        <v>901.69541806315078</v>
      </c>
      <c r="G13" s="56">
        <f>'1a'!O15/'8'!L34*1000</f>
        <v>341.13098987017355</v>
      </c>
    </row>
    <row r="14" spans="1:7">
      <c r="A14" s="49">
        <v>1990</v>
      </c>
      <c r="B14" s="56">
        <f>'1a'!B16/'8'!G35*1000</f>
        <v>747.36008028062497</v>
      </c>
      <c r="C14" s="56">
        <f>'1a'!C16/'8'!H35*1000</f>
        <v>811.03180115726582</v>
      </c>
      <c r="D14" s="56">
        <f>'1a'!D16/'8'!I35*1000</f>
        <v>496.05960511808451</v>
      </c>
      <c r="E14" s="56">
        <f>'1a'!E16/'8'!J35*1000</f>
        <v>1101.6661874787687</v>
      </c>
      <c r="F14" s="56">
        <f>'1a'!F16/'8'!K35*1000</f>
        <v>831.05114303929156</v>
      </c>
      <c r="G14" s="56">
        <f>'1a'!O16/'8'!L35*1000</f>
        <v>315.04520891829679</v>
      </c>
    </row>
    <row r="15" spans="1:7">
      <c r="A15" s="49">
        <v>1991</v>
      </c>
      <c r="B15" s="56">
        <f>'1a'!B17/'8'!G36*1000</f>
        <v>723.38217931780457</v>
      </c>
      <c r="C15" s="56">
        <f>'1a'!C17/'8'!H36*1000</f>
        <v>745.47551175459364</v>
      </c>
      <c r="D15" s="56">
        <f>'1a'!D17/'8'!I36*1000</f>
        <v>450.78528160759021</v>
      </c>
      <c r="E15" s="56">
        <f>'1a'!E17/'8'!J36*1000</f>
        <v>1011.4843968821008</v>
      </c>
      <c r="F15" s="56">
        <f>'1a'!F17/'8'!K36*1000</f>
        <v>761.88391998405234</v>
      </c>
      <c r="G15" s="56">
        <f>'1a'!O17/'8'!L36*1000</f>
        <v>294.23220769536152</v>
      </c>
    </row>
    <row r="16" spans="1:7">
      <c r="A16" s="49">
        <v>1992</v>
      </c>
      <c r="B16" s="56">
        <f>'1a'!B18/'8'!G37*1000</f>
        <v>724.14341257981516</v>
      </c>
      <c r="C16" s="56">
        <f>'1a'!C18/'8'!H37*1000</f>
        <v>770.0824216702166</v>
      </c>
      <c r="D16" s="56">
        <f>'1a'!D18/'8'!I37*1000</f>
        <v>475.30863318925549</v>
      </c>
      <c r="E16" s="56">
        <f>'1a'!E18/'8'!J37*1000</f>
        <v>1053.5295185265691</v>
      </c>
      <c r="F16" s="56">
        <f>'1a'!F18/'8'!K37*1000</f>
        <v>819.04940016190722</v>
      </c>
      <c r="G16" s="56">
        <f>'1a'!O18/'8'!L37*1000</f>
        <v>308.31018851344868</v>
      </c>
    </row>
    <row r="17" spans="1:7">
      <c r="A17" s="49">
        <v>1993</v>
      </c>
      <c r="B17" s="56">
        <f>'1a'!B19/'8'!G38*1000</f>
        <v>738.07987845254934</v>
      </c>
      <c r="C17" s="56">
        <f>'1a'!C19/'8'!H38*1000</f>
        <v>830.73237121951661</v>
      </c>
      <c r="D17" s="56">
        <f>'1a'!D19/'8'!I38*1000</f>
        <v>521.26670060265758</v>
      </c>
      <c r="E17" s="56">
        <f>'1a'!E19/'8'!J38*1000</f>
        <v>1115.1167954438104</v>
      </c>
      <c r="F17" s="56">
        <f>'1a'!F19/'8'!K38*1000</f>
        <v>858.39388344891358</v>
      </c>
      <c r="G17" s="56">
        <f>'1a'!O19/'8'!L38*1000</f>
        <v>345.66248679743228</v>
      </c>
    </row>
    <row r="18" spans="1:7">
      <c r="A18" s="49">
        <v>1994</v>
      </c>
      <c r="B18" s="56">
        <f>'1a'!B20/'8'!G39*1000</f>
        <v>762.19527376632698</v>
      </c>
      <c r="C18" s="56">
        <f>'1a'!C20/'8'!H39*1000</f>
        <v>896.71604712877911</v>
      </c>
      <c r="D18" s="56">
        <f>'1a'!D20/'8'!I39*1000</f>
        <v>545.47488483257189</v>
      </c>
      <c r="E18" s="56">
        <f>'1a'!E20/'8'!J39*1000</f>
        <v>1128.5688200380823</v>
      </c>
      <c r="F18" s="56">
        <f>'1a'!F20/'8'!K39*1000</f>
        <v>812.69491615223751</v>
      </c>
      <c r="G18" s="56">
        <f>'1a'!O20/'8'!L39*1000</f>
        <v>377.54523060122688</v>
      </c>
    </row>
    <row r="19" spans="1:7">
      <c r="A19" s="49">
        <v>1995</v>
      </c>
      <c r="B19" s="56">
        <f>'1a'!B21/'8'!G40*1000</f>
        <v>773.94652536370199</v>
      </c>
      <c r="C19" s="56">
        <f>'1a'!C21/'8'!H40*1000</f>
        <v>935.65903353888723</v>
      </c>
      <c r="D19" s="56">
        <f>'1a'!D21/'8'!I40*1000</f>
        <v>521.06604606899862</v>
      </c>
      <c r="E19" s="56">
        <f>'1a'!E21/'8'!J40*1000</f>
        <v>1171.4240112877685</v>
      </c>
      <c r="F19" s="56">
        <f>'1a'!F21/'8'!K40*1000</f>
        <v>718.60332541774972</v>
      </c>
      <c r="G19" s="56">
        <f>'1a'!O21/'8'!L40*1000</f>
        <v>362.76128771617294</v>
      </c>
    </row>
    <row r="20" spans="1:7">
      <c r="A20" s="49">
        <v>1996</v>
      </c>
      <c r="B20" s="56">
        <f>'1a'!B22/'8'!G41*1000</f>
        <v>777.33607835084433</v>
      </c>
      <c r="C20" s="56">
        <f>'1a'!C22/'8'!H41*1000</f>
        <v>932.3666961314234</v>
      </c>
      <c r="D20" s="56">
        <f>'1a'!D22/'8'!I41*1000</f>
        <v>514.89963395569907</v>
      </c>
      <c r="E20" s="56">
        <f>'1a'!E22/'8'!J41*1000</f>
        <v>1084.8336076514256</v>
      </c>
      <c r="F20" s="56">
        <f>'1a'!F22/'8'!K41*1000</f>
        <v>720.73771492673723</v>
      </c>
      <c r="G20" s="56">
        <f>'1a'!O22/'8'!L41*1000</f>
        <v>366.07220038966125</v>
      </c>
    </row>
    <row r="21" spans="1:7">
      <c r="A21" s="49">
        <v>1997</v>
      </c>
      <c r="B21" s="56">
        <f>'1a'!B23/'8'!G42*1000</f>
        <v>794.17397602765379</v>
      </c>
      <c r="C21" s="56">
        <f>'1a'!C23/'8'!H42*1000</f>
        <v>973.75583571856248</v>
      </c>
      <c r="D21" s="56">
        <f>'1a'!D23/'8'!I42*1000</f>
        <v>555.28147369893827</v>
      </c>
      <c r="E21" s="56">
        <f>'1a'!E23/'8'!J42*1000</f>
        <v>1163.9972291435686</v>
      </c>
      <c r="F21" s="56">
        <f>'1a'!F23/'8'!K42*1000</f>
        <v>808.65274817973091</v>
      </c>
      <c r="G21" s="56">
        <f>'1a'!O23/'8'!L42*1000</f>
        <v>377.52885883104216</v>
      </c>
    </row>
    <row r="22" spans="1:7">
      <c r="A22" s="49">
        <v>1998</v>
      </c>
      <c r="B22" s="56">
        <f>'1a'!B24/'8'!G43*1000</f>
        <v>810.545556227975</v>
      </c>
      <c r="C22" s="56">
        <f>'1a'!C24/'8'!H43*1000</f>
        <v>1007.6212201017501</v>
      </c>
      <c r="D22" s="56">
        <f>'1a'!D24/'8'!I43*1000</f>
        <v>578.00949500770628</v>
      </c>
      <c r="E22" s="56">
        <f>'1a'!E24/'8'!J43*1000</f>
        <v>1188.5203044700695</v>
      </c>
      <c r="F22" s="56">
        <f>'1a'!F24/'8'!K43*1000</f>
        <v>852.89562641297857</v>
      </c>
      <c r="G22" s="56">
        <f>'1a'!O24/'8'!L43*1000</f>
        <v>384.07207030613625</v>
      </c>
    </row>
    <row r="23" spans="1:7">
      <c r="A23" s="49">
        <v>1999</v>
      </c>
      <c r="B23" s="56">
        <f>'1a'!B25/'8'!G44*1000</f>
        <v>840.41973344597761</v>
      </c>
      <c r="C23" s="56">
        <f>'1a'!C25/'8'!H44*1000</f>
        <v>1082.4394540845171</v>
      </c>
      <c r="D23" s="56">
        <f>'1a'!D25/'8'!I44*1000</f>
        <v>643.09345759280711</v>
      </c>
      <c r="E23" s="56">
        <f>'1a'!E25/'8'!J44*1000</f>
        <v>1231.8563850626188</v>
      </c>
      <c r="F23" s="56">
        <f>'1a'!F25/'8'!K44*1000</f>
        <v>921.5640817900005</v>
      </c>
      <c r="G23" s="56">
        <f>'1a'!O25/'8'!L44*1000</f>
        <v>442.95493878918796</v>
      </c>
    </row>
    <row r="24" spans="1:7">
      <c r="A24" s="49">
        <v>2000</v>
      </c>
      <c r="B24" s="56">
        <f>'1a'!B26/'8'!G45*1000</f>
        <v>870.48007052276239</v>
      </c>
      <c r="C24" s="56">
        <f>'1a'!C26/'8'!H45*1000</f>
        <v>1188.946762323262</v>
      </c>
      <c r="D24" s="56">
        <f>'1a'!D26/'8'!I45*1000</f>
        <v>691.70805255270943</v>
      </c>
      <c r="E24" s="56">
        <f>'1a'!E26/'8'!J45*1000</f>
        <v>1313.5325217514219</v>
      </c>
      <c r="F24" s="56">
        <f>'1a'!F26/'8'!K45*1000</f>
        <v>975.70200311871884</v>
      </c>
      <c r="G24" s="56">
        <f>'1a'!O26/'8'!L45*1000</f>
        <v>473.262389980786</v>
      </c>
    </row>
    <row r="25" spans="1:7">
      <c r="A25" s="49">
        <v>2001</v>
      </c>
      <c r="B25" s="56">
        <f>'1a'!B27/'8'!G46*1000</f>
        <v>868.1801502545444</v>
      </c>
      <c r="C25" s="56">
        <f>'1a'!C27/'8'!H46*1000</f>
        <v>1142.027496917189</v>
      </c>
      <c r="D25" s="56">
        <f>'1a'!D27/'8'!I46*1000</f>
        <v>691.82244579260441</v>
      </c>
      <c r="E25" s="56">
        <f>'1a'!E27/'8'!J46*1000</f>
        <v>1370.9353678862349</v>
      </c>
      <c r="F25" s="56">
        <f>'1a'!F27/'8'!K46*1000</f>
        <v>973.21098639602906</v>
      </c>
      <c r="G25" s="56">
        <f>'1a'!O27/'8'!L46*1000</f>
        <v>464.98568453930238</v>
      </c>
    </row>
    <row r="26" spans="1:7">
      <c r="A26" s="49">
        <v>2002</v>
      </c>
      <c r="B26" s="56">
        <f>'1a'!B28/'8'!G47*1000</f>
        <v>880.70910370405818</v>
      </c>
      <c r="C26" s="56">
        <f>'1a'!C28/'8'!H47*1000</f>
        <v>1167.1118539527683</v>
      </c>
      <c r="D26" s="56">
        <f>'1a'!D28/'8'!I47*1000</f>
        <v>780.97723594606032</v>
      </c>
      <c r="E26" s="56">
        <f>'1a'!E28/'8'!J47*1000</f>
        <v>1439.6044557303173</v>
      </c>
      <c r="F26" s="56">
        <f>'1a'!F28/'8'!K47*1000</f>
        <v>1140.6127324382576</v>
      </c>
      <c r="G26" s="56">
        <f>'1a'!O28/'8'!L47*1000</f>
        <v>517.87045642560224</v>
      </c>
    </row>
    <row r="27" spans="1:7">
      <c r="A27" s="49">
        <v>2003</v>
      </c>
      <c r="B27" s="56">
        <f>'1a'!B29/'8'!G48*1000</f>
        <v>885.50062597611566</v>
      </c>
      <c r="C27" s="56">
        <f>'1a'!C29/'8'!H48*1000</f>
        <v>1161.8880366794001</v>
      </c>
      <c r="D27" s="56">
        <f>'1a'!D29/'8'!I48*1000</f>
        <v>796.75187702502433</v>
      </c>
      <c r="E27" s="56">
        <f>'1a'!E29/'8'!J48*1000</f>
        <v>1429.9024344174759</v>
      </c>
      <c r="F27" s="56">
        <f>'1a'!F29/'8'!K48*1000</f>
        <v>1166.3466960907613</v>
      </c>
      <c r="G27" s="56">
        <f>'1a'!O29/'8'!L48*1000</f>
        <v>531.7485097662842</v>
      </c>
    </row>
    <row r="28" spans="1:7">
      <c r="A28" s="49">
        <v>2004</v>
      </c>
      <c r="B28" s="56">
        <f>'1a'!B30/'8'!G49*1000</f>
        <v>893.31211962657562</v>
      </c>
      <c r="C28" s="56">
        <f>'1a'!C30/'8'!H49*1000</f>
        <v>1194.1797005034243</v>
      </c>
      <c r="D28" s="56">
        <f>'1a'!D30/'8'!I49*1000</f>
        <v>849.25920579942124</v>
      </c>
      <c r="E28" s="56">
        <f>'1a'!E30/'8'!J49*1000</f>
        <v>1549.5530397522934</v>
      </c>
      <c r="F28" s="56">
        <f>'1a'!F30/'8'!K49*1000</f>
        <v>1196.9446187550056</v>
      </c>
      <c r="G28" s="56">
        <f>'1a'!O30/'8'!L49*1000</f>
        <v>566.79354834665037</v>
      </c>
    </row>
    <row r="29" spans="1:7">
      <c r="A29" s="49">
        <v>2005</v>
      </c>
      <c r="B29" s="56">
        <f>'1a'!B31/'8'!G50*1000</f>
        <v>893.71743096130467</v>
      </c>
      <c r="C29" s="56">
        <f>'1a'!C31/'8'!H50*1000</f>
        <v>1220.5973237960118</v>
      </c>
      <c r="D29" s="56">
        <f>'1a'!D31/'8'!I50*1000</f>
        <v>894.17805274208308</v>
      </c>
      <c r="E29" s="56">
        <f>'1a'!E31/'8'!J50*1000</f>
        <v>1585.2718935508628</v>
      </c>
      <c r="F29" s="56">
        <f>'1a'!F31/'8'!K50*1000</f>
        <v>1219.0926546986373</v>
      </c>
      <c r="G29" s="56">
        <f>'1a'!O31/'8'!L50*1000</f>
        <v>602.71030464642524</v>
      </c>
    </row>
    <row r="30" spans="1:7">
      <c r="A30" s="49">
        <v>2006</v>
      </c>
      <c r="B30" s="56">
        <f>'1a'!B32/'8'!G51*1000</f>
        <v>886.8144171824855</v>
      </c>
      <c r="C30" s="56">
        <f>'1a'!C32/'8'!H51*1000</f>
        <v>1210.2629846334648</v>
      </c>
      <c r="D30" s="56">
        <f>'1a'!D32/'8'!I51*1000</f>
        <v>872.49156072080427</v>
      </c>
      <c r="E30" s="56">
        <f>'1a'!E32/'8'!J51*1000</f>
        <v>1555.9392797715891</v>
      </c>
      <c r="F30" s="56">
        <f>'1a'!F32/'8'!K51*1000</f>
        <v>1191.2123293928919</v>
      </c>
      <c r="G30" s="56">
        <f>'1a'!O32/'8'!L51*1000</f>
        <v>569.17573840777868</v>
      </c>
    </row>
    <row r="31" spans="1:7">
      <c r="A31" s="49">
        <v>2007</v>
      </c>
      <c r="B31" s="56">
        <f>'1a'!B33/'8'!G52*1000</f>
        <v>879.91192254434088</v>
      </c>
      <c r="C31" s="56">
        <f>'1a'!C33/'8'!H52*1000</f>
        <v>1191.8500269784001</v>
      </c>
      <c r="D31" s="56">
        <f>'1a'!D33/'8'!I52*1000</f>
        <v>857.48742972707203</v>
      </c>
      <c r="E31" s="56">
        <f>'1a'!E33/'8'!J52*1000</f>
        <v>1489.9419181187136</v>
      </c>
      <c r="F31" s="56">
        <f>'1a'!F33/'8'!K52*1000</f>
        <v>1101.073744153869</v>
      </c>
      <c r="G31" s="56">
        <f>'1a'!O33/'8'!L52*1000</f>
        <v>602.8686979024435</v>
      </c>
    </row>
    <row r="32" spans="1:7">
      <c r="A32" s="49">
        <v>2008</v>
      </c>
      <c r="B32" s="56">
        <f>'1a'!B34/'8'!G53*1000</f>
        <v>861.04064104013537</v>
      </c>
      <c r="C32" s="56">
        <f>'1a'!C34/'8'!H53*1000</f>
        <v>1144.2814487861872</v>
      </c>
      <c r="D32" s="56">
        <f>'1a'!D34/'8'!I53*1000</f>
        <v>828.60114200498401</v>
      </c>
      <c r="E32" s="56">
        <f>'1a'!E34/'8'!J53*1000</f>
        <v>1459.3416337237227</v>
      </c>
      <c r="F32" s="56">
        <f>'1a'!F34/'8'!K53*1000</f>
        <v>1026.1682466437937</v>
      </c>
      <c r="G32" s="56">
        <f>'1a'!O34/'8'!L53*1000</f>
        <v>595.43224355815869</v>
      </c>
    </row>
    <row r="33" spans="1:7">
      <c r="A33" s="49">
        <v>2009</v>
      </c>
      <c r="B33" s="56">
        <f>'1a'!B35/'8'!G54*1000</f>
        <v>828.32403385077021</v>
      </c>
      <c r="C33" s="56">
        <f>'1a'!C35/'8'!H54*1000</f>
        <v>1038.4853532995262</v>
      </c>
      <c r="D33" s="56">
        <f>'1a'!D35/'8'!I54*1000</f>
        <v>735.81849039137364</v>
      </c>
      <c r="E33" s="56">
        <f>'1a'!E35/'8'!J54*1000</f>
        <v>1199.3350221659277</v>
      </c>
      <c r="F33" s="56">
        <f>'1a'!F35/'8'!K54*1000</f>
        <v>910.1616598283739</v>
      </c>
      <c r="G33" s="56">
        <f>'1a'!O35/'8'!L54*1000</f>
        <v>543.31954711903791</v>
      </c>
    </row>
    <row r="34" spans="1:7">
      <c r="A34" s="49">
        <v>2010</v>
      </c>
      <c r="B34" s="56">
        <f>'1a'!B36/'8'!G55*1000</f>
        <v>837.11164699732637</v>
      </c>
      <c r="C34" s="56">
        <f>'1a'!C36/'8'!H55*1000</f>
        <v>1132.7873094920021</v>
      </c>
      <c r="D34" s="56">
        <f>'1a'!D36/'8'!I55*1000</f>
        <v>847.38547731517076</v>
      </c>
      <c r="E34" s="56">
        <f>'1a'!E36/'8'!J55*1000</f>
        <v>1477.707536183663</v>
      </c>
      <c r="F34" s="56">
        <f>'1a'!F36/'8'!K55*1000</f>
        <v>1050.4406119911337</v>
      </c>
      <c r="G34" s="56">
        <f>'1a'!O36/'8'!L55*1000</f>
        <v>596.81169046828302</v>
      </c>
    </row>
    <row r="35" spans="1:7">
      <c r="A35" s="49">
        <v>2011</v>
      </c>
      <c r="B35" s="56">
        <f>'1a'!B37/'8'!G56*1000</f>
        <v>835.24070780493685</v>
      </c>
      <c r="C35" s="56">
        <f>'1a'!C37/'8'!H56*1000</f>
        <v>1160.3121881073928</v>
      </c>
      <c r="D35" s="56">
        <f>'1a'!D37/'8'!I56*1000</f>
        <v>891.73611540786362</v>
      </c>
      <c r="E35" s="56">
        <f>'1a'!E37/'8'!J56*1000</f>
        <v>1686.657974793568</v>
      </c>
      <c r="F35" s="56">
        <f>'1a'!F37/'8'!K56*1000</f>
        <v>1078.7421106303227</v>
      </c>
      <c r="G35" s="56">
        <f>'1a'!O37/'8'!L56*1000</f>
        <v>613.54567758947348</v>
      </c>
    </row>
    <row r="36" spans="1:7">
      <c r="A36" s="49">
        <v>2012</v>
      </c>
      <c r="B36" s="56">
        <f>'1a'!B38/'8'!G57*1000</f>
        <v>826.25735597838138</v>
      </c>
      <c r="C36" s="56">
        <f>'1a'!C38/'8'!H57*1000</f>
        <v>1179.3242003530131</v>
      </c>
      <c r="D36" s="56">
        <f>'1a'!D38/'8'!I57*1000</f>
        <v>916.3756210339908</v>
      </c>
      <c r="E36" s="56">
        <f>'1a'!E38/'8'!J57*1000</f>
        <v>1733.2720165555299</v>
      </c>
      <c r="F36" s="56">
        <f>'1a'!F38/'8'!K57*1000</f>
        <v>1128.6872951502696</v>
      </c>
      <c r="G36" s="56">
        <f>'1a'!O38/'8'!L57*1000</f>
        <v>614.65569969235253</v>
      </c>
    </row>
    <row r="37" spans="1:7">
      <c r="B37" s="56"/>
      <c r="C37" s="57"/>
      <c r="D37" s="57"/>
      <c r="E37" s="57"/>
      <c r="F37" s="57"/>
      <c r="G37" s="57"/>
    </row>
    <row r="38" spans="1:7">
      <c r="A38" s="66" t="s">
        <v>23</v>
      </c>
      <c r="B38" s="57"/>
      <c r="C38" s="57"/>
      <c r="D38" s="57"/>
      <c r="E38" s="57"/>
      <c r="F38" s="57"/>
      <c r="G38" s="57"/>
    </row>
    <row r="39" spans="1:7">
      <c r="A39" s="64" t="s">
        <v>2117</v>
      </c>
      <c r="B39" s="65">
        <f>IFERROR(((B36/B5)^(1/31)-1)*100,"n.a.")</f>
        <v>0.52990699259261032</v>
      </c>
      <c r="C39" s="65">
        <f>IFERROR(((C36/C5)^(1/31)-1)*100,"n.a.")</f>
        <v>1.4647335666795769</v>
      </c>
      <c r="D39" s="65" t="str">
        <f t="shared" ref="D39:G39" si="0">IFERROR(((D36/D5)^(1/31)-1)*100,"n.a.")</f>
        <v>n.a.</v>
      </c>
      <c r="E39" s="65" t="str">
        <f t="shared" si="0"/>
        <v>n.a.</v>
      </c>
      <c r="F39" s="65">
        <f t="shared" si="0"/>
        <v>1.8790673506484001</v>
      </c>
      <c r="G39" s="65">
        <f t="shared" si="0"/>
        <v>1.2524334181227559</v>
      </c>
    </row>
    <row r="40" spans="1:7">
      <c r="A40" s="64" t="s">
        <v>25</v>
      </c>
      <c r="B40" s="65">
        <f>IFERROR(((B13/B5)^(1/8)-1)*100,"n.a.")</f>
        <v>1.0143426205684092</v>
      </c>
      <c r="C40" s="65">
        <f t="shared" ref="C40:G40" si="1">IFERROR(((C13/C5)^(1/8)-1)*100,"n.a.")</f>
        <v>1.7934542934341824</v>
      </c>
      <c r="D40" s="65" t="str">
        <f t="shared" si="1"/>
        <v>n.a.</v>
      </c>
      <c r="E40" s="65" t="str">
        <f t="shared" si="1"/>
        <v>n.a.</v>
      </c>
      <c r="F40" s="65">
        <f t="shared" si="1"/>
        <v>4.5057052731036773</v>
      </c>
      <c r="G40" s="65">
        <f t="shared" si="1"/>
        <v>-2.504998132456604</v>
      </c>
    </row>
    <row r="41" spans="1:7">
      <c r="A41" s="64" t="s">
        <v>2119</v>
      </c>
      <c r="B41" s="65">
        <f>((B36/B13)^(1/23)-1)*100</f>
        <v>0.36195278436870204</v>
      </c>
      <c r="C41" s="65">
        <f t="shared" ref="C41:G41" si="2">((C36/C13)^(1/23)-1)*100</f>
        <v>1.350644926130995</v>
      </c>
      <c r="D41" s="65">
        <f t="shared" si="2"/>
        <v>2.2136696852240512</v>
      </c>
      <c r="E41" s="65">
        <f t="shared" si="2"/>
        <v>1.4428525766745359</v>
      </c>
      <c r="F41" s="65">
        <f t="shared" si="2"/>
        <v>0.9810144523133113</v>
      </c>
      <c r="G41" s="65">
        <f t="shared" si="2"/>
        <v>2.5930303951696709</v>
      </c>
    </row>
    <row r="42" spans="1:7">
      <c r="A42" s="64" t="s">
        <v>26</v>
      </c>
      <c r="B42" s="65">
        <f>((B24/B13)^(1/11)-1)*100</f>
        <v>1.2370195915179849</v>
      </c>
      <c r="C42" s="65">
        <f t="shared" ref="C42:G42" si="3">((C24/C13)^(1/11)-1)*100</f>
        <v>2.9208946468107344</v>
      </c>
      <c r="D42" s="65">
        <f t="shared" si="3"/>
        <v>2.0417282293217376</v>
      </c>
      <c r="E42" s="65">
        <f t="shared" si="3"/>
        <v>0.47561754357008379</v>
      </c>
      <c r="F42" s="65">
        <f t="shared" si="3"/>
        <v>0.71967206390786131</v>
      </c>
      <c r="G42" s="65">
        <f t="shared" si="3"/>
        <v>3.0209449102311492</v>
      </c>
    </row>
    <row r="43" spans="1:7" ht="15.75" customHeight="1">
      <c r="A43" s="64" t="s">
        <v>2028</v>
      </c>
      <c r="B43" s="65">
        <f>((B36/B24)^(1/12)-1)*100</f>
        <v>-0.43354555509717008</v>
      </c>
      <c r="C43" s="65">
        <f t="shared" ref="C43:G43" si="4">((C36/C24)^(1/12)-1)*100</f>
        <v>-6.7696064918543186E-2</v>
      </c>
      <c r="D43" s="65">
        <f t="shared" si="4"/>
        <v>2.3715371884146297</v>
      </c>
      <c r="E43" s="65">
        <f t="shared" si="4"/>
        <v>2.3376620959569605</v>
      </c>
      <c r="F43" s="65">
        <f t="shared" si="4"/>
        <v>1.2211739734583338</v>
      </c>
      <c r="G43" s="65">
        <f t="shared" si="4"/>
        <v>2.2023370118936514</v>
      </c>
    </row>
    <row r="44" spans="1:7" ht="15.75" customHeight="1">
      <c r="B44" s="65"/>
      <c r="C44" s="65"/>
      <c r="D44" s="65"/>
      <c r="E44" s="65"/>
      <c r="F44" s="65"/>
      <c r="G44" s="65"/>
    </row>
    <row r="45" spans="1:7">
      <c r="A45" s="104" t="s">
        <v>749</v>
      </c>
      <c r="B45" s="104"/>
      <c r="C45" s="104"/>
      <c r="D45" s="104"/>
      <c r="E45" s="104"/>
      <c r="F45" s="104"/>
      <c r="G45" s="104"/>
    </row>
    <row r="46" spans="1:7">
      <c r="A46" s="104" t="s">
        <v>62</v>
      </c>
      <c r="B46" s="104"/>
      <c r="C46" s="104"/>
      <c r="D46" s="104"/>
      <c r="E46" s="104"/>
      <c r="F46" s="104"/>
      <c r="G46" s="104"/>
    </row>
    <row r="47" spans="1:7">
      <c r="A47" s="130" t="s">
        <v>1028</v>
      </c>
      <c r="B47" s="130"/>
      <c r="C47" s="130"/>
      <c r="D47" s="130"/>
      <c r="E47" s="130"/>
      <c r="F47" s="130"/>
      <c r="G47" s="130"/>
    </row>
    <row r="48" spans="1:7" ht="30" customHeight="1">
      <c r="A48" s="104" t="s">
        <v>1029</v>
      </c>
      <c r="B48" s="104"/>
      <c r="C48" s="104"/>
      <c r="D48" s="104"/>
      <c r="E48" s="104"/>
      <c r="F48" s="104"/>
      <c r="G48" s="104"/>
    </row>
  </sheetData>
  <mergeCells count="8">
    <mergeCell ref="A48:G48"/>
    <mergeCell ref="D2:G2"/>
    <mergeCell ref="B2:B3"/>
    <mergeCell ref="A1:G1"/>
    <mergeCell ref="A45:G45"/>
    <mergeCell ref="A46:G46"/>
    <mergeCell ref="A2:A3"/>
    <mergeCell ref="C2:C3"/>
  </mergeCells>
  <pageMargins left="0.7" right="0.7" top="0.75" bottom="0.75" header="0.3" footer="0.3"/>
  <pageSetup scale="81" orientation="portrait" horizontalDpi="0" verticalDpi="0" r:id="rId1"/>
</worksheet>
</file>

<file path=xl/worksheets/sheet56.xml><?xml version="1.0" encoding="utf-8"?>
<worksheet xmlns="http://schemas.openxmlformats.org/spreadsheetml/2006/main" xmlns:r="http://schemas.openxmlformats.org/officeDocument/2006/relationships">
  <sheetPr codeName="Sheet53"/>
  <dimension ref="A1:G48"/>
  <sheetViews>
    <sheetView view="pageBreakPreview" zoomScale="85" zoomScaleNormal="70"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2.28515625" style="64" customWidth="1"/>
    <col min="2" max="3" width="14.42578125" style="64" customWidth="1"/>
    <col min="4" max="7" width="14.7109375" style="64" customWidth="1"/>
    <col min="8" max="16384" width="9.140625" style="64"/>
  </cols>
  <sheetData>
    <row r="1" spans="1:7">
      <c r="A1" s="93" t="s">
        <v>1980</v>
      </c>
      <c r="B1" s="93"/>
      <c r="C1" s="93"/>
      <c r="D1" s="93"/>
      <c r="E1" s="93"/>
      <c r="F1" s="93"/>
      <c r="G1" s="93"/>
    </row>
    <row r="2" spans="1:7" ht="15" customHeight="1">
      <c r="A2" s="113"/>
      <c r="B2" s="123" t="s">
        <v>751</v>
      </c>
      <c r="C2" s="123" t="s">
        <v>938</v>
      </c>
      <c r="D2" s="159" t="s">
        <v>37</v>
      </c>
      <c r="E2" s="160"/>
      <c r="F2" s="160"/>
      <c r="G2" s="161"/>
    </row>
    <row r="3" spans="1:7" ht="45">
      <c r="A3" s="113"/>
      <c r="B3" s="126"/>
      <c r="C3" s="126"/>
      <c r="D3" s="72" t="s">
        <v>78</v>
      </c>
      <c r="E3" s="72" t="s">
        <v>750</v>
      </c>
      <c r="F3" s="72" t="s">
        <v>745</v>
      </c>
      <c r="G3" s="72" t="s">
        <v>678</v>
      </c>
    </row>
    <row r="4" spans="1:7" hidden="1" outlineLevel="1"/>
    <row r="5" spans="1:7" collapsed="1">
      <c r="A5" s="49">
        <v>1981</v>
      </c>
      <c r="B5" s="147">
        <f>'8b'!B5/'8b'!B$31*100</f>
        <v>79.711766399160723</v>
      </c>
      <c r="C5" s="147">
        <f>'8b'!C5/'8b'!C$31*100</f>
        <v>63.043875319565103</v>
      </c>
      <c r="D5" s="147" t="s">
        <v>22</v>
      </c>
      <c r="E5" s="147" t="s">
        <v>22</v>
      </c>
      <c r="F5" s="147">
        <f>'8b'!F5/'8b'!F$31*100</f>
        <v>57.56035345167119</v>
      </c>
      <c r="G5" s="147">
        <f>'8b'!G5/'8b'!G$31*100</f>
        <v>69.316978532824706</v>
      </c>
    </row>
    <row r="6" spans="1:7">
      <c r="A6" s="49">
        <v>1982</v>
      </c>
      <c r="B6" s="147">
        <f>'8b'!B6/'8b'!B$31*100</f>
        <v>75.675862543449895</v>
      </c>
      <c r="C6" s="147">
        <f>'8b'!C6/'8b'!C$31*100</f>
        <v>55.17609817235514</v>
      </c>
      <c r="D6" s="147" t="s">
        <v>22</v>
      </c>
      <c r="E6" s="147" t="s">
        <v>22</v>
      </c>
      <c r="F6" s="147">
        <f>'8b'!F6/'8b'!F$31*100</f>
        <v>49.934978313965388</v>
      </c>
      <c r="G6" s="147">
        <f>'8b'!G6/'8b'!G$31*100</f>
        <v>59.741681127127485</v>
      </c>
    </row>
    <row r="7" spans="1:7">
      <c r="A7" s="49">
        <v>1983</v>
      </c>
      <c r="B7" s="147">
        <f>'8b'!B7/'8b'!B$31*100</f>
        <v>76.673394420811007</v>
      </c>
      <c r="C7" s="147">
        <f>'8b'!C7/'8b'!C$31*100</f>
        <v>59.262279275888375</v>
      </c>
      <c r="D7" s="147" t="s">
        <v>22</v>
      </c>
      <c r="E7" s="147" t="s">
        <v>22</v>
      </c>
      <c r="F7" s="147">
        <f>'8b'!F7/'8b'!F$31*100</f>
        <v>64.461801940344728</v>
      </c>
      <c r="G7" s="147">
        <f>'8b'!G7/'8b'!G$31*100</f>
        <v>69.757765837455025</v>
      </c>
    </row>
    <row r="8" spans="1:7">
      <c r="A8" s="49">
        <v>1984</v>
      </c>
      <c r="B8" s="147">
        <f>'8b'!B8/'8b'!B$31*100</f>
        <v>79.789740717912821</v>
      </c>
      <c r="C8" s="147">
        <f>'8b'!C8/'8b'!C$31*100</f>
        <v>68.584200347419952</v>
      </c>
      <c r="D8" s="147" t="s">
        <v>22</v>
      </c>
      <c r="E8" s="147" t="s">
        <v>22</v>
      </c>
      <c r="F8" s="147">
        <f>'8b'!F8/'8b'!F$31*100</f>
        <v>74.488163164570551</v>
      </c>
      <c r="G8" s="147">
        <f>'8b'!G8/'8b'!G$31*100</f>
        <v>75.063153907564669</v>
      </c>
    </row>
    <row r="9" spans="1:7">
      <c r="A9" s="49">
        <v>1985</v>
      </c>
      <c r="B9" s="147">
        <f>'8b'!B9/'8b'!B$31*100</f>
        <v>82.31730342203771</v>
      </c>
      <c r="C9" s="147">
        <f>'8b'!C9/'8b'!C$31*100</f>
        <v>71.672612483823443</v>
      </c>
      <c r="D9" s="147" t="s">
        <v>22</v>
      </c>
      <c r="E9" s="147" t="s">
        <v>22</v>
      </c>
      <c r="F9" s="147">
        <f>'8b'!F9/'8b'!F$31*100</f>
        <v>86.857241733091655</v>
      </c>
      <c r="G9" s="147">
        <f>'8b'!G9/'8b'!G$31*100</f>
        <v>72.952932943591165</v>
      </c>
    </row>
    <row r="10" spans="1:7">
      <c r="A10" s="49">
        <v>1986</v>
      </c>
      <c r="B10" s="147">
        <f>'8b'!B10/'8b'!B$31*100</f>
        <v>83.378169354647042</v>
      </c>
      <c r="C10" s="147">
        <f>'8b'!C10/'8b'!C$31*100</f>
        <v>70.978045308193217</v>
      </c>
      <c r="D10" s="147">
        <f>'8b'!D10/'8b'!D$31*100</f>
        <v>75.003647221099115</v>
      </c>
      <c r="E10" s="147">
        <f>'8b'!E10/'8b'!E$31*100</f>
        <v>70.912769951991194</v>
      </c>
      <c r="F10" s="147">
        <f>'8b'!F10/'8b'!F$31*100</f>
        <v>87.500003614741189</v>
      </c>
      <c r="G10" s="147">
        <f>'8b'!G10/'8b'!G$31*100</f>
        <v>74.886065038915547</v>
      </c>
    </row>
    <row r="11" spans="1:7">
      <c r="A11" s="49">
        <v>1987</v>
      </c>
      <c r="B11" s="147">
        <f>'8b'!B11/'8b'!B$31*100</f>
        <v>85.204761661824108</v>
      </c>
      <c r="C11" s="147">
        <f>'8b'!C11/'8b'!C$31*100</f>
        <v>72.620025585897707</v>
      </c>
      <c r="D11" s="147">
        <f>'8b'!D11/'8b'!D$31*100</f>
        <v>80.264708473430758</v>
      </c>
      <c r="E11" s="147">
        <f>'8b'!E11/'8b'!E$31*100</f>
        <v>85.841229995780239</v>
      </c>
      <c r="F11" s="147">
        <f>'8b'!F11/'8b'!F$31*100</f>
        <v>94.902654638816259</v>
      </c>
      <c r="G11" s="147">
        <f>'8b'!G11/'8b'!G$31*100</f>
        <v>74.375923116116496</v>
      </c>
    </row>
    <row r="12" spans="1:7">
      <c r="A12" s="49">
        <v>1988</v>
      </c>
      <c r="B12" s="147">
        <f>'8b'!B12/'8b'!B$31*100</f>
        <v>86.669446392111695</v>
      </c>
      <c r="C12" s="147">
        <f>'8b'!C12/'8b'!C$31*100</f>
        <v>74.893143452589911</v>
      </c>
      <c r="D12" s="147">
        <f>'8b'!D12/'8b'!D$31*100</f>
        <v>74.637819700736159</v>
      </c>
      <c r="E12" s="147">
        <f>'8b'!E12/'8b'!E$31*100</f>
        <v>85.359251073542126</v>
      </c>
      <c r="F12" s="147">
        <f>'8b'!F12/'8b'!F$31*100</f>
        <v>88.647293684613103</v>
      </c>
      <c r="G12" s="147">
        <f>'8b'!G12/'8b'!G$31*100</f>
        <v>68.145667766180708</v>
      </c>
    </row>
    <row r="13" spans="1:7">
      <c r="A13" s="49">
        <v>1989</v>
      </c>
      <c r="B13" s="147">
        <f>'8b'!B13/'8b'!B$31*100</f>
        <v>86.414529211190995</v>
      </c>
      <c r="C13" s="147">
        <f>'8b'!C13/'8b'!C$31*100</f>
        <v>72.677790941373559</v>
      </c>
      <c r="D13" s="147">
        <f>'8b'!D13/'8b'!D$31*100</f>
        <v>64.586122150235937</v>
      </c>
      <c r="E13" s="147">
        <f>'8b'!E13/'8b'!E$31*100</f>
        <v>83.676588501988746</v>
      </c>
      <c r="F13" s="147">
        <f>'8b'!F13/'8b'!F$31*100</f>
        <v>81.892373045010487</v>
      </c>
      <c r="G13" s="147">
        <f>'8b'!G13/'8b'!G$31*100</f>
        <v>56.584624654932</v>
      </c>
    </row>
    <row r="14" spans="1:7">
      <c r="A14" s="49">
        <v>1990</v>
      </c>
      <c r="B14" s="147">
        <f>'8b'!B14/'8b'!B$31*100</f>
        <v>84.935782904221725</v>
      </c>
      <c r="C14" s="147">
        <f>'8b'!C14/'8b'!C$31*100</f>
        <v>68.048142199015459</v>
      </c>
      <c r="D14" s="147">
        <f>'8b'!D14/'8b'!D$31*100</f>
        <v>57.850364672514708</v>
      </c>
      <c r="E14" s="147">
        <f>'8b'!E14/'8b'!E$31*100</f>
        <v>73.940210291539145</v>
      </c>
      <c r="F14" s="147">
        <f>'8b'!F14/'8b'!F$31*100</f>
        <v>75.476429026824263</v>
      </c>
      <c r="G14" s="147">
        <f>'8b'!G14/'8b'!G$31*100</f>
        <v>52.257682313649923</v>
      </c>
    </row>
    <row r="15" spans="1:7">
      <c r="A15" s="49">
        <v>1991</v>
      </c>
      <c r="B15" s="147">
        <f>'8b'!B15/'8b'!B$31*100</f>
        <v>82.210748687900818</v>
      </c>
      <c r="C15" s="147">
        <f>'8b'!C15/'8b'!C$31*100</f>
        <v>62.547761453220474</v>
      </c>
      <c r="D15" s="147">
        <f>'8b'!D15/'8b'!D$31*100</f>
        <v>52.570482782595398</v>
      </c>
      <c r="E15" s="147">
        <f>'8b'!E15/'8b'!E$31*100</f>
        <v>67.88750518270264</v>
      </c>
      <c r="F15" s="147">
        <f>'8b'!F15/'8b'!F$31*100</f>
        <v>69.194631515760065</v>
      </c>
      <c r="G15" s="147">
        <f>'8b'!G15/'8b'!G$31*100</f>
        <v>48.805354917095784</v>
      </c>
    </row>
    <row r="16" spans="1:7">
      <c r="A16" s="49">
        <v>1992</v>
      </c>
      <c r="B16" s="147">
        <f>'8b'!B16/'8b'!B$31*100</f>
        <v>82.297261126533243</v>
      </c>
      <c r="C16" s="147">
        <f>'8b'!C16/'8b'!C$31*100</f>
        <v>64.612359293437578</v>
      </c>
      <c r="D16" s="147">
        <f>'8b'!D16/'8b'!D$31*100</f>
        <v>55.430390780252083</v>
      </c>
      <c r="E16" s="147">
        <f>'8b'!E16/'8b'!E$31*100</f>
        <v>70.709435429323037</v>
      </c>
      <c r="F16" s="147">
        <f>'8b'!F16/'8b'!F$31*100</f>
        <v>74.386425478823298</v>
      </c>
      <c r="G16" s="147">
        <f>'8b'!G16/'8b'!G$31*100</f>
        <v>51.140520246970858</v>
      </c>
    </row>
    <row r="17" spans="1:7">
      <c r="A17" s="49">
        <v>1993</v>
      </c>
      <c r="B17" s="147">
        <f>'8b'!B17/'8b'!B$31*100</f>
        <v>83.881108954442624</v>
      </c>
      <c r="C17" s="147">
        <f>'8b'!C17/'8b'!C$31*100</f>
        <v>69.701082553616629</v>
      </c>
      <c r="D17" s="147">
        <f>'8b'!D17/'8b'!D$31*100</f>
        <v>60.790010737366785</v>
      </c>
      <c r="E17" s="147">
        <f>'8b'!E17/'8b'!E$31*100</f>
        <v>74.84297084894564</v>
      </c>
      <c r="F17" s="147">
        <f>'8b'!F17/'8b'!F$31*100</f>
        <v>77.959708694039819</v>
      </c>
      <c r="G17" s="147">
        <f>'8b'!G17/'8b'!G$31*100</f>
        <v>57.336280354261739</v>
      </c>
    </row>
    <row r="18" spans="1:7">
      <c r="A18" s="49">
        <v>1994</v>
      </c>
      <c r="B18" s="147">
        <f>'8b'!B18/'8b'!B$31*100</f>
        <v>86.621769092794409</v>
      </c>
      <c r="C18" s="147">
        <f>'8b'!C18/'8b'!C$31*100</f>
        <v>75.237322383769197</v>
      </c>
      <c r="D18" s="147">
        <f>'8b'!D18/'8b'!D$31*100</f>
        <v>63.613163986111147</v>
      </c>
      <c r="E18" s="147">
        <f>'8b'!E18/'8b'!E$31*100</f>
        <v>75.745826485845726</v>
      </c>
      <c r="F18" s="147">
        <f>'8b'!F18/'8b'!F$31*100</f>
        <v>73.809308456152579</v>
      </c>
      <c r="G18" s="147">
        <f>'8b'!G18/'8b'!G$31*100</f>
        <v>62.624785780853628</v>
      </c>
    </row>
    <row r="19" spans="1:7">
      <c r="A19" s="49">
        <v>1995</v>
      </c>
      <c r="B19" s="147">
        <f>'8b'!B19/'8b'!B$31*100</f>
        <v>87.957272260360924</v>
      </c>
      <c r="C19" s="147">
        <f>'8b'!C19/'8b'!C$31*100</f>
        <v>78.504762542229159</v>
      </c>
      <c r="D19" s="147">
        <f>'8b'!D19/'8b'!D$31*100</f>
        <v>60.766610448720826</v>
      </c>
      <c r="E19" s="147">
        <f>'8b'!E19/'8b'!E$31*100</f>
        <v>78.62212593943768</v>
      </c>
      <c r="F19" s="147">
        <f>'8b'!F19/'8b'!F$31*100</f>
        <v>65.263868949119981</v>
      </c>
      <c r="G19" s="147">
        <f>'8b'!G19/'8b'!G$31*100</f>
        <v>60.172519982929209</v>
      </c>
    </row>
    <row r="20" spans="1:7">
      <c r="A20" s="49">
        <v>1996</v>
      </c>
      <c r="B20" s="147">
        <f>'8b'!B20/'8b'!B$31*100</f>
        <v>88.342487291581449</v>
      </c>
      <c r="C20" s="147">
        <f>'8b'!C20/'8b'!C$31*100</f>
        <v>78.22852498440399</v>
      </c>
      <c r="D20" s="147">
        <f>'8b'!D20/'8b'!D$31*100</f>
        <v>60.04748479165292</v>
      </c>
      <c r="E20" s="147">
        <f>'8b'!E20/'8b'!E$31*100</f>
        <v>72.810462908594374</v>
      </c>
      <c r="F20" s="147">
        <f>'8b'!F20/'8b'!F$31*100</f>
        <v>65.457715139742547</v>
      </c>
      <c r="G20" s="147">
        <f>'8b'!G20/'8b'!G$31*100</f>
        <v>60.721712980510269</v>
      </c>
    </row>
    <row r="21" spans="1:7">
      <c r="A21" s="49">
        <v>1997</v>
      </c>
      <c r="B21" s="147">
        <f>'8b'!B21/'8b'!B$31*100</f>
        <v>90.256076282184196</v>
      </c>
      <c r="C21" s="147">
        <f>'8b'!C21/'8b'!C$31*100</f>
        <v>81.701205158105836</v>
      </c>
      <c r="D21" s="147">
        <f>'8b'!D21/'8b'!D$31*100</f>
        <v>64.756806274778597</v>
      </c>
      <c r="E21" s="147">
        <f>'8b'!E21/'8b'!E$31*100</f>
        <v>78.123664754213934</v>
      </c>
      <c r="F21" s="147">
        <f>'8b'!F21/'8b'!F$31*100</f>
        <v>73.442196989371325</v>
      </c>
      <c r="G21" s="147">
        <f>'8b'!G21/'8b'!G$31*100</f>
        <v>62.622070136428619</v>
      </c>
    </row>
    <row r="22" spans="1:7">
      <c r="A22" s="49">
        <v>1998</v>
      </c>
      <c r="B22" s="147">
        <f>'8b'!B22/'8b'!B$31*100</f>
        <v>92.11666934620149</v>
      </c>
      <c r="C22" s="147">
        <f>'8b'!C22/'8b'!C$31*100</f>
        <v>84.542618391031098</v>
      </c>
      <c r="D22" s="147">
        <f>'8b'!D22/'8b'!D$31*100</f>
        <v>67.407343241367371</v>
      </c>
      <c r="E22" s="147">
        <f>'8b'!E22/'8b'!E$31*100</f>
        <v>79.76957289521485</v>
      </c>
      <c r="F22" s="147">
        <f>'8b'!F22/'8b'!F$31*100</f>
        <v>77.460354580373235</v>
      </c>
      <c r="G22" s="147">
        <f>'8b'!G22/'8b'!G$31*100</f>
        <v>63.707416165814436</v>
      </c>
    </row>
    <row r="23" spans="1:7">
      <c r="A23" s="49">
        <v>1999</v>
      </c>
      <c r="B23" s="147">
        <f>'8b'!B23/'8b'!B$31*100</f>
        <v>95.511802023983478</v>
      </c>
      <c r="C23" s="147">
        <f>'8b'!C23/'8b'!C$31*100</f>
        <v>90.820105682989109</v>
      </c>
      <c r="D23" s="147">
        <f>'8b'!D23/'8b'!D$31*100</f>
        <v>74.997420988141599</v>
      </c>
      <c r="E23" s="147">
        <f>'8b'!E23/'8b'!E$31*100</f>
        <v>82.678148059491576</v>
      </c>
      <c r="F23" s="147">
        <f>'8b'!F23/'8b'!F$31*100</f>
        <v>83.696853792312112</v>
      </c>
      <c r="G23" s="147">
        <f>'8b'!G23/'8b'!G$31*100</f>
        <v>73.474529417493017</v>
      </c>
    </row>
    <row r="24" spans="1:7">
      <c r="A24" s="49">
        <v>2000</v>
      </c>
      <c r="B24" s="147">
        <f>'8b'!B24/'8b'!B$31*100</f>
        <v>98.928091348699368</v>
      </c>
      <c r="C24" s="147">
        <f>'8b'!C24/'8b'!C$31*100</f>
        <v>99.756406880948063</v>
      </c>
      <c r="D24" s="147">
        <f>'8b'!D24/'8b'!D$31*100</f>
        <v>80.666844617520724</v>
      </c>
      <c r="E24" s="147">
        <f>'8b'!E24/'8b'!E$31*100</f>
        <v>88.159981659551107</v>
      </c>
      <c r="F24" s="147">
        <f>'8b'!F24/'8b'!F$31*100</f>
        <v>88.613683533840572</v>
      </c>
      <c r="G24" s="147">
        <f>'8b'!G24/'8b'!G$31*100</f>
        <v>78.501735390708504</v>
      </c>
    </row>
    <row r="25" spans="1:7">
      <c r="A25" s="49">
        <v>2001</v>
      </c>
      <c r="B25" s="147">
        <f>'8b'!B25/'8b'!B$31*100</f>
        <v>98.666710611685644</v>
      </c>
      <c r="C25" s="147">
        <f>'8b'!C25/'8b'!C$31*100</f>
        <v>95.81973159932528</v>
      </c>
      <c r="D25" s="147">
        <f>'8b'!D25/'8b'!D$31*100</f>
        <v>80.680185132603427</v>
      </c>
      <c r="E25" s="147">
        <f>'8b'!E25/'8b'!E$31*100</f>
        <v>92.012671850809909</v>
      </c>
      <c r="F25" s="147">
        <f>'8b'!F25/'8b'!F$31*100</f>
        <v>88.387448303374327</v>
      </c>
      <c r="G25" s="147">
        <f>'8b'!G25/'8b'!G$31*100</f>
        <v>77.128848480129022</v>
      </c>
    </row>
    <row r="26" spans="1:7">
      <c r="A26" s="49">
        <v>2002</v>
      </c>
      <c r="B26" s="147">
        <f>'8b'!B26/'8b'!B$31*100</f>
        <v>100.0905978359075</v>
      </c>
      <c r="C26" s="147">
        <f>'8b'!C26/'8b'!C$31*100</f>
        <v>97.924388768245578</v>
      </c>
      <c r="D26" s="147">
        <f>'8b'!D26/'8b'!D$31*100</f>
        <v>91.077397623733802</v>
      </c>
      <c r="E26" s="147">
        <f>'8b'!E26/'8b'!E$31*100</f>
        <v>96.621515122417975</v>
      </c>
      <c r="F26" s="147">
        <f>'8b'!F26/'8b'!F$31*100</f>
        <v>103.59094824432242</v>
      </c>
      <c r="G26" s="147">
        <f>'8b'!G26/'8b'!G$31*100</f>
        <v>85.901035868577196</v>
      </c>
    </row>
    <row r="27" spans="1:7">
      <c r="A27" s="49">
        <v>2003</v>
      </c>
      <c r="B27" s="147">
        <f>'8b'!B27/'8b'!B$31*100</f>
        <v>100.63514350568346</v>
      </c>
      <c r="C27" s="147">
        <f>'8b'!C27/'8b'!C$31*100</f>
        <v>97.486093919470704</v>
      </c>
      <c r="D27" s="147">
        <f>'8b'!D27/'8b'!D$31*100</f>
        <v>92.91703288042612</v>
      </c>
      <c r="E27" s="147">
        <f>'8b'!E27/'8b'!E$31*100</f>
        <v>95.970347369174831</v>
      </c>
      <c r="F27" s="147">
        <f>'8b'!F27/'8b'!F$31*100</f>
        <v>105.92811810139492</v>
      </c>
      <c r="G27" s="147">
        <f>'8b'!G27/'8b'!G$31*100</f>
        <v>88.203038508450135</v>
      </c>
    </row>
    <row r="28" spans="1:7">
      <c r="A28" s="49">
        <v>2004</v>
      </c>
      <c r="B28" s="147">
        <f>'8b'!B28/'8b'!B$31*100</f>
        <v>101.52290209268753</v>
      </c>
      <c r="C28" s="147">
        <f>'8b'!C28/'8b'!C$31*100</f>
        <v>100.19546700275122</v>
      </c>
      <c r="D28" s="147">
        <f>'8b'!D28/'8b'!D$31*100</f>
        <v>99.040426291698552</v>
      </c>
      <c r="E28" s="147">
        <f>'8b'!E28/'8b'!E$31*100</f>
        <v>104.00090237805031</v>
      </c>
      <c r="F28" s="147">
        <f>'8b'!F28/'8b'!F$31*100</f>
        <v>108.70703484758957</v>
      </c>
      <c r="G28" s="147">
        <f>'8b'!G28/'8b'!G$31*100</f>
        <v>94.016085147344825</v>
      </c>
    </row>
    <row r="29" spans="1:7">
      <c r="A29" s="49">
        <v>2005</v>
      </c>
      <c r="B29" s="147">
        <f>'8b'!B29/'8b'!B$31*100</f>
        <v>101.56896480923272</v>
      </c>
      <c r="C29" s="147">
        <f>'8b'!C29/'8b'!C$31*100</f>
        <v>102.41198944220291</v>
      </c>
      <c r="D29" s="147">
        <f>'8b'!D29/'8b'!D$31*100</f>
        <v>104.27885258057827</v>
      </c>
      <c r="E29" s="147">
        <f>'8b'!E29/'8b'!E$31*100</f>
        <v>106.39823433872633</v>
      </c>
      <c r="F29" s="147">
        <f>'8b'!F29/'8b'!F$31*100</f>
        <v>110.71852917857568</v>
      </c>
      <c r="G29" s="147">
        <f>'8b'!G29/'8b'!G$31*100</f>
        <v>99.973726740736524</v>
      </c>
    </row>
    <row r="30" spans="1:7">
      <c r="A30" s="49">
        <v>2006</v>
      </c>
      <c r="B30" s="147">
        <f>'8b'!B30/'8b'!B$31*100</f>
        <v>100.78445290503457</v>
      </c>
      <c r="C30" s="147">
        <f>'8b'!C30/'8b'!C$31*100</f>
        <v>101.54490558696764</v>
      </c>
      <c r="D30" s="147">
        <f>'8b'!D30/'8b'!D$31*100</f>
        <v>101.74977853593819</v>
      </c>
      <c r="E30" s="147">
        <f>'8b'!E30/'8b'!E$31*100</f>
        <v>104.42952579897931</v>
      </c>
      <c r="F30" s="147">
        <f>'8b'!F30/'8b'!F$31*100</f>
        <v>108.18642581549256</v>
      </c>
      <c r="G30" s="147">
        <f>'8b'!G30/'8b'!G$31*100</f>
        <v>94.411227583735482</v>
      </c>
    </row>
    <row r="31" spans="1:7">
      <c r="A31" s="49">
        <v>2007</v>
      </c>
      <c r="B31" s="147">
        <f>'8b'!B31/'8b'!B$31*100</f>
        <v>100</v>
      </c>
      <c r="C31" s="147">
        <f>'8b'!C31/'8b'!C$31*100</f>
        <v>100</v>
      </c>
      <c r="D31" s="147">
        <f>'8b'!D31/'8b'!D$31*100</f>
        <v>100</v>
      </c>
      <c r="E31" s="147">
        <f>'8b'!E31/'8b'!E$31*100</f>
        <v>100</v>
      </c>
      <c r="F31" s="147">
        <f>'8b'!F31/'8b'!F$31*100</f>
        <v>100</v>
      </c>
      <c r="G31" s="147">
        <f>'8b'!G31/'8b'!G$31*100</f>
        <v>100</v>
      </c>
    </row>
    <row r="32" spans="1:7">
      <c r="A32" s="49">
        <v>2008</v>
      </c>
      <c r="B32" s="147">
        <f>'8b'!B32/'8b'!B$31*100</f>
        <v>97.855321536087658</v>
      </c>
      <c r="C32" s="147">
        <f>'8b'!C32/'8b'!C$31*100</f>
        <v>96.0088453148078</v>
      </c>
      <c r="D32" s="147">
        <f>'8b'!D32/'8b'!D$31*100</f>
        <v>96.631287326126497</v>
      </c>
      <c r="E32" s="147">
        <f>'8b'!E32/'8b'!E$31*100</f>
        <v>97.946209578851992</v>
      </c>
      <c r="F32" s="147">
        <f>'8b'!F32/'8b'!F$31*100</f>
        <v>93.197049888094725</v>
      </c>
      <c r="G32" s="147">
        <f>'8b'!G32/'8b'!G$31*100</f>
        <v>98.766488562076887</v>
      </c>
    </row>
    <row r="33" spans="1:7">
      <c r="A33" s="49">
        <v>2009</v>
      </c>
      <c r="B33" s="147">
        <f>'8b'!B33/'8b'!B$31*100</f>
        <v>94.137153120462344</v>
      </c>
      <c r="C33" s="147">
        <f>'8b'!C33/'8b'!C$31*100</f>
        <v>87.132217124021309</v>
      </c>
      <c r="D33" s="147">
        <f>'8b'!D33/'8b'!D$31*100</f>
        <v>85.810994410212615</v>
      </c>
      <c r="E33" s="147">
        <f>'8b'!E33/'8b'!E$31*100</f>
        <v>80.495421169187395</v>
      </c>
      <c r="F33" s="147">
        <f>'8b'!F33/'8b'!F$31*100</f>
        <v>82.661280832538296</v>
      </c>
      <c r="G33" s="147">
        <f>'8b'!G33/'8b'!G$31*100</f>
        <v>90.122368105925133</v>
      </c>
    </row>
    <row r="34" spans="1:7">
      <c r="A34" s="49">
        <v>2010</v>
      </c>
      <c r="B34" s="147">
        <f>'8b'!B34/'8b'!B$31*100</f>
        <v>95.135845480618812</v>
      </c>
      <c r="C34" s="147">
        <f>'8b'!C34/'8b'!C$31*100</f>
        <v>95.044450547512682</v>
      </c>
      <c r="D34" s="147">
        <f>'8b'!D34/'8b'!D$31*100</f>
        <v>98.821912478050365</v>
      </c>
      <c r="E34" s="147">
        <f>'8b'!E34/'8b'!E$31*100</f>
        <v>99.178868532640635</v>
      </c>
      <c r="F34" s="147">
        <f>'8b'!F34/'8b'!F$31*100</f>
        <v>95.401476746533007</v>
      </c>
      <c r="G34" s="147">
        <f>'8b'!G34/'8b'!G$31*100</f>
        <v>98.995302384211598</v>
      </c>
    </row>
    <row r="35" spans="1:7">
      <c r="A35" s="49">
        <v>2011</v>
      </c>
      <c r="B35" s="147">
        <f>'8b'!B35/'8b'!B$31*100</f>
        <v>94.923217472695072</v>
      </c>
      <c r="C35" s="147">
        <f>'8b'!C35/'8b'!C$31*100</f>
        <v>97.353875222794372</v>
      </c>
      <c r="D35" s="147">
        <f>'8b'!D35/'8b'!D$31*100</f>
        <v>103.99407437280948</v>
      </c>
      <c r="E35" s="147">
        <f>'8b'!E35/'8b'!E$31*100</f>
        <v>113.20293457635178</v>
      </c>
      <c r="F35" s="147">
        <f>'8b'!F35/'8b'!F$31*100</f>
        <v>97.971831256342668</v>
      </c>
      <c r="G35" s="147">
        <f>'8b'!G35/'8b'!G$31*100</f>
        <v>101.77102903570518</v>
      </c>
    </row>
    <row r="36" spans="1:7">
      <c r="A36" s="49">
        <v>2012</v>
      </c>
      <c r="B36" s="147">
        <f>'8b'!B36/'8b'!B$31*100</f>
        <v>93.902279854236696</v>
      </c>
      <c r="C36" s="147">
        <f>'8b'!C36/'8b'!C$31*100</f>
        <v>98.949043391210651</v>
      </c>
      <c r="D36" s="147">
        <f>'8b'!D36/'8b'!D$31*100</f>
        <v>106.8675282301995</v>
      </c>
      <c r="E36" s="147">
        <f>'8b'!E36/'8b'!E$31*100</f>
        <v>116.33151571062979</v>
      </c>
      <c r="F36" s="147">
        <f>'8b'!F36/'8b'!F$31*100</f>
        <v>102.50787480339207</v>
      </c>
      <c r="G36" s="147">
        <f>'8b'!G36/'8b'!G$31*100</f>
        <v>101.9551523956907</v>
      </c>
    </row>
    <row r="37" spans="1:7">
      <c r="B37" s="57"/>
      <c r="C37" s="57"/>
      <c r="D37" s="57"/>
      <c r="E37" s="57"/>
      <c r="F37" s="57"/>
      <c r="G37" s="57"/>
    </row>
    <row r="38" spans="1:7">
      <c r="A38" s="66" t="s">
        <v>23</v>
      </c>
      <c r="B38" s="57"/>
      <c r="C38" s="57"/>
      <c r="D38" s="57"/>
      <c r="E38" s="57"/>
      <c r="F38" s="57"/>
      <c r="G38" s="57"/>
    </row>
    <row r="39" spans="1:7">
      <c r="A39" s="64" t="s">
        <v>2117</v>
      </c>
      <c r="B39" s="65">
        <f>IFERROR(((B36/B5)^(1/31)-1)*100,"n.a.")</f>
        <v>0.52990699259261032</v>
      </c>
      <c r="C39" s="65">
        <f>IFERROR(((C36/C5)^(1/31)-1)*100,"n.a.")</f>
        <v>1.4647335666795769</v>
      </c>
      <c r="D39" s="65" t="str">
        <f t="shared" ref="D39:G39" si="0">IFERROR(((D36/D5)^(1/31)-1)*100,"n.a.")</f>
        <v>n.a.</v>
      </c>
      <c r="E39" s="65" t="str">
        <f t="shared" si="0"/>
        <v>n.a.</v>
      </c>
      <c r="F39" s="65">
        <f t="shared" si="0"/>
        <v>1.8790673506484001</v>
      </c>
      <c r="G39" s="65">
        <f t="shared" si="0"/>
        <v>1.2524334181227559</v>
      </c>
    </row>
    <row r="40" spans="1:7">
      <c r="A40" s="64" t="s">
        <v>25</v>
      </c>
      <c r="B40" s="65">
        <f>IFERROR(((B13/B5)^(1/8)-1)*100,"n.a.")</f>
        <v>1.0143426205684092</v>
      </c>
      <c r="C40" s="65">
        <f t="shared" ref="C40:G40" si="1">IFERROR(((C13/C5)^(1/8)-1)*100,"n.a.")</f>
        <v>1.7934542934341824</v>
      </c>
      <c r="D40" s="65" t="str">
        <f t="shared" si="1"/>
        <v>n.a.</v>
      </c>
      <c r="E40" s="65" t="str">
        <f t="shared" si="1"/>
        <v>n.a.</v>
      </c>
      <c r="F40" s="65">
        <f t="shared" si="1"/>
        <v>4.5057052731036773</v>
      </c>
      <c r="G40" s="65">
        <f t="shared" si="1"/>
        <v>-2.5049981324566151</v>
      </c>
    </row>
    <row r="41" spans="1:7">
      <c r="A41" s="64" t="s">
        <v>2119</v>
      </c>
      <c r="B41" s="65">
        <f>((B36/B13)^(1/23)-1)*100</f>
        <v>0.36195278436870204</v>
      </c>
      <c r="C41" s="65">
        <f t="shared" ref="C41:G41" si="2">((C36/C13)^(1/23)-1)*100</f>
        <v>1.350644926130995</v>
      </c>
      <c r="D41" s="65">
        <f t="shared" si="2"/>
        <v>2.2136696852240512</v>
      </c>
      <c r="E41" s="65">
        <f t="shared" si="2"/>
        <v>1.4428525766745359</v>
      </c>
      <c r="F41" s="65">
        <f t="shared" si="2"/>
        <v>0.9810144523133113</v>
      </c>
      <c r="G41" s="65">
        <f t="shared" si="2"/>
        <v>2.5930303951696709</v>
      </c>
    </row>
    <row r="42" spans="1:7">
      <c r="A42" s="64" t="s">
        <v>26</v>
      </c>
      <c r="B42" s="65">
        <f>((B24/B13)^(1/11)-1)*100</f>
        <v>1.2370195915179849</v>
      </c>
      <c r="C42" s="65">
        <f t="shared" ref="C42:G42" si="3">((C24/C13)^(1/11)-1)*100</f>
        <v>2.9208946468107344</v>
      </c>
      <c r="D42" s="65">
        <f t="shared" si="3"/>
        <v>2.0417282293217376</v>
      </c>
      <c r="E42" s="65">
        <f t="shared" si="3"/>
        <v>0.47561754357008379</v>
      </c>
      <c r="F42" s="65">
        <f t="shared" si="3"/>
        <v>0.71967206390786131</v>
      </c>
      <c r="G42" s="65">
        <f t="shared" si="3"/>
        <v>3.0209449102311492</v>
      </c>
    </row>
    <row r="43" spans="1:7">
      <c r="A43" s="64" t="s">
        <v>2028</v>
      </c>
      <c r="B43" s="65">
        <f>((B36/B24)^(1/12)-1)*100</f>
        <v>-0.43354555509717008</v>
      </c>
      <c r="C43" s="65">
        <f t="shared" ref="C43:G43" si="4">((C36/C24)^(1/12)-1)*100</f>
        <v>-6.7696064918554288E-2</v>
      </c>
      <c r="D43" s="65">
        <f t="shared" si="4"/>
        <v>2.3715371884146297</v>
      </c>
      <c r="E43" s="65">
        <f t="shared" si="4"/>
        <v>2.3376620959569605</v>
      </c>
      <c r="F43" s="65">
        <f t="shared" si="4"/>
        <v>1.2211739734583116</v>
      </c>
      <c r="G43" s="65">
        <f t="shared" si="4"/>
        <v>2.2023370118936514</v>
      </c>
    </row>
    <row r="45" spans="1:7">
      <c r="A45" s="104" t="s">
        <v>768</v>
      </c>
      <c r="B45" s="104"/>
      <c r="C45" s="104"/>
      <c r="D45" s="104"/>
      <c r="E45" s="104"/>
      <c r="F45" s="104"/>
      <c r="G45" s="104"/>
    </row>
    <row r="46" spans="1:7">
      <c r="A46" s="104" t="s">
        <v>62</v>
      </c>
      <c r="B46" s="104"/>
      <c r="C46" s="104"/>
      <c r="D46" s="104"/>
      <c r="E46" s="104"/>
      <c r="F46" s="104"/>
      <c r="G46" s="104"/>
    </row>
    <row r="47" spans="1:7">
      <c r="A47" s="232" t="s">
        <v>1028</v>
      </c>
      <c r="B47" s="232"/>
      <c r="C47" s="232"/>
      <c r="D47" s="232"/>
      <c r="E47" s="232"/>
      <c r="F47" s="232"/>
      <c r="G47" s="232"/>
    </row>
    <row r="48" spans="1:7" ht="30" customHeight="1">
      <c r="A48" s="104" t="s">
        <v>553</v>
      </c>
      <c r="B48" s="104"/>
      <c r="C48" s="104"/>
      <c r="D48" s="104"/>
      <c r="E48" s="104"/>
      <c r="F48" s="104"/>
      <c r="G48" s="104"/>
    </row>
  </sheetData>
  <mergeCells count="9">
    <mergeCell ref="A48:G48"/>
    <mergeCell ref="A1:G1"/>
    <mergeCell ref="A2:A3"/>
    <mergeCell ref="B2:B3"/>
    <mergeCell ref="D2:G2"/>
    <mergeCell ref="A45:G45"/>
    <mergeCell ref="A46:G46"/>
    <mergeCell ref="A47:G47"/>
    <mergeCell ref="C2:C3"/>
  </mergeCells>
  <pageMargins left="0.7" right="0.7" top="0.75" bottom="0.75" header="0.3" footer="0.3"/>
  <pageSetup scale="89" orientation="portrait" horizontalDpi="0" verticalDpi="0" r:id="rId1"/>
</worksheet>
</file>

<file path=xl/worksheets/sheet57.xml><?xml version="1.0" encoding="utf-8"?>
<worksheet xmlns="http://schemas.openxmlformats.org/spreadsheetml/2006/main" xmlns:r="http://schemas.openxmlformats.org/officeDocument/2006/relationships">
  <sheetPr codeName="Sheet54"/>
  <dimension ref="A1:G47"/>
  <sheetViews>
    <sheetView view="pageBreakPreview" zoomScale="85" zoomScaleNormal="7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cols>
    <col min="1" max="1" width="12.28515625" style="64" customWidth="1"/>
    <col min="2" max="3" width="14" style="64" customWidth="1"/>
    <col min="4" max="7" width="14.7109375" style="64" customWidth="1"/>
    <col min="8" max="16384" width="9.140625" style="64"/>
  </cols>
  <sheetData>
    <row r="1" spans="1:7">
      <c r="A1" s="93" t="s">
        <v>1981</v>
      </c>
      <c r="B1" s="93"/>
      <c r="C1" s="93"/>
      <c r="D1" s="93"/>
      <c r="E1" s="93"/>
      <c r="F1" s="93"/>
      <c r="G1" s="93"/>
    </row>
    <row r="2" spans="1:7" ht="15" customHeight="1">
      <c r="A2" s="113"/>
      <c r="B2" s="123" t="s">
        <v>751</v>
      </c>
      <c r="C2" s="123" t="s">
        <v>938</v>
      </c>
      <c r="D2" s="159" t="s">
        <v>37</v>
      </c>
      <c r="E2" s="160"/>
      <c r="F2" s="160"/>
      <c r="G2" s="161"/>
    </row>
    <row r="3" spans="1:7" ht="45">
      <c r="A3" s="113"/>
      <c r="B3" s="126"/>
      <c r="C3" s="126"/>
      <c r="D3" s="72" t="s">
        <v>78</v>
      </c>
      <c r="E3" s="72" t="s">
        <v>750</v>
      </c>
      <c r="F3" s="72" t="s">
        <v>745</v>
      </c>
      <c r="G3" s="72" t="s">
        <v>678</v>
      </c>
    </row>
    <row r="4" spans="1:7">
      <c r="A4" s="49">
        <v>1981</v>
      </c>
      <c r="B4" s="147">
        <f>IFERROR(100-'6a'!B25,"..")</f>
        <v>41.32632083390115</v>
      </c>
      <c r="C4" s="147">
        <f>IFERROR(100-'6a'!C25,"..")</f>
        <v>32.223643565610331</v>
      </c>
      <c r="D4" s="147">
        <f>IFERROR(100-'6a'!D25,"..")</f>
        <v>23.751326959543491</v>
      </c>
      <c r="E4" s="147">
        <f>IFERROR(100-'6a'!E25,"..")</f>
        <v>-0.30140296558580815</v>
      </c>
      <c r="F4" s="147">
        <f>IFERROR(100-'6a'!F25,"..")</f>
        <v>12.148092618205609</v>
      </c>
      <c r="G4" s="147">
        <f>IFERROR(100-'6a'!G25,"..")</f>
        <v>36.157810889368193</v>
      </c>
    </row>
    <row r="5" spans="1:7">
      <c r="A5" s="49">
        <v>1982</v>
      </c>
      <c r="B5" s="147">
        <f>IFERROR(100-'6a'!B26,"..")</f>
        <v>40.622948491176025</v>
      </c>
      <c r="C5" s="147">
        <f>IFERROR(100-'6a'!C26,"..")</f>
        <v>26.623767800652615</v>
      </c>
      <c r="D5" s="147">
        <f>IFERROR(100-'6a'!D26,"..")</f>
        <v>16.942947181906561</v>
      </c>
      <c r="E5" s="147">
        <f>IFERROR(100-'6a'!E26,"..")</f>
        <v>-6.751415439223976</v>
      </c>
      <c r="F5" s="147">
        <f>IFERROR(100-'6a'!F26,"..")</f>
        <v>23.726587395701799</v>
      </c>
      <c r="G5" s="147">
        <f>IFERROR(100-'6a'!G26,"..")</f>
        <v>19.981883481021683</v>
      </c>
    </row>
    <row r="6" spans="1:7">
      <c r="A6" s="49">
        <v>1983</v>
      </c>
      <c r="B6" s="147">
        <f>IFERROR(100-'6a'!B27,"..")</f>
        <v>42.648376529994913</v>
      </c>
      <c r="C6" s="147">
        <f>IFERROR(100-'6a'!C27,"..")</f>
        <v>31.396872767308963</v>
      </c>
      <c r="D6" s="147">
        <f>IFERROR(100-'6a'!D27,"..")</f>
        <v>17.750984197134272</v>
      </c>
      <c r="E6" s="147">
        <f>IFERROR(100-'6a'!E27,"..")</f>
        <v>8.5862713589069557</v>
      </c>
      <c r="F6" s="147">
        <f>IFERROR(100-'6a'!F27,"..")</f>
        <v>18.498142788562504</v>
      </c>
      <c r="G6" s="147">
        <f>IFERROR(100-'6a'!G27,"..")</f>
        <v>19.045709958335678</v>
      </c>
    </row>
    <row r="7" spans="1:7">
      <c r="A7" s="49">
        <v>1984</v>
      </c>
      <c r="B7" s="147">
        <f>IFERROR(100-'6a'!B28,"..")</f>
        <v>43.445117784735643</v>
      </c>
      <c r="C7" s="147">
        <f>IFERROR(100-'6a'!C28,"..")</f>
        <v>36.227679705596358</v>
      </c>
      <c r="D7" s="147">
        <f>IFERROR(100-'6a'!D28,"..")</f>
        <v>22.746104809851019</v>
      </c>
      <c r="E7" s="147">
        <f>IFERROR(100-'6a'!E28,"..")</f>
        <v>3.5108401187858789</v>
      </c>
      <c r="F7" s="147">
        <f>IFERROR(100-'6a'!F28,"..")</f>
        <v>17.419027548523758</v>
      </c>
      <c r="G7" s="147">
        <f>IFERROR(100-'6a'!G28,"..")</f>
        <v>31.202619768424583</v>
      </c>
    </row>
    <row r="8" spans="1:7">
      <c r="A8" s="49">
        <v>1985</v>
      </c>
      <c r="B8" s="147">
        <f>IFERROR(100-'6a'!B29,"..")</f>
        <v>43.303937582593562</v>
      </c>
      <c r="C8" s="147">
        <f>IFERROR(100-'6a'!C29,"..")</f>
        <v>36.782434303189667</v>
      </c>
      <c r="D8" s="147">
        <f>IFERROR(100-'6a'!D29,"..")</f>
        <v>22.006663243702249</v>
      </c>
      <c r="E8" s="147">
        <f>IFERROR(100-'6a'!E29,"..")</f>
        <v>2.3399250281323987</v>
      </c>
      <c r="F8" s="147">
        <f>IFERROR(100-'6a'!F29,"..")</f>
        <v>22.606707538698174</v>
      </c>
      <c r="G8" s="147">
        <f>IFERROR(100-'6a'!G29,"..")</f>
        <v>27.606895629793954</v>
      </c>
    </row>
    <row r="9" spans="1:7">
      <c r="A9" s="49">
        <v>1986</v>
      </c>
      <c r="B9" s="147">
        <f>IFERROR(100-'6a'!B30,"..")</f>
        <v>42.266356611785916</v>
      </c>
      <c r="C9" s="147">
        <f>IFERROR(100-'6a'!C30,"..")</f>
        <v>37.497416281910724</v>
      </c>
      <c r="D9" s="147">
        <f>IFERROR(100-'6a'!D30,"..")</f>
        <v>28.762333401515207</v>
      </c>
      <c r="E9" s="147">
        <f>IFERROR(100-'6a'!E30,"..")</f>
        <v>4.5025925056641825</v>
      </c>
      <c r="F9" s="147">
        <f>IFERROR(100-'6a'!F30,"..")</f>
        <v>31.395746129421866</v>
      </c>
      <c r="G9" s="147">
        <f>IFERROR(100-'6a'!G30,"..")</f>
        <v>34.251233766514517</v>
      </c>
    </row>
    <row r="10" spans="1:7">
      <c r="A10" s="49">
        <v>1987</v>
      </c>
      <c r="B10" s="147">
        <f>IFERROR(100-'6a'!B31,"..")</f>
        <v>42.202233919225954</v>
      </c>
      <c r="C10" s="147">
        <f>IFERROR(100-'6a'!C31,"..")</f>
        <v>39.249101903992475</v>
      </c>
      <c r="D10" s="147">
        <f>IFERROR(100-'6a'!D31,"..")</f>
        <v>36.845680538845336</v>
      </c>
      <c r="E10" s="147">
        <f>IFERROR(100-'6a'!E31,"..")</f>
        <v>16.859084188940855</v>
      </c>
      <c r="F10" s="147">
        <f>IFERROR(100-'6a'!F31,"..")</f>
        <v>33.931131371893088</v>
      </c>
      <c r="G10" s="147">
        <f>IFERROR(100-'6a'!G31,"..")</f>
        <v>44.466933273497155</v>
      </c>
    </row>
    <row r="11" spans="1:7">
      <c r="A11" s="49">
        <v>1988</v>
      </c>
      <c r="B11" s="147">
        <f>IFERROR(100-'6a'!B32,"..")</f>
        <v>41.859618187499592</v>
      </c>
      <c r="C11" s="147">
        <f>IFERROR(100-'6a'!C32,"..")</f>
        <v>40.504072427951165</v>
      </c>
      <c r="D11" s="147">
        <f>IFERROR(100-'6a'!D32,"..")</f>
        <v>38.212621571217717</v>
      </c>
      <c r="E11" s="147">
        <f>IFERROR(100-'6a'!E32,"..")</f>
        <v>24.124174709588658</v>
      </c>
      <c r="F11" s="147">
        <f>IFERROR(100-'6a'!F32,"..")</f>
        <v>25.014203689644248</v>
      </c>
      <c r="G11" s="147">
        <f>IFERROR(100-'6a'!G32,"..")</f>
        <v>48.147233384294509</v>
      </c>
    </row>
    <row r="12" spans="1:7">
      <c r="A12" s="49">
        <v>1989</v>
      </c>
      <c r="B12" s="147">
        <f>IFERROR(100-'6a'!B33,"..")</f>
        <v>41.320128639224166</v>
      </c>
      <c r="C12" s="147">
        <f>IFERROR(100-'6a'!C33,"..")</f>
        <v>38.960624011090609</v>
      </c>
      <c r="D12" s="147">
        <f>IFERROR(100-'6a'!D33,"..")</f>
        <v>34.921726607140442</v>
      </c>
      <c r="E12" s="147">
        <f>IFERROR(100-'6a'!E33,"..")</f>
        <v>22.224227238873411</v>
      </c>
      <c r="F12" s="147">
        <f>IFERROR(100-'6a'!F33,"..")</f>
        <v>24.972043904320515</v>
      </c>
      <c r="G12" s="147">
        <f>IFERROR(100-'6a'!G33,"..")</f>
        <v>43.335062982041528</v>
      </c>
    </row>
    <row r="13" spans="1:7">
      <c r="A13" s="49">
        <v>1990</v>
      </c>
      <c r="B13" s="147">
        <f>IFERROR(100-'6a'!B34,"..")</f>
        <v>40.641726866810757</v>
      </c>
      <c r="C13" s="147">
        <f>IFERROR(100-'6a'!C34,"..")</f>
        <v>36.508925296578788</v>
      </c>
      <c r="D13" s="147">
        <f>IFERROR(100-'6a'!D34,"..")</f>
        <v>26.268887376851239</v>
      </c>
      <c r="E13" s="147">
        <f>IFERROR(100-'6a'!E34,"..")</f>
        <v>16.237430669178735</v>
      </c>
      <c r="F13" s="147">
        <f>IFERROR(100-'6a'!F34,"..")</f>
        <v>16.895597158378294</v>
      </c>
      <c r="G13" s="147">
        <f>IFERROR(100-'6a'!G34,"..")</f>
        <v>33.465075207840798</v>
      </c>
    </row>
    <row r="14" spans="1:7">
      <c r="A14" s="49">
        <v>1991</v>
      </c>
      <c r="B14" s="147">
        <f>IFERROR(100-'6a'!B35,"..")</f>
        <v>39.459584952292495</v>
      </c>
      <c r="C14" s="147">
        <f>IFERROR(100-'6a'!C35,"..")</f>
        <v>33.336998035204331</v>
      </c>
      <c r="D14" s="147">
        <f>IFERROR(100-'6a'!D35,"..")</f>
        <v>11.652494061864758</v>
      </c>
      <c r="E14" s="147">
        <f>IFERROR(100-'6a'!E35,"..")</f>
        <v>5.7004658251618991</v>
      </c>
      <c r="F14" s="147">
        <f>IFERROR(100-'6a'!F35,"..")</f>
        <v>11.595182874864193</v>
      </c>
      <c r="G14" s="147">
        <f>IFERROR(100-'6a'!G35,"..")</f>
        <v>12.130106664059454</v>
      </c>
    </row>
    <row r="15" spans="1:7">
      <c r="A15" s="49">
        <v>1992</v>
      </c>
      <c r="B15" s="147">
        <f>IFERROR(100-'6a'!B36,"..")</f>
        <v>39.202905092171235</v>
      </c>
      <c r="C15" s="147">
        <f>IFERROR(100-'6a'!C36,"..")</f>
        <v>32.062458820478412</v>
      </c>
      <c r="D15" s="147">
        <f>IFERROR(100-'6a'!D36,"..")</f>
        <v>12.977524497572219</v>
      </c>
      <c r="E15" s="147">
        <f>IFERROR(100-'6a'!E36,"..")</f>
        <v>15.412675709741478</v>
      </c>
      <c r="F15" s="147">
        <f>IFERROR(100-'6a'!F36,"..")</f>
        <v>21.446697607549908</v>
      </c>
      <c r="G15" s="147">
        <f>IFERROR(100-'6a'!G36,"..")</f>
        <v>2.9224069747941286</v>
      </c>
    </row>
    <row r="16" spans="1:7">
      <c r="A16" s="49">
        <v>1993</v>
      </c>
      <c r="B16" s="147">
        <f>IFERROR(100-'6a'!B37,"..")</f>
        <v>40.079111763581011</v>
      </c>
      <c r="C16" s="147">
        <f>IFERROR(100-'6a'!C37,"..")</f>
        <v>35.532719923671976</v>
      </c>
      <c r="D16" s="147">
        <f>IFERROR(100-'6a'!D37,"..")</f>
        <v>25.859846262583702</v>
      </c>
      <c r="E16" s="147">
        <f>IFERROR(100-'6a'!E37,"..")</f>
        <v>27.040771883688194</v>
      </c>
      <c r="F16" s="147">
        <f>IFERROR(100-'6a'!F37,"..")</f>
        <v>40.010609133628542</v>
      </c>
      <c r="G16" s="147">
        <f>IFERROR(100-'6a'!G37,"..")</f>
        <v>8.2824079537618331</v>
      </c>
    </row>
    <row r="17" spans="1:7">
      <c r="A17" s="49">
        <v>1994</v>
      </c>
      <c r="B17" s="147">
        <f>IFERROR(100-'6a'!B38,"..")</f>
        <v>42.090519583670641</v>
      </c>
      <c r="C17" s="147">
        <f>IFERROR(100-'6a'!C38,"..")</f>
        <v>41.208125778784755</v>
      </c>
      <c r="D17" s="147">
        <f>IFERROR(100-'6a'!D38,"..")</f>
        <v>36.866613555307126</v>
      </c>
      <c r="E17" s="147">
        <f>IFERROR(100-'6a'!E38,"..")</f>
        <v>31.361514166383415</v>
      </c>
      <c r="F17" s="147">
        <f>IFERROR(100-'6a'!F38,"..")</f>
        <v>49.396552542255336</v>
      </c>
      <c r="G17" s="147">
        <f>IFERROR(100-'6a'!G38,"..")</f>
        <v>25.394784007050632</v>
      </c>
    </row>
    <row r="18" spans="1:7">
      <c r="A18" s="49">
        <v>1995</v>
      </c>
      <c r="B18" s="147">
        <f>IFERROR(100-'6a'!B39,"..")</f>
        <v>43.095244210559379</v>
      </c>
      <c r="C18" s="147">
        <f>IFERROR(100-'6a'!C39,"..")</f>
        <v>44.990800530760765</v>
      </c>
      <c r="D18" s="147">
        <f>IFERROR(100-'6a'!D39,"..")</f>
        <v>46.519151567362606</v>
      </c>
      <c r="E18" s="147">
        <f>IFERROR(100-'6a'!E39,"..")</f>
        <v>28.615846066011358</v>
      </c>
      <c r="F18" s="147">
        <f>IFERROR(100-'6a'!F39,"..")</f>
        <v>39.328307055874788</v>
      </c>
      <c r="G18" s="147">
        <f>IFERROR(100-'6a'!G39,"..")</f>
        <v>55.580377774811993</v>
      </c>
    </row>
    <row r="19" spans="1:7">
      <c r="A19" s="49">
        <v>1996</v>
      </c>
      <c r="B19" s="147">
        <f>IFERROR(100-'6a'!B40,"..")</f>
        <v>43.404149572086389</v>
      </c>
      <c r="C19" s="147">
        <f>IFERROR(100-'6a'!C40,"..")</f>
        <v>43.668215208209816</v>
      </c>
      <c r="D19" s="147">
        <f>IFERROR(100-'6a'!D40,"..")</f>
        <v>41.65495315279508</v>
      </c>
      <c r="E19" s="147">
        <f>IFERROR(100-'6a'!E40,"..")</f>
        <v>27.777573432658087</v>
      </c>
      <c r="F19" s="147">
        <f>IFERROR(100-'6a'!F40,"..")</f>
        <v>40.908522452569485</v>
      </c>
      <c r="G19" s="147">
        <f>IFERROR(100-'6a'!G40,"..")</f>
        <v>46.706085413881567</v>
      </c>
    </row>
    <row r="20" spans="1:7">
      <c r="A20" s="49">
        <v>1997</v>
      </c>
      <c r="B20" s="147">
        <f>IFERROR(100-'6a'!B41,"..")</f>
        <v>43.034687334940145</v>
      </c>
      <c r="C20" s="147">
        <f>IFERROR(100-'6a'!C41,"..")</f>
        <v>43.601224502813928</v>
      </c>
      <c r="D20" s="147">
        <f>IFERROR(100-'6a'!D41,"..")</f>
        <v>40.051762991340944</v>
      </c>
      <c r="E20" s="147">
        <f>IFERROR(100-'6a'!E41,"..")</f>
        <v>31.116954258051621</v>
      </c>
      <c r="F20" s="147">
        <f>IFERROR(100-'6a'!F41,"..")</f>
        <v>43.938750569906759</v>
      </c>
      <c r="G20" s="147">
        <f>IFERROR(100-'6a'!G41,"..")</f>
        <v>40.0355313635268</v>
      </c>
    </row>
    <row r="21" spans="1:7">
      <c r="A21" s="49">
        <v>1998</v>
      </c>
      <c r="B21" s="147">
        <f>IFERROR(100-'6a'!B42,"..")</f>
        <v>42.249945706041828</v>
      </c>
      <c r="C21" s="147">
        <f>IFERROR(100-'6a'!C42,"..")</f>
        <v>43.864326896893466</v>
      </c>
      <c r="D21" s="147">
        <f>IFERROR(100-'6a'!D42,"..")</f>
        <v>43.39546097497913</v>
      </c>
      <c r="E21" s="147">
        <f>IFERROR(100-'6a'!E42,"..")</f>
        <v>38.009059673610714</v>
      </c>
      <c r="F21" s="147">
        <f>IFERROR(100-'6a'!F42,"..")</f>
        <v>43.589070892585781</v>
      </c>
      <c r="G21" s="147">
        <f>IFERROR(100-'6a'!G42,"..")</f>
        <v>45.064558393614853</v>
      </c>
    </row>
    <row r="22" spans="1:7">
      <c r="A22" s="49">
        <v>1999</v>
      </c>
      <c r="B22" s="147">
        <f>IFERROR(100-'6a'!B43,"..")</f>
        <v>43.19672784732348</v>
      </c>
      <c r="C22" s="147">
        <f>IFERROR(100-'6a'!C43,"..")</f>
        <v>47.507508836112422</v>
      </c>
      <c r="D22" s="147">
        <f>IFERROR(100-'6a'!D43,"..")</f>
        <v>43.896751695180114</v>
      </c>
      <c r="E22" s="147">
        <f>IFERROR(100-'6a'!E43,"..")</f>
        <v>29.711254978791672</v>
      </c>
      <c r="F22" s="147">
        <f>IFERROR(100-'6a'!F43,"..")</f>
        <v>51.903357220574996</v>
      </c>
      <c r="G22" s="147">
        <f>IFERROR(100-'6a'!G43,"..")</f>
        <v>41.531011730599843</v>
      </c>
    </row>
    <row r="23" spans="1:7">
      <c r="A23" s="49">
        <v>2000</v>
      </c>
      <c r="B23" s="147">
        <f>IFERROR(100-'6a'!B44,"..")</f>
        <v>44.047158997946923</v>
      </c>
      <c r="C23" s="147">
        <f>IFERROR(100-'6a'!C44,"..")</f>
        <v>48.874224189926473</v>
      </c>
      <c r="D23" s="147">
        <f>IFERROR(100-'6a'!D44,"..")</f>
        <v>47.231371165516038</v>
      </c>
      <c r="E23" s="147">
        <f>IFERROR(100-'6a'!E44,"..")</f>
        <v>29.224406488451677</v>
      </c>
      <c r="F23" s="147">
        <f>IFERROR(100-'6a'!F44,"..")</f>
        <v>48.01927249226793</v>
      </c>
      <c r="G23" s="147">
        <f>IFERROR(100-'6a'!G44,"..")</f>
        <v>53.138525154093827</v>
      </c>
    </row>
    <row r="24" spans="1:7">
      <c r="A24" s="49">
        <v>2001</v>
      </c>
      <c r="B24" s="147">
        <f>IFERROR(100-'6a'!B45,"..")</f>
        <v>43.495988995144089</v>
      </c>
      <c r="C24" s="147">
        <f>IFERROR(100-'6a'!C45,"..")</f>
        <v>46.250611323799696</v>
      </c>
      <c r="D24" s="147">
        <f>IFERROR(100-'6a'!D45,"..")</f>
        <v>43.56787926185671</v>
      </c>
      <c r="E24" s="147">
        <f>IFERROR(100-'6a'!E45,"..")</f>
        <v>23.09916319555974</v>
      </c>
      <c r="F24" s="147">
        <f>IFERROR(100-'6a'!F45,"..")</f>
        <v>45.591913582618538</v>
      </c>
      <c r="G24" s="147">
        <f>IFERROR(100-'6a'!G45,"..")</f>
        <v>49.16343227257142</v>
      </c>
    </row>
    <row r="25" spans="1:7">
      <c r="A25" s="49">
        <v>2002</v>
      </c>
      <c r="B25" s="147">
        <f>IFERROR(100-'6a'!B46,"..")</f>
        <v>43.271438525033325</v>
      </c>
      <c r="C25" s="147">
        <f>IFERROR(100-'6a'!C46,"..")</f>
        <v>45.736638141252286</v>
      </c>
      <c r="D25" s="147">
        <f>IFERROR(100-'6a'!D46,"..")</f>
        <v>41.366798728480092</v>
      </c>
      <c r="E25" s="147">
        <f>IFERROR(100-'6a'!E46,"..")</f>
        <v>28.752933284408627</v>
      </c>
      <c r="F25" s="147">
        <f>IFERROR(100-'6a'!F46,"..")</f>
        <v>47.342459212827272</v>
      </c>
      <c r="G25" s="147">
        <f>IFERROR(100-'6a'!G46,"..")</f>
        <v>40.766357582989819</v>
      </c>
    </row>
    <row r="26" spans="1:7">
      <c r="A26" s="49">
        <v>2003</v>
      </c>
      <c r="B26" s="147">
        <f>IFERROR(100-'6a'!B47,"..")</f>
        <v>43.81988131908755</v>
      </c>
      <c r="C26" s="147">
        <f>IFERROR(100-'6a'!C47,"..")</f>
        <v>43.548522411580556</v>
      </c>
      <c r="D26" s="147">
        <f>IFERROR(100-'6a'!D47,"..")</f>
        <v>35.74486710857235</v>
      </c>
      <c r="E26" s="147">
        <f>IFERROR(100-'6a'!E47,"..")</f>
        <v>23.779755096836865</v>
      </c>
      <c r="F26" s="147">
        <f>IFERROR(100-'6a'!F47,"..")</f>
        <v>44.397193673451426</v>
      </c>
      <c r="G26" s="147">
        <f>IFERROR(100-'6a'!G47,"..")</f>
        <v>31.753927970043165</v>
      </c>
    </row>
    <row r="27" spans="1:7">
      <c r="A27" s="49">
        <v>2004</v>
      </c>
      <c r="B27" s="147">
        <f>IFERROR(100-'6a'!B48,"..")</f>
        <v>44.187165931921456</v>
      </c>
      <c r="C27" s="147">
        <f>IFERROR(100-'6a'!C48,"..")</f>
        <v>42.734841545828239</v>
      </c>
      <c r="D27" s="147">
        <f>IFERROR(100-'6a'!D48,"..")</f>
        <v>39.425351218075612</v>
      </c>
      <c r="E27" s="147">
        <f>IFERROR(100-'6a'!E48,"..")</f>
        <v>28.102921839301018</v>
      </c>
      <c r="F27" s="147">
        <f>IFERROR(100-'6a'!F48,"..")</f>
        <v>50.772465483305709</v>
      </c>
      <c r="G27" s="147">
        <f>IFERROR(100-'6a'!G48,"..")</f>
        <v>30.538118961033916</v>
      </c>
    </row>
    <row r="28" spans="1:7">
      <c r="A28" s="49">
        <v>2005</v>
      </c>
      <c r="B28" s="147">
        <f>IFERROR(100-'6a'!B49,"..")</f>
        <v>44.689222796339202</v>
      </c>
      <c r="C28" s="147">
        <f>IFERROR(100-'6a'!C49,"..")</f>
        <v>40.804531206168434</v>
      </c>
      <c r="D28" s="147">
        <f>IFERROR(100-'6a'!D49,"..")</f>
        <v>34.627998294242275</v>
      </c>
      <c r="E28" s="147">
        <f>IFERROR(100-'6a'!E49,"..")</f>
        <v>26.577799091090554</v>
      </c>
      <c r="F28" s="147">
        <f>IFERROR(100-'6a'!F49,"..")</f>
        <v>44.02714643010259</v>
      </c>
      <c r="G28" s="147">
        <f>IFERROR(100-'6a'!G49,"..")</f>
        <v>27.684896903193348</v>
      </c>
    </row>
    <row r="29" spans="1:7">
      <c r="A29" s="49">
        <v>2006</v>
      </c>
      <c r="B29" s="147">
        <f>IFERROR(100-'6a'!B50,"..")</f>
        <v>44.215422560120665</v>
      </c>
      <c r="C29" s="147">
        <f>IFERROR(100-'6a'!C50,"..")</f>
        <v>40.051385437592998</v>
      </c>
      <c r="D29" s="147">
        <f>IFERROR(100-'6a'!D50,"..")</f>
        <v>32.224692131581762</v>
      </c>
      <c r="E29" s="147">
        <f>IFERROR(100-'6a'!E50,"..")</f>
        <v>27.736986317087258</v>
      </c>
      <c r="F29" s="147">
        <f>IFERROR(100-'6a'!F50,"..")</f>
        <v>38.627107199978994</v>
      </c>
      <c r="G29" s="147">
        <f>IFERROR(100-'6a'!G50,"..")</f>
        <v>27.552969619446984</v>
      </c>
    </row>
    <row r="30" spans="1:7">
      <c r="A30" s="49">
        <v>2007</v>
      </c>
      <c r="B30" s="147">
        <f>IFERROR(100-'6a'!B51,"..")</f>
        <v>44.177434021383952</v>
      </c>
      <c r="C30" s="147">
        <f>IFERROR(100-'6a'!C51,"..")</f>
        <v>40.08243317992148</v>
      </c>
      <c r="D30" s="147">
        <f>IFERROR(100-'6a'!D51,"..")</f>
        <v>29.129398017916657</v>
      </c>
      <c r="E30" s="147">
        <f>IFERROR(100-'6a'!E51,"..")</f>
        <v>26.366817209412886</v>
      </c>
      <c r="F30" s="147">
        <f>IFERROR(100-'6a'!F51,"..")</f>
        <v>36.414759036144574</v>
      </c>
      <c r="G30" s="147">
        <f>IFERROR(100-'6a'!G51,"..")</f>
        <v>22.817784728213979</v>
      </c>
    </row>
    <row r="31" spans="1:7">
      <c r="A31" s="49">
        <v>2008</v>
      </c>
      <c r="B31" s="147">
        <f>IFERROR(100-'6a'!B52,"..")</f>
        <v>45.064140143685883</v>
      </c>
      <c r="C31" s="147">
        <f>IFERROR(100-'6a'!C52,"..")</f>
        <v>37.958597863181907</v>
      </c>
      <c r="D31" s="147">
        <f>IFERROR(100-'6a'!D52,"..")</f>
        <v>28.538748909778093</v>
      </c>
      <c r="E31" s="147">
        <f>IFERROR(100-'6a'!E52,"..")</f>
        <v>31.303425186711308</v>
      </c>
      <c r="F31" s="147">
        <f>IFERROR(100-'6a'!F52,"..")</f>
        <v>32.954186075790005</v>
      </c>
      <c r="G31" s="147">
        <f>IFERROR(100-'6a'!G52,"..")</f>
        <v>23.340490240581019</v>
      </c>
    </row>
    <row r="32" spans="1:7">
      <c r="A32" s="49">
        <v>2009</v>
      </c>
      <c r="B32" s="147" t="str">
        <f>IFERROR(100-'6a'!B53,"..")</f>
        <v>..</v>
      </c>
      <c r="C32" s="147" t="str">
        <f>IFERROR(100-'6a'!C53,"..")</f>
        <v>..</v>
      </c>
      <c r="D32" s="147" t="str">
        <f>IFERROR(100-'6a'!D53,"..")</f>
        <v>..</v>
      </c>
      <c r="E32" s="147" t="str">
        <f>IFERROR(100-'6a'!E53,"..")</f>
        <v>..</v>
      </c>
      <c r="F32" s="147" t="str">
        <f>IFERROR(100-'6a'!F53,"..")</f>
        <v>..</v>
      </c>
      <c r="G32" s="147" t="str">
        <f>IFERROR(100-'6a'!G53,"..")</f>
        <v>..</v>
      </c>
    </row>
    <row r="33" spans="1:7">
      <c r="A33" s="49">
        <v>2010</v>
      </c>
      <c r="B33" s="147" t="str">
        <f>IFERROR(100-'6a'!B54,"..")</f>
        <v>..</v>
      </c>
      <c r="C33" s="147" t="str">
        <f>IFERROR(100-'6a'!C54,"..")</f>
        <v>..</v>
      </c>
      <c r="D33" s="147" t="str">
        <f>IFERROR(100-'6a'!D54,"..")</f>
        <v>..</v>
      </c>
      <c r="E33" s="147" t="str">
        <f>IFERROR(100-'6a'!E54,"..")</f>
        <v>..</v>
      </c>
      <c r="F33" s="147" t="str">
        <f>IFERROR(100-'6a'!F54,"..")</f>
        <v>..</v>
      </c>
      <c r="G33" s="147" t="str">
        <f>IFERROR(100-'6a'!G54,"..")</f>
        <v>..</v>
      </c>
    </row>
    <row r="34" spans="1:7">
      <c r="A34" s="49">
        <v>2011</v>
      </c>
      <c r="B34" s="147" t="str">
        <f>IFERROR(100-'6a'!B55,"..")</f>
        <v>..</v>
      </c>
      <c r="C34" s="147" t="str">
        <f>IFERROR(100-'6a'!C55,"..")</f>
        <v>..</v>
      </c>
      <c r="D34" s="147" t="str">
        <f>IFERROR(100-'6a'!D55,"..")</f>
        <v>..</v>
      </c>
      <c r="E34" s="147" t="str">
        <f>IFERROR(100-'6a'!E55,"..")</f>
        <v>..</v>
      </c>
      <c r="F34" s="147" t="str">
        <f>IFERROR(100-'6a'!F55,"..")</f>
        <v>..</v>
      </c>
      <c r="G34" s="147" t="str">
        <f>IFERROR(100-'6a'!G55,"..")</f>
        <v>..</v>
      </c>
    </row>
    <row r="35" spans="1:7">
      <c r="A35" s="49">
        <v>2012</v>
      </c>
      <c r="B35" s="58"/>
      <c r="C35" s="58"/>
      <c r="D35" s="58"/>
      <c r="E35" s="58"/>
      <c r="F35" s="58"/>
      <c r="G35" s="58"/>
    </row>
    <row r="36" spans="1:7">
      <c r="B36" s="57"/>
      <c r="C36" s="57"/>
      <c r="D36" s="57"/>
      <c r="E36" s="57"/>
      <c r="F36" s="57"/>
      <c r="G36" s="57"/>
    </row>
    <row r="37" spans="1:7">
      <c r="A37" s="66" t="s">
        <v>23</v>
      </c>
      <c r="B37" s="57"/>
      <c r="C37" s="57"/>
      <c r="D37" s="57"/>
      <c r="E37" s="57"/>
      <c r="F37" s="57"/>
      <c r="G37" s="57"/>
    </row>
    <row r="38" spans="1:7">
      <c r="A38" s="64" t="s">
        <v>1783</v>
      </c>
      <c r="B38" s="65">
        <f>IFERROR(((B31/B4)^(1/27)-1)*100,"n.a.")</f>
        <v>0.3212081274591494</v>
      </c>
      <c r="C38" s="65">
        <f t="shared" ref="C38:G38" si="0">IFERROR(((C31/C4)^(1/27)-1)*100,"n.a.")</f>
        <v>0.60849414780366207</v>
      </c>
      <c r="D38" s="65">
        <f t="shared" si="0"/>
        <v>0.68240813881437212</v>
      </c>
      <c r="E38" s="65">
        <f t="shared" si="0"/>
        <v>-218.76353712315176</v>
      </c>
      <c r="F38" s="65">
        <f t="shared" si="0"/>
        <v>3.7652517965856669</v>
      </c>
      <c r="G38" s="65">
        <f t="shared" si="0"/>
        <v>-1.6080540787235975</v>
      </c>
    </row>
    <row r="39" spans="1:7">
      <c r="A39" s="64" t="s">
        <v>25</v>
      </c>
      <c r="B39" s="65">
        <f>IFERROR(((B12/B4)^(1/8)-1)*100,"n.a.")</f>
        <v>-1.8730800704358508E-3</v>
      </c>
      <c r="C39" s="65">
        <f>((C12/C4)^(1/8)-1)*100</f>
        <v>2.401520998060569</v>
      </c>
      <c r="D39" s="56" t="s">
        <v>22</v>
      </c>
      <c r="E39" s="56" t="s">
        <v>22</v>
      </c>
      <c r="F39" s="65">
        <f>((F12/F4)^(1/8)-1)*100</f>
        <v>9.4254268584827994</v>
      </c>
      <c r="G39" s="65">
        <f>((G12/G4)^(1/8)-1)*100</f>
        <v>2.2891719400633948</v>
      </c>
    </row>
    <row r="40" spans="1:7">
      <c r="A40" s="64" t="s">
        <v>2131</v>
      </c>
      <c r="B40" s="65">
        <f>((B31/B12)^(1/19)-1)*100</f>
        <v>0.45755440845549611</v>
      </c>
      <c r="C40" s="65">
        <f t="shared" ref="C40:G40" si="1">((C31/C12)^(1/19)-1)*100</f>
        <v>-0.13704001175814939</v>
      </c>
      <c r="D40" s="65">
        <f t="shared" si="1"/>
        <v>-1.0567264696321188</v>
      </c>
      <c r="E40" s="65">
        <f t="shared" si="1"/>
        <v>1.8192155834426904</v>
      </c>
      <c r="F40" s="65">
        <f t="shared" si="1"/>
        <v>1.4705035971562364</v>
      </c>
      <c r="G40" s="65">
        <f t="shared" si="1"/>
        <v>-3.2042377226310426</v>
      </c>
    </row>
    <row r="41" spans="1:7">
      <c r="A41" s="64" t="s">
        <v>26</v>
      </c>
      <c r="B41" s="65">
        <f>((B23/B12)^(1/11)-1)*100</f>
        <v>0.58270111729294971</v>
      </c>
      <c r="C41" s="65">
        <f t="shared" ref="C41:G41" si="2">((C27/C23)^(1/4)-1)*100</f>
        <v>-3.3002045670019964</v>
      </c>
      <c r="D41" s="65">
        <f t="shared" si="2"/>
        <v>-4.4157681610235038</v>
      </c>
      <c r="E41" s="65">
        <f t="shared" si="2"/>
        <v>-0.97349673711044638</v>
      </c>
      <c r="F41" s="65">
        <f t="shared" si="2"/>
        <v>1.4035523156063379</v>
      </c>
      <c r="G41" s="65">
        <f t="shared" si="2"/>
        <v>-12.932074594901488</v>
      </c>
    </row>
    <row r="42" spans="1:7">
      <c r="A42" s="64" t="s">
        <v>1779</v>
      </c>
      <c r="B42" s="65">
        <f>((B31/B23)^(1/8)-1)*100</f>
        <v>0.28573188894234214</v>
      </c>
      <c r="C42" s="65">
        <f t="shared" ref="C42:G42" si="3">((C31/C23)^(1/8)-1)*100</f>
        <v>-3.1100379839887782</v>
      </c>
      <c r="D42" s="65">
        <f t="shared" si="3"/>
        <v>-6.1032529008153595</v>
      </c>
      <c r="E42" s="65">
        <f t="shared" si="3"/>
        <v>0.86274189568216197</v>
      </c>
      <c r="F42" s="65">
        <f t="shared" si="3"/>
        <v>-4.5970340174845914</v>
      </c>
      <c r="G42" s="65">
        <f t="shared" si="3"/>
        <v>-9.7727834981675024</v>
      </c>
    </row>
    <row r="44" spans="1:7">
      <c r="A44" s="104" t="s">
        <v>769</v>
      </c>
      <c r="B44" s="104"/>
      <c r="C44" s="104"/>
      <c r="D44" s="104"/>
      <c r="E44" s="104"/>
      <c r="F44" s="104"/>
      <c r="G44" s="104"/>
    </row>
    <row r="45" spans="1:7">
      <c r="A45" s="104" t="s">
        <v>62</v>
      </c>
      <c r="B45" s="104"/>
      <c r="C45" s="104"/>
      <c r="D45" s="104"/>
      <c r="E45" s="104"/>
      <c r="F45" s="104"/>
      <c r="G45" s="104"/>
    </row>
    <row r="46" spans="1:7" ht="30" customHeight="1">
      <c r="A46" s="104" t="s">
        <v>770</v>
      </c>
      <c r="B46" s="104"/>
      <c r="C46" s="104"/>
      <c r="D46" s="104"/>
      <c r="E46" s="104"/>
      <c r="F46" s="104"/>
      <c r="G46" s="104"/>
    </row>
    <row r="47" spans="1:7">
      <c r="A47" s="64" t="s">
        <v>771</v>
      </c>
    </row>
  </sheetData>
  <mergeCells count="8">
    <mergeCell ref="A46:G46"/>
    <mergeCell ref="A1:G1"/>
    <mergeCell ref="A2:A3"/>
    <mergeCell ref="B2:B3"/>
    <mergeCell ref="D2:G2"/>
    <mergeCell ref="A44:G44"/>
    <mergeCell ref="A45:G45"/>
    <mergeCell ref="C2:C3"/>
  </mergeCells>
  <pageMargins left="0.7" right="0.7" top="0.75" bottom="0.75" header="0.3" footer="0.3"/>
  <pageSetup scale="91" orientation="portrait" horizontalDpi="0" verticalDpi="0" r:id="rId1"/>
</worksheet>
</file>

<file path=xl/worksheets/sheet58.xml><?xml version="1.0" encoding="utf-8"?>
<worksheet xmlns="http://schemas.openxmlformats.org/spreadsheetml/2006/main" xmlns:r="http://schemas.openxmlformats.org/officeDocument/2006/relationships">
  <sheetPr codeName="Sheet55"/>
  <dimension ref="A1:G78"/>
  <sheetViews>
    <sheetView view="pageBreakPreview" zoomScale="85" zoomScaleNormal="70" zoomScaleSheetLayoutView="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2.28515625" style="64" customWidth="1"/>
    <col min="2" max="3" width="10.42578125" style="64" customWidth="1"/>
    <col min="4" max="7" width="14.7109375" style="64" customWidth="1"/>
    <col min="8" max="16384" width="9.140625" style="64"/>
  </cols>
  <sheetData>
    <row r="1" spans="1:7">
      <c r="A1" s="93" t="s">
        <v>1982</v>
      </c>
      <c r="B1" s="93"/>
      <c r="C1" s="93"/>
      <c r="D1" s="93"/>
      <c r="E1" s="93"/>
      <c r="F1" s="93"/>
      <c r="G1" s="93"/>
    </row>
    <row r="2" spans="1:7" ht="15" customHeight="1">
      <c r="A2" s="113"/>
      <c r="B2" s="123" t="s">
        <v>751</v>
      </c>
      <c r="C2" s="123" t="s">
        <v>938</v>
      </c>
      <c r="D2" s="159" t="s">
        <v>37</v>
      </c>
      <c r="E2" s="160"/>
      <c r="F2" s="160"/>
      <c r="G2" s="161"/>
    </row>
    <row r="3" spans="1:7" ht="45">
      <c r="A3" s="113"/>
      <c r="B3" s="126"/>
      <c r="C3" s="126"/>
      <c r="D3" s="72" t="s">
        <v>78</v>
      </c>
      <c r="E3" s="72" t="s">
        <v>750</v>
      </c>
      <c r="F3" s="72" t="s">
        <v>745</v>
      </c>
      <c r="G3" s="72" t="s">
        <v>678</v>
      </c>
    </row>
    <row r="4" spans="1:7" ht="15" hidden="1" customHeight="1" outlineLevel="1"/>
    <row r="5" spans="1:7" collapsed="1">
      <c r="A5" s="49">
        <v>1961</v>
      </c>
      <c r="B5" s="65">
        <f>'8'!G6/'4'!B6</f>
        <v>33.755144671952486</v>
      </c>
      <c r="C5" s="65">
        <f>'8'!H6/'4'!C6</f>
        <v>22.447793932062275</v>
      </c>
      <c r="D5" s="67">
        <f>'8'!I6/'4'!D6</f>
        <v>24.458617639167077</v>
      </c>
      <c r="E5" s="67">
        <f>'8'!J6/'4'!E6</f>
        <v>14.429329663150687</v>
      </c>
      <c r="F5" s="67">
        <f>'8'!K6/'4'!F6</f>
        <v>14.75248014283202</v>
      </c>
      <c r="G5" s="67">
        <f>'8'!L6/'4'!G6</f>
        <v>43.270488463469974</v>
      </c>
    </row>
    <row r="6" spans="1:7" ht="15" hidden="1" customHeight="1" outlineLevel="1">
      <c r="A6" s="49">
        <v>1962</v>
      </c>
      <c r="B6" s="65">
        <f>'8'!G7/'4'!B7</f>
        <v>34.173788291460284</v>
      </c>
      <c r="C6" s="65">
        <f>'8'!H7/'4'!C7</f>
        <v>22.333056147299409</v>
      </c>
      <c r="D6" s="67">
        <f>'8'!I7/'4'!D7</f>
        <v>24.055965439021417</v>
      </c>
      <c r="E6" s="67">
        <f>'8'!J7/'4'!E7</f>
        <v>14.12305646831472</v>
      </c>
      <c r="F6" s="67">
        <f>'8'!K7/'4'!F7</f>
        <v>14.279227925904568</v>
      </c>
      <c r="G6" s="67">
        <f>'8'!L7/'4'!G7</f>
        <v>43.055529107635692</v>
      </c>
    </row>
    <row r="7" spans="1:7" ht="15" hidden="1" customHeight="1" outlineLevel="1">
      <c r="A7" s="49">
        <v>1963</v>
      </c>
      <c r="B7" s="65">
        <f>'8'!G8/'4'!B8</f>
        <v>35.04951171807172</v>
      </c>
      <c r="C7" s="65">
        <f>'8'!H8/'4'!C8</f>
        <v>22.37487636725271</v>
      </c>
      <c r="D7" s="67">
        <f>'8'!I8/'4'!D8</f>
        <v>25.007960124276025</v>
      </c>
      <c r="E7" s="67">
        <f>'8'!J8/'4'!E8</f>
        <v>15.642832434208163</v>
      </c>
      <c r="F7" s="67">
        <f>'8'!K8/'4'!F8</f>
        <v>13.935157663652451</v>
      </c>
      <c r="G7" s="67">
        <f>'8'!L8/'4'!G8</f>
        <v>44.379416473213411</v>
      </c>
    </row>
    <row r="8" spans="1:7" ht="15" hidden="1" customHeight="1" outlineLevel="1">
      <c r="A8" s="49">
        <v>1964</v>
      </c>
      <c r="B8" s="65">
        <f>'8'!G9/'4'!B9</f>
        <v>35.659798878060933</v>
      </c>
      <c r="C8" s="65">
        <f>'8'!H9/'4'!C9</f>
        <v>22.50459832711336</v>
      </c>
      <c r="D8" s="67">
        <f>'8'!I9/'4'!D9</f>
        <v>25.659348547608367</v>
      </c>
      <c r="E8" s="67">
        <f>'8'!J9/'4'!E9</f>
        <v>15.832527189506084</v>
      </c>
      <c r="F8" s="67">
        <f>'8'!K9/'4'!F9</f>
        <v>13.9090202978504</v>
      </c>
      <c r="G8" s="67">
        <f>'8'!L9/'4'!G9</f>
        <v>45.815648882887324</v>
      </c>
    </row>
    <row r="9" spans="1:7" ht="15" hidden="1" customHeight="1" outlineLevel="1">
      <c r="A9" s="49">
        <v>1965</v>
      </c>
      <c r="B9" s="65">
        <f>'8'!G10/'4'!B10</f>
        <v>36.66193012316046</v>
      </c>
      <c r="C9" s="65">
        <f>'8'!H10/'4'!C10</f>
        <v>23.183445295631913</v>
      </c>
      <c r="D9" s="67">
        <f>'8'!I10/'4'!D10</f>
        <v>27.682453944658512</v>
      </c>
      <c r="E9" s="67">
        <f>'8'!J10/'4'!E10</f>
        <v>16.46359190727668</v>
      </c>
      <c r="F9" s="67">
        <f>'8'!K10/'4'!F10</f>
        <v>14.414956724484927</v>
      </c>
      <c r="G9" s="67">
        <f>'8'!L10/'4'!G10</f>
        <v>50.473180065205725</v>
      </c>
    </row>
    <row r="10" spans="1:7" ht="15" hidden="1" customHeight="1" outlineLevel="1">
      <c r="A10" s="49">
        <v>1966</v>
      </c>
      <c r="B10" s="65">
        <f>'8'!G11/'4'!B11</f>
        <v>37.404336006497125</v>
      </c>
      <c r="C10" s="65">
        <f>'8'!H11/'4'!C11</f>
        <v>24.277057336945941</v>
      </c>
      <c r="D10" s="67">
        <f>'8'!I11/'4'!D11</f>
        <v>29.895111402240868</v>
      </c>
      <c r="E10" s="67">
        <f>'8'!J11/'4'!E11</f>
        <v>16.875171226428247</v>
      </c>
      <c r="F10" s="67">
        <f>'8'!K11/'4'!F11</f>
        <v>14.951118703522987</v>
      </c>
      <c r="G10" s="67">
        <f>'8'!L11/'4'!G11</f>
        <v>54.358634478261806</v>
      </c>
    </row>
    <row r="11" spans="1:7" ht="15" hidden="1" customHeight="1" outlineLevel="1">
      <c r="A11" s="49">
        <v>1967</v>
      </c>
      <c r="B11" s="65">
        <f>'8'!G12/'4'!B12</f>
        <v>38.518426881637723</v>
      </c>
      <c r="C11" s="65">
        <f>'8'!H12/'4'!C12</f>
        <v>25.335314703406603</v>
      </c>
      <c r="D11" s="67">
        <f>'8'!I12/'4'!D12</f>
        <v>32.097162653158406</v>
      </c>
      <c r="E11" s="67">
        <f>'8'!J12/'4'!E12</f>
        <v>18.450210417028057</v>
      </c>
      <c r="F11" s="67">
        <f>'8'!K12/'4'!F12</f>
        <v>15.199993637435529</v>
      </c>
      <c r="G11" s="67">
        <f>'8'!L12/'4'!G12</f>
        <v>57.608671424366179</v>
      </c>
    </row>
    <row r="12" spans="1:7" ht="15" hidden="1" customHeight="1" outlineLevel="1">
      <c r="A12" s="49">
        <v>1968</v>
      </c>
      <c r="B12" s="65">
        <f>'8'!G13/'4'!B13</f>
        <v>40.273172496881209</v>
      </c>
      <c r="C12" s="65">
        <f>'8'!H13/'4'!C13</f>
        <v>25.964249653804888</v>
      </c>
      <c r="D12" s="67">
        <f>'8'!I13/'4'!D13</f>
        <v>32.814398313783862</v>
      </c>
      <c r="E12" s="67">
        <f>'8'!J13/'4'!E13</f>
        <v>19.953143973884291</v>
      </c>
      <c r="F12" s="67">
        <f>'8'!K13/'4'!F13</f>
        <v>15.497962557703099</v>
      </c>
      <c r="G12" s="67">
        <f>'8'!L13/'4'!G13</f>
        <v>57.265544054552649</v>
      </c>
    </row>
    <row r="13" spans="1:7" ht="15" hidden="1" customHeight="1" outlineLevel="1">
      <c r="A13" s="49">
        <v>1969</v>
      </c>
      <c r="B13" s="65">
        <f>'8'!G14/'4'!B14</f>
        <v>41.084381959556893</v>
      </c>
      <c r="C13" s="65">
        <f>'8'!H14/'4'!C14</f>
        <v>26.605894099290243</v>
      </c>
      <c r="D13" s="67">
        <f>'8'!I14/'4'!D14</f>
        <v>33.491025687198288</v>
      </c>
      <c r="E13" s="67">
        <f>'8'!J14/'4'!E14</f>
        <v>20.503753956021768</v>
      </c>
      <c r="F13" s="67">
        <f>'8'!K14/'4'!F14</f>
        <v>17.512870689119815</v>
      </c>
      <c r="G13" s="67">
        <f>'8'!L14/'4'!G14</f>
        <v>56.139423809776062</v>
      </c>
    </row>
    <row r="14" spans="1:7" ht="15" hidden="1" customHeight="1" outlineLevel="1">
      <c r="A14" s="49">
        <v>1970</v>
      </c>
      <c r="B14" s="65">
        <f>'8'!G15/'4'!B15</f>
        <v>42.825908400550759</v>
      </c>
      <c r="C14" s="65">
        <f>'8'!H15/'4'!C15</f>
        <v>28.798697527054198</v>
      </c>
      <c r="D14" s="67">
        <f>'8'!I15/'4'!D15</f>
        <v>36.007369483220096</v>
      </c>
      <c r="E14" s="67">
        <f>'8'!J15/'4'!E15</f>
        <v>20.876388349445893</v>
      </c>
      <c r="F14" s="67">
        <f>'8'!K15/'4'!F15</f>
        <v>20.512101096100302</v>
      </c>
      <c r="G14" s="67">
        <f>'8'!L15/'4'!G15</f>
        <v>59.0262717196659</v>
      </c>
    </row>
    <row r="15" spans="1:7" ht="15" hidden="1" customHeight="1" outlineLevel="1">
      <c r="A15" s="49">
        <v>1971</v>
      </c>
      <c r="B15" s="65">
        <f>'8'!G16/'4'!B16</f>
        <v>44.069755704340231</v>
      </c>
      <c r="C15" s="65">
        <f>'8'!H16/'4'!C16</f>
        <v>29.60981390097912</v>
      </c>
      <c r="D15" s="67">
        <f>'8'!I16/'4'!D16</f>
        <v>38.2066222379053</v>
      </c>
      <c r="E15" s="67">
        <f>'8'!J16/'4'!E16</f>
        <v>23.488925258294696</v>
      </c>
      <c r="F15" s="67">
        <f>'8'!K16/'4'!F16</f>
        <v>20.632121600240197</v>
      </c>
      <c r="G15" s="67">
        <f>'8'!L16/'4'!G16</f>
        <v>62.855939833883539</v>
      </c>
    </row>
    <row r="16" spans="1:7" ht="15" hidden="1" customHeight="1" outlineLevel="1">
      <c r="A16" s="49">
        <v>1972</v>
      </c>
      <c r="B16" s="65">
        <f>'8'!G17/'4'!B17</f>
        <v>44.764916707184568</v>
      </c>
      <c r="C16" s="65">
        <f>'8'!H17/'4'!C17</f>
        <v>29.2171547304504</v>
      </c>
      <c r="D16" s="67">
        <f>'8'!I17/'4'!D17</f>
        <v>37.854519571540727</v>
      </c>
      <c r="E16" s="67">
        <f>'8'!J17/'4'!E17</f>
        <v>25.102240939063655</v>
      </c>
      <c r="F16" s="67">
        <f>'8'!K17/'4'!F17</f>
        <v>19.961450483217671</v>
      </c>
      <c r="G16" s="67">
        <f>'8'!L17/'4'!G17</f>
        <v>62.609543037967384</v>
      </c>
    </row>
    <row r="17" spans="1:7" collapsed="1">
      <c r="A17" s="49">
        <v>1973</v>
      </c>
      <c r="B17" s="65">
        <f>'8'!G18/'4'!B18</f>
        <v>44.670637435900396</v>
      </c>
      <c r="C17" s="65">
        <f>'8'!H18/'4'!C18</f>
        <v>29.053554959732619</v>
      </c>
      <c r="D17" s="67">
        <f>'8'!I18/'4'!D18</f>
        <v>36.310940082150239</v>
      </c>
      <c r="E17" s="67">
        <f>'8'!J18/'4'!E18</f>
        <v>23.228595479563655</v>
      </c>
      <c r="F17" s="67">
        <f>'8'!K18/'4'!F18</f>
        <v>20.806122933753812</v>
      </c>
      <c r="G17" s="67">
        <f>'8'!L18/'4'!G18</f>
        <v>61.317045342185871</v>
      </c>
    </row>
    <row r="18" spans="1:7" ht="15" hidden="1" customHeight="1" outlineLevel="1">
      <c r="A18" s="49">
        <v>1974</v>
      </c>
      <c r="B18" s="65">
        <f>'8'!G19/'4'!B19</f>
        <v>44.953632814549302</v>
      </c>
      <c r="C18" s="65">
        <f>'8'!H19/'4'!C19</f>
        <v>30.188133992104152</v>
      </c>
      <c r="D18" s="67">
        <f>'8'!I19/'4'!D19</f>
        <v>36.998077005817933</v>
      </c>
      <c r="E18" s="67">
        <f>'8'!J19/'4'!E19</f>
        <v>23.537625949728731</v>
      </c>
      <c r="F18" s="67">
        <f>'8'!K19/'4'!F19</f>
        <v>23.557010340409338</v>
      </c>
      <c r="G18" s="67">
        <f>'8'!L19/'4'!G19</f>
        <v>58.842678664219015</v>
      </c>
    </row>
    <row r="19" spans="1:7" ht="15" hidden="1" customHeight="1" outlineLevel="1">
      <c r="A19" s="49">
        <v>1975</v>
      </c>
      <c r="B19" s="65">
        <f>'8'!G20/'4'!B20</f>
        <v>46.599791975587102</v>
      </c>
      <c r="C19" s="65">
        <f>'8'!H20/'4'!C20</f>
        <v>32.493463363455668</v>
      </c>
      <c r="D19" s="67">
        <f>'8'!I20/'4'!D20</f>
        <v>42.292713061950586</v>
      </c>
      <c r="E19" s="67">
        <f>'8'!J20/'4'!E20</f>
        <v>27.824124055225568</v>
      </c>
      <c r="F19" s="67">
        <f>'8'!K20/'4'!F20</f>
        <v>26.728633106130069</v>
      </c>
      <c r="G19" s="67">
        <f>'8'!L20/'4'!G20</f>
        <v>67.163747258069506</v>
      </c>
    </row>
    <row r="20" spans="1:7" ht="15" hidden="1" customHeight="1" outlineLevel="1">
      <c r="A20" s="49">
        <v>1976</v>
      </c>
      <c r="B20" s="65">
        <f>'8'!G21/'4'!B21</f>
        <v>47.76799533578734</v>
      </c>
      <c r="C20" s="65">
        <f>'8'!H21/'4'!C21</f>
        <v>33.089021309616733</v>
      </c>
      <c r="D20" s="67">
        <f>'8'!I21/'4'!D21</f>
        <v>40.561092306580562</v>
      </c>
      <c r="E20" s="67">
        <f>'8'!J21/'4'!E21</f>
        <v>30.16012988019779</v>
      </c>
      <c r="F20" s="67">
        <f>'8'!K21/'4'!F21</f>
        <v>24.596812352317748</v>
      </c>
      <c r="G20" s="67">
        <f>'8'!L21/'4'!G21</f>
        <v>61.962899363254586</v>
      </c>
    </row>
    <row r="21" spans="1:7" ht="15" hidden="1" customHeight="1" outlineLevel="1">
      <c r="A21" s="49">
        <v>1977</v>
      </c>
      <c r="B21" s="65">
        <f>'8'!G22/'4'!B22</f>
        <v>48.955385014446904</v>
      </c>
      <c r="C21" s="65">
        <f>'8'!H22/'4'!C22</f>
        <v>34.46855188144459</v>
      </c>
      <c r="D21" s="67">
        <f>'8'!I22/'4'!D22</f>
        <v>40.778395260728168</v>
      </c>
      <c r="E21" s="67">
        <f>'8'!J22/'4'!E22</f>
        <v>29.646867659384824</v>
      </c>
      <c r="F21" s="67">
        <f>'8'!K22/'4'!F22</f>
        <v>23.716356134301659</v>
      </c>
      <c r="G21" s="67">
        <f>'8'!L22/'4'!G22</f>
        <v>65.413699042876075</v>
      </c>
    </row>
    <row r="22" spans="1:7" ht="15" hidden="1" customHeight="1" outlineLevel="1">
      <c r="A22" s="49">
        <v>1978</v>
      </c>
      <c r="B22" s="65">
        <f>'8'!G23/'4'!B23</f>
        <v>48.908317452305667</v>
      </c>
      <c r="C22" s="65">
        <f>'8'!H23/'4'!C23</f>
        <v>33.419243603205892</v>
      </c>
      <c r="D22" s="67">
        <f>'8'!I23/'4'!D23</f>
        <v>37.998705086331753</v>
      </c>
      <c r="E22" s="67">
        <f>'8'!J23/'4'!E23</f>
        <v>26.3518319306257</v>
      </c>
      <c r="F22" s="67">
        <f>'8'!K23/'4'!F23</f>
        <v>22.582999584764153</v>
      </c>
      <c r="G22" s="67">
        <f>'8'!L23/'4'!G23</f>
        <v>62.570453617453538</v>
      </c>
    </row>
    <row r="23" spans="1:7" ht="15" hidden="1" customHeight="1" outlineLevel="1">
      <c r="A23" s="49">
        <v>1979</v>
      </c>
      <c r="B23" s="65">
        <f>'8'!G24/'4'!B24</f>
        <v>48.7079972771703</v>
      </c>
      <c r="C23" s="65">
        <f>'8'!H24/'4'!C24</f>
        <v>32.922394257743072</v>
      </c>
      <c r="D23" s="67">
        <f>'8'!I24/'4'!D24</f>
        <v>36.812511108467596</v>
      </c>
      <c r="E23" s="67">
        <f>'8'!J24/'4'!E24</f>
        <v>24.903945089599254</v>
      </c>
      <c r="F23" s="67">
        <f>'8'!K24/'4'!F24</f>
        <v>22.587440983120977</v>
      </c>
      <c r="G23" s="67">
        <f>'8'!L24/'4'!G24</f>
        <v>60.933263190591859</v>
      </c>
    </row>
    <row r="24" spans="1:7" ht="15" hidden="1" customHeight="1" outlineLevel="1">
      <c r="A24" s="49">
        <v>1980</v>
      </c>
      <c r="B24" s="65">
        <f>'8'!G25/'4'!B25</f>
        <v>49.934093896577679</v>
      </c>
      <c r="C24" s="65">
        <f>'8'!H25/'4'!C25</f>
        <v>34.548276707584144</v>
      </c>
      <c r="D24" s="67">
        <f>'8'!I25/'4'!D25</f>
        <v>39.513658678181685</v>
      </c>
      <c r="E24" s="67">
        <f>'8'!J25/'4'!E25</f>
        <v>26.997552300692206</v>
      </c>
      <c r="F24" s="67">
        <f>'8'!K25/'4'!F25</f>
        <v>24.774487134663957</v>
      </c>
      <c r="G24" s="67">
        <f>'8'!L25/'4'!G25</f>
        <v>63.025315585978973</v>
      </c>
    </row>
    <row r="25" spans="1:7" collapsed="1">
      <c r="A25" s="49">
        <v>1981</v>
      </c>
      <c r="B25" s="65">
        <f>'8'!G26/'4'!B26</f>
        <v>50.534984215779048</v>
      </c>
      <c r="C25" s="65">
        <f>'8'!H26/'4'!C26</f>
        <v>36.719791834349955</v>
      </c>
      <c r="D25" s="67">
        <f>'8'!I26/'4'!D26</f>
        <v>43.89686541547939</v>
      </c>
      <c r="E25" s="67">
        <f>'8'!J26/'4'!E26</f>
        <v>29.876618740736756</v>
      </c>
      <c r="F25" s="67">
        <f>'8'!K26/'4'!F26</f>
        <v>26.992300929273799</v>
      </c>
      <c r="G25" s="67">
        <f>'8'!L26/'4'!G26</f>
        <v>68.01856774647608</v>
      </c>
    </row>
    <row r="26" spans="1:7">
      <c r="A26" s="49">
        <v>1982</v>
      </c>
      <c r="B26" s="65">
        <f>'8'!G27/'4'!B27</f>
        <v>54.034904879788954</v>
      </c>
      <c r="C26" s="65">
        <f>'8'!H27/'4'!C27</f>
        <v>41.477948533587195</v>
      </c>
      <c r="D26" s="67">
        <f>'8'!I27/'4'!D27</f>
        <v>50.932017071681521</v>
      </c>
      <c r="E26" s="67">
        <f>'8'!J27/'4'!E27</f>
        <v>32.661844391275672</v>
      </c>
      <c r="F26" s="67">
        <f>'8'!K27/'4'!F27</f>
        <v>31.247392231687421</v>
      </c>
      <c r="G26" s="67">
        <f>'8'!L27/'4'!G27</f>
        <v>78.619383281326506</v>
      </c>
    </row>
    <row r="27" spans="1:7">
      <c r="A27" s="49">
        <v>1983</v>
      </c>
      <c r="B27" s="65">
        <f>'8'!G28/'4'!B28</f>
        <v>54.43160515800011</v>
      </c>
      <c r="C27" s="65">
        <f>'8'!H28/'4'!C28</f>
        <v>41.189266458716176</v>
      </c>
      <c r="D27" s="67">
        <f>'8'!I28/'4'!D28</f>
        <v>48.21023545326252</v>
      </c>
      <c r="E27" s="67">
        <f>'8'!J28/'4'!E28</f>
        <v>29.490636469583791</v>
      </c>
      <c r="F27" s="67">
        <f>'8'!K28/'4'!F28</f>
        <v>28.9518563910257</v>
      </c>
      <c r="G27" s="67">
        <f>'8'!L28/'4'!G28</f>
        <v>77.830090526583575</v>
      </c>
    </row>
    <row r="28" spans="1:7">
      <c r="A28" s="49">
        <v>1984</v>
      </c>
      <c r="B28" s="147">
        <f>IFERROR('8'!G29/'4'!B29,"..")</f>
        <v>53.769188629356385</v>
      </c>
      <c r="C28" s="147">
        <f>IFERROR('8'!H29/'4'!C29,"..")</f>
        <v>39.32131414643213</v>
      </c>
      <c r="D28" s="147">
        <f>IFERROR('8'!I29/'4'!D29,"..")</f>
        <v>46.60507144709274</v>
      </c>
      <c r="E28" s="147">
        <f>IFERROR('8'!J29/'4'!E29,"..")</f>
        <v>27.798060514576811</v>
      </c>
      <c r="F28" s="147">
        <f>IFERROR('8'!K29/'4'!F29,"..")</f>
        <v>28.514198837626342</v>
      </c>
      <c r="G28" s="147">
        <f>IFERROR('8'!L29/'4'!G29,"..")</f>
        <v>74.975235461927255</v>
      </c>
    </row>
    <row r="29" spans="1:7">
      <c r="A29" s="49">
        <v>1985</v>
      </c>
      <c r="B29" s="147">
        <f>IFERROR('8'!G30/'4'!B30,"..")</f>
        <v>52.868583297418922</v>
      </c>
      <c r="C29" s="147">
        <f>IFERROR('8'!H30/'4'!C30,"..")</f>
        <v>38.38471002744236</v>
      </c>
      <c r="D29" s="147">
        <f>IFERROR('8'!I30/'4'!D30,"..")</f>
        <v>47.425239784021599</v>
      </c>
      <c r="E29" s="147">
        <f>IFERROR('8'!J30/'4'!E30,"..")</f>
        <v>28.230917816261051</v>
      </c>
      <c r="F29" s="147">
        <f>IFERROR('8'!K30/'4'!F30,"..")</f>
        <v>27.168540850873033</v>
      </c>
      <c r="G29" s="147">
        <f>IFERROR('8'!L30/'4'!G30,"..")</f>
        <v>78.715291983836963</v>
      </c>
    </row>
    <row r="30" spans="1:7">
      <c r="A30" s="49">
        <v>1986</v>
      </c>
      <c r="B30" s="147">
        <f>IFERROR('8'!G31/'4'!B31,"..")</f>
        <v>52.090544374513236</v>
      </c>
      <c r="C30" s="147">
        <f>IFERROR('8'!H31/'4'!C31,"..")</f>
        <v>37.728824280790469</v>
      </c>
      <c r="D30" s="147">
        <f>IFERROR('8'!I31/'4'!D31,"..")</f>
        <v>45.951014349635265</v>
      </c>
      <c r="E30" s="147">
        <f>IFERROR('8'!J31/'4'!E31,"..")</f>
        <v>27.643700045238543</v>
      </c>
      <c r="F30" s="147">
        <f>IFERROR('8'!K31/'4'!F31,"..")</f>
        <v>25.84550149199891</v>
      </c>
      <c r="G30" s="147">
        <f>IFERROR('8'!L31/'4'!G31,"..")</f>
        <v>76.260454327346508</v>
      </c>
    </row>
    <row r="31" spans="1:7">
      <c r="A31" s="49">
        <v>1987</v>
      </c>
      <c r="B31" s="147">
        <f>IFERROR('8'!G32/'4'!B32,"..")</f>
        <v>51.124826873228095</v>
      </c>
      <c r="C31" s="147">
        <f>IFERROR('8'!H32/'4'!C32,"..")</f>
        <v>37.145863847000534</v>
      </c>
      <c r="D31" s="147">
        <f>IFERROR('8'!I32/'4'!D32,"..")</f>
        <v>44.525394486426698</v>
      </c>
      <c r="E31" s="147">
        <f>IFERROR('8'!J32/'4'!E32,"..")</f>
        <v>25.49946912516787</v>
      </c>
      <c r="F31" s="147">
        <f>IFERROR('8'!K32/'4'!F32,"..")</f>
        <v>25.052512384850161</v>
      </c>
      <c r="G31" s="147">
        <f>IFERROR('8'!L32/'4'!G32,"..")</f>
        <v>75.711227493957963</v>
      </c>
    </row>
    <row r="32" spans="1:7">
      <c r="A32" s="49">
        <v>1988</v>
      </c>
      <c r="B32" s="147">
        <f>IFERROR('8'!G33/'4'!B33,"..")</f>
        <v>50.448623188404653</v>
      </c>
      <c r="C32" s="147">
        <f>IFERROR('8'!H33/'4'!C33,"..")</f>
        <v>36.311410915038358</v>
      </c>
      <c r="D32" s="147">
        <f>IFERROR('8'!I33/'4'!D33,"..")</f>
        <v>48.806114331635207</v>
      </c>
      <c r="E32" s="147">
        <f>IFERROR('8'!J33/'4'!E33,"..")</f>
        <v>25.970280100101878</v>
      </c>
      <c r="F32" s="147">
        <f>IFERROR('8'!K33/'4'!F33,"..")</f>
        <v>27.583392050753844</v>
      </c>
      <c r="G32" s="147">
        <f>IFERROR('8'!L33/'4'!G33,"..")</f>
        <v>84.162049665476133</v>
      </c>
    </row>
    <row r="33" spans="1:7">
      <c r="A33" s="49">
        <v>1989</v>
      </c>
      <c r="B33" s="147">
        <f>IFERROR('8'!G34/'4'!B34,"..")</f>
        <v>50.766777383134027</v>
      </c>
      <c r="C33" s="147">
        <f>IFERROR('8'!H34/'4'!C34,"..")</f>
        <v>38.326928279486957</v>
      </c>
      <c r="D33" s="147">
        <f>IFERROR('8'!I34/'4'!D34,"..")</f>
        <v>55.056151493030931</v>
      </c>
      <c r="E33" s="147">
        <f>IFERROR('8'!J34/'4'!E34,"..")</f>
        <v>25.55176094264209</v>
      </c>
      <c r="F33" s="147">
        <f>IFERROR('8'!K34/'4'!F34,"..")</f>
        <v>29.339346064532261</v>
      </c>
      <c r="G33" s="147">
        <f>IFERROR('8'!L34/'4'!G34,"..")</f>
        <v>99.026562635234498</v>
      </c>
    </row>
    <row r="34" spans="1:7">
      <c r="A34" s="49">
        <v>1990</v>
      </c>
      <c r="B34" s="147">
        <f>IFERROR('8'!G35/'4'!B35,"..")</f>
        <v>51.9846545266414</v>
      </c>
      <c r="C34" s="147">
        <f>IFERROR('8'!H35/'4'!C35,"..")</f>
        <v>41.778374554796841</v>
      </c>
      <c r="D34" s="147">
        <f>IFERROR('8'!I35/'4'!D35,"..")</f>
        <v>62.233137840235067</v>
      </c>
      <c r="E34" s="147">
        <f>IFERROR('8'!J35/'4'!E35,"..")</f>
        <v>27.652393576129406</v>
      </c>
      <c r="F34" s="147">
        <f>IFERROR('8'!K35/'4'!F35,"..")</f>
        <v>32.888082878437935</v>
      </c>
      <c r="G34" s="147">
        <f>IFERROR('8'!L35/'4'!G35,"..")</f>
        <v>109.88755378568221</v>
      </c>
    </row>
    <row r="35" spans="1:7">
      <c r="A35" s="49">
        <v>1991</v>
      </c>
      <c r="B35" s="147">
        <f>IFERROR('8'!G36/'4'!B36,"..")</f>
        <v>54.531148352442912</v>
      </c>
      <c r="C35" s="147">
        <f>IFERROR('8'!H36/'4'!C36,"..")</f>
        <v>46.160332598086498</v>
      </c>
      <c r="D35" s="147">
        <f>IFERROR('8'!I36/'4'!D36,"..")</f>
        <v>67.208695245066295</v>
      </c>
      <c r="E35" s="147">
        <f>IFERROR('8'!J36/'4'!E36,"..")</f>
        <v>26.453194359391187</v>
      </c>
      <c r="F35" s="147">
        <f>IFERROR('8'!K36/'4'!F36,"..")</f>
        <v>36.96060717662597</v>
      </c>
      <c r="G35" s="147">
        <f>IFERROR('8'!L36/'4'!G36,"..")</f>
        <v>116.98207082900682</v>
      </c>
    </row>
    <row r="36" spans="1:7">
      <c r="A36" s="49">
        <v>1992</v>
      </c>
      <c r="B36" s="147">
        <f>IFERROR('8'!G37/'4'!B37,"..")</f>
        <v>55.580408988420849</v>
      </c>
      <c r="C36" s="147">
        <f>IFERROR('8'!H37/'4'!C37,"..")</f>
        <v>47.11515947658323</v>
      </c>
      <c r="D36" s="147">
        <f>IFERROR('8'!I37/'4'!D37,"..")</f>
        <v>66.348041465036005</v>
      </c>
      <c r="E36" s="147">
        <f>IFERROR('8'!J37/'4'!E37,"..")</f>
        <v>27.202130807723993</v>
      </c>
      <c r="F36" s="147">
        <f>IFERROR('8'!K37/'4'!F37,"..")</f>
        <v>34.2704702048351</v>
      </c>
      <c r="G36" s="147">
        <f>IFERROR('8'!L37/'4'!G37,"..")</f>
        <v>119.03617829226971</v>
      </c>
    </row>
    <row r="37" spans="1:7">
      <c r="A37" s="49">
        <v>1993</v>
      </c>
      <c r="B37" s="147">
        <f>IFERROR('8'!G38/'4'!B38,"..")</f>
        <v>55.14490427962231</v>
      </c>
      <c r="C37" s="147">
        <f>IFERROR('8'!H38/'4'!C38,"..")</f>
        <v>46.021513720566944</v>
      </c>
      <c r="D37" s="147">
        <f>IFERROR('8'!I38/'4'!D38,"..")</f>
        <v>62.060461750616341</v>
      </c>
      <c r="E37" s="147">
        <f>IFERROR('8'!J38/'4'!E38,"..")</f>
        <v>26.290995634908853</v>
      </c>
      <c r="F37" s="147">
        <f>IFERROR('8'!K38/'4'!F38,"..")</f>
        <v>30.886471702504828</v>
      </c>
      <c r="G37" s="147">
        <f>IFERROR('8'!L38/'4'!G38,"..")</f>
        <v>118.31196735018598</v>
      </c>
    </row>
    <row r="38" spans="1:7">
      <c r="A38" s="49">
        <v>1994</v>
      </c>
      <c r="B38" s="147">
        <f>IFERROR('8'!G39/'4'!B39,"..")</f>
        <v>54.273759850706945</v>
      </c>
      <c r="C38" s="147">
        <f>IFERROR('8'!H39/'4'!C39,"..")</f>
        <v>44.563772446855857</v>
      </c>
      <c r="D38" s="147">
        <f>IFERROR('8'!I39/'4'!D39,"..")</f>
        <v>58.082671463609024</v>
      </c>
      <c r="E38" s="147">
        <f>IFERROR('8'!J39/'4'!E39,"..")</f>
        <v>25.763828872032519</v>
      </c>
      <c r="F38" s="147">
        <f>IFERROR('8'!K39/'4'!F39,"..")</f>
        <v>30.17134860522928</v>
      </c>
      <c r="G38" s="147">
        <f>IFERROR('8'!L39/'4'!G39,"..")</f>
        <v>111.521806915409</v>
      </c>
    </row>
    <row r="39" spans="1:7">
      <c r="A39" s="49">
        <v>1995</v>
      </c>
      <c r="B39" s="147">
        <f>IFERROR('8'!G40/'4'!B40,"..")</f>
        <v>54.113620317018793</v>
      </c>
      <c r="C39" s="147">
        <f>IFERROR('8'!H40/'4'!C40,"..")</f>
        <v>43.402013482130677</v>
      </c>
      <c r="D39" s="147">
        <f>IFERROR('8'!I40/'4'!D40,"..")</f>
        <v>57.420296899827441</v>
      </c>
      <c r="E39" s="147">
        <f>IFERROR('8'!J40/'4'!E40,"..")</f>
        <v>22.157129373242334</v>
      </c>
      <c r="F39" s="147">
        <f>IFERROR('8'!K40/'4'!F40,"..")</f>
        <v>33.385035378301815</v>
      </c>
      <c r="G39" s="147">
        <f>IFERROR('8'!L40/'4'!G40,"..")</f>
        <v>109.47301796626854</v>
      </c>
    </row>
    <row r="40" spans="1:7">
      <c r="A40" s="49">
        <v>1996</v>
      </c>
      <c r="B40" s="147">
        <f>IFERROR('8'!G41/'4'!B41,"..")</f>
        <v>53.868689079527137</v>
      </c>
      <c r="C40" s="147">
        <f>IFERROR('8'!H41/'4'!C41,"..")</f>
        <v>42.982542524928704</v>
      </c>
      <c r="D40" s="147">
        <f>IFERROR('8'!I41/'4'!D41,"..")</f>
        <v>59.855540136619773</v>
      </c>
      <c r="E40" s="147">
        <f>IFERROR('8'!J41/'4'!E41,"..")</f>
        <v>24.988467977542712</v>
      </c>
      <c r="F40" s="147">
        <f>IFERROR('8'!K41/'4'!F41,"..")</f>
        <v>33.212760237509634</v>
      </c>
      <c r="G40" s="147">
        <f>IFERROR('8'!L41/'4'!G41,"..")</f>
        <v>114.6160061018967</v>
      </c>
    </row>
    <row r="41" spans="1:7">
      <c r="A41" s="49">
        <v>1997</v>
      </c>
      <c r="B41" s="147">
        <f>IFERROR('8'!G42/'4'!B42,"..")</f>
        <v>53.629342007453843</v>
      </c>
      <c r="C41" s="147">
        <f>IFERROR('8'!H42/'4'!C42,"..")</f>
        <v>42.503192071502397</v>
      </c>
      <c r="D41" s="147">
        <f>IFERROR('8'!I42/'4'!D42,"..")</f>
        <v>58.884997552734994</v>
      </c>
      <c r="E41" s="147">
        <f>IFERROR('8'!J42/'4'!E42,"..")</f>
        <v>24.832268428665923</v>
      </c>
      <c r="F41" s="147">
        <f>IFERROR('8'!K42/'4'!F42,"..")</f>
        <v>33.013370391727761</v>
      </c>
      <c r="G41" s="147">
        <f>IFERROR('8'!L42/'4'!G42,"..")</f>
        <v>114.38798957804117</v>
      </c>
    </row>
    <row r="42" spans="1:7">
      <c r="A42" s="49">
        <v>1998</v>
      </c>
      <c r="B42" s="147">
        <f>IFERROR('8'!G43/'4'!B43,"..")</f>
        <v>53.436431266614463</v>
      </c>
      <c r="C42" s="147">
        <f>IFERROR('8'!H43/'4'!C43,"..")</f>
        <v>43.21463662689326</v>
      </c>
      <c r="D42" s="147">
        <f>IFERROR('8'!I43/'4'!D43,"..")</f>
        <v>60.108506465956424</v>
      </c>
      <c r="E42" s="147">
        <f>IFERROR('8'!J43/'4'!E43,"..")</f>
        <v>26.14526173006967</v>
      </c>
      <c r="F42" s="147">
        <f>IFERROR('8'!K43/'4'!F43,"..")</f>
        <v>34.142138999458055</v>
      </c>
      <c r="G42" s="147">
        <f>IFERROR('8'!L43/'4'!G43,"..")</f>
        <v>116.49426172113603</v>
      </c>
    </row>
    <row r="43" spans="1:7">
      <c r="A43" s="49">
        <v>1999</v>
      </c>
      <c r="B43" s="147">
        <f>IFERROR('8'!G44/'4'!B44,"..")</f>
        <v>53.087545966568889</v>
      </c>
      <c r="C43" s="147">
        <f>IFERROR('8'!H44/'4'!C44,"..")</f>
        <v>41.960762780942545</v>
      </c>
      <c r="D43" s="147">
        <f>IFERROR('8'!I44/'4'!D44,"..")</f>
        <v>53.92488226365159</v>
      </c>
      <c r="E43" s="147">
        <f>IFERROR('8'!J44/'4'!E44,"..")</f>
        <v>24.21198327649434</v>
      </c>
      <c r="F43" s="147">
        <f>IFERROR('8'!K44/'4'!F44,"..")</f>
        <v>30.792265571526354</v>
      </c>
      <c r="G43" s="147">
        <f>IFERROR('8'!L44/'4'!G44,"..")</f>
        <v>105.95295361563704</v>
      </c>
    </row>
    <row r="44" spans="1:7">
      <c r="A44" s="49">
        <v>2000</v>
      </c>
      <c r="B44" s="147">
        <f>IFERROR('8'!G45/'4'!B45,"..")</f>
        <v>52.984257753891569</v>
      </c>
      <c r="C44" s="147">
        <f>IFERROR('8'!H45/'4'!C45,"..")</f>
        <v>40.808206616004512</v>
      </c>
      <c r="D44" s="147">
        <f>IFERROR('8'!I45/'4'!D45,"..")</f>
        <v>54.276977244777292</v>
      </c>
      <c r="E44" s="147">
        <f>IFERROR('8'!J45/'4'!E45,"..")</f>
        <v>25.279563198907997</v>
      </c>
      <c r="F44" s="147">
        <f>IFERROR('8'!K45/'4'!F45,"..")</f>
        <v>31.960737777175019</v>
      </c>
      <c r="G44" s="147">
        <f>IFERROR('8'!L45/'4'!G45,"..")</f>
        <v>104.80294018085982</v>
      </c>
    </row>
    <row r="45" spans="1:7">
      <c r="A45" s="49">
        <v>2001</v>
      </c>
      <c r="B45" s="147">
        <f>IFERROR('8'!G46/'4'!B46,"..")</f>
        <v>53.628782561566879</v>
      </c>
      <c r="C45" s="147">
        <f>IFERROR('8'!H46/'4'!C46,"..")</f>
        <v>41.185766199686228</v>
      </c>
      <c r="D45" s="147">
        <f>IFERROR('8'!I46/'4'!D46,"..")</f>
        <v>56.157023525923506</v>
      </c>
      <c r="E45" s="147">
        <f>IFERROR('8'!J46/'4'!E46,"..")</f>
        <v>27.141828050660056</v>
      </c>
      <c r="F45" s="147">
        <f>IFERROR('8'!K46/'4'!F46,"..")</f>
        <v>34.369196009726771</v>
      </c>
      <c r="G45" s="147">
        <f>IFERROR('8'!L46/'4'!G46,"..")</f>
        <v>100.52199706285775</v>
      </c>
    </row>
    <row r="46" spans="1:7">
      <c r="A46" s="49">
        <v>2002</v>
      </c>
      <c r="B46" s="147">
        <f>IFERROR('8'!G47/'4'!B47,"..")</f>
        <v>53.587660207729968</v>
      </c>
      <c r="C46" s="147">
        <f>IFERROR('8'!H47/'4'!C47,"..")</f>
        <v>41.143442880795973</v>
      </c>
      <c r="D46" s="147">
        <f>IFERROR('8'!I47/'4'!D47,"..")</f>
        <v>54.732857939926916</v>
      </c>
      <c r="E46" s="147">
        <f>IFERROR('8'!J47/'4'!E47,"..")</f>
        <v>26.430931923331126</v>
      </c>
      <c r="F46" s="147">
        <f>IFERROR('8'!K47/'4'!F47,"..")</f>
        <v>33.179863631579153</v>
      </c>
      <c r="G46" s="147">
        <f>IFERROR('8'!L47/'4'!G47,"..")</f>
        <v>100.84455110049127</v>
      </c>
    </row>
    <row r="47" spans="1:7">
      <c r="A47" s="49">
        <v>2003</v>
      </c>
      <c r="B47" s="147">
        <f>IFERROR('8'!G48/'4'!B48,"..")</f>
        <v>53.623322251623271</v>
      </c>
      <c r="C47" s="147">
        <f>IFERROR('8'!H48/'4'!C48,"..")</f>
        <v>41.149261541890468</v>
      </c>
      <c r="D47" s="147">
        <f>IFERROR('8'!I48/'4'!D48,"..")</f>
        <v>53.489005758680378</v>
      </c>
      <c r="E47" s="147">
        <f>IFERROR('8'!J48/'4'!E48,"..")</f>
        <v>25.6474131965645</v>
      </c>
      <c r="F47" s="147">
        <f>IFERROR('8'!K48/'4'!F48,"..")</f>
        <v>32.922935180190642</v>
      </c>
      <c r="G47" s="147">
        <f>IFERROR('8'!L48/'4'!G48,"..")</f>
        <v>97.652661322051387</v>
      </c>
    </row>
    <row r="48" spans="1:7">
      <c r="A48" s="49">
        <v>2004</v>
      </c>
      <c r="B48" s="147">
        <f>IFERROR('8'!G49/'4'!B49,"..")</f>
        <v>53.411022135559044</v>
      </c>
      <c r="C48" s="147">
        <f>IFERROR('8'!H49/'4'!C49,"..")</f>
        <v>40.383491855764063</v>
      </c>
      <c r="D48" s="147">
        <f>IFERROR('8'!I49/'4'!D49,"..")</f>
        <v>51.496211332694948</v>
      </c>
      <c r="E48" s="147">
        <f>IFERROR('8'!J49/'4'!E49,"..")</f>
        <v>26.488820013283156</v>
      </c>
      <c r="F48" s="147">
        <f>IFERROR('8'!K49/'4'!F49,"..")</f>
        <v>32.803471570505614</v>
      </c>
      <c r="G48" s="147">
        <f>IFERROR('8'!L49/'4'!G49,"..")</f>
        <v>90.060552429057211</v>
      </c>
    </row>
    <row r="49" spans="1:7">
      <c r="A49" s="49">
        <v>2005</v>
      </c>
      <c r="B49" s="147">
        <f>IFERROR('8'!G50/'4'!B50,"..")</f>
        <v>54.735167969022569</v>
      </c>
      <c r="C49" s="147">
        <f>IFERROR('8'!H50/'4'!C50,"..")</f>
        <v>41.051785306749103</v>
      </c>
      <c r="D49" s="147">
        <f>IFERROR('8'!I50/'4'!D50,"..")</f>
        <v>52.018332546528761</v>
      </c>
      <c r="E49" s="147">
        <f>IFERROR('8'!J50/'4'!E50,"..")</f>
        <v>27.088279160893471</v>
      </c>
      <c r="F49" s="147">
        <f>IFERROR('8'!K50/'4'!F50,"..")</f>
        <v>35.291536875356464</v>
      </c>
      <c r="G49" s="147">
        <f>IFERROR('8'!L50/'4'!G50,"..")</f>
        <v>87.976330754649311</v>
      </c>
    </row>
    <row r="50" spans="1:7">
      <c r="A50" s="49">
        <v>2006</v>
      </c>
      <c r="B50" s="147">
        <f>IFERROR('8'!G51/'4'!B51,"..")</f>
        <v>55.791179158652028</v>
      </c>
      <c r="C50" s="147">
        <f>IFERROR('8'!H51/'4'!C51,"..")</f>
        <v>42.434848501191922</v>
      </c>
      <c r="D50" s="147">
        <f>IFERROR('8'!I51/'4'!D51,"..")</f>
        <v>53.571632035306131</v>
      </c>
      <c r="E50" s="147">
        <f>IFERROR('8'!J51/'4'!E51,"..")</f>
        <v>28.063966567209135</v>
      </c>
      <c r="F50" s="147">
        <f>IFERROR('8'!K51/'4'!F51,"..")</f>
        <v>38.299627677537117</v>
      </c>
      <c r="G50" s="147">
        <f>IFERROR('8'!L51/'4'!G51,"..")</f>
        <v>87.274560923535802</v>
      </c>
    </row>
    <row r="51" spans="1:7">
      <c r="A51" s="49">
        <v>2007</v>
      </c>
      <c r="B51" s="147">
        <f>IFERROR('8'!G52/'4'!B52,"..")</f>
        <v>56.269385575484591</v>
      </c>
      <c r="C51" s="147">
        <f>IFERROR('8'!H52/'4'!C52,"..")</f>
        <v>43.318873015749787</v>
      </c>
      <c r="D51" s="147">
        <f>IFERROR('8'!I52/'4'!D52,"..")</f>
        <v>55.170895988371491</v>
      </c>
      <c r="E51" s="147">
        <f>IFERROR('8'!J52/'4'!E52,"..")</f>
        <v>27.885754918227068</v>
      </c>
      <c r="F51" s="147">
        <f>IFERROR('8'!K52/'4'!F52,"..")</f>
        <v>42.507242431901702</v>
      </c>
      <c r="G51" s="147">
        <f>IFERROR('8'!L52/'4'!G52,"..")</f>
        <v>84.752599646216652</v>
      </c>
    </row>
    <row r="52" spans="1:7">
      <c r="A52" s="49">
        <v>2008</v>
      </c>
      <c r="B52" s="147">
        <f>IFERROR('8'!G53/'4'!B53,"..")</f>
        <v>57.43523947782149</v>
      </c>
      <c r="C52" s="147">
        <f>IFERROR('8'!H53/'4'!C53,"..")</f>
        <v>44.578242831340539</v>
      </c>
      <c r="D52" s="147">
        <f>IFERROR('8'!I53/'4'!D53,"..")</f>
        <v>59.724458632465407</v>
      </c>
      <c r="E52" s="147">
        <f>IFERROR('8'!J53/'4'!E53,"..")</f>
        <v>35.53405450821824</v>
      </c>
      <c r="F52" s="147">
        <f>IFERROR('8'!K53/'4'!F53,"..")</f>
        <v>46.25205270404016</v>
      </c>
      <c r="G52" s="147">
        <f>IFERROR('8'!L53/'4'!G53,"..")</f>
        <v>84.952835750501123</v>
      </c>
    </row>
    <row r="53" spans="1:7">
      <c r="A53" s="49">
        <v>2009</v>
      </c>
      <c r="B53" s="147">
        <f>IFERROR('8'!G54/'4'!B54,"..")</f>
        <v>59.872923350070216</v>
      </c>
      <c r="C53" s="147">
        <f>IFERROR('8'!H54/'4'!C54,"..")</f>
        <v>47.961589966997394</v>
      </c>
      <c r="D53" s="147">
        <f>IFERROR('8'!I54/'4'!D54,"..")</f>
        <v>63.456130713124068</v>
      </c>
      <c r="E53" s="147">
        <f>IFERROR('8'!J54/'4'!E54,"..")</f>
        <v>35.930255710100411</v>
      </c>
      <c r="F53" s="147">
        <f>IFERROR('8'!K54/'4'!F54,"..")</f>
        <v>50.447597469164421</v>
      </c>
      <c r="G53" s="147">
        <f>IFERROR('8'!L54/'4'!G54,"..")</f>
        <v>90.686420643229042</v>
      </c>
    </row>
    <row r="54" spans="1:7">
      <c r="A54" s="49">
        <v>2010</v>
      </c>
      <c r="B54" s="147">
        <f>IFERROR('8'!G55/'4'!B55,"..")</f>
        <v>60.085522106427511</v>
      </c>
      <c r="C54" s="147">
        <f>IFERROR('8'!H55/'4'!C55,"..")</f>
        <v>45.905809176859364</v>
      </c>
      <c r="D54" s="147">
        <f>IFERROR('8'!I55/'4'!D55,"..")</f>
        <v>58.470629797347208</v>
      </c>
      <c r="E54" s="147">
        <f>IFERROR('8'!J55/'4'!E55,"..")</f>
        <v>31.926702961094144</v>
      </c>
      <c r="F54" s="147">
        <f>IFERROR('8'!K55/'4'!F55,"..")</f>
        <v>47.398429191917892</v>
      </c>
      <c r="G54" s="147">
        <f>IFERROR('8'!L55/'4'!G55,"..")</f>
        <v>84.676171995837905</v>
      </c>
    </row>
    <row r="55" spans="1:7">
      <c r="A55" s="49">
        <v>2011</v>
      </c>
      <c r="B55" s="147">
        <f>IFERROR('8'!G56/'4'!B56,"..")</f>
        <v>60.838276080524302</v>
      </c>
      <c r="C55" s="147">
        <f>IFERROR('8'!H56/'4'!C56,"..")</f>
        <v>45.675097633632291</v>
      </c>
      <c r="D55" s="147">
        <f>IFERROR('8'!I56/'4'!D56,"..")</f>
        <v>56.443657620580169</v>
      </c>
      <c r="E55" s="147">
        <f>IFERROR('8'!J56/'4'!E56,"..")</f>
        <v>28.725157295515828</v>
      </c>
      <c r="F55" s="147">
        <f>IFERROR('8'!K56/'4'!F56,"..")</f>
        <v>46.810130175071933</v>
      </c>
      <c r="G55" s="147">
        <f>IFERROR('8'!L56/'4'!G56,"..")</f>
        <v>83.528545173429791</v>
      </c>
    </row>
    <row r="56" spans="1:7">
      <c r="A56" s="49">
        <v>2012</v>
      </c>
      <c r="B56" s="147" t="str">
        <f>IFERROR('8'!G57/'4'!B57,"..")</f>
        <v>..</v>
      </c>
      <c r="C56" s="147" t="str">
        <f>IFERROR('8'!H57/'4'!C57,"..")</f>
        <v>..</v>
      </c>
      <c r="D56" s="147" t="str">
        <f>IFERROR('8'!I57/'4'!D57,"..")</f>
        <v>..</v>
      </c>
      <c r="E56" s="147" t="str">
        <f>IFERROR('8'!J57/'4'!E57,"..")</f>
        <v>..</v>
      </c>
      <c r="F56" s="147" t="str">
        <f>IFERROR('8'!K57/'4'!F57,"..")</f>
        <v>..</v>
      </c>
      <c r="G56" s="147" t="str">
        <f>IFERROR('8'!L57/'4'!G57,"..")</f>
        <v>..</v>
      </c>
    </row>
    <row r="57" spans="1:7">
      <c r="A57" s="49"/>
      <c r="B57" s="57"/>
      <c r="C57" s="57"/>
      <c r="D57" s="57"/>
      <c r="E57" s="57"/>
      <c r="F57" s="57"/>
      <c r="G57" s="57"/>
    </row>
    <row r="58" spans="1:7">
      <c r="A58" s="66" t="s">
        <v>23</v>
      </c>
      <c r="B58" s="57"/>
      <c r="C58" s="57"/>
      <c r="D58" s="57"/>
      <c r="E58" s="57"/>
      <c r="F58" s="57"/>
      <c r="G58" s="57"/>
    </row>
    <row r="59" spans="1:7" hidden="1" outlineLevel="1">
      <c r="A59" s="109" t="s">
        <v>587</v>
      </c>
      <c r="B59" s="65">
        <f t="shared" ref="B59:G59" si="0">((B51/B25)^(1/26)-1)*100</f>
        <v>0.4142586154915584</v>
      </c>
      <c r="C59" s="65">
        <f t="shared" si="0"/>
        <v>0.63768812702418298</v>
      </c>
      <c r="D59" s="65">
        <f t="shared" si="0"/>
        <v>0.88307884860912012</v>
      </c>
      <c r="E59" s="65">
        <f t="shared" si="0"/>
        <v>-0.26488015082706262</v>
      </c>
      <c r="F59" s="65">
        <f t="shared" si="0"/>
        <v>1.7619688531485211</v>
      </c>
      <c r="G59" s="65">
        <f t="shared" si="0"/>
        <v>0.84957200269253352</v>
      </c>
    </row>
    <row r="60" spans="1:7" hidden="1" outlineLevel="1">
      <c r="A60" s="64" t="s">
        <v>24</v>
      </c>
      <c r="B60" s="65">
        <f t="shared" ref="B60:G60" si="1">((B50/B25)^(1/25)-1)*100</f>
        <v>0.39658401789017805</v>
      </c>
      <c r="C60" s="65">
        <f t="shared" si="1"/>
        <v>0.58029332247311327</v>
      </c>
      <c r="D60" s="65">
        <f t="shared" si="1"/>
        <v>0.7998891965700583</v>
      </c>
      <c r="E60" s="65">
        <f t="shared" si="1"/>
        <v>-0.25004593381654505</v>
      </c>
      <c r="F60" s="65">
        <f t="shared" si="1"/>
        <v>1.409393608375975</v>
      </c>
      <c r="G60" s="65">
        <f t="shared" si="1"/>
        <v>1.0021009337474185</v>
      </c>
    </row>
    <row r="61" spans="1:7" hidden="1" outlineLevel="1">
      <c r="A61" s="64" t="s">
        <v>669</v>
      </c>
      <c r="B61" s="65">
        <f t="shared" ref="B61:G61" si="2">((B48/B25)^(1/23)-1)*100</f>
        <v>0.24094754583847688</v>
      </c>
      <c r="C61" s="65">
        <f t="shared" si="2"/>
        <v>0.41435690850739615</v>
      </c>
      <c r="D61" s="65">
        <f t="shared" si="2"/>
        <v>0.69661219364416382</v>
      </c>
      <c r="E61" s="65">
        <f t="shared" si="2"/>
        <v>-0.5219091009589838</v>
      </c>
      <c r="F61" s="65">
        <f t="shared" si="2"/>
        <v>0.85135434698815349</v>
      </c>
      <c r="G61" s="65">
        <f t="shared" si="2"/>
        <v>1.2279191927346389</v>
      </c>
    </row>
    <row r="62" spans="1:7" hidden="1" outlineLevel="1">
      <c r="A62" s="64" t="s">
        <v>25</v>
      </c>
      <c r="B62" s="65">
        <f t="shared" ref="B62:G62" si="3">((B33/B25)^(1/8)-1)*100</f>
        <v>5.7220101150856628E-2</v>
      </c>
      <c r="C62" s="65">
        <f t="shared" si="3"/>
        <v>0.53689665992686653</v>
      </c>
      <c r="D62" s="65">
        <f t="shared" si="3"/>
        <v>2.8718482399003653</v>
      </c>
      <c r="E62" s="65">
        <f t="shared" si="3"/>
        <v>-1.9356455336400069</v>
      </c>
      <c r="F62" s="65">
        <f t="shared" si="3"/>
        <v>1.0476726787148394</v>
      </c>
      <c r="G62" s="65">
        <f t="shared" si="3"/>
        <v>4.8070573832019958</v>
      </c>
    </row>
    <row r="63" spans="1:7" collapsed="1">
      <c r="A63" s="64" t="s">
        <v>2127</v>
      </c>
      <c r="B63" s="65">
        <f>((B55/B33)^(1/22)-1)*100</f>
        <v>0.8260154714493595</v>
      </c>
      <c r="C63" s="65">
        <f t="shared" ref="C63:G63" si="4">((C55/C33)^(1/22)-1)*100</f>
        <v>0.80046171169787517</v>
      </c>
      <c r="D63" s="65">
        <f t="shared" si="4"/>
        <v>0.11319733662162879</v>
      </c>
      <c r="E63" s="65">
        <f t="shared" si="4"/>
        <v>0.53354130691813939</v>
      </c>
      <c r="F63" s="65">
        <f t="shared" si="4"/>
        <v>2.146207407565881</v>
      </c>
      <c r="G63" s="65">
        <f t="shared" si="4"/>
        <v>-0.77065010966159697</v>
      </c>
    </row>
    <row r="64" spans="1:7" hidden="1" outlineLevel="1">
      <c r="A64" s="64" t="s">
        <v>1606</v>
      </c>
      <c r="B64" s="65">
        <f t="shared" ref="B64:G64" si="5">((B48/B33)^(1/15)-1)*100</f>
        <v>0.33907342164010146</v>
      </c>
      <c r="C64" s="65">
        <f t="shared" si="5"/>
        <v>0.34906345683138884</v>
      </c>
      <c r="D64" s="65">
        <f t="shared" si="5"/>
        <v>-0.44464426432078152</v>
      </c>
      <c r="E64" s="65">
        <f t="shared" si="5"/>
        <v>0.24039864175511294</v>
      </c>
      <c r="F64" s="65">
        <f t="shared" si="5"/>
        <v>0.74680723940301341</v>
      </c>
      <c r="G64" s="65">
        <f t="shared" si="5"/>
        <v>-0.63070846287627269</v>
      </c>
    </row>
    <row r="65" spans="1:7" collapsed="1">
      <c r="A65" s="64" t="s">
        <v>26</v>
      </c>
      <c r="B65" s="65">
        <f t="shared" ref="B65:G65" si="6">((B44/B33)^(1/11)-1)*100</f>
        <v>0.3894171184785078</v>
      </c>
      <c r="C65" s="65">
        <f t="shared" si="6"/>
        <v>0.57190614146453989</v>
      </c>
      <c r="D65" s="65">
        <f t="shared" si="6"/>
        <v>-0.12949295312876252</v>
      </c>
      <c r="E65" s="65">
        <f t="shared" si="6"/>
        <v>-9.7315754782789643E-2</v>
      </c>
      <c r="F65" s="65">
        <f t="shared" si="6"/>
        <v>0.78102256339722675</v>
      </c>
      <c r="G65" s="65">
        <f t="shared" si="6"/>
        <v>0.51672775717592767</v>
      </c>
    </row>
    <row r="66" spans="1:7" hidden="1" outlineLevel="1">
      <c r="A66" s="64" t="s">
        <v>676</v>
      </c>
      <c r="B66" s="65">
        <f t="shared" ref="B66:G66" si="7">((B50/B33)^(1/17)-1)*100</f>
        <v>0.55668272335611668</v>
      </c>
      <c r="C66" s="65">
        <f t="shared" si="7"/>
        <v>0.60072176253098686</v>
      </c>
      <c r="D66" s="65">
        <f t="shared" si="7"/>
        <v>-0.16065860430752865</v>
      </c>
      <c r="E66" s="65">
        <f t="shared" si="7"/>
        <v>0.55317255192643966</v>
      </c>
      <c r="F66" s="65">
        <f t="shared" si="7"/>
        <v>1.5800629862146032</v>
      </c>
      <c r="G66" s="65">
        <f t="shared" si="7"/>
        <v>-0.74035810887168596</v>
      </c>
    </row>
    <row r="67" spans="1:7" collapsed="1">
      <c r="A67" s="64" t="s">
        <v>1782</v>
      </c>
      <c r="B67" s="65">
        <f>((B55/B44)^(1/11)-1)*100</f>
        <v>1.2645126114366967</v>
      </c>
      <c r="C67" s="65">
        <f t="shared" ref="C67:G67" si="8">((C55/C44)^(1/11)-1)*100</f>
        <v>1.0295366879033985</v>
      </c>
      <c r="D67" s="65">
        <f t="shared" si="8"/>
        <v>0.35647737582340522</v>
      </c>
      <c r="E67" s="65">
        <f t="shared" si="8"/>
        <v>1.1683820516933174</v>
      </c>
      <c r="F67" s="65">
        <f t="shared" si="8"/>
        <v>3.5298851148881871</v>
      </c>
      <c r="G67" s="65">
        <f t="shared" si="8"/>
        <v>-2.041539757980626</v>
      </c>
    </row>
    <row r="68" spans="1:7" hidden="1" outlineLevel="1">
      <c r="A68" s="64" t="s">
        <v>27</v>
      </c>
      <c r="B68" s="65">
        <f t="shared" ref="B68:G68" si="9">((B50/B44)^(1/6)-1)*100</f>
        <v>0.86406049376177574</v>
      </c>
      <c r="C68" s="65">
        <f t="shared" si="9"/>
        <v>0.65357184600023377</v>
      </c>
      <c r="D68" s="65">
        <f t="shared" si="9"/>
        <v>-0.21777037418632128</v>
      </c>
      <c r="E68" s="65">
        <f t="shared" si="9"/>
        <v>1.7567548007978884</v>
      </c>
      <c r="F68" s="65">
        <f t="shared" si="9"/>
        <v>3.0614605153558738</v>
      </c>
      <c r="G68" s="65">
        <f t="shared" si="9"/>
        <v>-3.0043254523799301</v>
      </c>
    </row>
    <row r="69" spans="1:7" hidden="1" outlineLevel="1">
      <c r="A69" s="64" t="s">
        <v>662</v>
      </c>
      <c r="B69" s="65">
        <f t="shared" ref="B69:G69" si="10">((B48/B44)^(1/4)-1)*100</f>
        <v>0.2007583948508751</v>
      </c>
      <c r="C69" s="65">
        <f t="shared" si="10"/>
        <v>-0.26121124078242186</v>
      </c>
      <c r="D69" s="65">
        <f t="shared" si="10"/>
        <v>-1.3061919579872794</v>
      </c>
      <c r="E69" s="65">
        <f t="shared" si="10"/>
        <v>1.1750113311299604</v>
      </c>
      <c r="F69" s="65">
        <f t="shared" si="10"/>
        <v>0.65277498237827913</v>
      </c>
      <c r="G69" s="65">
        <f t="shared" si="10"/>
        <v>-3.7190681373668988</v>
      </c>
    </row>
    <row r="70" spans="1:7" collapsed="1"/>
    <row r="71" spans="1:7">
      <c r="A71" s="104" t="s">
        <v>752</v>
      </c>
      <c r="B71" s="104"/>
      <c r="C71" s="104"/>
      <c r="D71" s="104"/>
      <c r="E71" s="104"/>
      <c r="F71" s="104"/>
      <c r="G71" s="104"/>
    </row>
    <row r="72" spans="1:7">
      <c r="A72" s="104" t="s">
        <v>62</v>
      </c>
      <c r="B72" s="104"/>
      <c r="C72" s="104"/>
      <c r="D72" s="104"/>
      <c r="E72" s="104"/>
      <c r="F72" s="104"/>
      <c r="G72" s="104"/>
    </row>
    <row r="73" spans="1:7" ht="30" customHeight="1">
      <c r="A73" s="104" t="s">
        <v>1030</v>
      </c>
      <c r="B73" s="104"/>
      <c r="C73" s="104"/>
      <c r="D73" s="104"/>
      <c r="E73" s="104"/>
      <c r="F73" s="104"/>
      <c r="G73" s="104"/>
    </row>
    <row r="75" spans="1:7">
      <c r="B75" s="67"/>
      <c r="C75" s="67"/>
      <c r="D75" s="67"/>
      <c r="E75" s="67"/>
      <c r="F75" s="67"/>
      <c r="G75" s="67"/>
    </row>
    <row r="78" spans="1:7">
      <c r="B78" s="67"/>
      <c r="C78" s="67"/>
      <c r="D78" s="67"/>
      <c r="E78" s="67"/>
      <c r="F78" s="67"/>
      <c r="G78" s="67"/>
    </row>
  </sheetData>
  <mergeCells count="8">
    <mergeCell ref="A73:G73"/>
    <mergeCell ref="A1:G1"/>
    <mergeCell ref="A2:A3"/>
    <mergeCell ref="B2:B3"/>
    <mergeCell ref="D2:G2"/>
    <mergeCell ref="A71:G71"/>
    <mergeCell ref="A72:G72"/>
    <mergeCell ref="C2:C3"/>
  </mergeCells>
  <pageMargins left="0.7" right="0.7" top="0.75" bottom="0.75" header="0.3" footer="0.3"/>
  <pageSetup scale="94" orientation="portrait" horizontalDpi="0" verticalDpi="0" r:id="rId1"/>
</worksheet>
</file>

<file path=xl/worksheets/sheet59.xml><?xml version="1.0" encoding="utf-8"?>
<worksheet xmlns="http://schemas.openxmlformats.org/spreadsheetml/2006/main" xmlns:r="http://schemas.openxmlformats.org/officeDocument/2006/relationships">
  <sheetPr codeName="Sheet56">
    <tabColor rgb="FFFF8585"/>
  </sheetPr>
  <dimension ref="A1:F20"/>
  <sheetViews>
    <sheetView view="pageBreakPreview" zoomScaleNormal="100" zoomScaleSheetLayoutView="100" workbookViewId="0">
      <pane xSplit="1" ySplit="3" topLeftCell="B4" activePane="bottomRight" state="frozen"/>
      <selection activeCell="K23" sqref="K23"/>
      <selection pane="topRight" activeCell="K23" sqref="K23"/>
      <selection pane="bottomLeft" activeCell="K23" sqref="K23"/>
      <selection pane="bottomRight" activeCell="K23" sqref="K23"/>
    </sheetView>
  </sheetViews>
  <sheetFormatPr defaultRowHeight="15" outlineLevelRow="1"/>
  <cols>
    <col min="1" max="1" width="13.140625" customWidth="1"/>
    <col min="2" max="2" width="14" customWidth="1"/>
    <col min="3" max="3" width="11.5703125" bestFit="1" customWidth="1"/>
    <col min="5" max="5" width="18.7109375" style="35" customWidth="1"/>
    <col min="6" max="6" width="13.42578125" customWidth="1"/>
  </cols>
  <sheetData>
    <row r="1" spans="1:6">
      <c r="A1" s="93" t="s">
        <v>1607</v>
      </c>
      <c r="B1" s="93"/>
      <c r="C1" s="93"/>
      <c r="D1" s="93"/>
      <c r="E1" s="93"/>
      <c r="F1" s="93"/>
    </row>
    <row r="2" spans="1:6" s="35" customFormat="1">
      <c r="A2" s="39"/>
      <c r="B2" s="83" t="s">
        <v>116</v>
      </c>
      <c r="C2" s="86" t="s">
        <v>1304</v>
      </c>
      <c r="D2" s="86"/>
      <c r="E2" s="86"/>
      <c r="F2" s="94" t="s">
        <v>113</v>
      </c>
    </row>
    <row r="3" spans="1:6" ht="45" customHeight="1">
      <c r="B3" s="83"/>
      <c r="C3" s="37" t="s">
        <v>1367</v>
      </c>
      <c r="D3" s="38" t="s">
        <v>1304</v>
      </c>
      <c r="E3" s="37" t="s">
        <v>1369</v>
      </c>
      <c r="F3" s="94"/>
    </row>
    <row r="4" spans="1:6" s="35" customFormat="1">
      <c r="B4" s="95" t="s">
        <v>784</v>
      </c>
      <c r="C4" s="95"/>
      <c r="D4" s="95"/>
      <c r="E4" s="40" t="s">
        <v>795</v>
      </c>
      <c r="F4" s="41"/>
    </row>
    <row r="5" spans="1:6" s="42" customFormat="1" outlineLevel="1">
      <c r="A5" s="42" t="s">
        <v>587</v>
      </c>
      <c r="B5" s="45">
        <f>'5'!B39</f>
        <v>1.2079184396644571</v>
      </c>
      <c r="C5" s="47">
        <f>AVERAGE('8d'!B4:B27)</f>
        <v>42.261303136614472</v>
      </c>
      <c r="D5" s="46">
        <f>'8e'!B59</f>
        <v>0.4142586154915584</v>
      </c>
      <c r="E5" s="14">
        <f>D5*C5/100</f>
        <v>0.17507108926242967</v>
      </c>
      <c r="F5" s="14">
        <f>B5-D5*C5/100</f>
        <v>1.0328473504020275</v>
      </c>
    </row>
    <row r="6" spans="1:6" s="13" customFormat="1" outlineLevel="1">
      <c r="A6" s="35" t="s">
        <v>24</v>
      </c>
      <c r="B6" s="11">
        <f>'5'!B40</f>
        <v>1.3430056705851401</v>
      </c>
      <c r="C6" s="12">
        <f>AVERAGE('8d'!B4:B27)</f>
        <v>42.261303136614472</v>
      </c>
      <c r="D6" s="14">
        <f>'8e'!B60</f>
        <v>0.39658401789017805</v>
      </c>
      <c r="E6" s="14">
        <f>D6*C6/100</f>
        <v>0.16760157399193354</v>
      </c>
      <c r="F6" s="14">
        <f>B6-D6*C6/100</f>
        <v>1.1754040965932067</v>
      </c>
    </row>
    <row r="7" spans="1:6" s="43" customFormat="1" outlineLevel="1">
      <c r="A7" s="43" t="s">
        <v>669</v>
      </c>
      <c r="B7" s="11">
        <f>'5'!B49</f>
        <v>1.3006399461906293</v>
      </c>
      <c r="C7" s="12">
        <f>AVERAGE('8d'!B4:B27)</f>
        <v>42.261303136614472</v>
      </c>
      <c r="D7" s="14">
        <f>'8e'!B61</f>
        <v>0.24094754583847688</v>
      </c>
      <c r="E7" s="14">
        <f>D7*C7/100</f>
        <v>0.10182757274703183</v>
      </c>
      <c r="F7" s="14">
        <f>B7-D7*C7/100</f>
        <v>1.1988123734435974</v>
      </c>
    </row>
    <row r="8" spans="1:6" s="13" customFormat="1" outlineLevel="1">
      <c r="A8" s="13" t="s">
        <v>25</v>
      </c>
      <c r="B8" s="11">
        <f>'5'!B41</f>
        <v>1.0721431295927619</v>
      </c>
      <c r="C8" s="12">
        <f>AVERAGE('8d'!B4:B12)</f>
        <v>42.110559842237429</v>
      </c>
      <c r="D8" s="14">
        <f>'8e'!B62</f>
        <v>5.7220101150856628E-2</v>
      </c>
      <c r="E8" s="14">
        <f t="shared" ref="E8:E16" si="0">D8*C8/100</f>
        <v>2.409570493692027E-2</v>
      </c>
      <c r="F8" s="14">
        <f t="shared" ref="F8:F16" si="1">B8-D8*C8/100</f>
        <v>1.0480474246558416</v>
      </c>
    </row>
    <row r="9" spans="1:6" s="43" customFormat="1">
      <c r="A9" s="44" t="s">
        <v>1363</v>
      </c>
      <c r="B9" s="11">
        <f>'5'!B42</f>
        <v>1.2573364884211458</v>
      </c>
      <c r="C9" s="12">
        <f>AVERAGE('8d'!B12:B27)</f>
        <v>42.287272833614679</v>
      </c>
      <c r="D9" s="14">
        <f>'8e'!B63</f>
        <v>0.8260154714493595</v>
      </c>
      <c r="E9" s="14">
        <f>D9*C9/100</f>
        <v>0.3492994160596592</v>
      </c>
      <c r="F9" s="14">
        <f>B9-D9*C9/100</f>
        <v>0.90803707236148656</v>
      </c>
    </row>
    <row r="10" spans="1:6" s="35" customFormat="1" outlineLevel="1">
      <c r="A10" s="35" t="s">
        <v>676</v>
      </c>
      <c r="B10" s="11">
        <f>'5'!B43</f>
        <v>1.4707214475660368</v>
      </c>
      <c r="C10" s="12">
        <f>AVERAGE('8d'!B12:B27)</f>
        <v>42.287272833614679</v>
      </c>
      <c r="D10" s="14">
        <f>'8e'!B66</f>
        <v>0.55668272335611668</v>
      </c>
      <c r="E10" s="14">
        <f>D10*C10/100</f>
        <v>0.23540594204319748</v>
      </c>
      <c r="F10" s="14">
        <f>B10-D10*C10/100</f>
        <v>1.2353155055228393</v>
      </c>
    </row>
    <row r="11" spans="1:6" s="43" customFormat="1" outlineLevel="1">
      <c r="A11" s="43" t="s">
        <v>1606</v>
      </c>
      <c r="B11" s="11">
        <f>'5'!B44</f>
        <v>1.4227160603892619</v>
      </c>
      <c r="C11" s="12">
        <f>AVERAGE('8d'!B12:B27)</f>
        <v>42.287272833614679</v>
      </c>
      <c r="D11" s="14">
        <f>'8e'!B64</f>
        <v>0.33907342164010146</v>
      </c>
      <c r="E11" s="14">
        <f>D11*C11/100</f>
        <v>0.14338490291522238</v>
      </c>
      <c r="F11" s="14">
        <f>B11-D11*C11/100</f>
        <v>1.2793311574740396</v>
      </c>
    </row>
    <row r="12" spans="1:6" s="13" customFormat="1">
      <c r="A12" s="13" t="s">
        <v>26</v>
      </c>
      <c r="B12" s="11">
        <f>'5'!B45</f>
        <v>1.6312538760447914</v>
      </c>
      <c r="C12" s="12">
        <f>AVERAGE('8d'!B12:B23)</f>
        <v>41.818490880554037</v>
      </c>
      <c r="D12" s="14">
        <f>'8e'!B65</f>
        <v>0.3894171184785078</v>
      </c>
      <c r="E12" s="14">
        <f t="shared" si="0"/>
        <v>0.1628483621782511</v>
      </c>
      <c r="F12" s="14">
        <f t="shared" si="1"/>
        <v>1.4684055138665404</v>
      </c>
    </row>
    <row r="13" spans="1:6" s="42" customFormat="1">
      <c r="A13" s="42" t="s">
        <v>588</v>
      </c>
      <c r="B13" s="11">
        <f>'5'!B47</f>
        <v>0.8847948017500773</v>
      </c>
      <c r="C13" s="12">
        <f>AVERAGE('8d'!B23:B27)</f>
        <v>43.764326753826673</v>
      </c>
      <c r="D13" s="14">
        <f>'8e'!B67</f>
        <v>1.2645126114366967</v>
      </c>
      <c r="E13" s="14">
        <f>D13*C13/100</f>
        <v>0.55340543111250251</v>
      </c>
      <c r="F13" s="14">
        <f>B13-D13*C13/100</f>
        <v>0.33138937063757479</v>
      </c>
    </row>
    <row r="14" spans="1:6" s="13" customFormat="1" outlineLevel="1">
      <c r="A14" s="34" t="s">
        <v>27</v>
      </c>
      <c r="B14" s="11">
        <f>'5'!B46</f>
        <v>1.1770702846148895</v>
      </c>
      <c r="C14" s="12">
        <f>AVERAGE('8d'!B23:B27)</f>
        <v>43.764326753826673</v>
      </c>
      <c r="D14" s="14">
        <f>'8e'!B68</f>
        <v>0.86406049376177574</v>
      </c>
      <c r="E14" s="14">
        <f t="shared" si="0"/>
        <v>0.37815025784063167</v>
      </c>
      <c r="F14" s="14">
        <f t="shared" si="1"/>
        <v>0.79892002677425777</v>
      </c>
    </row>
    <row r="15" spans="1:6" s="35" customFormat="1">
      <c r="B15" s="11"/>
      <c r="C15" s="12"/>
      <c r="D15" s="36"/>
      <c r="E15" s="14"/>
      <c r="F15" s="14"/>
    </row>
    <row r="16" spans="1:6" s="13" customFormat="1" outlineLevel="1">
      <c r="A16" s="13" t="s">
        <v>662</v>
      </c>
      <c r="B16" s="11">
        <f>'5'!B54</f>
        <v>0.85144078719199268</v>
      </c>
      <c r="C16" s="12">
        <f>AVERAGE('8d'!B23:B27)</f>
        <v>43.764326753826673</v>
      </c>
      <c r="D16" s="14" t="e">
        <f>'8'!#REF!</f>
        <v>#REF!</v>
      </c>
      <c r="E16" s="14" t="e">
        <f t="shared" si="0"/>
        <v>#REF!</v>
      </c>
      <c r="F16" s="14" t="e">
        <f t="shared" si="1"/>
        <v>#REF!</v>
      </c>
    </row>
    <row r="17" spans="1:6" s="35" customFormat="1" outlineLevel="1">
      <c r="B17" s="11"/>
      <c r="D17" s="36"/>
      <c r="E17" s="36"/>
    </row>
    <row r="18" spans="1:6">
      <c r="A18" s="35" t="s">
        <v>1370</v>
      </c>
    </row>
    <row r="19" spans="1:6">
      <c r="A19" s="13" t="s">
        <v>773</v>
      </c>
    </row>
    <row r="20" spans="1:6" ht="45" customHeight="1">
      <c r="A20" s="81" t="s">
        <v>1368</v>
      </c>
      <c r="B20" s="81"/>
      <c r="C20" s="81"/>
      <c r="D20" s="81"/>
      <c r="E20" s="81"/>
      <c r="F20" s="81"/>
    </row>
  </sheetData>
  <mergeCells count="6">
    <mergeCell ref="A1:F1"/>
    <mergeCell ref="B2:B3"/>
    <mergeCell ref="C2:E2"/>
    <mergeCell ref="F2:F3"/>
    <mergeCell ref="A20:F20"/>
    <mergeCell ref="B4:D4"/>
  </mergeCells>
  <pageMargins left="0.7" right="0.7" top="0.75" bottom="0.75" header="0.3" footer="0.3"/>
  <pageSetup orientation="landscape" horizontalDpi="0" verticalDpi="0" r:id="rId1"/>
</worksheet>
</file>

<file path=xl/worksheets/sheet6.xml><?xml version="1.0" encoding="utf-8"?>
<worksheet xmlns="http://schemas.openxmlformats.org/spreadsheetml/2006/main" xmlns:r="http://schemas.openxmlformats.org/officeDocument/2006/relationships">
  <sheetPr codeName="Sheet6"/>
  <dimension ref="A1:O62"/>
  <sheetViews>
    <sheetView zoomScale="85" zoomScaleNormal="85" zoomScaleSheetLayoutView="85" workbookViewId="0">
      <pane xSplit="1" ySplit="5" topLeftCell="B18"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9.140625" style="64"/>
    <col min="2" max="4" width="12.7109375" style="64" customWidth="1"/>
    <col min="5" max="5" width="15.140625" style="64" customWidth="1"/>
    <col min="6" max="8" width="14.7109375" style="64" customWidth="1"/>
    <col min="9" max="9" width="9.140625" style="64"/>
    <col min="10" max="14" width="9.140625" style="64" hidden="1" customWidth="1" outlineLevel="1"/>
    <col min="15" max="15" width="9.140625" style="64" collapsed="1"/>
    <col min="16" max="16384" width="9.140625" style="64"/>
  </cols>
  <sheetData>
    <row r="1" spans="1:14" ht="30" customHeight="1">
      <c r="A1" s="140" t="s">
        <v>2164</v>
      </c>
      <c r="B1" s="140"/>
      <c r="C1" s="140"/>
      <c r="D1" s="140"/>
      <c r="E1" s="140"/>
      <c r="F1" s="140"/>
      <c r="G1" s="140"/>
      <c r="H1" s="140"/>
    </row>
    <row r="2" spans="1:14">
      <c r="A2" s="96"/>
      <c r="B2" s="94" t="s">
        <v>36</v>
      </c>
      <c r="C2" s="111" t="s">
        <v>37</v>
      </c>
      <c r="D2" s="111"/>
      <c r="E2" s="111"/>
      <c r="F2" s="111"/>
      <c r="G2" s="111"/>
      <c r="H2" s="111"/>
    </row>
    <row r="3" spans="1:14" ht="30" customHeight="1">
      <c r="A3" s="96"/>
      <c r="B3" s="94"/>
      <c r="C3" s="94" t="s">
        <v>39</v>
      </c>
      <c r="D3" s="94" t="s">
        <v>28</v>
      </c>
      <c r="E3" s="94" t="s">
        <v>29</v>
      </c>
      <c r="F3" s="94" t="s">
        <v>2</v>
      </c>
      <c r="G3" s="94"/>
      <c r="H3" s="94"/>
    </row>
    <row r="4" spans="1:14" ht="90">
      <c r="A4" s="96"/>
      <c r="B4" s="94"/>
      <c r="C4" s="94"/>
      <c r="D4" s="94"/>
      <c r="E4" s="94"/>
      <c r="F4" s="72" t="s">
        <v>38</v>
      </c>
      <c r="G4" s="72" t="s">
        <v>13</v>
      </c>
      <c r="H4" s="72" t="s">
        <v>19</v>
      </c>
      <c r="J4" s="117" t="s">
        <v>28</v>
      </c>
      <c r="K4" s="117" t="s">
        <v>29</v>
      </c>
      <c r="L4" s="117" t="s">
        <v>2</v>
      </c>
      <c r="M4" s="117" t="s">
        <v>13</v>
      </c>
      <c r="N4" s="117" t="s">
        <v>19</v>
      </c>
    </row>
    <row r="5" spans="1:14" hidden="1" outlineLevel="1">
      <c r="B5" s="64" t="s">
        <v>40</v>
      </c>
      <c r="J5" s="64" t="s">
        <v>30</v>
      </c>
      <c r="K5" s="64" t="s">
        <v>31</v>
      </c>
      <c r="L5" s="64" t="s">
        <v>32</v>
      </c>
      <c r="M5" s="64" t="s">
        <v>33</v>
      </c>
      <c r="N5" s="64" t="s">
        <v>34</v>
      </c>
    </row>
    <row r="6" spans="1:14" collapsed="1">
      <c r="A6" s="66">
        <v>1961</v>
      </c>
      <c r="B6" s="58">
        <f>'1b'!B6/'1b'!$B6*100</f>
        <v>100</v>
      </c>
      <c r="C6" s="58">
        <f>'1b'!D6/'1b'!$B6*100</f>
        <v>4.3586735289496188</v>
      </c>
      <c r="D6" s="58">
        <f>'1b'!E6/'1b'!$B6*100</f>
        <v>0.99445252712497756</v>
      </c>
      <c r="E6" s="58">
        <f>'1b'!F6/'1b'!$B6*100</f>
        <v>1.0111970978815972</v>
      </c>
      <c r="F6" s="58">
        <f>'1b'!G6/'1b'!$B6*100</f>
        <v>2.2510819188867912</v>
      </c>
      <c r="G6" s="58">
        <f>'1b'!H6/'1b'!$B6*100</f>
        <v>1.8126894454934841</v>
      </c>
      <c r="H6" s="58">
        <f>'1b'!I6/'1b'!$B6*100</f>
        <v>0.41041874134934025</v>
      </c>
      <c r="J6" s="64">
        <v>500000000</v>
      </c>
      <c r="K6" s="64">
        <v>390000000</v>
      </c>
      <c r="L6" s="64">
        <v>939000000</v>
      </c>
      <c r="M6" s="64">
        <v>775000000</v>
      </c>
      <c r="N6" s="64">
        <v>164000000</v>
      </c>
    </row>
    <row r="7" spans="1:14">
      <c r="A7" s="66">
        <v>1962</v>
      </c>
      <c r="B7" s="58">
        <f>'1b'!B7/'1b'!$B7*100</f>
        <v>100</v>
      </c>
      <c r="C7" s="58">
        <f>'1b'!D7/'1b'!$B7*100</f>
        <v>4.321404395921431</v>
      </c>
      <c r="D7" s="58">
        <f>'1b'!E7/'1b'!$B7*100</f>
        <v>0.96335715370245656</v>
      </c>
      <c r="E7" s="58">
        <f>'1b'!F7/'1b'!$B7*100</f>
        <v>1.0733721359096802</v>
      </c>
      <c r="F7" s="58">
        <f>'1b'!G7/'1b'!$B7*100</f>
        <v>2.1935838419531963</v>
      </c>
      <c r="G7" s="58">
        <f>'1b'!H7/'1b'!$B7*100</f>
        <v>1.7394375264604824</v>
      </c>
      <c r="H7" s="58">
        <f>'1b'!I7/'1b'!$B7*100</f>
        <v>0.43108991875280445</v>
      </c>
      <c r="J7" s="64">
        <v>523000000</v>
      </c>
      <c r="K7" s="64">
        <v>447000000</v>
      </c>
      <c r="L7" s="64">
        <v>988000000</v>
      </c>
      <c r="M7" s="64">
        <v>803000000</v>
      </c>
      <c r="N7" s="64">
        <v>186000000</v>
      </c>
    </row>
    <row r="8" spans="1:14">
      <c r="A8" s="66">
        <v>1963</v>
      </c>
      <c r="B8" s="58">
        <f>'1b'!B8/'1b'!$B8*100</f>
        <v>100</v>
      </c>
      <c r="C8" s="58">
        <f>'1b'!D8/'1b'!$B8*100</f>
        <v>4.2732824400137064</v>
      </c>
      <c r="D8" s="58">
        <f>'1b'!E8/'1b'!$B8*100</f>
        <v>0.93097109946887802</v>
      </c>
      <c r="E8" s="58">
        <f>'1b'!F8/'1b'!$B8*100</f>
        <v>1.1355656263710454</v>
      </c>
      <c r="F8" s="58">
        <f>'1b'!G8/'1b'!$B8*100</f>
        <v>2.1267068052588805</v>
      </c>
      <c r="G8" s="58">
        <f>'1b'!H8/'1b'!$B8*100</f>
        <v>1.6844976507535685</v>
      </c>
      <c r="H8" s="58">
        <f>'1b'!I8/'1b'!$B8*100</f>
        <v>0.41774216592380642</v>
      </c>
      <c r="J8" s="64">
        <v>544000000</v>
      </c>
      <c r="K8" s="64">
        <v>509000000</v>
      </c>
      <c r="L8" s="64">
        <v>1031000000</v>
      </c>
      <c r="M8" s="64">
        <v>837000000</v>
      </c>
      <c r="N8" s="64">
        <v>194000000</v>
      </c>
    </row>
    <row r="9" spans="1:14">
      <c r="A9" s="66">
        <v>1964</v>
      </c>
      <c r="B9" s="58">
        <f>'1b'!B9/'1b'!$B9*100</f>
        <v>100</v>
      </c>
      <c r="C9" s="147">
        <f>'1b'!D9/'1b'!$B9*100</f>
        <v>4.2882278634102766</v>
      </c>
      <c r="D9" s="147">
        <f>'1b'!E9/'1b'!$B9*100</f>
        <v>0.9398375818667728</v>
      </c>
      <c r="E9" s="147">
        <f>'1b'!F9/'1b'!$B9*100</f>
        <v>1.1229372425841244</v>
      </c>
      <c r="F9" s="147">
        <f>'1b'!G9/'1b'!$B9*100</f>
        <v>2.1427304971294006</v>
      </c>
      <c r="G9" s="147">
        <f>'1b'!H9/'1b'!$B9*100</f>
        <v>1.6938553430358783</v>
      </c>
      <c r="H9" s="147">
        <f>'1b'!I9/'1b'!$B9*100</f>
        <v>0.42643124753941825</v>
      </c>
      <c r="J9" s="64">
        <v>599000000</v>
      </c>
      <c r="K9" s="64">
        <v>549000000</v>
      </c>
      <c r="L9" s="64">
        <v>1133000000</v>
      </c>
      <c r="M9" s="64">
        <v>918000000</v>
      </c>
      <c r="N9" s="64">
        <v>216000000</v>
      </c>
    </row>
    <row r="10" spans="1:14">
      <c r="A10" s="66">
        <v>1965</v>
      </c>
      <c r="B10" s="58">
        <f>'1b'!B10/'1b'!$B10*100</f>
        <v>100</v>
      </c>
      <c r="C10" s="147">
        <f>'1b'!D10/'1b'!$B10*100</f>
        <v>4.0708841988272528</v>
      </c>
      <c r="D10" s="147">
        <f>'1b'!E10/'1b'!$B10*100</f>
        <v>0.90438640274634863</v>
      </c>
      <c r="E10" s="147">
        <f>'1b'!F10/'1b'!$B10*100</f>
        <v>1.0765527351886091</v>
      </c>
      <c r="F10" s="147">
        <f>'1b'!G10/'1b'!$B10*100</f>
        <v>2.0097073748829639</v>
      </c>
      <c r="G10" s="147">
        <f>'1b'!H10/'1b'!$B10*100</f>
        <v>1.5709760972201108</v>
      </c>
      <c r="H10" s="147">
        <f>'1b'!I10/'1b'!$B10*100</f>
        <v>0.41886639590598512</v>
      </c>
      <c r="J10" s="64">
        <v>633000000</v>
      </c>
      <c r="K10" s="64">
        <v>578000000</v>
      </c>
      <c r="L10" s="64">
        <v>1167000000</v>
      </c>
      <c r="M10" s="64">
        <v>935000000</v>
      </c>
      <c r="N10" s="64">
        <v>233000000</v>
      </c>
    </row>
    <row r="11" spans="1:14">
      <c r="A11" s="66">
        <v>1966</v>
      </c>
      <c r="B11" s="58">
        <f>'1b'!B11/'1b'!$B11*100</f>
        <v>100</v>
      </c>
      <c r="C11" s="147">
        <f>'1b'!D11/'1b'!$B11*100</f>
        <v>3.9153781740243372</v>
      </c>
      <c r="D11" s="147">
        <f>'1b'!E11/'1b'!$B11*100</f>
        <v>0.88262068343435174</v>
      </c>
      <c r="E11" s="147">
        <f>'1b'!F11/'1b'!$B11*100</f>
        <v>1.0225870250729208</v>
      </c>
      <c r="F11" s="147">
        <f>'1b'!G11/'1b'!$B11*100</f>
        <v>1.9294049477210762</v>
      </c>
      <c r="G11" s="147">
        <f>'1b'!H11/'1b'!$B11*100</f>
        <v>1.4789468719484753</v>
      </c>
      <c r="H11" s="147">
        <f>'1b'!I11/'1b'!$B11*100</f>
        <v>0.43331233778330475</v>
      </c>
      <c r="J11" s="64">
        <v>692000000</v>
      </c>
      <c r="K11" s="64">
        <v>615000000</v>
      </c>
      <c r="L11" s="64">
        <v>1255000000</v>
      </c>
      <c r="M11" s="64">
        <v>986000000</v>
      </c>
      <c r="N11" s="64">
        <v>270000000</v>
      </c>
    </row>
    <row r="12" spans="1:14">
      <c r="A12" s="66">
        <v>1967</v>
      </c>
      <c r="B12" s="58">
        <f>'1b'!B12/'1b'!$B12*100</f>
        <v>100</v>
      </c>
      <c r="C12" s="147">
        <f>'1b'!D12/'1b'!$B12*100</f>
        <v>3.646377666261019</v>
      </c>
      <c r="D12" s="147">
        <f>'1b'!E12/'1b'!$B12*100</f>
        <v>0.8104194582923343</v>
      </c>
      <c r="E12" s="147">
        <f>'1b'!F12/'1b'!$B12*100</f>
        <v>1.0131188356328036</v>
      </c>
      <c r="F12" s="147">
        <f>'1b'!G12/'1b'!$B12*100</f>
        <v>1.7545802235880432</v>
      </c>
      <c r="G12" s="147">
        <f>'1b'!H12/'1b'!$B12*100</f>
        <v>1.3010165417291435</v>
      </c>
      <c r="H12" s="147">
        <f>'1b'!I12/'1b'!$B12*100</f>
        <v>0.43958422658696739</v>
      </c>
      <c r="J12" s="64">
        <v>682000000</v>
      </c>
      <c r="K12" s="64">
        <v>654000000</v>
      </c>
      <c r="L12" s="64">
        <v>1225000000</v>
      </c>
      <c r="M12" s="64">
        <v>931000000</v>
      </c>
      <c r="N12" s="64">
        <v>294000000</v>
      </c>
    </row>
    <row r="13" spans="1:14">
      <c r="A13" s="66">
        <v>1968</v>
      </c>
      <c r="B13" s="58">
        <f>'1b'!B13/'1b'!$B13*100</f>
        <v>100</v>
      </c>
      <c r="C13" s="147">
        <f>'1b'!D13/'1b'!$B13*100</f>
        <v>3.621043311465729</v>
      </c>
      <c r="D13" s="147">
        <f>'1b'!E13/'1b'!$B13*100</f>
        <v>0.78567773102830685</v>
      </c>
      <c r="E13" s="147">
        <f>'1b'!F13/'1b'!$B13*100</f>
        <v>1.1106554839619236</v>
      </c>
      <c r="F13" s="147">
        <f>'1b'!G13/'1b'!$B13*100</f>
        <v>1.6687344451621753</v>
      </c>
      <c r="G13" s="147">
        <f>'1b'!H13/'1b'!$B13*100</f>
        <v>1.2217200209831984</v>
      </c>
      <c r="H13" s="147">
        <f>'1b'!I13/'1b'!$B13*100</f>
        <v>0.43481303117061892</v>
      </c>
      <c r="J13" s="64">
        <v>723000000</v>
      </c>
      <c r="K13" s="64">
        <v>784000000</v>
      </c>
      <c r="L13" s="64">
        <v>1274000000</v>
      </c>
      <c r="M13" s="64">
        <v>956000000</v>
      </c>
      <c r="N13" s="64">
        <v>318000000</v>
      </c>
    </row>
    <row r="14" spans="1:14">
      <c r="A14" s="66">
        <v>1969</v>
      </c>
      <c r="B14" s="58">
        <f>'1b'!B14/'1b'!$B14*100</f>
        <v>100</v>
      </c>
      <c r="C14" s="147">
        <f>'1b'!D14/'1b'!$B14*100</f>
        <v>3.7244867178832233</v>
      </c>
      <c r="D14" s="147">
        <f>'1b'!E14/'1b'!$B14*100</f>
        <v>0.81758978904923318</v>
      </c>
      <c r="E14" s="147">
        <f>'1b'!F14/'1b'!$B14*100</f>
        <v>1.0890119395401565</v>
      </c>
      <c r="F14" s="147">
        <f>'1b'!G14/'1b'!$B14*100</f>
        <v>1.7543420033776589</v>
      </c>
      <c r="G14" s="147">
        <f>'1b'!H14/'1b'!$B14*100</f>
        <v>1.2912714874611422</v>
      </c>
      <c r="H14" s="147">
        <f>'1b'!I14/'1b'!$B14*100</f>
        <v>0.44976222562251528</v>
      </c>
      <c r="J14" s="64">
        <v>828000000</v>
      </c>
      <c r="K14" s="64">
        <v>846000000</v>
      </c>
      <c r="L14" s="64">
        <v>1474000000</v>
      </c>
      <c r="M14" s="64">
        <v>1112000000</v>
      </c>
      <c r="N14" s="64">
        <v>362000000</v>
      </c>
    </row>
    <row r="15" spans="1:14">
      <c r="A15" s="66">
        <v>1970</v>
      </c>
      <c r="B15" s="58">
        <f>'1b'!B15/'1b'!$B15*100</f>
        <v>100</v>
      </c>
      <c r="C15" s="147">
        <f>'1b'!D15/'1b'!$B15*100</f>
        <v>3.3671013895905579</v>
      </c>
      <c r="D15" s="147">
        <f>'1b'!E15/'1b'!$B15*100</f>
        <v>0.73777897767581491</v>
      </c>
      <c r="E15" s="147">
        <f>'1b'!F15/'1b'!$B15*100</f>
        <v>0.85559363723701087</v>
      </c>
      <c r="F15" s="147">
        <f>'1b'!G15/'1b'!$B15*100</f>
        <v>1.7068415409398421</v>
      </c>
      <c r="G15" s="147">
        <f>'1b'!H15/'1b'!$B15*100</f>
        <v>1.2562316836639664</v>
      </c>
      <c r="H15" s="147">
        <f>'1b'!I15/'1b'!$B15*100</f>
        <v>0.43881907217752186</v>
      </c>
      <c r="J15" s="64">
        <v>806000000</v>
      </c>
      <c r="K15" s="64">
        <v>717000000</v>
      </c>
      <c r="L15" s="64">
        <v>1547000000</v>
      </c>
      <c r="M15" s="64">
        <v>1167000000</v>
      </c>
      <c r="N15" s="64">
        <v>381000000</v>
      </c>
    </row>
    <row r="16" spans="1:14">
      <c r="A16" s="66">
        <v>1971</v>
      </c>
      <c r="B16" s="58">
        <f>'1b'!B16/'1b'!$B16*100</f>
        <v>100</v>
      </c>
      <c r="C16" s="147">
        <f>'1b'!D16/'1b'!$B16*100</f>
        <v>3.2391324106183319</v>
      </c>
      <c r="D16" s="147">
        <f>'1b'!E16/'1b'!$B16*100</f>
        <v>0.70562275462659652</v>
      </c>
      <c r="E16" s="147">
        <f>'1b'!F16/'1b'!$B16*100</f>
        <v>0.9340962063542374</v>
      </c>
      <c r="F16" s="147">
        <f>'1b'!G16/'1b'!$B16*100</f>
        <v>1.5442843652049059</v>
      </c>
      <c r="G16" s="147">
        <f>'1b'!H16/'1b'!$B16*100</f>
        <v>1.0962214419914902</v>
      </c>
      <c r="H16" s="147">
        <f>'1b'!I16/'1b'!$B16*100</f>
        <v>0.439176604711007</v>
      </c>
      <c r="J16" s="64">
        <v>841000000</v>
      </c>
      <c r="K16" s="64">
        <v>854000000</v>
      </c>
      <c r="L16" s="64">
        <v>1527000000</v>
      </c>
      <c r="M16" s="64">
        <v>1111000000</v>
      </c>
      <c r="N16" s="64">
        <v>416000000</v>
      </c>
    </row>
    <row r="17" spans="1:14">
      <c r="A17" s="66">
        <v>1972</v>
      </c>
      <c r="B17" s="58">
        <f>'1b'!B17/'1b'!$B17*100</f>
        <v>100</v>
      </c>
      <c r="C17" s="147">
        <f>'1b'!D17/'1b'!$B17*100</f>
        <v>3.4535472272826913</v>
      </c>
      <c r="D17" s="147">
        <f>'1b'!E17/'1b'!$B17*100</f>
        <v>0.72867496687071398</v>
      </c>
      <c r="E17" s="147">
        <f>'1b'!F17/'1b'!$B17*100</f>
        <v>1.1847094146137362</v>
      </c>
      <c r="F17" s="147">
        <f>'1b'!G17/'1b'!$B17*100</f>
        <v>1.5004760741812029</v>
      </c>
      <c r="G17" s="147">
        <f>'1b'!H17/'1b'!$B17*100</f>
        <v>1.0598544011447601</v>
      </c>
      <c r="H17" s="147">
        <f>'1b'!I17/'1b'!$B17*100</f>
        <v>0.43330416203089284</v>
      </c>
      <c r="J17" s="64">
        <v>967000000</v>
      </c>
      <c r="K17" s="64">
        <v>1206000000</v>
      </c>
      <c r="L17" s="64">
        <v>1652000000</v>
      </c>
      <c r="M17" s="64">
        <v>1196000000</v>
      </c>
      <c r="N17" s="64">
        <v>457000000</v>
      </c>
    </row>
    <row r="18" spans="1:14">
      <c r="A18" s="66">
        <v>1973</v>
      </c>
      <c r="B18" s="58">
        <f>'1b'!B18/'1b'!$B18*100</f>
        <v>100</v>
      </c>
      <c r="C18" s="147">
        <f>'1b'!D18/'1b'!$B18*100</f>
        <v>3.9084952914988245</v>
      </c>
      <c r="D18" s="147">
        <f>'1b'!E18/'1b'!$B18*100</f>
        <v>0.83841357629425728</v>
      </c>
      <c r="E18" s="147">
        <f>'1b'!F18/'1b'!$B18*100</f>
        <v>1.4322490137015638</v>
      </c>
      <c r="F18" s="147">
        <f>'1b'!G18/'1b'!$B18*100</f>
        <v>1.5969918168776858</v>
      </c>
      <c r="G18" s="147">
        <f>'1b'!H18/'1b'!$B18*100</f>
        <v>1.1736722135658411</v>
      </c>
      <c r="H18" s="147">
        <f>'1b'!I18/'1b'!$B18*100</f>
        <v>0.41132965280976086</v>
      </c>
      <c r="J18" s="64">
        <v>1308000000</v>
      </c>
      <c r="K18" s="64">
        <v>1714000000</v>
      </c>
      <c r="L18" s="64">
        <v>2067000000</v>
      </c>
      <c r="M18" s="64">
        <v>1557000000</v>
      </c>
      <c r="N18" s="64">
        <v>510000000</v>
      </c>
    </row>
    <row r="19" spans="1:14">
      <c r="A19" s="66">
        <v>1974</v>
      </c>
      <c r="B19" s="58">
        <f>'1b'!B19/'1b'!$B19*100</f>
        <v>100</v>
      </c>
      <c r="C19" s="147">
        <f>'1b'!D19/'1b'!$B19*100</f>
        <v>4.0289630456927492</v>
      </c>
      <c r="D19" s="147">
        <f>'1b'!E19/'1b'!$B19*100</f>
        <v>0.75539071678727554</v>
      </c>
      <c r="E19" s="147">
        <f>'1b'!F19/'1b'!$B19*100</f>
        <v>1.09168875255651</v>
      </c>
      <c r="F19" s="147">
        <f>'1b'!G19/'1b'!$B19*100</f>
        <v>2.1331324900649005</v>
      </c>
      <c r="G19" s="147">
        <f>'1b'!H19/'1b'!$B19*100</f>
        <v>1.6682385096550283</v>
      </c>
      <c r="H19" s="147">
        <f>'1b'!I19/'1b'!$B19*100</f>
        <v>0.44184631258854334</v>
      </c>
      <c r="J19" s="64">
        <v>1409000000</v>
      </c>
      <c r="K19" s="64">
        <v>1562000000</v>
      </c>
      <c r="L19" s="64">
        <v>3301000000</v>
      </c>
      <c r="M19" s="64">
        <v>2646000000</v>
      </c>
      <c r="N19" s="64">
        <v>655000000</v>
      </c>
    </row>
    <row r="20" spans="1:14">
      <c r="A20" s="66">
        <v>1975</v>
      </c>
      <c r="B20" s="58">
        <f>'1b'!B20/'1b'!$B20*100</f>
        <v>100</v>
      </c>
      <c r="C20" s="147">
        <f>'1b'!D20/'1b'!$B20*100</f>
        <v>3.1385667370910468</v>
      </c>
      <c r="D20" s="147">
        <f>'1b'!E20/'1b'!$B20*100</f>
        <v>0.62409261727314813</v>
      </c>
      <c r="E20" s="147">
        <f>'1b'!F20/'1b'!$B20*100</f>
        <v>0.88832727504228348</v>
      </c>
      <c r="F20" s="147">
        <f>'1b'!G20/'1b'!$B20*100</f>
        <v>1.5837083260735567</v>
      </c>
      <c r="G20" s="147">
        <f>'1b'!H20/'1b'!$B20*100</f>
        <v>1.1938066552056446</v>
      </c>
      <c r="H20" s="147">
        <f>'1b'!I20/'1b'!$B20*100</f>
        <v>0.37533384410106185</v>
      </c>
      <c r="J20" s="64">
        <v>1339000000</v>
      </c>
      <c r="K20" s="64">
        <v>1462000000</v>
      </c>
      <c r="L20" s="64">
        <v>2819000000</v>
      </c>
      <c r="M20" s="64">
        <v>2178000000</v>
      </c>
      <c r="N20" s="64">
        <v>640000000</v>
      </c>
    </row>
    <row r="21" spans="1:14">
      <c r="A21" s="66">
        <v>1976</v>
      </c>
      <c r="B21" s="58">
        <f>'1b'!B21/'1b'!$B21*100</f>
        <v>100</v>
      </c>
      <c r="C21" s="147">
        <f>'1b'!D21/'1b'!$B21*100</f>
        <v>3.3075758640088533</v>
      </c>
      <c r="D21" s="147">
        <f>'1b'!E21/'1b'!$B21*100</f>
        <v>0.6526080974605315</v>
      </c>
      <c r="E21" s="147">
        <f>'1b'!F21/'1b'!$B21*100</f>
        <v>1.0267487864494746</v>
      </c>
      <c r="F21" s="147">
        <f>'1b'!G21/'1b'!$B21*100</f>
        <v>1.5913707306365761</v>
      </c>
      <c r="G21" s="147">
        <f>'1b'!H21/'1b'!$B21*100</f>
        <v>1.1983016027724704</v>
      </c>
      <c r="H21" s="147">
        <f>'1b'!I21/'1b'!$B21*100</f>
        <v>0.37910971532946536</v>
      </c>
      <c r="J21" s="64">
        <v>1605000000</v>
      </c>
      <c r="K21" s="64">
        <v>1937000000</v>
      </c>
      <c r="L21" s="64">
        <v>3247000000</v>
      </c>
      <c r="M21" s="64">
        <v>2506000000</v>
      </c>
      <c r="N21" s="64">
        <v>741000000</v>
      </c>
    </row>
    <row r="22" spans="1:14">
      <c r="A22" s="66">
        <v>1977</v>
      </c>
      <c r="B22" s="58">
        <f>'1b'!B22/'1b'!$B22*100</f>
        <v>100</v>
      </c>
      <c r="C22" s="147">
        <f>'1b'!D22/'1b'!$B22*100</f>
        <v>3.4017740756719435</v>
      </c>
      <c r="D22" s="147">
        <f>'1b'!E22/'1b'!$B22*100</f>
        <v>0.67907224633931862</v>
      </c>
      <c r="E22" s="147">
        <f>'1b'!F22/'1b'!$B22*100</f>
        <v>1.1814712705408803</v>
      </c>
      <c r="F22" s="147">
        <f>'1b'!G22/'1b'!$B22*100</f>
        <v>1.5111762544317013</v>
      </c>
      <c r="G22" s="147">
        <f>'1b'!H22/'1b'!$B22*100</f>
        <v>1.1613489891638085</v>
      </c>
      <c r="H22" s="147">
        <f>'1b'!I22/'1b'!$B22*100</f>
        <v>0.33493222666885625</v>
      </c>
      <c r="J22" s="64">
        <v>1847000000</v>
      </c>
      <c r="K22" s="64">
        <v>2465000000</v>
      </c>
      <c r="L22" s="64">
        <v>3410000000</v>
      </c>
      <c r="M22" s="64">
        <v>2686000000</v>
      </c>
      <c r="N22" s="64">
        <v>724000000</v>
      </c>
    </row>
    <row r="23" spans="1:14">
      <c r="A23" s="66">
        <v>1978</v>
      </c>
      <c r="B23" s="58">
        <f>'1b'!B23/'1b'!$B23*100</f>
        <v>100</v>
      </c>
      <c r="C23" s="147">
        <f>'1b'!D23/'1b'!$B23*100</f>
        <v>3.6259704666797123</v>
      </c>
      <c r="D23" s="147">
        <f>'1b'!E23/'1b'!$B23*100</f>
        <v>0.72061829700091884</v>
      </c>
      <c r="E23" s="147">
        <f>'1b'!F23/'1b'!$B23*100</f>
        <v>1.3378524764129496</v>
      </c>
      <c r="F23" s="147">
        <f>'1b'!G23/'1b'!$B23*100</f>
        <v>1.5420434963448304</v>
      </c>
      <c r="G23" s="147">
        <f>'1b'!H23/'1b'!$B23*100</f>
        <v>1.1994824581684638</v>
      </c>
      <c r="H23" s="147">
        <f>'1b'!I23/'1b'!$B23*100</f>
        <v>0.32635371504790239</v>
      </c>
      <c r="J23" s="64">
        <v>2181000000</v>
      </c>
      <c r="K23" s="64">
        <v>3106000000</v>
      </c>
      <c r="L23" s="64">
        <v>3872000000</v>
      </c>
      <c r="M23" s="64">
        <v>3087000000</v>
      </c>
      <c r="N23" s="64">
        <v>785000000</v>
      </c>
    </row>
    <row r="24" spans="1:14">
      <c r="A24" s="66">
        <v>1979</v>
      </c>
      <c r="B24" s="58">
        <f>'1b'!B24/'1b'!$B24*100</f>
        <v>100</v>
      </c>
      <c r="C24" s="147">
        <f>'1b'!D24/'1b'!$B24*100</f>
        <v>3.8507567984696713</v>
      </c>
      <c r="D24" s="147">
        <f>'1b'!E24/'1b'!$B24*100</f>
        <v>0.78523841285454798</v>
      </c>
      <c r="E24" s="147">
        <f>'1b'!F24/'1b'!$B24*100</f>
        <v>1.3224711236005773</v>
      </c>
      <c r="F24" s="147">
        <f>'1b'!G24/'1b'!$B24*100</f>
        <v>1.7045038587768635</v>
      </c>
      <c r="G24" s="147">
        <f>'1b'!H24/'1b'!$B24*100</f>
        <v>1.3690767401774799</v>
      </c>
      <c r="H24" s="147">
        <f>'1b'!I24/'1b'!$B24*100</f>
        <v>0.31448896304312168</v>
      </c>
      <c r="J24" s="64">
        <v>2727000000</v>
      </c>
      <c r="K24" s="64">
        <v>3523000000</v>
      </c>
      <c r="L24" s="64">
        <v>4911000000</v>
      </c>
      <c r="M24" s="64">
        <v>4043000000</v>
      </c>
      <c r="N24" s="64">
        <v>868000000</v>
      </c>
    </row>
    <row r="25" spans="1:14">
      <c r="A25" s="66">
        <v>1980</v>
      </c>
      <c r="B25" s="58">
        <f>'1b'!B25/'1b'!$B25*100</f>
        <v>100</v>
      </c>
      <c r="C25" s="147">
        <f>'1b'!D25/'1b'!$B25*100</f>
        <v>3.528812895647397</v>
      </c>
      <c r="D25" s="147">
        <f>'1b'!E25/'1b'!$B25*100</f>
        <v>0.71328160569779664</v>
      </c>
      <c r="E25" s="147">
        <f>'1b'!F25/'1b'!$B25*100</f>
        <v>1.0275845393171801</v>
      </c>
      <c r="F25" s="147">
        <f>'1b'!G25/'1b'!$B25*100</f>
        <v>1.740023273128287</v>
      </c>
      <c r="G25" s="147">
        <f>'1b'!H25/'1b'!$B25*100</f>
        <v>1.4080936686899923</v>
      </c>
      <c r="H25" s="147">
        <f>'1b'!I25/'1b'!$B25*100</f>
        <v>0.30950185324961327</v>
      </c>
      <c r="J25" s="64">
        <v>2807000000</v>
      </c>
      <c r="K25" s="64">
        <v>3102000000</v>
      </c>
      <c r="L25" s="64">
        <v>5681000000</v>
      </c>
      <c r="M25" s="64">
        <v>4712000000</v>
      </c>
      <c r="N25" s="64">
        <v>968000000</v>
      </c>
    </row>
    <row r="26" spans="1:14">
      <c r="A26" s="66">
        <v>1981</v>
      </c>
      <c r="B26" s="58">
        <f>'1b'!B26/'1b'!$B26*100</f>
        <v>100</v>
      </c>
      <c r="C26" s="147">
        <f>'1b'!D26/'1b'!$B26*100</f>
        <v>2.8914916251137686</v>
      </c>
      <c r="D26" s="147">
        <f>'1b'!E26/'1b'!$B26*100</f>
        <v>0.53241868650503199</v>
      </c>
      <c r="E26" s="147">
        <f>'1b'!F26/'1b'!$B26*100</f>
        <v>0.77504785516418984</v>
      </c>
      <c r="F26" s="147">
        <f>'1b'!G26/'1b'!$B26*100</f>
        <v>1.5503952369349847</v>
      </c>
      <c r="G26" s="147">
        <f>'1b'!H26/'1b'!$B26*100</f>
        <v>1.2387533519313407</v>
      </c>
      <c r="H26" s="147">
        <f>'1b'!I26/'1b'!$B26*100</f>
        <v>0.29305435783131162</v>
      </c>
      <c r="J26" s="64">
        <v>2366000000</v>
      </c>
      <c r="K26" s="64">
        <v>2642000000</v>
      </c>
      <c r="L26" s="64">
        <v>5716000000</v>
      </c>
      <c r="M26" s="64">
        <v>4681000000</v>
      </c>
      <c r="N26" s="64">
        <v>1035000000</v>
      </c>
    </row>
    <row r="27" spans="1:14">
      <c r="A27" s="66">
        <v>1982</v>
      </c>
      <c r="B27" s="58">
        <f>'1b'!B27/'1b'!$B27*100</f>
        <v>100</v>
      </c>
      <c r="C27" s="147">
        <f>'1b'!D27/'1b'!$B27*100</f>
        <v>2.2589211017017337</v>
      </c>
      <c r="D27" s="147">
        <f>'1b'!E27/'1b'!$B27*100</f>
        <v>0.43773665725438227</v>
      </c>
      <c r="E27" s="147">
        <f>'1b'!F27/'1b'!$B27*100</f>
        <v>0.55758624610054952</v>
      </c>
      <c r="F27" s="147">
        <f>'1b'!G27/'1b'!$B27*100</f>
        <v>1.2292380772267881</v>
      </c>
      <c r="G27" s="147">
        <f>'1b'!H27/'1b'!$B27*100</f>
        <v>0.95458476037047835</v>
      </c>
      <c r="H27" s="147">
        <f>'1b'!I27/'1b'!$B27*100</f>
        <v>0.26211255039333836</v>
      </c>
      <c r="J27" s="64">
        <v>2053000000</v>
      </c>
      <c r="K27" s="64">
        <v>2006000000</v>
      </c>
      <c r="L27" s="64">
        <v>4783000000</v>
      </c>
      <c r="M27" s="64">
        <v>3807000000</v>
      </c>
      <c r="N27" s="64">
        <v>977000000</v>
      </c>
    </row>
    <row r="28" spans="1:14">
      <c r="A28" s="66">
        <v>1983</v>
      </c>
      <c r="B28" s="58">
        <f>'1b'!B28/'1b'!$B28*100</f>
        <v>100</v>
      </c>
      <c r="C28" s="147">
        <f>'1b'!D28/'1b'!$B28*100</f>
        <v>2.5101518062656298</v>
      </c>
      <c r="D28" s="147">
        <f>'1b'!E28/'1b'!$B28*100</f>
        <v>0.51781289097685923</v>
      </c>
      <c r="E28" s="147">
        <f>'1b'!F28/'1b'!$B28*100</f>
        <v>0.78610082525305636</v>
      </c>
      <c r="F28" s="147">
        <f>'1b'!G28/'1b'!$B28*100</f>
        <v>1.1741642254663305</v>
      </c>
      <c r="G28" s="147">
        <f>'1b'!H28/'1b'!$B28*100</f>
        <v>0.87472999651636707</v>
      </c>
      <c r="H28" s="147">
        <f>'1b'!I28/'1b'!$B28*100</f>
        <v>0.28979308197954179</v>
      </c>
      <c r="J28" s="64">
        <v>2644000000</v>
      </c>
      <c r="K28" s="64">
        <v>3079000000</v>
      </c>
      <c r="L28" s="64">
        <v>4974000000</v>
      </c>
      <c r="M28" s="64">
        <v>3798000000</v>
      </c>
      <c r="N28" s="64">
        <v>1176000000</v>
      </c>
    </row>
    <row r="29" spans="1:14">
      <c r="A29" s="66">
        <v>1984</v>
      </c>
      <c r="B29" s="58">
        <f>'1b'!B29/'1b'!$B29*100</f>
        <v>100</v>
      </c>
      <c r="C29" s="147">
        <f>'1b'!D29/'1b'!$B29*100</f>
        <v>2.5985546971643911</v>
      </c>
      <c r="D29" s="147">
        <f>'1b'!E29/'1b'!$B29*100</f>
        <v>0.49435843471982815</v>
      </c>
      <c r="E29" s="147">
        <f>'1b'!F29/'1b'!$B29*100</f>
        <v>0.74860640834737779</v>
      </c>
      <c r="F29" s="147">
        <f>'1b'!G29/'1b'!$B29*100</f>
        <v>1.3260330071070867</v>
      </c>
      <c r="G29" s="147">
        <f>'1b'!H29/'1b'!$B29*100</f>
        <v>1.0374012175666989</v>
      </c>
      <c r="H29" s="147">
        <f>'1b'!I29/'1b'!$B29*100</f>
        <v>0.27427910860069626</v>
      </c>
      <c r="J29" s="64">
        <v>2760000000</v>
      </c>
      <c r="K29" s="64">
        <v>3206000000</v>
      </c>
      <c r="L29" s="64">
        <v>6142000000</v>
      </c>
      <c r="M29" s="64">
        <v>4925000000</v>
      </c>
      <c r="N29" s="64">
        <v>1217000000</v>
      </c>
    </row>
    <row r="30" spans="1:14">
      <c r="A30" s="66">
        <v>1985</v>
      </c>
      <c r="B30" s="58">
        <f>'1b'!B30/'1b'!$B30*100</f>
        <v>100</v>
      </c>
      <c r="C30" s="147">
        <f>'1b'!D30/'1b'!$B30*100</f>
        <v>2.4965441846407326</v>
      </c>
      <c r="D30" s="147">
        <f>'1b'!E30/'1b'!$B30*100</f>
        <v>0.4398140282899668</v>
      </c>
      <c r="E30" s="147">
        <f>'1b'!F30/'1b'!$B30*100</f>
        <v>0.79624697419790358</v>
      </c>
      <c r="F30" s="147">
        <f>'1b'!G30/'1b'!$B30*100</f>
        <v>1.245109823398538</v>
      </c>
      <c r="G30" s="147">
        <f>'1b'!H30/'1b'!$B30*100</f>
        <v>0.95921468830163314</v>
      </c>
      <c r="H30" s="147">
        <f>'1b'!I30/'1b'!$B30*100</f>
        <v>0.27345896447179702</v>
      </c>
      <c r="J30" s="64">
        <v>2647000000</v>
      </c>
      <c r="K30" s="64">
        <v>3676000000</v>
      </c>
      <c r="L30" s="64">
        <v>6217000000</v>
      </c>
      <c r="M30" s="64">
        <v>4909000000</v>
      </c>
      <c r="N30" s="64">
        <v>1308000000</v>
      </c>
    </row>
    <row r="31" spans="1:14">
      <c r="A31" s="66">
        <v>1986</v>
      </c>
      <c r="B31" s="58">
        <f>'1b'!B31/'1b'!$B31*100</f>
        <v>100</v>
      </c>
      <c r="C31" s="147">
        <f>'1b'!D31/'1b'!$B31*100</f>
        <v>2.7077904584812611</v>
      </c>
      <c r="D31" s="147">
        <f>'1b'!E31/'1b'!$B31*100</f>
        <v>0.42732464956281657</v>
      </c>
      <c r="E31" s="147">
        <f>'1b'!F31/'1b'!$B31*100</f>
        <v>0.87765488332634378</v>
      </c>
      <c r="F31" s="147">
        <f>'1b'!G31/'1b'!$B31*100</f>
        <v>1.3974014197532736</v>
      </c>
      <c r="G31" s="147">
        <f>'1b'!H31/'1b'!$B31*100</f>
        <v>1.1197731658694134</v>
      </c>
      <c r="H31" s="147">
        <f>'1b'!I31/'1b'!$B31*100</f>
        <v>0.26064688634055039</v>
      </c>
      <c r="J31" s="64">
        <v>2690000000</v>
      </c>
      <c r="K31" s="64">
        <v>4238000000</v>
      </c>
      <c r="L31" s="64">
        <v>7298000000</v>
      </c>
      <c r="M31" s="64">
        <v>5994000000</v>
      </c>
      <c r="N31" s="64">
        <v>1304000000</v>
      </c>
    </row>
    <row r="32" spans="1:14">
      <c r="A32" s="66">
        <v>1987</v>
      </c>
      <c r="B32" s="58">
        <f>'1b'!B32/'1b'!$B32*100</f>
        <v>100</v>
      </c>
      <c r="C32" s="147">
        <f>'1b'!D32/'1b'!$B32*100</f>
        <v>3.0766205535489046</v>
      </c>
      <c r="D32" s="147">
        <f>'1b'!E32/'1b'!$B32*100</f>
        <v>0.50497384746543661</v>
      </c>
      <c r="E32" s="147">
        <f>'1b'!F32/'1b'!$B32*100</f>
        <v>0.96753238598950553</v>
      </c>
      <c r="F32" s="147">
        <f>'1b'!G32/'1b'!$B32*100</f>
        <v>1.5917384770523841</v>
      </c>
      <c r="G32" s="147">
        <f>'1b'!H32/'1b'!$B32*100</f>
        <v>1.3086018939911674</v>
      </c>
      <c r="H32" s="147">
        <f>'1b'!I32/'1b'!$B32*100</f>
        <v>0.2614783109578091</v>
      </c>
      <c r="J32" s="64">
        <v>3453000000</v>
      </c>
      <c r="K32" s="64">
        <v>5075000000</v>
      </c>
      <c r="L32" s="64">
        <v>9030000000</v>
      </c>
      <c r="M32" s="64">
        <v>7609000000</v>
      </c>
      <c r="N32" s="64">
        <v>1421000000</v>
      </c>
    </row>
    <row r="33" spans="1:14">
      <c r="A33" s="66">
        <v>1988</v>
      </c>
      <c r="B33" s="58">
        <f>'1b'!B33/'1b'!$B33*100</f>
        <v>100</v>
      </c>
      <c r="C33" s="147">
        <f>'1b'!D33/'1b'!$B33*100</f>
        <v>3.0376950529886972</v>
      </c>
      <c r="D33" s="147">
        <f>'1b'!E33/'1b'!$B33*100</f>
        <v>0.51620539284831657</v>
      </c>
      <c r="E33" s="147">
        <f>'1b'!F33/'1b'!$B33*100</f>
        <v>0.82586347474554178</v>
      </c>
      <c r="F33" s="147">
        <f>'1b'!G33/'1b'!$B33*100</f>
        <v>1.6700299510125849</v>
      </c>
      <c r="G33" s="147">
        <f>'1b'!H33/'1b'!$B33*100</f>
        <v>1.3915879584430486</v>
      </c>
      <c r="H33" s="147">
        <f>'1b'!I33/'1b'!$B33*100</f>
        <v>0.25441598051466752</v>
      </c>
      <c r="J33" s="64">
        <v>3855000000</v>
      </c>
      <c r="K33" s="64">
        <v>4731000000</v>
      </c>
      <c r="L33" s="64">
        <v>10347000000</v>
      </c>
      <c r="M33" s="64">
        <v>8837000000</v>
      </c>
      <c r="N33" s="64">
        <v>1510000000</v>
      </c>
    </row>
    <row r="34" spans="1:14">
      <c r="A34" s="66">
        <v>1989</v>
      </c>
      <c r="B34" s="58">
        <f>'1b'!B34/'1b'!$B34*100</f>
        <v>100</v>
      </c>
      <c r="C34" s="147">
        <f>'1b'!D34/'1b'!$B34*100</f>
        <v>2.7998073265288523</v>
      </c>
      <c r="D34" s="147">
        <f>'1b'!E34/'1b'!$B34*100</f>
        <v>0.49341317682168351</v>
      </c>
      <c r="E34" s="147">
        <f>'1b'!F34/'1b'!$B34*100</f>
        <v>0.79227403080179226</v>
      </c>
      <c r="F34" s="147">
        <f>'1b'!G34/'1b'!$B34*100</f>
        <v>1.4892513566168517</v>
      </c>
      <c r="G34" s="147">
        <f>'1b'!H34/'1b'!$B34*100</f>
        <v>1.201197241112465</v>
      </c>
      <c r="H34" s="147">
        <f>'1b'!I34/'1b'!$B34*100</f>
        <v>0.26940943720323457</v>
      </c>
      <c r="J34" s="64">
        <v>3936000000</v>
      </c>
      <c r="K34" s="64">
        <v>4848000000</v>
      </c>
      <c r="L34" s="64">
        <v>9856000000</v>
      </c>
      <c r="M34" s="64">
        <v>8148000000</v>
      </c>
      <c r="N34" s="64">
        <v>1708000000</v>
      </c>
    </row>
    <row r="35" spans="1:14">
      <c r="A35" s="66">
        <v>1990</v>
      </c>
      <c r="B35" s="58">
        <f>'1b'!B35/'1b'!$B35*100</f>
        <v>100</v>
      </c>
      <c r="C35" s="147">
        <f>'1b'!D35/'1b'!$B35*100</f>
        <v>2.3353525157335153</v>
      </c>
      <c r="D35" s="147">
        <f>'1b'!E35/'1b'!$B35*100</f>
        <v>0.41213240283328501</v>
      </c>
      <c r="E35" s="147">
        <f>'1b'!F35/'1b'!$B35*100</f>
        <v>0.66750024654195794</v>
      </c>
      <c r="F35" s="147">
        <f>'1b'!G35/'1b'!$B35*100</f>
        <v>1.2353611469127586</v>
      </c>
      <c r="G35" s="147">
        <f>'1b'!H35/'1b'!$B35*100</f>
        <v>0.97501141910395861</v>
      </c>
      <c r="H35" s="147">
        <f>'1b'!I35/'1b'!$B35*100</f>
        <v>0.24638071071566517</v>
      </c>
      <c r="J35" s="64">
        <v>3416000000</v>
      </c>
      <c r="K35" s="64">
        <v>4244000000</v>
      </c>
      <c r="L35" s="64">
        <v>8495000000</v>
      </c>
      <c r="M35" s="64">
        <v>6872000000</v>
      </c>
      <c r="N35" s="64">
        <v>1623000000</v>
      </c>
    </row>
    <row r="36" spans="1:14">
      <c r="A36" s="66">
        <v>1991</v>
      </c>
      <c r="B36" s="58">
        <f>'1b'!B36/'1b'!$B36*100</f>
        <v>100</v>
      </c>
      <c r="C36" s="147">
        <f>'1b'!D36/'1b'!$B36*100</f>
        <v>1.9001646139596127</v>
      </c>
      <c r="D36" s="147">
        <f>'1b'!E36/'1b'!$B36*100</f>
        <v>0.3613153136556147</v>
      </c>
      <c r="E36" s="147">
        <f>'1b'!F36/'1b'!$B36*100</f>
        <v>0.57359765423272802</v>
      </c>
      <c r="F36" s="147">
        <f>'1b'!G36/'1b'!$B36*100</f>
        <v>0.94564975404872809</v>
      </c>
      <c r="G36" s="147">
        <f>'1b'!H36/'1b'!$B36*100</f>
        <v>0.68137245780145561</v>
      </c>
      <c r="H36" s="147">
        <f>'1b'!I36/'1b'!$B36*100</f>
        <v>0.25812953924905541</v>
      </c>
      <c r="J36" s="64">
        <v>3017000000</v>
      </c>
      <c r="K36" s="64">
        <v>3674000000</v>
      </c>
      <c r="L36" s="64">
        <v>6551000000</v>
      </c>
      <c r="M36" s="64">
        <v>4838000000</v>
      </c>
      <c r="N36" s="64">
        <v>1713000000</v>
      </c>
    </row>
    <row r="37" spans="1:14">
      <c r="A37" s="66">
        <v>1992</v>
      </c>
      <c r="B37" s="58">
        <f>'1b'!B37/'1b'!$B37*100</f>
        <v>100</v>
      </c>
      <c r="C37" s="147">
        <f>'1b'!D37/'1b'!$B37*100</f>
        <v>1.9403858200450899</v>
      </c>
      <c r="D37" s="147">
        <f>'1b'!E37/'1b'!$B37*100</f>
        <v>0.40019188006501627</v>
      </c>
      <c r="E37" s="147">
        <f>'1b'!F37/'1b'!$B37*100</f>
        <v>0.68357191958672625</v>
      </c>
      <c r="F37" s="147">
        <f>'1b'!G37/'1b'!$B37*100</f>
        <v>0.83756903022254525</v>
      </c>
      <c r="G37" s="147">
        <f>'1b'!H37/'1b'!$B37*100</f>
        <v>0.58959363942416954</v>
      </c>
      <c r="H37" s="147">
        <f>'1b'!I37/'1b'!$B37*100</f>
        <v>0.2435027295878501</v>
      </c>
      <c r="J37" s="64">
        <v>3410000000</v>
      </c>
      <c r="K37" s="64">
        <v>4468000000</v>
      </c>
      <c r="L37" s="64">
        <v>5921000000</v>
      </c>
      <c r="M37" s="64">
        <v>4272000000</v>
      </c>
      <c r="N37" s="64">
        <v>1649000000</v>
      </c>
    </row>
    <row r="38" spans="1:14">
      <c r="A38" s="66">
        <v>1993</v>
      </c>
      <c r="B38" s="58">
        <f>'1b'!B38/'1b'!$B38*100</f>
        <v>100</v>
      </c>
      <c r="C38" s="147">
        <f>'1b'!D38/'1b'!$B38*100</f>
        <v>2.3206772146717638</v>
      </c>
      <c r="D38" s="147">
        <f>'1b'!E38/'1b'!$B38*100</f>
        <v>0.48830790720253969</v>
      </c>
      <c r="E38" s="147">
        <f>'1b'!F38/'1b'!$B38*100</f>
        <v>0.955382015896176</v>
      </c>
      <c r="F38" s="147">
        <f>'1b'!G38/'1b'!$B38*100</f>
        <v>0.86260455093404387</v>
      </c>
      <c r="G38" s="147">
        <f>'1b'!H38/'1b'!$B38*100</f>
        <v>0.61153088585243509</v>
      </c>
      <c r="H38" s="147">
        <f>'1b'!I38/'1b'!$B38*100</f>
        <v>0.24616557649815679</v>
      </c>
      <c r="J38" s="64">
        <v>4313000000</v>
      </c>
      <c r="K38" s="64">
        <v>6473000000</v>
      </c>
      <c r="L38" s="64">
        <v>6321000000</v>
      </c>
      <c r="M38" s="64">
        <v>4593000000</v>
      </c>
      <c r="N38" s="64">
        <v>1728000000</v>
      </c>
    </row>
    <row r="39" spans="1:14">
      <c r="A39" s="66">
        <v>1994</v>
      </c>
      <c r="B39" s="58">
        <f>'1b'!B39/'1b'!$B39*100</f>
        <v>100</v>
      </c>
      <c r="C39" s="147">
        <f>'1b'!D39/'1b'!$B39*100</f>
        <v>2.7213084207623535</v>
      </c>
      <c r="D39" s="147">
        <f>'1b'!E39/'1b'!$B39*100</f>
        <v>0.49867355647583667</v>
      </c>
      <c r="E39" s="147">
        <f>'1b'!F39/'1b'!$B39*100</f>
        <v>1.1871269420608919</v>
      </c>
      <c r="F39" s="147">
        <f>'1b'!G39/'1b'!$B39*100</f>
        <v>1.0388617129731768</v>
      </c>
      <c r="G39" s="147">
        <f>'1b'!H39/'1b'!$B39*100</f>
        <v>0.77347431496334629</v>
      </c>
      <c r="H39" s="147">
        <f>'1b'!I39/'1b'!$B39*100</f>
        <v>0.25702347261529018</v>
      </c>
      <c r="J39" s="64">
        <v>4675000000</v>
      </c>
      <c r="K39" s="64">
        <v>8537000000</v>
      </c>
      <c r="L39" s="64">
        <v>8080000000</v>
      </c>
      <c r="M39" s="64">
        <v>6166000000</v>
      </c>
      <c r="N39" s="64">
        <v>1915000000</v>
      </c>
    </row>
    <row r="40" spans="1:14">
      <c r="A40" s="66">
        <v>1995</v>
      </c>
      <c r="B40" s="58">
        <f>'1b'!B40/'1b'!$B40*100</f>
        <v>100</v>
      </c>
      <c r="C40" s="147">
        <f>'1b'!D40/'1b'!$B40*100</f>
        <v>3.3390346779344062</v>
      </c>
      <c r="D40" s="147">
        <f>'1b'!E40/'1b'!$B40*100</f>
        <v>0.5595575488271215</v>
      </c>
      <c r="E40" s="147">
        <f>'1b'!F40/'1b'!$B40*100</f>
        <v>0.98901857004266358</v>
      </c>
      <c r="F40" s="147">
        <f>'1b'!G40/'1b'!$B40*100</f>
        <v>1.770060851154178</v>
      </c>
      <c r="G40" s="147">
        <f>'1b'!H40/'1b'!$B40*100</f>
        <v>1.4659712635226458</v>
      </c>
      <c r="H40" s="147">
        <f>'1b'!I40/'1b'!$B40*100</f>
        <v>0.2792518539298805</v>
      </c>
      <c r="J40" s="64">
        <v>5514000000</v>
      </c>
      <c r="K40" s="64">
        <v>7476000000</v>
      </c>
      <c r="L40" s="64">
        <v>14471000000</v>
      </c>
      <c r="M40" s="64">
        <v>12284000000</v>
      </c>
      <c r="N40" s="64">
        <v>2187000000</v>
      </c>
    </row>
    <row r="41" spans="1:14">
      <c r="A41" s="66">
        <v>1996</v>
      </c>
      <c r="B41" s="58">
        <f>'1b'!B41/'1b'!$B41*100</f>
        <v>100</v>
      </c>
      <c r="C41" s="147">
        <f>'1b'!D41/'1b'!$B41*100</f>
        <v>3.0159583406247821</v>
      </c>
      <c r="D41" s="147">
        <f>'1b'!E41/'1b'!$B41*100</f>
        <v>0.53513324813023988</v>
      </c>
      <c r="E41" s="147">
        <f>'1b'!F41/'1b'!$B41*100</f>
        <v>1.01890960520465</v>
      </c>
      <c r="F41" s="147">
        <f>'1b'!G41/'1b'!$B41*100</f>
        <v>1.4468581543719943</v>
      </c>
      <c r="G41" s="147">
        <f>'1b'!H41/'1b'!$B41*100</f>
        <v>1.1230713539037589</v>
      </c>
      <c r="H41" s="147">
        <f>'1b'!I41/'1b'!$B41*100</f>
        <v>0.30862219180512762</v>
      </c>
      <c r="J41" s="64">
        <v>5450000000</v>
      </c>
      <c r="K41" s="64">
        <v>7960000000</v>
      </c>
      <c r="L41" s="64">
        <v>12225000000</v>
      </c>
      <c r="M41" s="64">
        <v>9726000000</v>
      </c>
      <c r="N41" s="64">
        <v>2498000000</v>
      </c>
    </row>
    <row r="42" spans="1:14">
      <c r="A42" s="66">
        <v>1997</v>
      </c>
      <c r="B42" s="58">
        <f>'1b'!B42/'1b'!$B42*100</f>
        <v>100</v>
      </c>
      <c r="C42" s="147">
        <f>'1b'!D42/'1b'!$B42*100</f>
        <v>2.8607599384152294</v>
      </c>
      <c r="D42" s="147">
        <f>'1b'!E42/'1b'!$B42*100</f>
        <v>0.51894215654914377</v>
      </c>
      <c r="E42" s="147">
        <f>'1b'!F42/'1b'!$B42*100</f>
        <v>1.1183619747929869</v>
      </c>
      <c r="F42" s="147">
        <f>'1b'!G42/'1b'!$B42*100</f>
        <v>1.2182952762722663</v>
      </c>
      <c r="G42" s="147">
        <f>'1b'!H42/'1b'!$B42*100</f>
        <v>0.90971114244347384</v>
      </c>
      <c r="H42" s="147">
        <f>'1b'!I42/'1b'!$B42*100</f>
        <v>0.2984334337139915</v>
      </c>
      <c r="J42" s="64">
        <v>5564000000</v>
      </c>
      <c r="K42" s="64">
        <v>9198000000</v>
      </c>
      <c r="L42" s="64">
        <v>10837000000</v>
      </c>
      <c r="M42" s="64">
        <v>8294000000</v>
      </c>
      <c r="N42" s="64">
        <v>2543000000</v>
      </c>
    </row>
    <row r="43" spans="1:14">
      <c r="A43" s="66">
        <v>1998</v>
      </c>
      <c r="B43" s="58">
        <f>'1b'!B43/'1b'!$B43*100</f>
        <v>100</v>
      </c>
      <c r="C43" s="147">
        <f>'1b'!D43/'1b'!$B43*100</f>
        <v>2.8428280412374587</v>
      </c>
      <c r="D43" s="147">
        <f>'1b'!E43/'1b'!$B43*100</f>
        <v>0.52210455635020614</v>
      </c>
      <c r="E43" s="147">
        <f>'1b'!F43/'1b'!$B43*100</f>
        <v>1.0713968681821329</v>
      </c>
      <c r="F43" s="147">
        <f>'1b'!G43/'1b'!$B43*100</f>
        <v>1.2398685372534275</v>
      </c>
      <c r="G43" s="147">
        <f>'1b'!H43/'1b'!$B43*100</f>
        <v>0.92194556117134352</v>
      </c>
      <c r="H43" s="147">
        <f>'1b'!I43/'1b'!$B43*100</f>
        <v>0.30786353451446014</v>
      </c>
      <c r="J43" s="64">
        <v>5802000000</v>
      </c>
      <c r="K43" s="64">
        <v>9133000000</v>
      </c>
      <c r="L43" s="64">
        <v>11431000000</v>
      </c>
      <c r="M43" s="64">
        <v>8712000000</v>
      </c>
      <c r="N43" s="64">
        <v>2719000000</v>
      </c>
    </row>
    <row r="44" spans="1:14">
      <c r="A44" s="66">
        <v>1999</v>
      </c>
      <c r="B44" s="58">
        <f>'1b'!B44/'1b'!$B44*100</f>
        <v>100</v>
      </c>
      <c r="C44" s="147">
        <f>'1b'!D44/'1b'!$B44*100</f>
        <v>2.904417062374526</v>
      </c>
      <c r="D44" s="147">
        <f>'1b'!E44/'1b'!$B44*100</f>
        <v>0.46793467833583635</v>
      </c>
      <c r="E44" s="147">
        <f>'1b'!F44/'1b'!$B44*100</f>
        <v>1.3074769458135049</v>
      </c>
      <c r="F44" s="147">
        <f>'1b'!G44/'1b'!$B44*100</f>
        <v>1.1488387386558112</v>
      </c>
      <c r="G44" s="147">
        <f>'1b'!H44/'1b'!$B44*100</f>
        <v>0.83193690764812989</v>
      </c>
      <c r="H44" s="147">
        <f>'1b'!I44/'1b'!$B44*100</f>
        <v>0.30914215388028515</v>
      </c>
      <c r="J44" s="64">
        <v>5588000000</v>
      </c>
      <c r="K44" s="64">
        <v>11977000000</v>
      </c>
      <c r="L44" s="64">
        <v>11382000000</v>
      </c>
      <c r="M44" s="64">
        <v>8448000000</v>
      </c>
      <c r="N44" s="64">
        <v>2934000000</v>
      </c>
    </row>
    <row r="45" spans="1:14">
      <c r="A45" s="66">
        <v>2000</v>
      </c>
      <c r="B45" s="58">
        <f>'1b'!B45/'1b'!$B45*100</f>
        <v>100</v>
      </c>
      <c r="C45" s="147">
        <f>'1b'!D45/'1b'!$B45*100</f>
        <v>2.954679866610181</v>
      </c>
      <c r="D45" s="147">
        <f>'1b'!E45/'1b'!$B45*100</f>
        <v>0.43233503629258685</v>
      </c>
      <c r="E45" s="147">
        <f>'1b'!F45/'1b'!$B45*100</f>
        <v>1.2075623968007627</v>
      </c>
      <c r="F45" s="147">
        <f>'1b'!G45/'1b'!$B45*100</f>
        <v>1.3346926174520595</v>
      </c>
      <c r="G45" s="147">
        <f>'1b'!H45/'1b'!$B45*100</f>
        <v>1.0278724170021305</v>
      </c>
      <c r="H45" s="147">
        <f>'1b'!I45/'1b'!$B45*100</f>
        <v>0.29351414615140942</v>
      </c>
      <c r="J45" s="64">
        <v>5675000000</v>
      </c>
      <c r="K45" s="64">
        <v>12159000000</v>
      </c>
      <c r="L45" s="64">
        <v>14535000000</v>
      </c>
      <c r="M45" s="64">
        <v>11473000000</v>
      </c>
      <c r="N45" s="64">
        <v>3062000000</v>
      </c>
    </row>
    <row r="46" spans="1:14">
      <c r="A46" s="66">
        <v>2001</v>
      </c>
      <c r="B46" s="58">
        <f>'1b'!B46/'1b'!$B46*100</f>
        <v>100</v>
      </c>
      <c r="C46" s="147">
        <f>'1b'!D46/'1b'!$B46*100</f>
        <v>2.6599685806831501</v>
      </c>
      <c r="D46" s="147">
        <f>'1b'!E46/'1b'!$B46*100</f>
        <v>0.38569276852623091</v>
      </c>
      <c r="E46" s="147">
        <f>'1b'!F46/'1b'!$B46*100</f>
        <v>1.0871956108075171</v>
      </c>
      <c r="F46" s="147">
        <f>'1b'!G46/'1b'!$B46*100</f>
        <v>1.2057332241414476</v>
      </c>
      <c r="G46" s="147">
        <f>'1b'!H46/'1b'!$B46*100</f>
        <v>0.86106352474733072</v>
      </c>
      <c r="H46" s="147">
        <f>'1b'!I46/'1b'!$B46*100</f>
        <v>0.33737024257848303</v>
      </c>
      <c r="J46" s="64">
        <v>5226000000</v>
      </c>
      <c r="K46" s="64">
        <v>11300000000</v>
      </c>
      <c r="L46" s="64">
        <v>13554000000</v>
      </c>
      <c r="M46" s="64">
        <v>9921000000</v>
      </c>
      <c r="N46" s="64">
        <v>3633000000</v>
      </c>
    </row>
    <row r="47" spans="1:14">
      <c r="A47" s="66">
        <v>2002</v>
      </c>
      <c r="B47" s="58">
        <f>'1b'!B47/'1b'!$B47*100</f>
        <v>100</v>
      </c>
      <c r="C47" s="147">
        <f>'1b'!D47/'1b'!$B47*100</f>
        <v>2.5481423144322215</v>
      </c>
      <c r="D47" s="147">
        <f>'1b'!E47/'1b'!$B47*100</f>
        <v>0.42002813554083712</v>
      </c>
      <c r="E47" s="147">
        <f>'1b'!F47/'1b'!$B47*100</f>
        <v>1.1223545688312129</v>
      </c>
      <c r="F47" s="147">
        <f>'1b'!G47/'1b'!$B47*100</f>
        <v>1.0193453356168936</v>
      </c>
      <c r="G47" s="147">
        <f>'1b'!H47/'1b'!$B47*100</f>
        <v>0.68011851353698793</v>
      </c>
      <c r="H47" s="147">
        <f>'1b'!I47/'1b'!$B47*100</f>
        <v>0.33640178403310633</v>
      </c>
      <c r="J47" s="64">
        <v>5893000000</v>
      </c>
      <c r="K47" s="64">
        <v>12079000000</v>
      </c>
      <c r="L47" s="64">
        <v>11865000000</v>
      </c>
      <c r="M47" s="64">
        <v>8114000000</v>
      </c>
      <c r="N47" s="64">
        <v>3751000000</v>
      </c>
    </row>
    <row r="48" spans="1:14">
      <c r="A48" s="66">
        <v>2003</v>
      </c>
      <c r="B48" s="58">
        <f>'1b'!B48/'1b'!$B48*100</f>
        <v>100</v>
      </c>
      <c r="C48" s="147">
        <f>'1b'!D48/'1b'!$B48*100</f>
        <v>2.2425792426590858</v>
      </c>
      <c r="D48" s="147">
        <f>'1b'!E48/'1b'!$B48*100</f>
        <v>0.3663772886591295</v>
      </c>
      <c r="E48" s="147">
        <f>'1b'!F48/'1b'!$B48*100</f>
        <v>1.0204374933117422</v>
      </c>
      <c r="F48" s="147">
        <f>'1b'!G48/'1b'!$B48*100</f>
        <v>0.87085850527794872</v>
      </c>
      <c r="G48" s="147">
        <f>'1b'!H48/'1b'!$B48*100</f>
        <v>0.54903105787036166</v>
      </c>
      <c r="H48" s="147">
        <f>'1b'!I48/'1b'!$B48*100</f>
        <v>0.32165326027850505</v>
      </c>
      <c r="J48" s="64">
        <v>5429000000</v>
      </c>
      <c r="K48" s="64">
        <v>11599000000</v>
      </c>
      <c r="L48" s="64">
        <v>10706000000</v>
      </c>
      <c r="M48" s="64">
        <v>6918000000</v>
      </c>
      <c r="N48" s="64">
        <v>3788000000</v>
      </c>
    </row>
    <row r="49" spans="1:14">
      <c r="A49" s="66">
        <v>2004</v>
      </c>
      <c r="B49" s="58">
        <f>'1b'!B49/'1b'!$B49*100</f>
        <v>100</v>
      </c>
      <c r="C49" s="147">
        <f>'1b'!D49/'1b'!$B49*100</f>
        <v>2.3721596352172067</v>
      </c>
      <c r="D49" s="147">
        <f>'1b'!E49/'1b'!$B49*100</f>
        <v>0.38345154054309066</v>
      </c>
      <c r="E49" s="147">
        <f>'1b'!F49/'1b'!$B49*100</f>
        <v>1.1688992604713437</v>
      </c>
      <c r="F49" s="147">
        <f>'1b'!G49/'1b'!$B49*100</f>
        <v>0.84336418491775467</v>
      </c>
      <c r="G49" s="147">
        <f>'1b'!H49/'1b'!$B49*100</f>
        <v>0.53490788681446433</v>
      </c>
      <c r="H49" s="147">
        <f>'1b'!I49/'1b'!$B49*100</f>
        <v>0.3081428340020948</v>
      </c>
      <c r="J49" s="64">
        <v>6060000000</v>
      </c>
      <c r="K49" s="64">
        <v>14095000000</v>
      </c>
      <c r="L49" s="64">
        <v>11220000000</v>
      </c>
      <c r="M49" s="64">
        <v>7300000000</v>
      </c>
      <c r="N49" s="64">
        <v>3920000000</v>
      </c>
    </row>
    <row r="50" spans="1:14">
      <c r="A50" s="66">
        <v>2005</v>
      </c>
      <c r="B50" s="58">
        <f>'1b'!B50/'1b'!$B50*100</f>
        <v>100</v>
      </c>
      <c r="C50" s="147">
        <f>'1b'!D50/'1b'!$B50*100</f>
        <v>2.1339856680740033</v>
      </c>
      <c r="D50" s="147">
        <f>'1b'!E50/'1b'!$B50*100</f>
        <v>0.36019839348992283</v>
      </c>
      <c r="E50" s="147">
        <f>'1b'!F50/'1b'!$B50*100</f>
        <v>0.99063049276128712</v>
      </c>
      <c r="F50" s="147">
        <f>'1b'!G50/'1b'!$B50*100</f>
        <v>0.79662391311523717</v>
      </c>
      <c r="G50" s="147">
        <f>'1b'!H50/'1b'!$B50*100</f>
        <v>0.50558401085369387</v>
      </c>
      <c r="H50" s="147">
        <f>'1b'!I50/'1b'!$B50*100</f>
        <v>0.29057111492974425</v>
      </c>
    </row>
    <row r="51" spans="1:14">
      <c r="A51" s="66">
        <v>2006</v>
      </c>
      <c r="B51" s="58">
        <f>'1b'!B51/'1b'!$B51*100</f>
        <v>100</v>
      </c>
      <c r="C51" s="147">
        <f>'1b'!D51/'1b'!$B51*100</f>
        <v>1.8544032308244127</v>
      </c>
      <c r="D51" s="147">
        <f>'1b'!E51/'1b'!$B51*100</f>
        <v>0.32510236500435497</v>
      </c>
      <c r="E51" s="147">
        <f>'1b'!F51/'1b'!$B51*100</f>
        <v>0.8141958785058131</v>
      </c>
      <c r="F51" s="147">
        <f>'1b'!G51/'1b'!$B51*100</f>
        <v>0.7208068651895817</v>
      </c>
      <c r="G51" s="147">
        <f>'1b'!H51/'1b'!$B51*100</f>
        <v>0.46235666055652691</v>
      </c>
      <c r="H51" s="147">
        <f>'1b'!I51/'1b'!$B51*100</f>
        <v>0.25775168709230273</v>
      </c>
    </row>
    <row r="52" spans="1:14">
      <c r="A52" s="66">
        <v>2007</v>
      </c>
      <c r="B52" s="58">
        <f>'1b'!B52/'1b'!$B52*100</f>
        <v>100</v>
      </c>
      <c r="C52" s="147">
        <f>'1b'!D52/'1b'!$B52*100</f>
        <v>1.5753329865469141</v>
      </c>
      <c r="D52" s="147">
        <f>'1b'!E52/'1b'!$B52*100</f>
        <v>0.28681463947733876</v>
      </c>
      <c r="E52" s="147">
        <f>'1b'!F52/'1b'!$B52*100</f>
        <v>0.65639442569237405</v>
      </c>
      <c r="F52" s="147">
        <f>'1b'!G52/'1b'!$B52*100</f>
        <v>0.63212392137720119</v>
      </c>
      <c r="G52" s="147">
        <f>'1b'!H52/'1b'!$B52*100</f>
        <v>0.39671366463480728</v>
      </c>
      <c r="H52" s="147">
        <f>'1b'!I52/'1b'!$B52*100</f>
        <v>0.23541025674239385</v>
      </c>
    </row>
    <row r="53" spans="1:14">
      <c r="A53" s="66">
        <v>2008</v>
      </c>
      <c r="B53" s="58">
        <f>'1b'!B53/'1b'!$B53*100</f>
        <v>100</v>
      </c>
      <c r="C53" s="147">
        <f>'1b'!D53/'1b'!$B53*100</f>
        <v>1.3301288558300932</v>
      </c>
      <c r="D53" s="147">
        <f>'1b'!E53/'1b'!$B53*100</f>
        <v>0.25026118554066534</v>
      </c>
      <c r="E53" s="147">
        <f>'1b'!F53/'1b'!$B53*100</f>
        <v>0.51193010475135325</v>
      </c>
      <c r="F53" s="147">
        <f>'1b'!G53/'1b'!$B53*100</f>
        <v>0.5679375655380744</v>
      </c>
      <c r="G53" s="147">
        <f>'1b'!H53/'1b'!$B53*100</f>
        <v>0.35138397722578096</v>
      </c>
      <c r="H53" s="147">
        <f>'1b'!I53/'1b'!$B53*100</f>
        <v>0.21655358831229346</v>
      </c>
    </row>
    <row r="54" spans="1:14">
      <c r="A54" s="66">
        <v>2009</v>
      </c>
      <c r="B54" s="58">
        <f>'1b'!B54/'1b'!$B54*100</f>
        <v>100</v>
      </c>
      <c r="C54" s="147">
        <f>'1b'!D54/'1b'!$B54*100</f>
        <v>1.1395240539373812</v>
      </c>
      <c r="D54" s="147">
        <f>'1b'!E54/'1b'!$B54*100</f>
        <v>0.22230304595962516</v>
      </c>
      <c r="E54" s="147">
        <f>'1b'!F54/'1b'!$B54*100</f>
        <v>0.4049722461105465</v>
      </c>
      <c r="F54" s="147">
        <f>'1b'!G54/'1b'!$B54*100</f>
        <v>0.51224876186720969</v>
      </c>
      <c r="G54" s="147">
        <f>'1b'!H54/'1b'!$B54*100</f>
        <v>0.30911680427474481</v>
      </c>
      <c r="H54" s="147">
        <f>'1b'!I54/'1b'!$B54*100</f>
        <v>0.20319994017532708</v>
      </c>
    </row>
    <row r="55" spans="1:14">
      <c r="A55" s="66"/>
      <c r="B55" s="58"/>
      <c r="C55" s="58"/>
      <c r="D55" s="58"/>
      <c r="E55" s="58"/>
      <c r="F55" s="58"/>
      <c r="G55" s="58"/>
      <c r="H55" s="58"/>
    </row>
    <row r="56" spans="1:14">
      <c r="A56" s="66" t="s">
        <v>986</v>
      </c>
      <c r="B56" s="58"/>
      <c r="C56" s="58"/>
      <c r="D56" s="58"/>
      <c r="E56" s="58"/>
      <c r="F56" s="58"/>
      <c r="G56" s="58"/>
      <c r="H56" s="58"/>
    </row>
    <row r="57" spans="1:14">
      <c r="A57" s="64" t="s">
        <v>2118</v>
      </c>
      <c r="B57" s="67">
        <f>(B53-B6)/B6*100</f>
        <v>0</v>
      </c>
      <c r="C57" s="67">
        <f t="shared" ref="C57:H57" si="0">(C53-C6)/C6*100</f>
        <v>-69.483173103110659</v>
      </c>
      <c r="D57" s="67">
        <f t="shared" si="0"/>
        <v>-74.834275270616928</v>
      </c>
      <c r="E57" s="67">
        <f t="shared" si="0"/>
        <v>-49.373855421082702</v>
      </c>
      <c r="F57" s="67">
        <f t="shared" si="0"/>
        <v>-74.770462115437724</v>
      </c>
      <c r="G57" s="67">
        <f t="shared" si="0"/>
        <v>-80.615323926591259</v>
      </c>
      <c r="H57" s="67">
        <f t="shared" si="0"/>
        <v>-47.23594063947305</v>
      </c>
    </row>
    <row r="61" spans="1:14" ht="15" customHeight="1">
      <c r="A61" s="104" t="s">
        <v>753</v>
      </c>
      <c r="B61" s="104"/>
      <c r="C61" s="104"/>
      <c r="D61" s="104"/>
      <c r="E61" s="104"/>
      <c r="F61" s="104"/>
      <c r="G61" s="104"/>
      <c r="H61" s="104"/>
    </row>
    <row r="62" spans="1:14">
      <c r="A62" s="137" t="s">
        <v>35</v>
      </c>
      <c r="B62" s="137"/>
      <c r="C62" s="137"/>
      <c r="D62" s="137"/>
      <c r="E62" s="137"/>
      <c r="F62" s="137"/>
      <c r="G62" s="137"/>
      <c r="H62" s="137"/>
    </row>
  </sheetData>
  <mergeCells count="10">
    <mergeCell ref="A62:H62"/>
    <mergeCell ref="A61:H61"/>
    <mergeCell ref="A1:H1"/>
    <mergeCell ref="A2:A4"/>
    <mergeCell ref="B2:B4"/>
    <mergeCell ref="C2:H2"/>
    <mergeCell ref="C3:C4"/>
    <mergeCell ref="D3:D4"/>
    <mergeCell ref="E3:E4"/>
    <mergeCell ref="F3:H3"/>
  </mergeCells>
  <pageMargins left="0.7" right="0.7" top="0.75" bottom="0.75" header="0.3" footer="0.3"/>
  <pageSetup scale="70" orientation="portrait" horizontalDpi="0" verticalDpi="0" r:id="rId1"/>
</worksheet>
</file>

<file path=xl/worksheets/sheet60.xml><?xml version="1.0" encoding="utf-8"?>
<worksheet xmlns="http://schemas.openxmlformats.org/spreadsheetml/2006/main" xmlns:r="http://schemas.openxmlformats.org/officeDocument/2006/relationships">
  <sheetPr codeName="Sheet57">
    <tabColor rgb="FFFF8585"/>
  </sheetPr>
  <dimension ref="A1:F20"/>
  <sheetViews>
    <sheetView view="pageBreakPreview" zoomScaleNormal="100" zoomScaleSheetLayoutView="100" workbookViewId="0">
      <pane xSplit="1" ySplit="3" topLeftCell="B4" activePane="bottomRight" state="frozen"/>
      <selection activeCell="K23" sqref="K23"/>
      <selection pane="topRight" activeCell="K23" sqref="K23"/>
      <selection pane="bottomLeft" activeCell="K23" sqref="K23"/>
      <selection pane="bottomRight" activeCell="K23" sqref="K23"/>
    </sheetView>
  </sheetViews>
  <sheetFormatPr defaultRowHeight="15" outlineLevelRow="1"/>
  <cols>
    <col min="1" max="1" width="13.140625" style="35" customWidth="1"/>
    <col min="2" max="2" width="14" style="35" customWidth="1"/>
    <col min="3" max="4" width="9.140625" style="35"/>
    <col min="5" max="5" width="18.7109375" style="35" customWidth="1"/>
    <col min="6" max="6" width="13.42578125" style="35" customWidth="1"/>
    <col min="7" max="16384" width="9.140625" style="35"/>
  </cols>
  <sheetData>
    <row r="1" spans="1:6">
      <c r="A1" s="93" t="s">
        <v>1608</v>
      </c>
      <c r="B1" s="93"/>
      <c r="C1" s="93"/>
      <c r="D1" s="93"/>
      <c r="E1" s="93"/>
      <c r="F1" s="93"/>
    </row>
    <row r="2" spans="1:6">
      <c r="A2" s="39"/>
      <c r="B2" s="83" t="s">
        <v>116</v>
      </c>
      <c r="C2" s="86" t="s">
        <v>1304</v>
      </c>
      <c r="D2" s="86"/>
      <c r="E2" s="86"/>
      <c r="F2" s="94" t="s">
        <v>113</v>
      </c>
    </row>
    <row r="3" spans="1:6" ht="45" customHeight="1">
      <c r="B3" s="83"/>
      <c r="C3" s="37" t="s">
        <v>1367</v>
      </c>
      <c r="D3" s="38" t="s">
        <v>1304</v>
      </c>
      <c r="E3" s="37" t="s">
        <v>1369</v>
      </c>
      <c r="F3" s="94"/>
    </row>
    <row r="4" spans="1:6" ht="15.75" customHeight="1">
      <c r="B4" s="95" t="s">
        <v>784</v>
      </c>
      <c r="C4" s="95"/>
      <c r="D4" s="95"/>
      <c r="E4" s="40" t="s">
        <v>795</v>
      </c>
      <c r="F4" s="41"/>
    </row>
    <row r="5" spans="1:6" s="42" customFormat="1" ht="15.75" hidden="1" customHeight="1" outlineLevel="1">
      <c r="A5" s="42" t="s">
        <v>587</v>
      </c>
      <c r="B5" s="20" t="s">
        <v>22</v>
      </c>
      <c r="C5" s="20" t="s">
        <v>22</v>
      </c>
      <c r="D5" s="20" t="s">
        <v>22</v>
      </c>
      <c r="E5" s="20" t="s">
        <v>22</v>
      </c>
      <c r="F5" s="20" t="s">
        <v>22</v>
      </c>
    </row>
    <row r="6" spans="1:6" hidden="1" outlineLevel="1">
      <c r="A6" s="35" t="s">
        <v>24</v>
      </c>
      <c r="B6" s="11" t="s">
        <v>22</v>
      </c>
      <c r="C6" s="12" t="s">
        <v>22</v>
      </c>
      <c r="D6" s="14" t="s">
        <v>22</v>
      </c>
      <c r="E6" s="14" t="s">
        <v>22</v>
      </c>
      <c r="F6" s="14" t="s">
        <v>22</v>
      </c>
    </row>
    <row r="7" spans="1:6" s="43" customFormat="1" hidden="1" outlineLevel="1">
      <c r="A7" s="43" t="s">
        <v>669</v>
      </c>
      <c r="B7" s="11" t="s">
        <v>22</v>
      </c>
      <c r="C7" s="12" t="s">
        <v>22</v>
      </c>
      <c r="D7" s="12" t="s">
        <v>22</v>
      </c>
      <c r="E7" s="12" t="s">
        <v>22</v>
      </c>
      <c r="F7" s="12" t="s">
        <v>22</v>
      </c>
    </row>
    <row r="8" spans="1:6" hidden="1" outlineLevel="1">
      <c r="A8" s="35" t="s">
        <v>25</v>
      </c>
      <c r="B8" s="11" t="s">
        <v>22</v>
      </c>
      <c r="C8" s="12" t="s">
        <v>22</v>
      </c>
      <c r="D8" s="14" t="s">
        <v>22</v>
      </c>
      <c r="E8" s="14" t="s">
        <v>22</v>
      </c>
      <c r="F8" s="14" t="s">
        <v>22</v>
      </c>
    </row>
    <row r="9" spans="1:6" s="43" customFormat="1" collapsed="1">
      <c r="A9" s="44" t="s">
        <v>1363</v>
      </c>
      <c r="B9" s="11">
        <f>'5'!D42</f>
        <v>2.304440736522495</v>
      </c>
      <c r="C9" s="12">
        <f>AVERAGE('8d'!D12:D27)</f>
        <v>35.712590014092392</v>
      </c>
      <c r="D9" s="14">
        <f>'8e'!D63</f>
        <v>0.11319733662162879</v>
      </c>
      <c r="E9" s="14">
        <f t="shared" ref="E9:E14" si="0">D9*C9/100</f>
        <v>4.042570073455435E-2</v>
      </c>
      <c r="F9" s="14">
        <f t="shared" ref="F9:F14" si="1">B9-E9</f>
        <v>2.2640150357879407</v>
      </c>
    </row>
    <row r="10" spans="1:6" hidden="1" outlineLevel="1">
      <c r="A10" s="35" t="s">
        <v>676</v>
      </c>
      <c r="B10" s="11">
        <f>'5'!D43</f>
        <v>2.5446801255334162</v>
      </c>
      <c r="C10" s="12">
        <f>AVERAGE('8d'!D12:D27)</f>
        <v>35.712590014092392</v>
      </c>
      <c r="D10" s="14">
        <f>'8e'!D66</f>
        <v>-0.16065860430752865</v>
      </c>
      <c r="E10" s="14">
        <f t="shared" si="0"/>
        <v>-5.7375348678710685E-2</v>
      </c>
      <c r="F10" s="14">
        <f t="shared" si="1"/>
        <v>2.6020554742121269</v>
      </c>
    </row>
    <row r="11" spans="1:6" s="43" customFormat="1" hidden="1" outlineLevel="1">
      <c r="A11" s="43" t="s">
        <v>1606</v>
      </c>
      <c r="B11" s="11">
        <f>'5'!D44</f>
        <v>2.4336971333835278</v>
      </c>
      <c r="C11" s="12">
        <f>AVERAGE('8d'!D12:D27)</f>
        <v>35.712590014092392</v>
      </c>
      <c r="D11" s="14">
        <f>'8e'!D64</f>
        <v>-0.44464426432078152</v>
      </c>
      <c r="E11" s="14">
        <f t="shared" si="0"/>
        <v>-0.15879398313805801</v>
      </c>
      <c r="F11" s="14">
        <f t="shared" si="1"/>
        <v>2.5924911165215856</v>
      </c>
    </row>
    <row r="12" spans="1:6" collapsed="1">
      <c r="A12" s="35" t="s">
        <v>26</v>
      </c>
      <c r="B12" s="11">
        <f>'5'!D45</f>
        <v>1.9095913820139643</v>
      </c>
      <c r="C12" s="12">
        <f>AVERAGE('8d'!D12:D23)</f>
        <v>34.274711992374449</v>
      </c>
      <c r="D12" s="14">
        <f>'8e'!D65</f>
        <v>-0.12949295312876252</v>
      </c>
      <c r="E12" s="14">
        <f t="shared" si="0"/>
        <v>-4.4383336735303792E-2</v>
      </c>
      <c r="F12" s="14">
        <f t="shared" si="1"/>
        <v>1.953974718749268</v>
      </c>
    </row>
    <row r="13" spans="1:6" s="42" customFormat="1">
      <c r="A13" s="42" t="s">
        <v>588</v>
      </c>
      <c r="B13" s="11">
        <f>'5'!D47</f>
        <v>2.7008199373452113</v>
      </c>
      <c r="C13" s="12">
        <f>AVERAGE('8d'!D23:D27)</f>
        <v>41.467253496500163</v>
      </c>
      <c r="D13" s="14">
        <f>'8e'!D67</f>
        <v>0.35647737582340522</v>
      </c>
      <c r="E13" s="14">
        <f t="shared" si="0"/>
        <v>0.14782137709036303</v>
      </c>
      <c r="F13" s="14">
        <f t="shared" si="1"/>
        <v>2.5529985602548484</v>
      </c>
    </row>
    <row r="14" spans="1:6" hidden="1" outlineLevel="1">
      <c r="A14" s="35" t="s">
        <v>27</v>
      </c>
      <c r="B14" s="11">
        <f>'5'!D46</f>
        <v>3.7193065626526911</v>
      </c>
      <c r="C14" s="12">
        <f>AVERAGE('8d'!D23:D27)</f>
        <v>41.467253496500163</v>
      </c>
      <c r="D14" s="14">
        <f>'8e'!D68</f>
        <v>-0.21777037418632128</v>
      </c>
      <c r="E14" s="14">
        <f t="shared" si="0"/>
        <v>-9.0303393104118806E-2</v>
      </c>
      <c r="F14" s="14">
        <f t="shared" si="1"/>
        <v>3.8096099557568097</v>
      </c>
    </row>
    <row r="15" spans="1:6" collapsed="1">
      <c r="B15" s="11"/>
      <c r="C15" s="12"/>
      <c r="D15" s="36"/>
      <c r="E15" s="14"/>
      <c r="F15" s="14"/>
    </row>
    <row r="16" spans="1:6" hidden="1" outlineLevel="1">
      <c r="A16" s="35" t="s">
        <v>662</v>
      </c>
      <c r="B16" s="11">
        <f>'5'!D54</f>
        <v>3.8889278266017513</v>
      </c>
      <c r="C16" s="12">
        <f>AVERAGE('8d'!D23:D27)</f>
        <v>41.467253496500163</v>
      </c>
      <c r="D16" s="14">
        <f>'8e'!D69</f>
        <v>-1.3061919579872794</v>
      </c>
      <c r="E16" s="14">
        <f>D16*C16/100</f>
        <v>-0.54164193036948405</v>
      </c>
      <c r="F16" s="14">
        <f>B16-E16</f>
        <v>4.4305697569712352</v>
      </c>
    </row>
    <row r="17" spans="1:6" hidden="1" outlineLevel="1">
      <c r="B17" s="11"/>
      <c r="D17" s="36"/>
      <c r="E17" s="36"/>
    </row>
    <row r="18" spans="1:6" collapsed="1">
      <c r="A18" s="35" t="s">
        <v>1370</v>
      </c>
    </row>
    <row r="19" spans="1:6">
      <c r="A19" s="35" t="s">
        <v>773</v>
      </c>
    </row>
    <row r="20" spans="1:6" ht="45" customHeight="1">
      <c r="A20" s="81" t="s">
        <v>1368</v>
      </c>
      <c r="B20" s="81"/>
      <c r="C20" s="81"/>
      <c r="D20" s="81"/>
      <c r="E20" s="81"/>
      <c r="F20" s="81"/>
    </row>
  </sheetData>
  <mergeCells count="6">
    <mergeCell ref="A20:F20"/>
    <mergeCell ref="A1:F1"/>
    <mergeCell ref="B2:B3"/>
    <mergeCell ref="C2:E2"/>
    <mergeCell ref="F2:F3"/>
    <mergeCell ref="B4:D4"/>
  </mergeCells>
  <pageMargins left="0.7" right="0.7" top="0.75" bottom="0.75" header="0.3" footer="0.3"/>
  <pageSetup orientation="landscape" horizontalDpi="0" verticalDpi="0" r:id="rId1"/>
</worksheet>
</file>

<file path=xl/worksheets/sheet61.xml><?xml version="1.0" encoding="utf-8"?>
<worksheet xmlns="http://schemas.openxmlformats.org/spreadsheetml/2006/main" xmlns:r="http://schemas.openxmlformats.org/officeDocument/2006/relationships">
  <sheetPr codeName="Sheet58">
    <tabColor rgb="FFFF8585"/>
  </sheetPr>
  <dimension ref="A1:J20"/>
  <sheetViews>
    <sheetView view="pageBreakPreview" zoomScaleNormal="100" zoomScaleSheetLayoutView="100" workbookViewId="0">
      <pane xSplit="1" ySplit="3" topLeftCell="B4" activePane="bottomRight" state="frozen"/>
      <selection activeCell="K23" sqref="K23"/>
      <selection pane="topRight" activeCell="K23" sqref="K23"/>
      <selection pane="bottomLeft" activeCell="K23" sqref="K23"/>
      <selection pane="bottomRight" activeCell="K23" sqref="K23"/>
    </sheetView>
  </sheetViews>
  <sheetFormatPr defaultRowHeight="15" outlineLevelRow="1"/>
  <cols>
    <col min="1" max="1" width="13.140625" style="35" customWidth="1"/>
    <col min="2" max="2" width="14" style="35" customWidth="1"/>
    <col min="3" max="4" width="9.140625" style="35"/>
    <col min="5" max="5" width="18.7109375" style="35" customWidth="1"/>
    <col min="6" max="6" width="13.42578125" style="35" customWidth="1"/>
    <col min="7" max="16384" width="9.140625" style="35"/>
  </cols>
  <sheetData>
    <row r="1" spans="1:10">
      <c r="A1" s="93" t="s">
        <v>1609</v>
      </c>
      <c r="B1" s="93"/>
      <c r="C1" s="93"/>
      <c r="D1" s="93"/>
      <c r="E1" s="93"/>
      <c r="F1" s="93"/>
    </row>
    <row r="2" spans="1:10">
      <c r="A2" s="39"/>
      <c r="B2" s="83" t="s">
        <v>116</v>
      </c>
      <c r="C2" s="86" t="s">
        <v>1304</v>
      </c>
      <c r="D2" s="86"/>
      <c r="E2" s="86"/>
      <c r="F2" s="94" t="s">
        <v>113</v>
      </c>
    </row>
    <row r="3" spans="1:10" ht="45" customHeight="1">
      <c r="B3" s="83"/>
      <c r="C3" s="37" t="s">
        <v>1367</v>
      </c>
      <c r="D3" s="38" t="s">
        <v>1304</v>
      </c>
      <c r="E3" s="37" t="s">
        <v>1369</v>
      </c>
      <c r="F3" s="94"/>
    </row>
    <row r="4" spans="1:10" ht="15.75" customHeight="1">
      <c r="B4" s="95" t="s">
        <v>784</v>
      </c>
      <c r="C4" s="95"/>
      <c r="D4" s="95"/>
      <c r="E4" s="40" t="s">
        <v>795</v>
      </c>
      <c r="F4" s="41"/>
    </row>
    <row r="5" spans="1:10" s="42" customFormat="1" ht="15.75" hidden="1" customHeight="1" outlineLevel="1">
      <c r="A5" s="42" t="s">
        <v>587</v>
      </c>
      <c r="B5" s="11" t="s">
        <v>22</v>
      </c>
      <c r="C5" s="12" t="s">
        <v>22</v>
      </c>
      <c r="D5" s="14" t="s">
        <v>22</v>
      </c>
      <c r="E5" s="14" t="s">
        <v>22</v>
      </c>
      <c r="F5" s="14" t="s">
        <v>22</v>
      </c>
    </row>
    <row r="6" spans="1:10" hidden="1" outlineLevel="1">
      <c r="A6" s="35" t="s">
        <v>24</v>
      </c>
      <c r="B6" s="11" t="s">
        <v>22</v>
      </c>
      <c r="C6" s="12" t="s">
        <v>22</v>
      </c>
      <c r="D6" s="14" t="s">
        <v>22</v>
      </c>
      <c r="E6" s="14" t="s">
        <v>22</v>
      </c>
      <c r="F6" s="14" t="s">
        <v>22</v>
      </c>
    </row>
    <row r="7" spans="1:10" s="43" customFormat="1" hidden="1" outlineLevel="1">
      <c r="A7" s="43" t="s">
        <v>669</v>
      </c>
      <c r="B7" s="11" t="s">
        <v>22</v>
      </c>
      <c r="C7" s="12" t="s">
        <v>22</v>
      </c>
      <c r="D7" s="14" t="s">
        <v>22</v>
      </c>
      <c r="E7" s="14" t="s">
        <v>22</v>
      </c>
      <c r="F7" s="14" t="s">
        <v>22</v>
      </c>
    </row>
    <row r="8" spans="1:10" hidden="1" outlineLevel="1">
      <c r="A8" s="35" t="s">
        <v>25</v>
      </c>
      <c r="B8" s="11" t="s">
        <v>22</v>
      </c>
      <c r="C8" s="12" t="s">
        <v>22</v>
      </c>
      <c r="D8" s="14" t="s">
        <v>22</v>
      </c>
      <c r="E8" s="14" t="s">
        <v>22</v>
      </c>
      <c r="F8" s="14" t="s">
        <v>22</v>
      </c>
    </row>
    <row r="9" spans="1:10" s="43" customFormat="1" collapsed="1">
      <c r="A9" s="44" t="s">
        <v>1363</v>
      </c>
      <c r="B9" s="11">
        <f>'5'!E42</f>
        <v>1.924140786474382</v>
      </c>
      <c r="C9" s="12">
        <f>AVERAGE('8d'!E12:E27)</f>
        <v>25.385434612919287</v>
      </c>
      <c r="D9" s="14">
        <f>'8e'!E63</f>
        <v>0.53354130691813939</v>
      </c>
      <c r="E9" s="14">
        <f t="shared" ref="E9:E14" si="0">D9*C9/100</f>
        <v>0.13544177960061929</v>
      </c>
      <c r="F9" s="14">
        <f t="shared" ref="F9:F14" si="1">B9-D9*C9/100</f>
        <v>1.7886990068737627</v>
      </c>
      <c r="H9" s="3"/>
    </row>
    <row r="10" spans="1:10" hidden="1" outlineLevel="1">
      <c r="A10" s="35" t="s">
        <v>676</v>
      </c>
      <c r="B10" s="11">
        <f>'5'!E43</f>
        <v>1.8722125760917363</v>
      </c>
      <c r="C10" s="12">
        <f>AVERAGE('8d'!E12:E27)</f>
        <v>25.385434612919287</v>
      </c>
      <c r="D10" s="14">
        <f>'8e'!E66</f>
        <v>0.55317255192643966</v>
      </c>
      <c r="E10" s="14">
        <f t="shared" si="0"/>
        <v>0.14042525646590331</v>
      </c>
      <c r="F10" s="14">
        <f t="shared" si="1"/>
        <v>1.7317873196258331</v>
      </c>
    </row>
    <row r="11" spans="1:10" s="43" customFormat="1" hidden="1" outlineLevel="1">
      <c r="A11" s="43" t="s">
        <v>1606</v>
      </c>
      <c r="B11" s="11">
        <f>'5'!E44</f>
        <v>1.7040688318460395</v>
      </c>
      <c r="C11" s="12">
        <f>AVERAGE('8d'!E12:E27)</f>
        <v>25.385434612919287</v>
      </c>
      <c r="D11" s="14">
        <f>'8e'!E64</f>
        <v>0.24039864175511294</v>
      </c>
      <c r="E11" s="14">
        <f t="shared" si="0"/>
        <v>6.1026240013090281E-2</v>
      </c>
      <c r="F11" s="14">
        <f t="shared" si="1"/>
        <v>1.6430425918329492</v>
      </c>
    </row>
    <row r="12" spans="1:10" collapsed="1">
      <c r="A12" s="35" t="s">
        <v>26</v>
      </c>
      <c r="B12" s="11">
        <f>'5'!E45</f>
        <v>0.37783893798488677</v>
      </c>
      <c r="C12" s="12">
        <f>AVERAGE('8d'!D12:D23)</f>
        <v>34.274711992374449</v>
      </c>
      <c r="D12" s="14">
        <f>'8e'!E65</f>
        <v>-9.7315754782789643E-2</v>
      </c>
      <c r="E12" s="14">
        <f t="shared" si="0"/>
        <v>-3.3354694675006513E-2</v>
      </c>
      <c r="F12" s="14">
        <f t="shared" si="1"/>
        <v>0.41119363265989328</v>
      </c>
      <c r="H12" s="3"/>
    </row>
    <row r="13" spans="1:10" s="42" customFormat="1">
      <c r="A13" s="42" t="s">
        <v>588</v>
      </c>
      <c r="B13" s="11">
        <f>'5'!E47</f>
        <v>3.4942631259401669</v>
      </c>
      <c r="C13" s="12">
        <f>AVERAGE('8d'!E23:E27)</f>
        <v>26.591835980911583</v>
      </c>
      <c r="D13" s="14">
        <f>'8e'!E67</f>
        <v>1.1683820516933174</v>
      </c>
      <c r="E13" s="14">
        <f t="shared" si="0"/>
        <v>0.31069423881669656</v>
      </c>
      <c r="F13" s="14">
        <f t="shared" si="1"/>
        <v>3.1835688871234704</v>
      </c>
      <c r="H13" s="3"/>
      <c r="I13" s="2"/>
      <c r="J13" s="2"/>
    </row>
    <row r="14" spans="1:10" hidden="1" outlineLevel="1">
      <c r="A14" s="35" t="s">
        <v>27</v>
      </c>
      <c r="B14" s="11">
        <f>'5'!E46</f>
        <v>4.6699179957694126</v>
      </c>
      <c r="C14" s="12">
        <f>AVERAGE('8d'!E23:E27)</f>
        <v>26.591835980911583</v>
      </c>
      <c r="D14" s="14">
        <f>'8e'!E68</f>
        <v>1.7567548007978884</v>
      </c>
      <c r="E14" s="14">
        <f t="shared" si="0"/>
        <v>0.46715335521496448</v>
      </c>
      <c r="F14" s="14">
        <f t="shared" si="1"/>
        <v>4.2027646405544479</v>
      </c>
    </row>
    <row r="15" spans="1:10" collapsed="1">
      <c r="B15" s="11"/>
      <c r="C15" s="12"/>
      <c r="D15" s="36"/>
      <c r="E15" s="14"/>
      <c r="F15" s="14"/>
    </row>
    <row r="16" spans="1:10" hidden="1" outlineLevel="1">
      <c r="A16" s="35" t="s">
        <v>662</v>
      </c>
      <c r="B16" s="11">
        <f>'5'!E54</f>
        <v>5.4422502838829434</v>
      </c>
      <c r="C16" s="12">
        <f>AVERAGE('8d'!D23:D27)</f>
        <v>41.467253496500163</v>
      </c>
      <c r="D16" s="14">
        <f>'8e'!E69</f>
        <v>1.1750113311299604</v>
      </c>
      <c r="E16" s="14">
        <f>D16*C16/100</f>
        <v>0.48724492729226154</v>
      </c>
      <c r="F16" s="14">
        <f>B16-D16*C16/100</f>
        <v>4.9550053565906822</v>
      </c>
    </row>
    <row r="17" spans="1:6" hidden="1" outlineLevel="1">
      <c r="B17" s="11"/>
      <c r="D17" s="36"/>
      <c r="E17" s="36"/>
    </row>
    <row r="18" spans="1:6" collapsed="1">
      <c r="A18" s="35" t="s">
        <v>1370</v>
      </c>
    </row>
    <row r="19" spans="1:6">
      <c r="A19" s="35" t="s">
        <v>773</v>
      </c>
    </row>
    <row r="20" spans="1:6" ht="45" customHeight="1">
      <c r="A20" s="81" t="s">
        <v>1368</v>
      </c>
      <c r="B20" s="81"/>
      <c r="C20" s="81"/>
      <c r="D20" s="81"/>
      <c r="E20" s="81"/>
      <c r="F20" s="81"/>
    </row>
  </sheetData>
  <mergeCells count="6">
    <mergeCell ref="A20:F20"/>
    <mergeCell ref="A1:F1"/>
    <mergeCell ref="B2:B3"/>
    <mergeCell ref="C2:E2"/>
    <mergeCell ref="F2:F3"/>
    <mergeCell ref="B4:D4"/>
  </mergeCells>
  <pageMargins left="0.7" right="0.7" top="0.75" bottom="0.75" header="0.3" footer="0.3"/>
  <pageSetup orientation="landscape" horizontalDpi="0" verticalDpi="0" r:id="rId1"/>
</worksheet>
</file>

<file path=xl/worksheets/sheet62.xml><?xml version="1.0" encoding="utf-8"?>
<worksheet xmlns="http://schemas.openxmlformats.org/spreadsheetml/2006/main" xmlns:r="http://schemas.openxmlformats.org/officeDocument/2006/relationships">
  <sheetPr codeName="Sheet59">
    <tabColor rgb="FFFF8585"/>
  </sheetPr>
  <dimension ref="A1:J20"/>
  <sheetViews>
    <sheetView view="pageBreakPreview" zoomScaleNormal="100" zoomScaleSheetLayoutView="100" workbookViewId="0">
      <pane xSplit="1" ySplit="3" topLeftCell="B4" activePane="bottomRight" state="frozen"/>
      <selection activeCell="K23" sqref="K23"/>
      <selection pane="topRight" activeCell="K23" sqref="K23"/>
      <selection pane="bottomLeft" activeCell="K23" sqref="K23"/>
      <selection pane="bottomRight" activeCell="K23" sqref="K23"/>
    </sheetView>
  </sheetViews>
  <sheetFormatPr defaultRowHeight="15" outlineLevelRow="1"/>
  <cols>
    <col min="1" max="1" width="13.140625" style="35" customWidth="1"/>
    <col min="2" max="2" width="14" style="35" customWidth="1"/>
    <col min="3" max="3" width="11.5703125" style="35" bestFit="1" customWidth="1"/>
    <col min="4" max="4" width="9.140625" style="35"/>
    <col min="5" max="5" width="18.7109375" style="35" customWidth="1"/>
    <col min="6" max="6" width="13.42578125" style="35" customWidth="1"/>
    <col min="7" max="16384" width="9.140625" style="35"/>
  </cols>
  <sheetData>
    <row r="1" spans="1:10">
      <c r="A1" s="93" t="s">
        <v>1610</v>
      </c>
      <c r="B1" s="93"/>
      <c r="C1" s="93"/>
      <c r="D1" s="93"/>
      <c r="E1" s="93"/>
      <c r="F1" s="93"/>
    </row>
    <row r="2" spans="1:10">
      <c r="A2" s="39"/>
      <c r="B2" s="83" t="s">
        <v>116</v>
      </c>
      <c r="C2" s="86" t="s">
        <v>1304</v>
      </c>
      <c r="D2" s="86"/>
      <c r="E2" s="86"/>
      <c r="F2" s="94" t="s">
        <v>113</v>
      </c>
    </row>
    <row r="3" spans="1:10" ht="45" customHeight="1">
      <c r="B3" s="83"/>
      <c r="C3" s="37" t="s">
        <v>1367</v>
      </c>
      <c r="D3" s="38" t="s">
        <v>1304</v>
      </c>
      <c r="E3" s="37" t="s">
        <v>1369</v>
      </c>
      <c r="F3" s="94"/>
    </row>
    <row r="4" spans="1:10" ht="15.75" customHeight="1">
      <c r="B4" s="95" t="s">
        <v>784</v>
      </c>
      <c r="C4" s="95"/>
      <c r="D4" s="95"/>
      <c r="E4" s="40" t="s">
        <v>795</v>
      </c>
      <c r="F4" s="41"/>
    </row>
    <row r="5" spans="1:10" s="42" customFormat="1" ht="15.75" hidden="1" customHeight="1" outlineLevel="1">
      <c r="A5" s="42" t="s">
        <v>587</v>
      </c>
      <c r="B5" s="45">
        <f>'5'!F39</f>
        <v>3.673857286427995</v>
      </c>
      <c r="C5" s="47">
        <f>AVERAGE('8d'!F4:F27)</f>
        <v>33.535318122401272</v>
      </c>
      <c r="D5" s="46">
        <f>'8e'!F59</f>
        <v>1.7619688531485211</v>
      </c>
      <c r="E5" s="14">
        <f t="shared" ref="E5:E14" si="0">D5*C5/100</f>
        <v>0.59088186012098187</v>
      </c>
      <c r="F5" s="14">
        <f>B5-D5*C5/100</f>
        <v>3.082975426307013</v>
      </c>
    </row>
    <row r="6" spans="1:10" hidden="1" outlineLevel="1">
      <c r="A6" s="35" t="s">
        <v>24</v>
      </c>
      <c r="B6" s="11">
        <f>'5'!F40</f>
        <v>4.0016330329447181</v>
      </c>
      <c r="C6" s="12">
        <f>AVERAGE('8d'!F4:F27)</f>
        <v>33.535318122401272</v>
      </c>
      <c r="D6" s="14">
        <f>'8e'!F60</f>
        <v>1.409393608375975</v>
      </c>
      <c r="E6" s="14">
        <f t="shared" si="0"/>
        <v>0.47264463016567354</v>
      </c>
      <c r="F6" s="14">
        <f>B6-D6*C6/100</f>
        <v>3.5289884027790444</v>
      </c>
    </row>
    <row r="7" spans="1:10" s="43" customFormat="1" hidden="1" outlineLevel="1">
      <c r="A7" s="43" t="s">
        <v>669</v>
      </c>
      <c r="B7" s="11">
        <f>'5'!F49</f>
        <v>3.6782288500436078</v>
      </c>
      <c r="C7" s="12">
        <f>AVERAGE('8d'!F4:F27)</f>
        <v>33.535318122401272</v>
      </c>
      <c r="D7" s="14">
        <f>'8e'!F61</f>
        <v>0.85135434698815349</v>
      </c>
      <c r="E7" s="14">
        <f t="shared" si="0"/>
        <v>0.28550438861136923</v>
      </c>
      <c r="F7" s="14">
        <f>B7-D7*C7/100</f>
        <v>3.3927244614322385</v>
      </c>
    </row>
    <row r="8" spans="1:10" hidden="1" outlineLevel="1" collapsed="1">
      <c r="A8" s="35" t="s">
        <v>25</v>
      </c>
      <c r="B8" s="11">
        <f>'5'!F41</f>
        <v>5.6005829949482333</v>
      </c>
      <c r="C8" s="12">
        <f>AVERAGE('8d'!F4:F12)</f>
        <v>23.301298109441284</v>
      </c>
      <c r="D8" s="14">
        <f>'8e'!F62</f>
        <v>1.0476726787148394</v>
      </c>
      <c r="E8" s="14">
        <f t="shared" si="0"/>
        <v>0.24412133407851372</v>
      </c>
      <c r="F8" s="14">
        <f>B8-D8*C8/100</f>
        <v>5.3564616608697193</v>
      </c>
    </row>
    <row r="9" spans="1:10" s="43" customFormat="1" collapsed="1">
      <c r="A9" s="44" t="s">
        <v>1363</v>
      </c>
      <c r="B9" s="11">
        <f>'5'!F42</f>
        <v>2.981979584755523</v>
      </c>
      <c r="C9" s="12">
        <f>AVERAGE('8d'!F12:F27)</f>
        <v>38.756749741061213</v>
      </c>
      <c r="D9" s="14">
        <f>'8e'!F63</f>
        <v>2.146207407565881</v>
      </c>
      <c r="E9" s="14">
        <f t="shared" si="0"/>
        <v>0.83180023387442614</v>
      </c>
      <c r="F9" s="14">
        <f>B9-E9</f>
        <v>2.1501793508810971</v>
      </c>
      <c r="H9" s="3"/>
      <c r="I9" s="2"/>
      <c r="J9" s="2"/>
    </row>
    <row r="10" spans="1:10" hidden="1" outlineLevel="1">
      <c r="A10" s="35" t="s">
        <v>676</v>
      </c>
      <c r="B10" s="11">
        <f>'5'!F43</f>
        <v>3.2575858363527166</v>
      </c>
      <c r="C10" s="12">
        <f>AVERAGE('8d'!F12:F27)</f>
        <v>38.756749741061213</v>
      </c>
      <c r="D10" s="14">
        <f>'8e'!F66</f>
        <v>1.5800629862146032</v>
      </c>
      <c r="E10" s="14">
        <f t="shared" si="0"/>
        <v>0.61238105731833226</v>
      </c>
      <c r="F10" s="14">
        <f>B10-E10</f>
        <v>2.6452047790343842</v>
      </c>
    </row>
    <row r="11" spans="1:10" s="43" customFormat="1" hidden="1" outlineLevel="1">
      <c r="A11" s="43" t="s">
        <v>1606</v>
      </c>
      <c r="B11" s="11">
        <f>'5'!F44</f>
        <v>2.6673229828755973</v>
      </c>
      <c r="C11" s="12">
        <f>AVERAGE('8d'!F12:F27)</f>
        <v>38.756749741061213</v>
      </c>
      <c r="D11" s="14">
        <f>'8e'!F64</f>
        <v>0.74680723940301341</v>
      </c>
      <c r="E11" s="14">
        <f t="shared" si="0"/>
        <v>0.28943821282355381</v>
      </c>
      <c r="F11" s="14">
        <f>B11-E11</f>
        <v>2.3778847700520434</v>
      </c>
    </row>
    <row r="12" spans="1:10" collapsed="1">
      <c r="A12" s="35" t="s">
        <v>26</v>
      </c>
      <c r="B12" s="11">
        <f>'5'!F45</f>
        <v>1.5063154285066771</v>
      </c>
      <c r="C12" s="12">
        <f>AVERAGE('8d'!F12:F23)</f>
        <v>36.000330325398046</v>
      </c>
      <c r="D12" s="14">
        <f>'8e'!F65</f>
        <v>0.78102256339722675</v>
      </c>
      <c r="E12" s="14">
        <f t="shared" si="0"/>
        <v>0.281170702738893</v>
      </c>
      <c r="F12" s="14">
        <f>B12-E12</f>
        <v>1.2251447257677841</v>
      </c>
    </row>
    <row r="13" spans="1:10" s="42" customFormat="1">
      <c r="A13" s="42" t="s">
        <v>588</v>
      </c>
      <c r="B13" s="11">
        <f>'5'!F47</f>
        <v>4.4790964426697499</v>
      </c>
      <c r="C13" s="12">
        <f>AVERAGE('8d'!F23:F27)</f>
        <v>47.224660888894178</v>
      </c>
      <c r="D13" s="14">
        <f>'8e'!F67</f>
        <v>3.5298851148881871</v>
      </c>
      <c r="E13" s="14">
        <f t="shared" si="0"/>
        <v>1.6669762752734991</v>
      </c>
      <c r="F13" s="14">
        <f>B13-E13</f>
        <v>2.8121201673962508</v>
      </c>
      <c r="H13" s="3"/>
      <c r="I13" s="2"/>
    </row>
    <row r="14" spans="1:10" hidden="1" outlineLevel="1">
      <c r="A14" s="35" t="s">
        <v>27</v>
      </c>
      <c r="B14" s="11">
        <f>'5'!F46</f>
        <v>6.5470974605123189</v>
      </c>
      <c r="C14" s="12">
        <f>AVERAGE('8d'!F23:F27)</f>
        <v>47.224660888894178</v>
      </c>
      <c r="D14" s="14">
        <f>'8e'!F68</f>
        <v>3.0614605153558738</v>
      </c>
      <c r="E14" s="14">
        <f t="shared" si="0"/>
        <v>1.4457643466242036</v>
      </c>
      <c r="F14" s="14">
        <f>B14-D14*C14/100</f>
        <v>5.1013331138881153</v>
      </c>
    </row>
    <row r="15" spans="1:10" collapsed="1">
      <c r="B15" s="11"/>
      <c r="C15" s="12"/>
      <c r="E15" s="14"/>
      <c r="F15" s="14"/>
    </row>
    <row r="16" spans="1:10" hidden="1" outlineLevel="1">
      <c r="A16" s="35" t="s">
        <v>662</v>
      </c>
      <c r="B16" s="11">
        <f>'5'!F54</f>
        <v>5.9290232640484941</v>
      </c>
      <c r="C16" s="12">
        <f>AVERAGE('8d'!F23:F27)</f>
        <v>47.224660888894178</v>
      </c>
      <c r="D16" s="14">
        <f>'8e'!F69</f>
        <v>0.65277498237827913</v>
      </c>
      <c r="E16" s="14">
        <f>D16*C16/100</f>
        <v>0.30827077179568102</v>
      </c>
      <c r="F16" s="14">
        <f>B16-D16*C16/100</f>
        <v>5.6207524922528131</v>
      </c>
    </row>
    <row r="17" spans="1:6" hidden="1" outlineLevel="1">
      <c r="B17" s="11"/>
      <c r="D17" s="36"/>
      <c r="E17" s="36"/>
    </row>
    <row r="18" spans="1:6" collapsed="1">
      <c r="A18" s="35" t="s">
        <v>1370</v>
      </c>
    </row>
    <row r="19" spans="1:6">
      <c r="A19" s="35" t="s">
        <v>773</v>
      </c>
    </row>
    <row r="20" spans="1:6" ht="45" customHeight="1">
      <c r="A20" s="81" t="s">
        <v>1368</v>
      </c>
      <c r="B20" s="81"/>
      <c r="C20" s="81"/>
      <c r="D20" s="81"/>
      <c r="E20" s="81"/>
      <c r="F20" s="81"/>
    </row>
  </sheetData>
  <mergeCells count="6">
    <mergeCell ref="A20:F20"/>
    <mergeCell ref="A1:F1"/>
    <mergeCell ref="B2:B3"/>
    <mergeCell ref="C2:E2"/>
    <mergeCell ref="F2:F3"/>
    <mergeCell ref="B4:D4"/>
  </mergeCells>
  <pageMargins left="0.7" right="0.7" top="0.75" bottom="0.75" header="0.3" footer="0.3"/>
  <pageSetup orientation="landscape" horizontalDpi="0" verticalDpi="0" r:id="rId1"/>
</worksheet>
</file>

<file path=xl/worksheets/sheet63.xml><?xml version="1.0" encoding="utf-8"?>
<worksheet xmlns="http://schemas.openxmlformats.org/spreadsheetml/2006/main" xmlns:r="http://schemas.openxmlformats.org/officeDocument/2006/relationships">
  <sheetPr codeName="Sheet60">
    <tabColor rgb="FFFF8585"/>
  </sheetPr>
  <dimension ref="A1:F20"/>
  <sheetViews>
    <sheetView view="pageBreakPreview" zoomScaleNormal="100" zoomScaleSheetLayoutView="100" workbookViewId="0">
      <pane xSplit="1" ySplit="3" topLeftCell="B4" activePane="bottomRight" state="frozen"/>
      <selection activeCell="K23" sqref="K23"/>
      <selection pane="topRight" activeCell="K23" sqref="K23"/>
      <selection pane="bottomLeft" activeCell="K23" sqref="K23"/>
      <selection pane="bottomRight" activeCell="K23" sqref="K23"/>
    </sheetView>
  </sheetViews>
  <sheetFormatPr defaultRowHeight="15" outlineLevelRow="1"/>
  <cols>
    <col min="1" max="1" width="18.85546875" style="35" customWidth="1"/>
    <col min="2" max="2" width="14" style="35" customWidth="1"/>
    <col min="3" max="3" width="11.5703125" style="35" bestFit="1" customWidth="1"/>
    <col min="4" max="4" width="9.140625" style="35"/>
    <col min="5" max="5" width="18.7109375" style="35" customWidth="1"/>
    <col min="6" max="6" width="13.42578125" style="35" customWidth="1"/>
    <col min="7" max="16384" width="9.140625" style="35"/>
  </cols>
  <sheetData>
    <row r="1" spans="1:6">
      <c r="A1" s="93" t="s">
        <v>1371</v>
      </c>
      <c r="B1" s="93"/>
      <c r="C1" s="93"/>
      <c r="D1" s="93"/>
      <c r="E1" s="93"/>
      <c r="F1" s="93"/>
    </row>
    <row r="2" spans="1:6">
      <c r="A2" s="39"/>
      <c r="B2" s="83" t="s">
        <v>116</v>
      </c>
      <c r="C2" s="86" t="s">
        <v>1304</v>
      </c>
      <c r="D2" s="86"/>
      <c r="E2" s="86"/>
      <c r="F2" s="94" t="s">
        <v>113</v>
      </c>
    </row>
    <row r="3" spans="1:6" ht="45" customHeight="1">
      <c r="B3" s="83"/>
      <c r="C3" s="37" t="s">
        <v>1367</v>
      </c>
      <c r="D3" s="38" t="s">
        <v>1304</v>
      </c>
      <c r="E3" s="37" t="s">
        <v>1369</v>
      </c>
      <c r="F3" s="94"/>
    </row>
    <row r="4" spans="1:6" ht="15.75" customHeight="1">
      <c r="B4" s="95" t="s">
        <v>784</v>
      </c>
      <c r="C4" s="95"/>
      <c r="D4" s="95"/>
      <c r="E4" s="40" t="s">
        <v>795</v>
      </c>
      <c r="F4" s="41"/>
    </row>
    <row r="5" spans="1:6" s="42" customFormat="1" ht="15.75" hidden="1" customHeight="1" outlineLevel="1">
      <c r="A5" s="42" t="s">
        <v>587</v>
      </c>
      <c r="B5" s="45">
        <f>'5'!G39</f>
        <v>1.9842404828857907</v>
      </c>
      <c r="C5" s="47">
        <f>AVERAGE('8d'!G4:G27)</f>
        <v>34.194503773248577</v>
      </c>
      <c r="D5" s="46">
        <f>'8e'!G59</f>
        <v>0.84957200269253352</v>
      </c>
      <c r="E5" s="14">
        <f t="shared" ref="E5:E14" si="0">D5*C5/100</f>
        <v>0.29050693051716187</v>
      </c>
      <c r="F5" s="14">
        <f>B5-D5*C5/100</f>
        <v>1.6937335523686288</v>
      </c>
    </row>
    <row r="6" spans="1:6" hidden="1" outlineLevel="1">
      <c r="A6" s="23" t="s">
        <v>24</v>
      </c>
      <c r="B6" s="11">
        <f>'5'!G40</f>
        <v>2.2581116152220915</v>
      </c>
      <c r="C6" s="12">
        <f>AVERAGE('8d'!G4:G27)</f>
        <v>34.194503773248577</v>
      </c>
      <c r="D6" s="14">
        <f>'8e'!G60</f>
        <v>1.0021009337474185</v>
      </c>
      <c r="E6" s="14">
        <f t="shared" si="0"/>
        <v>0.34266344160202022</v>
      </c>
      <c r="F6" s="14">
        <f>B6-D6*C6/100</f>
        <v>1.9154481736200712</v>
      </c>
    </row>
    <row r="7" spans="1:6" s="43" customFormat="1" hidden="1" outlineLevel="1">
      <c r="A7" s="23" t="s">
        <v>669</v>
      </c>
      <c r="B7" s="11">
        <f>'5'!G49</f>
        <v>2.5782304123463717</v>
      </c>
      <c r="C7" s="12">
        <f>AVERAGE('8d'!G4:G27)</f>
        <v>34.194503773248577</v>
      </c>
      <c r="D7" s="14">
        <f>'8e'!G61</f>
        <v>1.2279191927346389</v>
      </c>
      <c r="E7" s="14">
        <f t="shared" si="0"/>
        <v>0.41988087469208957</v>
      </c>
      <c r="F7" s="14">
        <f>B7-D7*C7/100</f>
        <v>2.1583495376542823</v>
      </c>
    </row>
    <row r="8" spans="1:6" hidden="1" outlineLevel="1">
      <c r="A8" s="22" t="s">
        <v>25</v>
      </c>
      <c r="B8" s="11">
        <f>'5'!G41</f>
        <v>2.1816425530700512</v>
      </c>
      <c r="C8" s="12">
        <f>AVERAGE('8d'!G4:G12)</f>
        <v>33.799487014810197</v>
      </c>
      <c r="D8" s="14">
        <f>'8e'!G62</f>
        <v>4.8070573832019958</v>
      </c>
      <c r="E8" s="14">
        <f t="shared" si="0"/>
        <v>1.6247607360298335</v>
      </c>
      <c r="F8" s="14">
        <f>B8-D8*C8/100</f>
        <v>0.55688181704021766</v>
      </c>
    </row>
    <row r="9" spans="1:6" s="43" customFormat="1" collapsed="1">
      <c r="A9" s="22" t="s">
        <v>1363</v>
      </c>
      <c r="B9" s="11">
        <f>'5'!G42</f>
        <v>1.9125525017484213</v>
      </c>
      <c r="C9" s="12">
        <f>AVERAGE('8d'!G12:G27)</f>
        <v>34.987985650419724</v>
      </c>
      <c r="D9" s="14">
        <f>'8e'!G63</f>
        <v>-0.77065010966159697</v>
      </c>
      <c r="E9" s="14">
        <f t="shared" si="0"/>
        <v>-0.2696349497833434</v>
      </c>
      <c r="F9" s="14">
        <f>B9-E9</f>
        <v>2.1821874515317647</v>
      </c>
    </row>
    <row r="10" spans="1:6" hidden="1" outlineLevel="1">
      <c r="A10" s="48" t="s">
        <v>676</v>
      </c>
      <c r="B10" s="11">
        <f>'5'!G43</f>
        <v>2.2941168552442992</v>
      </c>
      <c r="C10" s="12">
        <f>AVERAGE('8d'!G12:G27)</f>
        <v>34.987985650419724</v>
      </c>
      <c r="D10" s="14">
        <f>'8e'!G66</f>
        <v>-0.74035810887168596</v>
      </c>
      <c r="E10" s="14">
        <f t="shared" si="0"/>
        <v>-0.25903638889374431</v>
      </c>
      <c r="F10" s="14">
        <f>B10-E10</f>
        <v>2.5531532441380436</v>
      </c>
    </row>
    <row r="11" spans="1:6" s="43" customFormat="1" hidden="1" outlineLevel="1">
      <c r="A11" s="48" t="s">
        <v>1606</v>
      </c>
      <c r="B11" s="11">
        <f>'5'!G44</f>
        <v>2.7903729354188611</v>
      </c>
      <c r="C11" s="12">
        <f>AVERAGE('8d'!G12:G27)</f>
        <v>34.987985650419724</v>
      </c>
      <c r="D11" s="14">
        <f>'8e'!G64</f>
        <v>-0.63070846287627269</v>
      </c>
      <c r="E11" s="14">
        <f t="shared" si="0"/>
        <v>-0.2206721864871331</v>
      </c>
      <c r="F11" s="14">
        <f>B11-E11</f>
        <v>3.0110451219059944</v>
      </c>
    </row>
    <row r="12" spans="1:6" collapsed="1">
      <c r="A12" s="48" t="s">
        <v>26</v>
      </c>
      <c r="B12" s="11">
        <f>'5'!G45</f>
        <v>3.5532827282872104</v>
      </c>
      <c r="C12" s="12">
        <f>AVERAGE('8d'!G12:G23)</f>
        <v>33.96549446833977</v>
      </c>
      <c r="D12" s="14">
        <f>'8e'!G65</f>
        <v>0.51672775717592767</v>
      </c>
      <c r="E12" s="14">
        <f t="shared" si="0"/>
        <v>0.17550913777996588</v>
      </c>
      <c r="F12" s="14">
        <f>B12-E12</f>
        <v>3.3777735905072444</v>
      </c>
    </row>
    <row r="13" spans="1:6" s="42" customFormat="1">
      <c r="A13" s="48" t="s">
        <v>588</v>
      </c>
      <c r="B13" s="11">
        <f>'5'!G47</f>
        <v>0.29781851217431932</v>
      </c>
      <c r="C13" s="12">
        <f>AVERAGE('8d'!G23:G27)</f>
        <v>41.072072388146424</v>
      </c>
      <c r="D13" s="14">
        <f>'8e'!G67</f>
        <v>-2.041539757980626</v>
      </c>
      <c r="E13" s="14">
        <f t="shared" si="0"/>
        <v>-0.83850268723059207</v>
      </c>
      <c r="F13" s="14">
        <f>B13-E13</f>
        <v>1.1363211994049114</v>
      </c>
    </row>
    <row r="14" spans="1:6" hidden="1" outlineLevel="1">
      <c r="A14" s="16" t="s">
        <v>27</v>
      </c>
      <c r="B14" s="11">
        <f>'5'!G46</f>
        <v>2.5277632357889601E-2</v>
      </c>
      <c r="C14" s="12">
        <f>AVERAGE('8d'!G23:G27)</f>
        <v>41.072072388146424</v>
      </c>
      <c r="D14" s="14">
        <f>'8e'!G68</f>
        <v>-3.0043254523799301</v>
      </c>
      <c r="E14" s="14">
        <f t="shared" si="0"/>
        <v>-1.2339387245769924</v>
      </c>
      <c r="F14" s="14">
        <f>B14-D14*C14/100</f>
        <v>1.259216356934882</v>
      </c>
    </row>
    <row r="15" spans="1:6" collapsed="1">
      <c r="A15" s="16"/>
      <c r="B15" s="11"/>
      <c r="C15" s="12"/>
      <c r="E15" s="14"/>
      <c r="F15" s="14"/>
    </row>
    <row r="16" spans="1:6" hidden="1" outlineLevel="1">
      <c r="A16" s="35" t="s">
        <v>662</v>
      </c>
      <c r="B16" s="11">
        <f>'5'!G54</f>
        <v>0.7212278348271095</v>
      </c>
      <c r="C16" s="12">
        <f>AVERAGE('8d'!G23:G27)</f>
        <v>41.072072388146424</v>
      </c>
      <c r="D16" s="14">
        <f>'8e'!G69</f>
        <v>-3.7190681373668988</v>
      </c>
      <c r="E16" s="14">
        <f>D16*C16/100</f>
        <v>-1.5274983575438217</v>
      </c>
      <c r="F16" s="14">
        <f>B16-D16*C16/100</f>
        <v>2.2487261923709312</v>
      </c>
    </row>
    <row r="17" spans="1:6" hidden="1" outlineLevel="1">
      <c r="B17" s="11"/>
      <c r="D17" s="36"/>
      <c r="E17" s="36"/>
    </row>
    <row r="18" spans="1:6" collapsed="1">
      <c r="A18" s="35" t="s">
        <v>1370</v>
      </c>
    </row>
    <row r="19" spans="1:6">
      <c r="A19" s="35" t="s">
        <v>773</v>
      </c>
    </row>
    <row r="20" spans="1:6" ht="45" customHeight="1">
      <c r="A20" s="81" t="s">
        <v>1368</v>
      </c>
      <c r="B20" s="81"/>
      <c r="C20" s="81"/>
      <c r="D20" s="81"/>
      <c r="E20" s="81"/>
      <c r="F20" s="81"/>
    </row>
  </sheetData>
  <mergeCells count="6">
    <mergeCell ref="A20:F20"/>
    <mergeCell ref="A1:F1"/>
    <mergeCell ref="B2:B3"/>
    <mergeCell ref="C2:E2"/>
    <mergeCell ref="F2:F3"/>
    <mergeCell ref="B4:D4"/>
  </mergeCells>
  <pageMargins left="0.7" right="0.7" top="0.75" bottom="0.75" header="0.3" footer="0.3"/>
  <pageSetup orientation="landscape" horizontalDpi="0" verticalDpi="0" r:id="rId1"/>
</worksheet>
</file>

<file path=xl/worksheets/sheet64.xml><?xml version="1.0" encoding="utf-8"?>
<worksheet xmlns="http://schemas.openxmlformats.org/spreadsheetml/2006/main" xmlns:r="http://schemas.openxmlformats.org/officeDocument/2006/relationships">
  <sheetPr codeName="Sheet61">
    <pageSetUpPr fitToPage="1"/>
  </sheetPr>
  <dimension ref="A1:O65"/>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2.85546875" style="64" customWidth="1"/>
    <col min="2" max="7" width="14.85546875" style="135" customWidth="1"/>
    <col min="8" max="8" width="9.140625" style="135"/>
    <col min="9" max="14" width="25.85546875" style="135" hidden="1" customWidth="1" outlineLevel="1"/>
    <col min="15" max="15" width="9.140625" style="64" collapsed="1"/>
    <col min="16" max="16384" width="9.140625" style="64"/>
  </cols>
  <sheetData>
    <row r="1" spans="1:14" ht="30" customHeight="1">
      <c r="A1" s="93" t="s">
        <v>1983</v>
      </c>
      <c r="B1" s="93"/>
      <c r="C1" s="93"/>
      <c r="D1" s="93"/>
      <c r="E1" s="93"/>
      <c r="F1" s="93"/>
      <c r="G1" s="93"/>
    </row>
    <row r="2" spans="1:14">
      <c r="B2" s="123" t="s">
        <v>673</v>
      </c>
      <c r="C2" s="123" t="s">
        <v>938</v>
      </c>
      <c r="D2" s="159" t="s">
        <v>37</v>
      </c>
      <c r="E2" s="160"/>
      <c r="F2" s="160"/>
      <c r="G2" s="161"/>
      <c r="I2" s="123" t="s">
        <v>673</v>
      </c>
      <c r="J2" s="123" t="s">
        <v>938</v>
      </c>
      <c r="K2" s="159" t="s">
        <v>37</v>
      </c>
      <c r="L2" s="160"/>
      <c r="M2" s="160"/>
      <c r="N2" s="161"/>
    </row>
    <row r="3" spans="1:14" ht="45">
      <c r="B3" s="126"/>
      <c r="C3" s="126"/>
      <c r="D3" s="72" t="s">
        <v>78</v>
      </c>
      <c r="E3" s="72" t="s">
        <v>750</v>
      </c>
      <c r="F3" s="72" t="s">
        <v>745</v>
      </c>
      <c r="G3" s="72" t="s">
        <v>678</v>
      </c>
      <c r="I3" s="126"/>
      <c r="J3" s="126"/>
      <c r="K3" s="72" t="s">
        <v>78</v>
      </c>
      <c r="L3" s="72" t="s">
        <v>750</v>
      </c>
      <c r="M3" s="72" t="s">
        <v>745</v>
      </c>
      <c r="N3" s="72" t="s">
        <v>678</v>
      </c>
    </row>
    <row r="4" spans="1:14">
      <c r="A4" s="66">
        <v>1961</v>
      </c>
      <c r="B4" s="30">
        <v>51038.8</v>
      </c>
      <c r="C4" s="30">
        <v>7078.6</v>
      </c>
      <c r="D4" s="30">
        <f>SUM(E4:G4)</f>
        <v>1767.9</v>
      </c>
      <c r="E4" s="30">
        <v>334.2</v>
      </c>
      <c r="F4" s="30">
        <v>312.2</v>
      </c>
      <c r="G4" s="30">
        <v>1121.5</v>
      </c>
      <c r="I4" s="135">
        <v>41675269.200000003</v>
      </c>
      <c r="J4" s="135">
        <v>6399040.5999999996</v>
      </c>
      <c r="K4" s="135">
        <f>SUM(L4:N4)</f>
        <v>1744836.1</v>
      </c>
      <c r="L4" s="135">
        <v>307277.90000000002</v>
      </c>
      <c r="M4" s="135">
        <v>313469.5</v>
      </c>
      <c r="N4" s="135">
        <v>1124088.7</v>
      </c>
    </row>
    <row r="5" spans="1:14" hidden="1" outlineLevel="1">
      <c r="A5" s="66">
        <v>1962</v>
      </c>
      <c r="B5" s="30">
        <v>53053.599999999999</v>
      </c>
      <c r="C5" s="30">
        <v>8356.7999999999993</v>
      </c>
      <c r="D5" s="30">
        <f t="shared" ref="D5:D55" si="0">SUM(E5:G5)</f>
        <v>1878.4</v>
      </c>
      <c r="E5" s="30">
        <v>354.6</v>
      </c>
      <c r="F5" s="30">
        <v>281</v>
      </c>
      <c r="G5" s="30">
        <v>1242.8</v>
      </c>
      <c r="I5" s="135">
        <v>43400812.100000001</v>
      </c>
      <c r="J5" s="135">
        <v>7557105</v>
      </c>
      <c r="K5" s="135">
        <f t="shared" ref="K5:K50" si="1">SUM(L5:N5)</f>
        <v>1845611.5</v>
      </c>
      <c r="L5" s="135">
        <v>326626.5</v>
      </c>
      <c r="M5" s="135">
        <v>285099.8</v>
      </c>
      <c r="N5" s="135">
        <v>1233885.2</v>
      </c>
    </row>
    <row r="6" spans="1:14" hidden="1" outlineLevel="1">
      <c r="A6" s="66">
        <v>1963</v>
      </c>
      <c r="B6" s="30">
        <v>54994.5</v>
      </c>
      <c r="C6" s="30">
        <v>8513.4</v>
      </c>
      <c r="D6" s="30">
        <f t="shared" si="0"/>
        <v>2101.1</v>
      </c>
      <c r="E6" s="30">
        <v>365.7</v>
      </c>
      <c r="F6" s="30">
        <v>331.7</v>
      </c>
      <c r="G6" s="30">
        <v>1403.7</v>
      </c>
      <c r="I6" s="135">
        <v>45199617.700000003</v>
      </c>
      <c r="J6" s="135">
        <v>7691543.2999999998</v>
      </c>
      <c r="K6" s="135">
        <f t="shared" si="1"/>
        <v>2110638.1</v>
      </c>
      <c r="L6" s="135">
        <v>346130.2</v>
      </c>
      <c r="M6" s="135">
        <v>344321.4</v>
      </c>
      <c r="N6" s="135">
        <v>1420186.5</v>
      </c>
    </row>
    <row r="7" spans="1:14" hidden="1" outlineLevel="1">
      <c r="A7" s="66">
        <v>1964</v>
      </c>
      <c r="B7" s="30">
        <v>61576.3</v>
      </c>
      <c r="C7" s="30">
        <v>11000.3</v>
      </c>
      <c r="D7" s="30">
        <f t="shared" si="0"/>
        <v>2957.5</v>
      </c>
      <c r="E7" s="30">
        <v>505</v>
      </c>
      <c r="F7" s="30">
        <v>396.1</v>
      </c>
      <c r="G7" s="30">
        <v>2056.4</v>
      </c>
      <c r="I7" s="135">
        <v>51336259.200000003</v>
      </c>
      <c r="J7" s="135">
        <v>10171028.300000001</v>
      </c>
      <c r="K7" s="135">
        <f t="shared" si="1"/>
        <v>3002268.3</v>
      </c>
      <c r="L7" s="135">
        <v>484144.9</v>
      </c>
      <c r="M7" s="135">
        <v>407334.8</v>
      </c>
      <c r="N7" s="135">
        <v>2110788.6</v>
      </c>
    </row>
    <row r="8" spans="1:14" hidden="1" outlineLevel="1">
      <c r="A8" s="66">
        <v>1965</v>
      </c>
      <c r="B8" s="30">
        <v>69481.600000000006</v>
      </c>
      <c r="C8" s="30">
        <v>13606</v>
      </c>
      <c r="D8" s="30">
        <f t="shared" si="0"/>
        <v>3588.3</v>
      </c>
      <c r="E8" s="30">
        <v>501.3</v>
      </c>
      <c r="F8" s="30">
        <v>485.9</v>
      </c>
      <c r="G8" s="30">
        <v>2601.1</v>
      </c>
      <c r="I8" s="135">
        <v>58226621.5</v>
      </c>
      <c r="J8" s="135">
        <v>12606809.699999999</v>
      </c>
      <c r="K8" s="135">
        <f t="shared" si="1"/>
        <v>3588468.7</v>
      </c>
      <c r="L8" s="135">
        <v>483961.9</v>
      </c>
      <c r="M8" s="135">
        <v>489920.8</v>
      </c>
      <c r="N8" s="135">
        <v>2614586</v>
      </c>
    </row>
    <row r="9" spans="1:14" hidden="1" outlineLevel="1">
      <c r="A9" s="66">
        <v>1966</v>
      </c>
      <c r="B9" s="30">
        <v>79469.3</v>
      </c>
      <c r="C9" s="30">
        <v>16450.7</v>
      </c>
      <c r="D9" s="30">
        <f t="shared" si="0"/>
        <v>4199.7000000000007</v>
      </c>
      <c r="E9" s="30">
        <v>468.1</v>
      </c>
      <c r="F9" s="30">
        <v>451.8</v>
      </c>
      <c r="G9" s="30">
        <v>3279.8</v>
      </c>
      <c r="I9" s="135">
        <v>66897394.299999997</v>
      </c>
      <c r="J9" s="135">
        <v>15344248.699999999</v>
      </c>
      <c r="K9" s="135">
        <f t="shared" si="1"/>
        <v>4259122.7</v>
      </c>
      <c r="L9" s="135">
        <v>450468.7</v>
      </c>
      <c r="M9" s="135">
        <v>454853.8</v>
      </c>
      <c r="N9" s="135">
        <v>3353800.2</v>
      </c>
    </row>
    <row r="10" spans="1:14" hidden="1" outlineLevel="1">
      <c r="A10" s="66">
        <v>1967</v>
      </c>
      <c r="B10" s="30">
        <v>78739.899999999994</v>
      </c>
      <c r="C10" s="30">
        <v>14231.3</v>
      </c>
      <c r="D10" s="30">
        <f t="shared" si="0"/>
        <v>3591.8</v>
      </c>
      <c r="E10" s="30">
        <v>450.3</v>
      </c>
      <c r="F10" s="30">
        <v>382.7</v>
      </c>
      <c r="G10" s="30">
        <v>2758.8</v>
      </c>
      <c r="I10" s="135">
        <v>65703852.5</v>
      </c>
      <c r="J10" s="135">
        <v>13057842</v>
      </c>
      <c r="K10" s="135">
        <f t="shared" si="1"/>
        <v>3655588</v>
      </c>
      <c r="L10" s="135">
        <v>434305.5</v>
      </c>
      <c r="M10" s="135">
        <v>393778.1</v>
      </c>
      <c r="N10" s="135">
        <v>2827504.4</v>
      </c>
    </row>
    <row r="11" spans="1:14" hidden="1" outlineLevel="1">
      <c r="A11" s="66">
        <v>1968</v>
      </c>
      <c r="B11" s="30">
        <v>76611.8</v>
      </c>
      <c r="C11" s="30">
        <v>12502.8</v>
      </c>
      <c r="D11" s="30">
        <f t="shared" si="0"/>
        <v>2542.9</v>
      </c>
      <c r="E11" s="30">
        <v>390.1</v>
      </c>
      <c r="F11" s="30">
        <v>421</v>
      </c>
      <c r="G11" s="30">
        <v>1731.8</v>
      </c>
      <c r="I11" s="135">
        <v>63453591</v>
      </c>
      <c r="J11" s="135">
        <v>11110118.800000001</v>
      </c>
      <c r="K11" s="135">
        <f t="shared" si="1"/>
        <v>2525512.6</v>
      </c>
      <c r="L11" s="135">
        <v>370416.9</v>
      </c>
      <c r="M11" s="135">
        <v>431636.2</v>
      </c>
      <c r="N11" s="135">
        <v>1723459.5</v>
      </c>
    </row>
    <row r="12" spans="1:14" hidden="1" outlineLevel="1">
      <c r="A12" s="66">
        <v>1969</v>
      </c>
      <c r="B12" s="30">
        <v>77966.8</v>
      </c>
      <c r="C12" s="30">
        <v>14126</v>
      </c>
      <c r="D12" s="30">
        <f t="shared" si="0"/>
        <v>3522.6</v>
      </c>
      <c r="E12" s="30">
        <v>516.79999999999995</v>
      </c>
      <c r="F12" s="30">
        <v>908.2</v>
      </c>
      <c r="G12" s="30">
        <v>2097.6</v>
      </c>
      <c r="I12" s="135">
        <v>65068358.700000003</v>
      </c>
      <c r="J12" s="135">
        <v>12703361.699999999</v>
      </c>
      <c r="K12" s="135">
        <f t="shared" si="1"/>
        <v>3485107</v>
      </c>
      <c r="L12" s="135">
        <v>492538.4</v>
      </c>
      <c r="M12" s="135">
        <v>902674.6</v>
      </c>
      <c r="N12" s="135">
        <v>2089894</v>
      </c>
    </row>
    <row r="13" spans="1:14" hidden="1" outlineLevel="1">
      <c r="A13" s="66">
        <v>1970</v>
      </c>
      <c r="B13" s="30">
        <v>81093.100000000006</v>
      </c>
      <c r="C13" s="30">
        <v>16552</v>
      </c>
      <c r="D13" s="30">
        <f t="shared" si="0"/>
        <v>4044.2</v>
      </c>
      <c r="E13" s="30">
        <v>438.6</v>
      </c>
      <c r="F13" s="30">
        <v>947.4</v>
      </c>
      <c r="G13" s="30">
        <v>2658.2</v>
      </c>
      <c r="I13" s="135">
        <v>67644411.599999994</v>
      </c>
      <c r="J13" s="135">
        <v>14967873.800000001</v>
      </c>
      <c r="K13" s="135">
        <f t="shared" si="1"/>
        <v>4069703</v>
      </c>
      <c r="L13" s="135">
        <v>410787.8</v>
      </c>
      <c r="M13" s="135">
        <v>944442.1</v>
      </c>
      <c r="N13" s="135">
        <v>2714473.1</v>
      </c>
    </row>
    <row r="14" spans="1:14" hidden="1" outlineLevel="1">
      <c r="A14" s="66">
        <v>1971</v>
      </c>
      <c r="B14" s="30">
        <v>85396.9</v>
      </c>
      <c r="C14" s="30">
        <v>14689.7</v>
      </c>
      <c r="D14" s="30">
        <f t="shared" si="0"/>
        <v>4002.5</v>
      </c>
      <c r="E14" s="30">
        <v>426.9</v>
      </c>
      <c r="F14" s="30">
        <v>826.5</v>
      </c>
      <c r="G14" s="30">
        <v>2749.1</v>
      </c>
      <c r="I14" s="135">
        <v>71068950.599999994</v>
      </c>
      <c r="J14" s="135">
        <v>13365861.1</v>
      </c>
      <c r="K14" s="135">
        <f t="shared" si="1"/>
        <v>4078011.6999999997</v>
      </c>
      <c r="L14" s="135">
        <v>407294.8</v>
      </c>
      <c r="M14" s="135">
        <v>843432.6</v>
      </c>
      <c r="N14" s="135">
        <v>2827284.3</v>
      </c>
    </row>
    <row r="15" spans="1:14" hidden="1" outlineLevel="1">
      <c r="A15" s="66">
        <v>1972</v>
      </c>
      <c r="B15" s="30">
        <v>86298.9</v>
      </c>
      <c r="C15" s="30">
        <v>13885.3</v>
      </c>
      <c r="D15" s="30">
        <f t="shared" si="0"/>
        <v>3583.1</v>
      </c>
      <c r="E15" s="30">
        <v>517.20000000000005</v>
      </c>
      <c r="F15" s="30">
        <v>901.4</v>
      </c>
      <c r="G15" s="30">
        <v>2164.5</v>
      </c>
      <c r="I15" s="135">
        <v>72685653.700000003</v>
      </c>
      <c r="J15" s="135">
        <v>12675774.300000001</v>
      </c>
      <c r="K15" s="135">
        <f>SUM(L15:N15)</f>
        <v>3658000.0999999996</v>
      </c>
      <c r="L15" s="135">
        <v>498118.2</v>
      </c>
      <c r="M15" s="135">
        <v>941262.1</v>
      </c>
      <c r="N15" s="135">
        <v>2218619.7999999998</v>
      </c>
    </row>
    <row r="16" spans="1:14" collapsed="1">
      <c r="A16" s="66">
        <v>1973</v>
      </c>
      <c r="B16" s="30">
        <v>92667.199999999997</v>
      </c>
      <c r="C16" s="30">
        <v>15690.5</v>
      </c>
      <c r="D16" s="30">
        <f t="shared" si="0"/>
        <v>3784.7</v>
      </c>
      <c r="E16" s="30">
        <v>751.6</v>
      </c>
      <c r="F16" s="30">
        <v>1299.0999999999999</v>
      </c>
      <c r="G16" s="30">
        <v>1734</v>
      </c>
      <c r="I16" s="135">
        <v>79805285.900000006</v>
      </c>
      <c r="J16" s="135">
        <v>14781498.1</v>
      </c>
      <c r="K16" s="135">
        <f t="shared" si="1"/>
        <v>3906209.6</v>
      </c>
      <c r="L16" s="135">
        <v>730891</v>
      </c>
      <c r="M16" s="135">
        <v>1363524.1</v>
      </c>
      <c r="N16" s="135">
        <v>1811794.5</v>
      </c>
    </row>
    <row r="17" spans="1:14" hidden="1" outlineLevel="1">
      <c r="A17" s="66">
        <v>1974</v>
      </c>
      <c r="B17" s="30">
        <v>97920.8</v>
      </c>
      <c r="C17" s="30">
        <v>17947.7</v>
      </c>
      <c r="D17" s="30">
        <f t="shared" si="0"/>
        <v>3987.0999999999995</v>
      </c>
      <c r="E17" s="30">
        <v>797.8</v>
      </c>
      <c r="F17" s="30">
        <v>1123.0999999999999</v>
      </c>
      <c r="G17" s="30">
        <v>2066.1999999999998</v>
      </c>
      <c r="I17" s="135">
        <v>85355063.400000006</v>
      </c>
      <c r="J17" s="135">
        <v>17151850.5</v>
      </c>
      <c r="K17" s="135">
        <f t="shared" si="1"/>
        <v>4167660.9</v>
      </c>
      <c r="L17" s="135">
        <v>800916.4</v>
      </c>
      <c r="M17" s="135">
        <v>1167464.1000000001</v>
      </c>
      <c r="N17" s="135">
        <v>2199280.4</v>
      </c>
    </row>
    <row r="18" spans="1:14" hidden="1" outlineLevel="1">
      <c r="A18" s="66">
        <v>1975</v>
      </c>
      <c r="B18" s="30">
        <v>103395.3</v>
      </c>
      <c r="C18" s="30">
        <v>17632.7</v>
      </c>
      <c r="D18" s="30">
        <f t="shared" si="0"/>
        <v>3406.4</v>
      </c>
      <c r="E18" s="30">
        <v>572</v>
      </c>
      <c r="F18" s="30">
        <v>919.5</v>
      </c>
      <c r="G18" s="30">
        <v>1914.9</v>
      </c>
      <c r="I18" s="135">
        <v>90118854.200000003</v>
      </c>
      <c r="J18" s="135">
        <v>16744185.699999999</v>
      </c>
      <c r="K18" s="135">
        <f t="shared" si="1"/>
        <v>3503782</v>
      </c>
      <c r="L18" s="135">
        <v>558574</v>
      </c>
      <c r="M18" s="135">
        <v>950932.9</v>
      </c>
      <c r="N18" s="135">
        <v>1994275.1</v>
      </c>
    </row>
    <row r="19" spans="1:14" hidden="1" outlineLevel="1">
      <c r="A19" s="66">
        <v>1976</v>
      </c>
      <c r="B19" s="30">
        <v>101981.7</v>
      </c>
      <c r="C19" s="30">
        <v>16217.5</v>
      </c>
      <c r="D19" s="30">
        <f t="shared" si="0"/>
        <v>3435.4</v>
      </c>
      <c r="E19" s="30">
        <v>497.5</v>
      </c>
      <c r="F19" s="30">
        <v>800.1</v>
      </c>
      <c r="G19" s="30">
        <v>2137.8000000000002</v>
      </c>
      <c r="I19" s="135">
        <v>88874344.900000006</v>
      </c>
      <c r="J19" s="135">
        <v>15284308.6</v>
      </c>
      <c r="K19" s="135">
        <f t="shared" si="1"/>
        <v>3550470.4</v>
      </c>
      <c r="L19" s="135">
        <v>480510.8</v>
      </c>
      <c r="M19" s="135">
        <v>835199.6</v>
      </c>
      <c r="N19" s="135">
        <v>2234760</v>
      </c>
    </row>
    <row r="20" spans="1:14" hidden="1" outlineLevel="1">
      <c r="A20" s="66">
        <v>1977</v>
      </c>
      <c r="B20" s="30">
        <v>104311</v>
      </c>
      <c r="C20" s="30">
        <v>16830.3</v>
      </c>
      <c r="D20" s="30">
        <f t="shared" si="0"/>
        <v>3481.7</v>
      </c>
      <c r="E20" s="30">
        <v>544</v>
      </c>
      <c r="F20" s="30">
        <v>738</v>
      </c>
      <c r="G20" s="30">
        <v>2199.6999999999998</v>
      </c>
      <c r="I20" s="135">
        <v>89512511.299999997</v>
      </c>
      <c r="J20" s="135">
        <v>15607705.800000001</v>
      </c>
      <c r="K20" s="135">
        <f t="shared" si="1"/>
        <v>3522343.8</v>
      </c>
      <c r="L20" s="135">
        <v>527140.19999999995</v>
      </c>
      <c r="M20" s="135">
        <v>752480.3</v>
      </c>
      <c r="N20" s="135">
        <v>2242723.2999999998</v>
      </c>
    </row>
    <row r="21" spans="1:14" hidden="1" outlineLevel="1">
      <c r="A21" s="66">
        <v>1978</v>
      </c>
      <c r="B21" s="30">
        <v>105046.2</v>
      </c>
      <c r="C21" s="30">
        <v>15236.4</v>
      </c>
      <c r="D21" s="30">
        <f t="shared" si="0"/>
        <v>3047.7</v>
      </c>
      <c r="E21" s="30">
        <v>544</v>
      </c>
      <c r="F21" s="30">
        <v>842.5</v>
      </c>
      <c r="G21" s="30">
        <v>1661.2</v>
      </c>
      <c r="I21" s="135">
        <v>89650832.700000003</v>
      </c>
      <c r="J21" s="135">
        <v>14010644.300000001</v>
      </c>
      <c r="K21" s="135">
        <f t="shared" si="1"/>
        <v>3160107.9000000004</v>
      </c>
      <c r="L21" s="135">
        <v>537627.5</v>
      </c>
      <c r="M21" s="135">
        <v>871072.3</v>
      </c>
      <c r="N21" s="135">
        <v>1751408.1</v>
      </c>
    </row>
    <row r="22" spans="1:14" hidden="1" outlineLevel="1">
      <c r="A22" s="66">
        <v>1979</v>
      </c>
      <c r="B22" s="30">
        <v>115072.6</v>
      </c>
      <c r="C22" s="30">
        <v>16671.2</v>
      </c>
      <c r="D22" s="30">
        <f t="shared" si="0"/>
        <v>3496.9</v>
      </c>
      <c r="E22" s="30">
        <v>639.6</v>
      </c>
      <c r="F22" s="30">
        <v>983.9</v>
      </c>
      <c r="G22" s="30">
        <v>1873.4</v>
      </c>
      <c r="I22" s="135">
        <v>98219798.400000006</v>
      </c>
      <c r="J22" s="135">
        <v>15372308.5</v>
      </c>
      <c r="K22" s="135">
        <f t="shared" si="1"/>
        <v>3606677.9000000004</v>
      </c>
      <c r="L22" s="135">
        <v>613124</v>
      </c>
      <c r="M22" s="135">
        <v>1005748.3</v>
      </c>
      <c r="N22" s="135">
        <v>1987805.6</v>
      </c>
    </row>
    <row r="23" spans="1:14" hidden="1" outlineLevel="1">
      <c r="A23" s="66">
        <v>1980</v>
      </c>
      <c r="B23" s="30">
        <v>124871.3</v>
      </c>
      <c r="C23" s="30">
        <v>19685.5</v>
      </c>
      <c r="D23" s="30">
        <f t="shared" si="0"/>
        <v>4328.2</v>
      </c>
      <c r="E23" s="30">
        <v>647.6</v>
      </c>
      <c r="F23" s="30">
        <v>998.9</v>
      </c>
      <c r="G23" s="30">
        <v>2681.7</v>
      </c>
      <c r="I23" s="135">
        <v>104854817.40000001</v>
      </c>
      <c r="J23" s="135">
        <v>17960723.199999999</v>
      </c>
      <c r="K23" s="135">
        <f t="shared" si="1"/>
        <v>4426083</v>
      </c>
      <c r="L23" s="135">
        <v>626410.6</v>
      </c>
      <c r="M23" s="135">
        <v>1013559.7</v>
      </c>
      <c r="N23" s="135">
        <v>2786112.7</v>
      </c>
    </row>
    <row r="24" spans="1:14" collapsed="1">
      <c r="A24" s="66">
        <v>1981</v>
      </c>
      <c r="B24" s="30">
        <v>132172.1</v>
      </c>
      <c r="C24" s="30">
        <v>22655</v>
      </c>
      <c r="D24" s="30">
        <f t="shared" si="0"/>
        <v>5005.6000000000004</v>
      </c>
      <c r="E24" s="30">
        <v>453.6</v>
      </c>
      <c r="F24" s="30">
        <v>839</v>
      </c>
      <c r="G24" s="30">
        <v>3713</v>
      </c>
      <c r="I24" s="135">
        <v>115122787.59999999</v>
      </c>
      <c r="J24" s="135">
        <v>21926520.300000001</v>
      </c>
      <c r="K24" s="135">
        <f t="shared" si="1"/>
        <v>5544767.7000000002</v>
      </c>
      <c r="L24" s="135">
        <v>457831.4</v>
      </c>
      <c r="M24" s="135">
        <v>924142.8</v>
      </c>
      <c r="N24" s="135">
        <v>4162793.5</v>
      </c>
    </row>
    <row r="25" spans="1:14">
      <c r="A25" s="66">
        <v>1982</v>
      </c>
      <c r="B25" s="30">
        <v>120413.6</v>
      </c>
      <c r="C25" s="30">
        <v>19123.900000000001</v>
      </c>
      <c r="D25" s="30">
        <f t="shared" si="0"/>
        <v>3763.5</v>
      </c>
      <c r="E25" s="30">
        <v>232.1</v>
      </c>
      <c r="F25" s="30">
        <v>574.9</v>
      </c>
      <c r="G25" s="30">
        <v>2956.5</v>
      </c>
      <c r="I25" s="135">
        <v>103301049.8</v>
      </c>
      <c r="J25" s="135">
        <v>17983700.600000001</v>
      </c>
      <c r="K25" s="135">
        <f t="shared" si="1"/>
        <v>4119256.5</v>
      </c>
      <c r="L25" s="135">
        <v>217406.4</v>
      </c>
      <c r="M25" s="135">
        <v>626386.30000000005</v>
      </c>
      <c r="N25" s="135">
        <v>3275463.8</v>
      </c>
    </row>
    <row r="26" spans="1:14">
      <c r="A26" s="66">
        <v>1983</v>
      </c>
      <c r="B26" s="30">
        <v>109903.7</v>
      </c>
      <c r="C26" s="30">
        <v>13893.2</v>
      </c>
      <c r="D26" s="30">
        <f t="shared" si="0"/>
        <v>2244.5</v>
      </c>
      <c r="E26" s="30">
        <v>224.9</v>
      </c>
      <c r="F26" s="30">
        <v>472.7</v>
      </c>
      <c r="G26" s="30">
        <v>1546.9</v>
      </c>
      <c r="I26" s="135">
        <v>93930368.799999997</v>
      </c>
      <c r="J26" s="135">
        <v>13196211.199999999</v>
      </c>
      <c r="K26" s="135">
        <f t="shared" si="1"/>
        <v>2461203.0999999996</v>
      </c>
      <c r="L26" s="135">
        <v>213373.8</v>
      </c>
      <c r="M26" s="135">
        <v>540601.59999999998</v>
      </c>
      <c r="N26" s="135">
        <v>1707227.7</v>
      </c>
    </row>
    <row r="27" spans="1:14">
      <c r="A27" s="66">
        <v>1984</v>
      </c>
      <c r="B27" s="30">
        <v>111562.7</v>
      </c>
      <c r="C27" s="30">
        <v>13553.3</v>
      </c>
      <c r="D27" s="30">
        <f t="shared" si="0"/>
        <v>2543.5</v>
      </c>
      <c r="E27" s="30">
        <v>277.5</v>
      </c>
      <c r="F27" s="30">
        <v>538.1</v>
      </c>
      <c r="G27" s="30">
        <v>1727.9</v>
      </c>
      <c r="I27" s="135">
        <v>94903182.5</v>
      </c>
      <c r="J27" s="135">
        <v>12617716</v>
      </c>
      <c r="K27" s="135">
        <f t="shared" si="1"/>
        <v>2773001.9</v>
      </c>
      <c r="L27" s="135">
        <v>277468</v>
      </c>
      <c r="M27" s="135">
        <v>612560</v>
      </c>
      <c r="N27" s="135">
        <v>1882973.9</v>
      </c>
    </row>
    <row r="28" spans="1:14">
      <c r="A28" s="66">
        <v>1985</v>
      </c>
      <c r="B28" s="30">
        <v>119236.4</v>
      </c>
      <c r="C28" s="30">
        <v>16864.5</v>
      </c>
      <c r="D28" s="30">
        <f t="shared" si="0"/>
        <v>3519.3</v>
      </c>
      <c r="E28" s="30">
        <v>295.8</v>
      </c>
      <c r="F28" s="30">
        <v>541.4</v>
      </c>
      <c r="G28" s="30">
        <v>2682.1</v>
      </c>
      <c r="I28" s="135">
        <v>101470285.40000001</v>
      </c>
      <c r="J28" s="135">
        <v>15970685.300000001</v>
      </c>
      <c r="K28" s="135">
        <f t="shared" si="1"/>
        <v>4000387</v>
      </c>
      <c r="L28" s="135">
        <v>290708.90000000002</v>
      </c>
      <c r="M28" s="135">
        <v>617665.69999999995</v>
      </c>
      <c r="N28" s="135">
        <v>3092012.4</v>
      </c>
    </row>
    <row r="29" spans="1:14">
      <c r="A29" s="66">
        <v>1986</v>
      </c>
      <c r="B29" s="30">
        <v>117163.4</v>
      </c>
      <c r="C29" s="30">
        <v>19308.599999999999</v>
      </c>
      <c r="D29" s="30">
        <f t="shared" si="0"/>
        <v>3488.9</v>
      </c>
      <c r="E29" s="30">
        <v>316.5</v>
      </c>
      <c r="F29" s="30">
        <v>687.1</v>
      </c>
      <c r="G29" s="30">
        <v>2485.3000000000002</v>
      </c>
      <c r="I29" s="135">
        <v>101313996.90000001</v>
      </c>
      <c r="J29" s="135">
        <v>19201873.300000001</v>
      </c>
      <c r="K29" s="135">
        <f t="shared" si="1"/>
        <v>3989130.0999999996</v>
      </c>
      <c r="L29" s="135">
        <v>321570.3</v>
      </c>
      <c r="M29" s="135">
        <v>778972.5</v>
      </c>
      <c r="N29" s="135">
        <v>2888587.3</v>
      </c>
    </row>
    <row r="30" spans="1:14">
      <c r="A30" s="66">
        <v>1987</v>
      </c>
      <c r="B30" s="30">
        <v>122221.4</v>
      </c>
      <c r="C30" s="30">
        <v>20089.900000000001</v>
      </c>
      <c r="D30" s="30">
        <f t="shared" si="0"/>
        <v>4596.3</v>
      </c>
      <c r="E30" s="30">
        <v>361</v>
      </c>
      <c r="F30" s="30">
        <v>1078.4000000000001</v>
      </c>
      <c r="G30" s="30">
        <v>3156.9</v>
      </c>
      <c r="I30" s="135">
        <v>106829837.59999999</v>
      </c>
      <c r="J30" s="135">
        <v>20122428.199999999</v>
      </c>
      <c r="K30" s="135">
        <f t="shared" si="1"/>
        <v>5300342.6999999993</v>
      </c>
      <c r="L30" s="135">
        <v>362924.6</v>
      </c>
      <c r="M30" s="135">
        <v>1213477.2</v>
      </c>
      <c r="N30" s="135">
        <v>3723940.9</v>
      </c>
    </row>
    <row r="31" spans="1:14">
      <c r="A31" s="66">
        <v>1988</v>
      </c>
      <c r="B31" s="30">
        <v>136692.1</v>
      </c>
      <c r="C31" s="30">
        <v>22392.5</v>
      </c>
      <c r="D31" s="30">
        <f t="shared" si="0"/>
        <v>6448.7999999999993</v>
      </c>
      <c r="E31" s="30">
        <v>375.8</v>
      </c>
      <c r="F31" s="30">
        <v>1495.1</v>
      </c>
      <c r="G31" s="30">
        <v>4577.8999999999996</v>
      </c>
      <c r="I31" s="135">
        <v>121761321</v>
      </c>
      <c r="J31" s="135">
        <v>23078874.5</v>
      </c>
      <c r="K31" s="135">
        <f t="shared" si="1"/>
        <v>7384272.5999999996</v>
      </c>
      <c r="L31" s="135">
        <v>372051.9</v>
      </c>
      <c r="M31" s="135">
        <v>1722485.6</v>
      </c>
      <c r="N31" s="135">
        <v>5289735.0999999996</v>
      </c>
    </row>
    <row r="32" spans="1:14">
      <c r="A32" s="66">
        <v>1989</v>
      </c>
      <c r="B32" s="30">
        <v>141917.20000000001</v>
      </c>
      <c r="C32" s="30">
        <v>25645.7</v>
      </c>
      <c r="D32" s="30">
        <f t="shared" si="0"/>
        <v>8374.2999999999993</v>
      </c>
      <c r="E32" s="30">
        <v>360.4</v>
      </c>
      <c r="F32" s="30">
        <v>1292.9000000000001</v>
      </c>
      <c r="G32" s="30">
        <v>6721</v>
      </c>
      <c r="I32" s="135">
        <v>127486970.59999999</v>
      </c>
      <c r="J32" s="135">
        <v>26529840.100000001</v>
      </c>
      <c r="K32" s="135">
        <f t="shared" si="1"/>
        <v>9518315.3999999985</v>
      </c>
      <c r="L32" s="135">
        <v>370186.4</v>
      </c>
      <c r="M32" s="135">
        <v>1419771.9</v>
      </c>
      <c r="N32" s="135">
        <v>7728357.0999999996</v>
      </c>
    </row>
    <row r="33" spans="1:14">
      <c r="A33" s="66">
        <v>1990</v>
      </c>
      <c r="B33" s="30">
        <v>141161.60000000001</v>
      </c>
      <c r="C33" s="30">
        <v>24106.400000000001</v>
      </c>
      <c r="D33" s="30">
        <f t="shared" si="0"/>
        <v>6393.2000000000007</v>
      </c>
      <c r="E33" s="30">
        <v>308.2</v>
      </c>
      <c r="F33" s="30">
        <v>994.2</v>
      </c>
      <c r="G33" s="30">
        <v>5090.8</v>
      </c>
      <c r="I33" s="135">
        <v>125632153.09999999</v>
      </c>
      <c r="J33" s="135">
        <v>24589133.699999999</v>
      </c>
      <c r="K33" s="135">
        <f t="shared" si="1"/>
        <v>7512360.0999999996</v>
      </c>
      <c r="L33" s="135">
        <v>314094.90000000002</v>
      </c>
      <c r="M33" s="135">
        <v>1154540.2</v>
      </c>
      <c r="N33" s="135">
        <v>6043725</v>
      </c>
    </row>
    <row r="34" spans="1:14">
      <c r="A34" s="66">
        <v>1991</v>
      </c>
      <c r="B34" s="30">
        <v>138684.29999999999</v>
      </c>
      <c r="C34" s="30">
        <v>22073.7</v>
      </c>
      <c r="D34" s="30">
        <f t="shared" si="0"/>
        <v>4861.3</v>
      </c>
      <c r="E34" s="30">
        <v>140</v>
      </c>
      <c r="F34" s="30">
        <v>652.5</v>
      </c>
      <c r="G34" s="30">
        <v>4068.8</v>
      </c>
      <c r="I34" s="135">
        <v>122343372.5</v>
      </c>
      <c r="J34" s="135">
        <v>21966572.800000001</v>
      </c>
      <c r="K34" s="135">
        <f t="shared" si="1"/>
        <v>5300419.4000000004</v>
      </c>
      <c r="L34" s="135">
        <v>131291.9</v>
      </c>
      <c r="M34" s="135">
        <v>693081.3</v>
      </c>
      <c r="N34" s="135">
        <v>4476046.2</v>
      </c>
    </row>
    <row r="35" spans="1:14">
      <c r="A35" s="66">
        <v>1992</v>
      </c>
      <c r="B35" s="30">
        <v>127522.7</v>
      </c>
      <c r="C35" s="30">
        <v>17640.400000000001</v>
      </c>
      <c r="D35" s="30">
        <f t="shared" si="0"/>
        <v>4081.3</v>
      </c>
      <c r="E35" s="30">
        <v>255.2</v>
      </c>
      <c r="F35" s="30">
        <v>721.8</v>
      </c>
      <c r="G35" s="30">
        <v>3104.3</v>
      </c>
      <c r="I35" s="135">
        <v>111597232.3</v>
      </c>
      <c r="J35" s="135">
        <v>16693865.4</v>
      </c>
      <c r="K35" s="135">
        <f t="shared" si="1"/>
        <v>4183468.5</v>
      </c>
      <c r="L35" s="135">
        <v>274159.59999999998</v>
      </c>
      <c r="M35" s="135">
        <v>747675</v>
      </c>
      <c r="N35" s="135">
        <v>3161633.9</v>
      </c>
    </row>
    <row r="36" spans="1:14">
      <c r="A36" s="66">
        <v>1993</v>
      </c>
      <c r="B36" s="30">
        <v>125626.7</v>
      </c>
      <c r="C36" s="30">
        <v>16713.7</v>
      </c>
      <c r="D36" s="30">
        <f t="shared" si="0"/>
        <v>3635.3</v>
      </c>
      <c r="E36" s="30">
        <v>413.5</v>
      </c>
      <c r="F36" s="30">
        <v>869</v>
      </c>
      <c r="G36" s="30">
        <v>2352.8000000000002</v>
      </c>
      <c r="I36" s="135">
        <v>108847234.59999999</v>
      </c>
      <c r="J36" s="135">
        <v>15710384.300000001</v>
      </c>
      <c r="K36" s="135">
        <f t="shared" si="1"/>
        <v>3893651.3000000003</v>
      </c>
      <c r="L36" s="135">
        <v>452485.2</v>
      </c>
      <c r="M36" s="135">
        <v>939272.9</v>
      </c>
      <c r="N36" s="135">
        <v>2501893.2000000002</v>
      </c>
    </row>
    <row r="37" spans="1:14">
      <c r="A37" s="66">
        <v>1994</v>
      </c>
      <c r="B37" s="30">
        <v>136737.70000000001</v>
      </c>
      <c r="C37" s="30">
        <v>19597.3</v>
      </c>
      <c r="D37" s="30">
        <f t="shared" si="0"/>
        <v>4315.7</v>
      </c>
      <c r="E37" s="30">
        <v>495.8</v>
      </c>
      <c r="F37" s="30">
        <v>1452.7</v>
      </c>
      <c r="G37" s="30">
        <v>2367.1999999999998</v>
      </c>
      <c r="I37" s="135">
        <v>118096988.2</v>
      </c>
      <c r="J37" s="135">
        <v>18470855.899999999</v>
      </c>
      <c r="K37" s="135">
        <f t="shared" si="1"/>
        <v>4802149</v>
      </c>
      <c r="L37" s="135">
        <v>540439.30000000005</v>
      </c>
      <c r="M37" s="135">
        <v>1613102</v>
      </c>
      <c r="N37" s="135">
        <v>2648607.7000000002</v>
      </c>
    </row>
    <row r="38" spans="1:14">
      <c r="A38" s="66">
        <v>1995</v>
      </c>
      <c r="B38" s="30">
        <v>138679</v>
      </c>
      <c r="C38" s="30">
        <v>21531.200000000001</v>
      </c>
      <c r="D38" s="30">
        <f t="shared" si="0"/>
        <v>6450.7</v>
      </c>
      <c r="E38" s="30">
        <v>412.5</v>
      </c>
      <c r="F38" s="30">
        <v>2001.7</v>
      </c>
      <c r="G38" s="30">
        <v>4036.5</v>
      </c>
      <c r="I38" s="135">
        <v>120108572.3</v>
      </c>
      <c r="J38" s="135">
        <v>20531022.899999999</v>
      </c>
      <c r="K38" s="135">
        <f t="shared" si="1"/>
        <v>7052075.5999999996</v>
      </c>
      <c r="L38" s="135">
        <v>451732.8</v>
      </c>
      <c r="M38" s="135">
        <v>2259437.4</v>
      </c>
      <c r="N38" s="135">
        <v>4340905.4000000004</v>
      </c>
    </row>
    <row r="39" spans="1:14">
      <c r="A39" s="66">
        <v>1996</v>
      </c>
      <c r="B39" s="30">
        <v>141102.20000000001</v>
      </c>
      <c r="C39" s="30">
        <v>23326.5</v>
      </c>
      <c r="D39" s="30">
        <f t="shared" si="0"/>
        <v>5396.4</v>
      </c>
      <c r="E39" s="30">
        <v>395.9</v>
      </c>
      <c r="F39" s="30">
        <v>1413.4</v>
      </c>
      <c r="G39" s="30">
        <v>3587.1</v>
      </c>
      <c r="I39" s="135">
        <v>121489738.5</v>
      </c>
      <c r="J39" s="135">
        <v>21387431.899999999</v>
      </c>
      <c r="K39" s="135">
        <f t="shared" si="1"/>
        <v>5745642.9000000004</v>
      </c>
      <c r="L39" s="135">
        <v>414262.4</v>
      </c>
      <c r="M39" s="135">
        <v>1523544.9</v>
      </c>
      <c r="N39" s="135">
        <v>3807835.6</v>
      </c>
    </row>
    <row r="40" spans="1:14">
      <c r="A40" s="66">
        <v>1997</v>
      </c>
      <c r="B40" s="30">
        <v>159393.20000000001</v>
      </c>
      <c r="C40" s="30">
        <v>24929.599999999999</v>
      </c>
      <c r="D40" s="30">
        <f t="shared" si="0"/>
        <v>4828.3</v>
      </c>
      <c r="E40" s="30">
        <v>374.1</v>
      </c>
      <c r="F40" s="30">
        <v>1567.8</v>
      </c>
      <c r="G40" s="30">
        <v>2886.4</v>
      </c>
      <c r="I40" s="135">
        <v>140408642.59999999</v>
      </c>
      <c r="J40" s="135">
        <v>23615256</v>
      </c>
      <c r="K40" s="135">
        <f t="shared" si="1"/>
        <v>5212882.3000000007</v>
      </c>
      <c r="L40" s="135">
        <v>370923.4</v>
      </c>
      <c r="M40" s="135">
        <v>1674961.3</v>
      </c>
      <c r="N40" s="135">
        <v>3166997.6</v>
      </c>
    </row>
    <row r="41" spans="1:14">
      <c r="A41" s="66">
        <v>1998</v>
      </c>
      <c r="B41" s="30">
        <v>163796.4</v>
      </c>
      <c r="C41" s="30">
        <v>24937.5</v>
      </c>
      <c r="D41" s="30">
        <f t="shared" si="0"/>
        <v>3816.2000000000003</v>
      </c>
      <c r="E41" s="30">
        <v>406.1</v>
      </c>
      <c r="F41" s="30">
        <v>1176.3</v>
      </c>
      <c r="G41" s="30">
        <v>2233.8000000000002</v>
      </c>
      <c r="I41" s="135">
        <v>144372559.09999999</v>
      </c>
      <c r="J41" s="135">
        <v>23403969.199999999</v>
      </c>
      <c r="K41" s="135">
        <f t="shared" si="1"/>
        <v>4052735.1</v>
      </c>
      <c r="L41" s="135">
        <v>421510.40000000002</v>
      </c>
      <c r="M41" s="135">
        <v>1221901.2</v>
      </c>
      <c r="N41" s="135">
        <v>2409323.5</v>
      </c>
    </row>
    <row r="42" spans="1:14">
      <c r="A42" s="66">
        <v>1999</v>
      </c>
      <c r="B42" s="30">
        <v>170347.1</v>
      </c>
      <c r="C42" s="30">
        <v>24271.1</v>
      </c>
      <c r="D42" s="30">
        <f t="shared" si="0"/>
        <v>3500.2000000000003</v>
      </c>
      <c r="E42" s="30">
        <v>434.6</v>
      </c>
      <c r="F42" s="30">
        <v>1104.2</v>
      </c>
      <c r="G42" s="30">
        <v>1961.4</v>
      </c>
      <c r="I42" s="135">
        <v>154492217.09999999</v>
      </c>
      <c r="J42" s="135">
        <v>23375902.5</v>
      </c>
      <c r="K42" s="135">
        <f t="shared" si="1"/>
        <v>3829219.7</v>
      </c>
      <c r="L42" s="135">
        <v>442887.1</v>
      </c>
      <c r="M42" s="135">
        <v>1159279.8999999999</v>
      </c>
      <c r="N42" s="135">
        <v>2227052.7000000002</v>
      </c>
    </row>
    <row r="43" spans="1:14">
      <c r="A43" s="66">
        <v>2000</v>
      </c>
      <c r="B43" s="30">
        <v>177244</v>
      </c>
      <c r="C43" s="30">
        <v>25654.2</v>
      </c>
      <c r="D43" s="30">
        <f t="shared" si="0"/>
        <v>4588.2999999999993</v>
      </c>
      <c r="E43" s="30">
        <v>410.2</v>
      </c>
      <c r="F43" s="30">
        <v>1696.4</v>
      </c>
      <c r="G43" s="30">
        <v>2481.6999999999998</v>
      </c>
      <c r="I43" s="135">
        <v>160328262.19999999</v>
      </c>
      <c r="J43" s="135">
        <v>23969720.699999999</v>
      </c>
      <c r="K43" s="135">
        <f t="shared" si="1"/>
        <v>4920841.9000000004</v>
      </c>
      <c r="L43" s="135">
        <v>431578.7</v>
      </c>
      <c r="M43" s="135">
        <v>1904572.5</v>
      </c>
      <c r="N43" s="135">
        <v>2584690.7000000002</v>
      </c>
    </row>
    <row r="44" spans="1:14">
      <c r="A44" s="66">
        <v>2001</v>
      </c>
      <c r="B44" s="30">
        <v>182778.6</v>
      </c>
      <c r="C44" s="30">
        <v>22295.5</v>
      </c>
      <c r="D44" s="30">
        <f t="shared" si="0"/>
        <v>3143.4</v>
      </c>
      <c r="E44" s="30">
        <v>289.60000000000002</v>
      </c>
      <c r="F44" s="30">
        <v>821.4</v>
      </c>
      <c r="G44" s="30">
        <v>2032.4</v>
      </c>
      <c r="I44" s="135">
        <v>162806336.30000001</v>
      </c>
      <c r="J44" s="135">
        <v>18929694.5</v>
      </c>
      <c r="K44" s="135">
        <f t="shared" si="1"/>
        <v>3133423.8</v>
      </c>
      <c r="L44" s="135">
        <v>305448.59999999998</v>
      </c>
      <c r="M44" s="135">
        <v>911370.9</v>
      </c>
      <c r="N44" s="135">
        <v>1916604.3</v>
      </c>
    </row>
    <row r="45" spans="1:14">
      <c r="A45" s="66">
        <v>2002</v>
      </c>
      <c r="B45" s="30">
        <v>178973.1</v>
      </c>
      <c r="C45" s="30">
        <v>21623.5</v>
      </c>
      <c r="D45" s="30">
        <f t="shared" si="0"/>
        <v>2771.5</v>
      </c>
      <c r="E45" s="30">
        <v>362.2</v>
      </c>
      <c r="F45" s="30">
        <v>738.9</v>
      </c>
      <c r="G45" s="30">
        <v>1670.4</v>
      </c>
      <c r="I45" s="135">
        <v>159255186</v>
      </c>
      <c r="J45" s="135">
        <v>17943207</v>
      </c>
      <c r="K45" s="135">
        <f t="shared" si="1"/>
        <v>2740320</v>
      </c>
      <c r="L45" s="135">
        <v>388089</v>
      </c>
      <c r="M45" s="135">
        <v>828132</v>
      </c>
      <c r="N45" s="135">
        <v>1524099</v>
      </c>
    </row>
    <row r="46" spans="1:14">
      <c r="A46" s="66">
        <v>2003</v>
      </c>
      <c r="B46" s="30">
        <v>189815.8</v>
      </c>
      <c r="C46" s="30">
        <v>23293.5</v>
      </c>
      <c r="D46" s="30">
        <f t="shared" si="0"/>
        <v>3628.7</v>
      </c>
      <c r="E46" s="30">
        <v>345.6</v>
      </c>
      <c r="F46" s="30">
        <v>1014.1</v>
      </c>
      <c r="G46" s="30">
        <v>2269</v>
      </c>
      <c r="I46" s="135">
        <v>170656692.90000001</v>
      </c>
      <c r="J46" s="135">
        <v>20668988.399999999</v>
      </c>
      <c r="K46" s="135">
        <f t="shared" si="1"/>
        <v>3886712.1</v>
      </c>
      <c r="L46" s="135">
        <v>373849.4</v>
      </c>
      <c r="M46" s="135">
        <v>1165732.6000000001</v>
      </c>
      <c r="N46" s="135">
        <v>2347130.1</v>
      </c>
    </row>
    <row r="47" spans="1:14">
      <c r="A47" s="66">
        <v>2004</v>
      </c>
      <c r="B47" s="30">
        <v>206397.5</v>
      </c>
      <c r="C47" s="30">
        <v>22894.7</v>
      </c>
      <c r="D47" s="30">
        <f t="shared" si="0"/>
        <v>3292.8999999999996</v>
      </c>
      <c r="E47" s="30">
        <v>349.7</v>
      </c>
      <c r="F47" s="30">
        <v>1278.0999999999999</v>
      </c>
      <c r="G47" s="30">
        <v>1665.1</v>
      </c>
      <c r="I47" s="135">
        <v>184802269.69999999</v>
      </c>
      <c r="J47" s="135">
        <v>20310228.5</v>
      </c>
      <c r="K47" s="135">
        <f t="shared" si="1"/>
        <v>3319682.1</v>
      </c>
      <c r="L47" s="135">
        <v>373705.2</v>
      </c>
      <c r="M47" s="135">
        <v>1461381.3</v>
      </c>
      <c r="N47" s="135">
        <v>1484595.6</v>
      </c>
    </row>
    <row r="48" spans="1:14">
      <c r="A48" s="66">
        <v>2005</v>
      </c>
      <c r="B48" s="30">
        <v>229430.2</v>
      </c>
      <c r="C48" s="30">
        <v>23857</v>
      </c>
      <c r="D48" s="30">
        <f t="shared" si="0"/>
        <v>3581.3</v>
      </c>
      <c r="E48" s="30">
        <v>344.2</v>
      </c>
      <c r="F48" s="30">
        <v>1643.1</v>
      </c>
      <c r="G48" s="30">
        <v>1594</v>
      </c>
      <c r="I48" s="135">
        <v>204874124.90000001</v>
      </c>
      <c r="J48" s="135">
        <v>21584491.300000001</v>
      </c>
      <c r="K48" s="135">
        <f t="shared" si="1"/>
        <v>3742946.0999999996</v>
      </c>
      <c r="L48" s="135">
        <v>365169.4</v>
      </c>
      <c r="M48" s="135">
        <v>1780686.4</v>
      </c>
      <c r="N48" s="135">
        <v>1597090.3</v>
      </c>
    </row>
    <row r="49" spans="1:14">
      <c r="A49" s="66">
        <v>2006</v>
      </c>
      <c r="B49" s="30">
        <v>248541.9</v>
      </c>
      <c r="C49" s="30">
        <v>24015.4</v>
      </c>
      <c r="D49" s="30">
        <f t="shared" si="0"/>
        <v>3257.5</v>
      </c>
      <c r="E49" s="30">
        <v>292.8</v>
      </c>
      <c r="F49" s="30">
        <v>1434.1</v>
      </c>
      <c r="G49" s="30">
        <v>1530.6</v>
      </c>
      <c r="I49" s="135">
        <v>221872716.5</v>
      </c>
      <c r="J49" s="135">
        <v>22572426.100000001</v>
      </c>
      <c r="K49" s="135">
        <f t="shared" si="1"/>
        <v>3555753.9000000004</v>
      </c>
      <c r="L49" s="135">
        <v>345090.4</v>
      </c>
      <c r="M49" s="135">
        <v>1719374.8</v>
      </c>
      <c r="N49" s="135">
        <v>1491288.7</v>
      </c>
    </row>
    <row r="50" spans="1:14">
      <c r="A50" s="66">
        <v>2007</v>
      </c>
      <c r="B50" s="30">
        <v>255889.9</v>
      </c>
      <c r="C50" s="30">
        <v>24104.7</v>
      </c>
      <c r="D50" s="30">
        <f t="shared" si="0"/>
        <v>2767.3</v>
      </c>
      <c r="E50" s="30">
        <v>207.5</v>
      </c>
      <c r="F50" s="30">
        <v>1117.5999999999999</v>
      </c>
      <c r="G50" s="30">
        <v>1442.2</v>
      </c>
      <c r="I50" s="135">
        <v>236860360.19999999</v>
      </c>
      <c r="J50" s="135">
        <v>24988466.100000001</v>
      </c>
      <c r="K50" s="135">
        <f t="shared" si="1"/>
        <v>3854596.4000000004</v>
      </c>
      <c r="L50" s="135">
        <v>338429.2</v>
      </c>
      <c r="M50" s="135">
        <v>1888907.9</v>
      </c>
      <c r="N50" s="135">
        <v>1627259.3</v>
      </c>
    </row>
    <row r="51" spans="1:14">
      <c r="A51" s="66">
        <v>2008</v>
      </c>
      <c r="B51" s="30">
        <v>267789</v>
      </c>
      <c r="C51" s="30">
        <v>23219.8</v>
      </c>
      <c r="D51" s="30">
        <f>SUM(E51:G51)</f>
        <v>2393</v>
      </c>
      <c r="E51" s="30">
        <v>232.4</v>
      </c>
      <c r="F51" s="30">
        <v>916.7</v>
      </c>
      <c r="G51" s="30">
        <v>1243.9000000000001</v>
      </c>
    </row>
    <row r="52" spans="1:14">
      <c r="A52" s="66">
        <v>2009</v>
      </c>
      <c r="B52" s="30">
        <v>232211.7</v>
      </c>
      <c r="C52" s="30">
        <v>17885.900000000001</v>
      </c>
      <c r="D52" s="30">
        <f t="shared" si="0"/>
        <v>1428.9</v>
      </c>
      <c r="E52" s="30">
        <v>152.1</v>
      </c>
      <c r="F52" s="30">
        <v>571.9</v>
      </c>
      <c r="G52" s="30">
        <v>704.9</v>
      </c>
    </row>
    <row r="53" spans="1:14">
      <c r="A53" s="66">
        <v>2010</v>
      </c>
      <c r="B53" s="30">
        <v>261267.9</v>
      </c>
      <c r="C53" s="30">
        <v>19754.400000000001</v>
      </c>
      <c r="D53" s="30">
        <f t="shared" si="0"/>
        <v>1794.9</v>
      </c>
      <c r="E53" s="30">
        <v>195</v>
      </c>
      <c r="F53" s="30">
        <v>798.5</v>
      </c>
      <c r="G53" s="30">
        <v>801.4</v>
      </c>
    </row>
    <row r="54" spans="1:14">
      <c r="A54" s="66">
        <v>2011</v>
      </c>
      <c r="B54" s="30">
        <v>278624.7</v>
      </c>
      <c r="C54" s="30">
        <v>23793.8</v>
      </c>
      <c r="D54" s="30">
        <f t="shared" si="0"/>
        <v>2302.5</v>
      </c>
      <c r="E54" s="30">
        <v>207.9</v>
      </c>
      <c r="F54" s="30">
        <v>959.6</v>
      </c>
      <c r="G54" s="30">
        <v>1135</v>
      </c>
    </row>
    <row r="55" spans="1:14">
      <c r="A55" s="66">
        <v>2012</v>
      </c>
      <c r="B55" s="30">
        <v>289731.3</v>
      </c>
      <c r="C55" s="30">
        <v>24644.7</v>
      </c>
      <c r="D55" s="30">
        <f t="shared" si="0"/>
        <v>2412.4</v>
      </c>
      <c r="E55" s="30">
        <v>173.5</v>
      </c>
      <c r="F55" s="30">
        <v>1062.9000000000001</v>
      </c>
      <c r="G55" s="30">
        <v>1176</v>
      </c>
    </row>
    <row r="57" spans="1:14">
      <c r="A57" s="66" t="s">
        <v>23</v>
      </c>
      <c r="B57" s="56"/>
      <c r="C57" s="56"/>
    </row>
    <row r="58" spans="1:14">
      <c r="A58" s="69" t="s">
        <v>2121</v>
      </c>
      <c r="B58" s="147">
        <f>((B55/B4)^(1/51)-1)*100</f>
        <v>3.4632641252353213</v>
      </c>
      <c r="C58" s="147">
        <f t="shared" ref="C58:G58" si="2">((C55/C4)^(1/51)-1)*100</f>
        <v>2.4762116608564977</v>
      </c>
      <c r="D58" s="147">
        <f t="shared" si="2"/>
        <v>0.61133104942587835</v>
      </c>
      <c r="E58" s="147">
        <f t="shared" si="2"/>
        <v>-1.2771895359176111</v>
      </c>
      <c r="F58" s="147">
        <f t="shared" si="2"/>
        <v>2.4312657553752448</v>
      </c>
      <c r="G58" s="147">
        <f t="shared" si="2"/>
        <v>9.3085993237829179E-2</v>
      </c>
    </row>
    <row r="59" spans="1:14">
      <c r="A59" s="68" t="s">
        <v>1031</v>
      </c>
      <c r="B59" s="147">
        <f t="shared" ref="B59:G59" si="3">((B16/B4)^(1/12)-1)*100</f>
        <v>5.0958254222358557</v>
      </c>
      <c r="C59" s="147">
        <f t="shared" si="3"/>
        <v>6.8581007507377389</v>
      </c>
      <c r="D59" s="147">
        <f t="shared" si="3"/>
        <v>6.5486162024226857</v>
      </c>
      <c r="E59" s="147">
        <f t="shared" si="3"/>
        <v>6.9871685241947423</v>
      </c>
      <c r="F59" s="147">
        <f t="shared" si="3"/>
        <v>12.616183953407489</v>
      </c>
      <c r="G59" s="147">
        <f t="shared" si="3"/>
        <v>3.6981044885804559</v>
      </c>
    </row>
    <row r="60" spans="1:14">
      <c r="A60" s="68" t="s">
        <v>1032</v>
      </c>
      <c r="B60" s="147">
        <f t="shared" ref="B60:G60" si="4">((B24/B16)^(1/8)-1)*100</f>
        <v>4.5386093985240183</v>
      </c>
      <c r="C60" s="147">
        <f t="shared" si="4"/>
        <v>4.6986086685241624</v>
      </c>
      <c r="D60" s="147">
        <f t="shared" si="4"/>
        <v>3.5566720367534055</v>
      </c>
      <c r="E60" s="147">
        <f t="shared" si="4"/>
        <v>-6.1172539121440934</v>
      </c>
      <c r="F60" s="147">
        <f t="shared" si="4"/>
        <v>-5.3185452163743818</v>
      </c>
      <c r="G60" s="147">
        <f t="shared" si="4"/>
        <v>9.9852590408242126</v>
      </c>
    </row>
    <row r="61" spans="1:14">
      <c r="A61" s="68" t="s">
        <v>25</v>
      </c>
      <c r="B61" s="147">
        <f t="shared" ref="B61:G61" si="5">((B32/B24)^(1/8)-1)*100</f>
        <v>0.89320204986425011</v>
      </c>
      <c r="C61" s="147">
        <f t="shared" si="5"/>
        <v>1.5620156220569559</v>
      </c>
      <c r="D61" s="147">
        <f t="shared" si="5"/>
        <v>6.6440295667385962</v>
      </c>
      <c r="E61" s="147">
        <f t="shared" si="5"/>
        <v>-2.8340800047281234</v>
      </c>
      <c r="F61" s="147">
        <f t="shared" si="5"/>
        <v>5.5541643376340266</v>
      </c>
      <c r="G61" s="147">
        <f t="shared" si="5"/>
        <v>7.6994829389110286</v>
      </c>
    </row>
    <row r="62" spans="1:14">
      <c r="A62" s="68" t="s">
        <v>26</v>
      </c>
      <c r="B62" s="147">
        <f t="shared" ref="B62:G62" si="6">((B43/B32)^(1/11)-1)*100</f>
        <v>2.0413148890780386</v>
      </c>
      <c r="C62" s="147">
        <f t="shared" si="6"/>
        <v>3.0126332388968891E-3</v>
      </c>
      <c r="D62" s="147">
        <f t="shared" si="6"/>
        <v>-5.3227240960516227</v>
      </c>
      <c r="E62" s="147">
        <f t="shared" si="6"/>
        <v>1.1835889023486645</v>
      </c>
      <c r="F62" s="147">
        <f t="shared" si="6"/>
        <v>2.5000173583377139</v>
      </c>
      <c r="G62" s="147">
        <f t="shared" si="6"/>
        <v>-8.659152885936539</v>
      </c>
    </row>
    <row r="63" spans="1:14">
      <c r="A63" s="69" t="s">
        <v>2028</v>
      </c>
      <c r="B63" s="147">
        <f>((B55/B43)^(1/12)-1)*100</f>
        <v>4.1802325946885821</v>
      </c>
      <c r="C63" s="147">
        <f t="shared" ref="C63:G63" si="7">((C55/C43)^(1/12)-1)*100</f>
        <v>-0.33398630141059371</v>
      </c>
      <c r="D63" s="147">
        <f t="shared" si="7"/>
        <v>-5.2164160565373097</v>
      </c>
      <c r="E63" s="147">
        <f t="shared" si="7"/>
        <v>-6.9195119151503892</v>
      </c>
      <c r="F63" s="147">
        <f t="shared" si="7"/>
        <v>-3.8209805132169983</v>
      </c>
      <c r="G63" s="147">
        <f t="shared" si="7"/>
        <v>-6.0338348109609701</v>
      </c>
    </row>
    <row r="65" spans="1:1">
      <c r="A65" s="64" t="s">
        <v>1813</v>
      </c>
    </row>
  </sheetData>
  <mergeCells count="7">
    <mergeCell ref="B2:B3"/>
    <mergeCell ref="D2:G2"/>
    <mergeCell ref="I2:I3"/>
    <mergeCell ref="K2:N2"/>
    <mergeCell ref="A1:G1"/>
    <mergeCell ref="J2:J3"/>
    <mergeCell ref="C2:C3"/>
  </mergeCells>
  <pageMargins left="0.70866141732283472" right="0.70866141732283472" top="0.74803149606299213" bottom="0.74803149606299213" header="0.31496062992125984" footer="0.31496062992125984"/>
  <pageSetup scale="88" orientation="portrait" horizontalDpi="0" verticalDpi="0" r:id="rId1"/>
</worksheet>
</file>

<file path=xl/worksheets/sheet65.xml><?xml version="1.0" encoding="utf-8"?>
<worksheet xmlns="http://schemas.openxmlformats.org/spreadsheetml/2006/main" xmlns:r="http://schemas.openxmlformats.org/officeDocument/2006/relationships">
  <sheetPr codeName="Sheet62"/>
  <dimension ref="A1:U65"/>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3.85546875" style="64" customWidth="1"/>
    <col min="2" max="3" width="14.140625" style="135" customWidth="1"/>
    <col min="4" max="4" width="16" style="135" customWidth="1"/>
    <col min="5" max="5" width="11.28515625" style="135" customWidth="1"/>
    <col min="6" max="6" width="15.140625" style="135" customWidth="1"/>
    <col min="7" max="7" width="14.140625" style="135" customWidth="1"/>
    <col min="8" max="8" width="9.140625" style="135"/>
    <col min="9" max="14" width="26.7109375" style="135" hidden="1" customWidth="1" outlineLevel="1"/>
    <col min="15" max="15" width="9.140625" style="64" collapsed="1"/>
    <col min="16" max="16384" width="9.140625" style="64"/>
  </cols>
  <sheetData>
    <row r="1" spans="1:21" ht="30" customHeight="1">
      <c r="A1" s="93" t="s">
        <v>1984</v>
      </c>
      <c r="B1" s="93"/>
      <c r="C1" s="93"/>
      <c r="D1" s="93"/>
      <c r="E1" s="93"/>
      <c r="F1" s="93"/>
      <c r="G1" s="93"/>
    </row>
    <row r="2" spans="1:21">
      <c r="B2" s="123" t="s">
        <v>673</v>
      </c>
      <c r="C2" s="123" t="s">
        <v>938</v>
      </c>
      <c r="D2" s="159" t="s">
        <v>37</v>
      </c>
      <c r="E2" s="160"/>
      <c r="F2" s="160"/>
      <c r="G2" s="161"/>
      <c r="I2" s="123" t="s">
        <v>673</v>
      </c>
      <c r="J2" s="123" t="s">
        <v>1639</v>
      </c>
      <c r="K2" s="159" t="s">
        <v>37</v>
      </c>
      <c r="L2" s="160"/>
      <c r="M2" s="160"/>
      <c r="N2" s="161"/>
      <c r="P2" s="70"/>
      <c r="Q2" s="230"/>
      <c r="R2" s="230"/>
      <c r="S2" s="230"/>
      <c r="T2" s="230"/>
      <c r="U2" s="230"/>
    </row>
    <row r="3" spans="1:21" ht="60">
      <c r="B3" s="126"/>
      <c r="C3" s="126"/>
      <c r="D3" s="72" t="s">
        <v>78</v>
      </c>
      <c r="E3" s="72" t="s">
        <v>750</v>
      </c>
      <c r="F3" s="72" t="s">
        <v>745</v>
      </c>
      <c r="G3" s="72" t="s">
        <v>678</v>
      </c>
      <c r="I3" s="126"/>
      <c r="J3" s="126"/>
      <c r="K3" s="72" t="s">
        <v>78</v>
      </c>
      <c r="L3" s="72" t="s">
        <v>750</v>
      </c>
      <c r="M3" s="72" t="s">
        <v>745</v>
      </c>
      <c r="N3" s="72" t="s">
        <v>678</v>
      </c>
      <c r="P3" s="70"/>
      <c r="Q3" s="230"/>
      <c r="R3" s="41"/>
      <c r="S3" s="41"/>
      <c r="T3" s="41"/>
      <c r="U3" s="41"/>
    </row>
    <row r="4" spans="1:21">
      <c r="A4" s="66">
        <v>1961</v>
      </c>
      <c r="B4" s="30">
        <v>12241.1</v>
      </c>
      <c r="C4" s="30">
        <v>3862.9</v>
      </c>
      <c r="D4" s="30">
        <f>SUM(E4:G4)</f>
        <v>1064</v>
      </c>
      <c r="E4" s="30">
        <v>103.3</v>
      </c>
      <c r="F4" s="30">
        <v>196.1</v>
      </c>
      <c r="G4" s="30">
        <v>764.6</v>
      </c>
      <c r="I4" s="135">
        <v>13535886.5</v>
      </c>
      <c r="J4" s="135">
        <v>4636209.3</v>
      </c>
      <c r="K4" s="135">
        <f>SUM(L4:N4)</f>
        <v>1275770.3</v>
      </c>
      <c r="L4" s="135">
        <v>121852.6</v>
      </c>
      <c r="M4" s="135">
        <v>232781.2</v>
      </c>
      <c r="N4" s="135">
        <v>921136.5</v>
      </c>
      <c r="P4" s="70"/>
      <c r="Q4" s="70"/>
      <c r="R4" s="70"/>
      <c r="S4" s="70"/>
      <c r="T4" s="70"/>
      <c r="U4" s="70"/>
    </row>
    <row r="5" spans="1:21" ht="15" hidden="1" customHeight="1" outlineLevel="1">
      <c r="A5" s="66">
        <v>1962</v>
      </c>
      <c r="B5" s="30">
        <v>13458.9</v>
      </c>
      <c r="C5" s="30">
        <v>4403.3999999999996</v>
      </c>
      <c r="D5" s="30">
        <f t="shared" ref="D5:D55" si="0">SUM(E5:G5)</f>
        <v>1135.2</v>
      </c>
      <c r="E5" s="30">
        <v>115.7</v>
      </c>
      <c r="F5" s="30">
        <v>180</v>
      </c>
      <c r="G5" s="30">
        <v>839.5</v>
      </c>
      <c r="I5" s="135">
        <v>14774362.4</v>
      </c>
      <c r="J5" s="135">
        <v>5292609</v>
      </c>
      <c r="K5" s="135">
        <f t="shared" ref="K5:K50" si="1">SUM(L5:N5)</f>
        <v>1362112</v>
      </c>
      <c r="L5" s="135">
        <v>135928.6</v>
      </c>
      <c r="M5" s="135">
        <v>214069.3</v>
      </c>
      <c r="N5" s="135">
        <v>1012114.1</v>
      </c>
      <c r="P5" s="70"/>
      <c r="Q5" s="70"/>
      <c r="R5" s="70"/>
      <c r="S5" s="70"/>
      <c r="T5" s="70"/>
      <c r="U5" s="70"/>
    </row>
    <row r="6" spans="1:21" ht="15" hidden="1" customHeight="1" outlineLevel="1">
      <c r="A6" s="66">
        <v>1963</v>
      </c>
      <c r="B6" s="30">
        <v>14483.6</v>
      </c>
      <c r="C6" s="30">
        <v>4578.8999999999996</v>
      </c>
      <c r="D6" s="30">
        <f t="shared" si="0"/>
        <v>1368.1</v>
      </c>
      <c r="E6" s="30">
        <v>145.69999999999999</v>
      </c>
      <c r="F6" s="30">
        <v>228.1</v>
      </c>
      <c r="G6" s="30">
        <v>994.3</v>
      </c>
      <c r="I6" s="135">
        <v>15949430.699999999</v>
      </c>
      <c r="J6" s="135">
        <v>5493445.7999999998</v>
      </c>
      <c r="K6" s="135">
        <f t="shared" si="1"/>
        <v>1639317.4000000001</v>
      </c>
      <c r="L6" s="135">
        <v>170752.7</v>
      </c>
      <c r="M6" s="135">
        <v>271189.40000000002</v>
      </c>
      <c r="N6" s="135">
        <v>1197375.3</v>
      </c>
      <c r="P6" s="70"/>
      <c r="Q6" s="70"/>
      <c r="R6" s="70"/>
      <c r="S6" s="70"/>
      <c r="T6" s="70"/>
      <c r="U6" s="70"/>
    </row>
    <row r="7" spans="1:21" ht="15" hidden="1" customHeight="1" outlineLevel="1">
      <c r="A7" s="66">
        <v>1964</v>
      </c>
      <c r="B7" s="30">
        <v>17244.7</v>
      </c>
      <c r="C7" s="30">
        <v>6264.9</v>
      </c>
      <c r="D7" s="30">
        <f t="shared" si="0"/>
        <v>1930.8</v>
      </c>
      <c r="E7" s="30">
        <v>221.9</v>
      </c>
      <c r="F7" s="30">
        <v>265.3</v>
      </c>
      <c r="G7" s="30">
        <v>1443.6</v>
      </c>
      <c r="I7" s="135">
        <v>19361227.199999999</v>
      </c>
      <c r="J7" s="135">
        <v>7508628.5</v>
      </c>
      <c r="K7" s="135">
        <f t="shared" si="1"/>
        <v>2312473.2999999998</v>
      </c>
      <c r="L7" s="135">
        <v>258967.9</v>
      </c>
      <c r="M7" s="135">
        <v>315488.90000000002</v>
      </c>
      <c r="N7" s="135">
        <v>1738016.5</v>
      </c>
      <c r="P7" s="70"/>
      <c r="Q7" s="70"/>
      <c r="R7" s="70"/>
      <c r="S7" s="70"/>
      <c r="T7" s="70"/>
      <c r="U7" s="70"/>
    </row>
    <row r="8" spans="1:21" ht="15" hidden="1" customHeight="1" outlineLevel="1">
      <c r="A8" s="66">
        <v>1965</v>
      </c>
      <c r="B8" s="30">
        <v>20096.900000000001</v>
      </c>
      <c r="C8" s="30">
        <v>7609.7</v>
      </c>
      <c r="D8" s="30">
        <f t="shared" si="0"/>
        <v>2225.8000000000002</v>
      </c>
      <c r="E8" s="30">
        <v>227.8</v>
      </c>
      <c r="F8" s="30">
        <v>303.2</v>
      </c>
      <c r="G8" s="30">
        <v>1694.8</v>
      </c>
      <c r="I8" s="135">
        <v>22749097.600000001</v>
      </c>
      <c r="J8" s="135">
        <v>9126607.5999999996</v>
      </c>
      <c r="K8" s="135">
        <f t="shared" si="1"/>
        <v>2664968.9000000004</v>
      </c>
      <c r="L8" s="135">
        <v>265537.3</v>
      </c>
      <c r="M8" s="135">
        <v>360215.5</v>
      </c>
      <c r="N8" s="135">
        <v>2039216.1</v>
      </c>
      <c r="P8" s="70"/>
      <c r="Q8" s="70"/>
      <c r="R8" s="70"/>
      <c r="S8" s="70"/>
      <c r="T8" s="70"/>
      <c r="U8" s="70"/>
    </row>
    <row r="9" spans="1:21" ht="15" hidden="1" customHeight="1" outlineLevel="1">
      <c r="A9" s="66">
        <v>1966</v>
      </c>
      <c r="B9" s="30">
        <v>24111</v>
      </c>
      <c r="C9" s="30">
        <v>9198.1</v>
      </c>
      <c r="D9" s="30">
        <f t="shared" si="0"/>
        <v>2724.7</v>
      </c>
      <c r="E9" s="30">
        <v>208.1</v>
      </c>
      <c r="F9" s="30">
        <v>275.89999999999998</v>
      </c>
      <c r="G9" s="30">
        <v>2240.6999999999998</v>
      </c>
      <c r="I9" s="135">
        <v>27300093.100000001</v>
      </c>
      <c r="J9" s="135">
        <v>11014517.9</v>
      </c>
      <c r="K9" s="135">
        <f t="shared" si="1"/>
        <v>3264220.3</v>
      </c>
      <c r="L9" s="135">
        <v>243127.9</v>
      </c>
      <c r="M9" s="135">
        <v>328173.40000000002</v>
      </c>
      <c r="N9" s="135">
        <v>2692919</v>
      </c>
      <c r="P9" s="70"/>
      <c r="Q9" s="70"/>
      <c r="R9" s="70"/>
      <c r="S9" s="70"/>
      <c r="T9" s="70"/>
      <c r="U9" s="70"/>
    </row>
    <row r="10" spans="1:21" ht="15" hidden="1" customHeight="1" outlineLevel="1">
      <c r="A10" s="66">
        <v>1967</v>
      </c>
      <c r="B10" s="30">
        <v>23811.3</v>
      </c>
      <c r="C10" s="30">
        <v>7917.8</v>
      </c>
      <c r="D10" s="30">
        <f t="shared" si="0"/>
        <v>2403.4</v>
      </c>
      <c r="E10" s="30">
        <v>205.3</v>
      </c>
      <c r="F10" s="30">
        <v>263.5</v>
      </c>
      <c r="G10" s="30">
        <v>1934.6</v>
      </c>
      <c r="I10" s="135">
        <v>26790999</v>
      </c>
      <c r="J10" s="135">
        <v>9482498.3000000007</v>
      </c>
      <c r="K10" s="135">
        <f t="shared" si="1"/>
        <v>2879365.7</v>
      </c>
      <c r="L10" s="135">
        <v>239888.8</v>
      </c>
      <c r="M10" s="135">
        <v>313346.90000000002</v>
      </c>
      <c r="N10" s="135">
        <v>2326130</v>
      </c>
      <c r="P10" s="70"/>
      <c r="Q10" s="70"/>
      <c r="R10" s="70"/>
      <c r="S10" s="70"/>
      <c r="T10" s="70"/>
      <c r="U10" s="70"/>
    </row>
    <row r="11" spans="1:21" ht="15" hidden="1" customHeight="1" outlineLevel="1">
      <c r="A11" s="66">
        <v>1968</v>
      </c>
      <c r="B11" s="30">
        <v>21750.400000000001</v>
      </c>
      <c r="C11" s="30">
        <v>6370</v>
      </c>
      <c r="D11" s="30">
        <f t="shared" si="0"/>
        <v>1612.5</v>
      </c>
      <c r="E11" s="30">
        <v>159.9</v>
      </c>
      <c r="F11" s="30">
        <v>285.8</v>
      </c>
      <c r="G11" s="30">
        <v>1166.8</v>
      </c>
      <c r="I11" s="135">
        <v>24567175.300000001</v>
      </c>
      <c r="J11" s="135">
        <v>7630051.5999999996</v>
      </c>
      <c r="K11" s="135">
        <f t="shared" si="1"/>
        <v>1933797.7000000002</v>
      </c>
      <c r="L11" s="135">
        <v>187849.9</v>
      </c>
      <c r="M11" s="135">
        <v>340247</v>
      </c>
      <c r="N11" s="135">
        <v>1405700.8</v>
      </c>
      <c r="P11" s="70"/>
      <c r="Q11" s="70"/>
      <c r="R11" s="70"/>
      <c r="S11" s="70"/>
      <c r="T11" s="70"/>
      <c r="U11" s="70"/>
    </row>
    <row r="12" spans="1:21" ht="15" hidden="1" customHeight="1" outlineLevel="1">
      <c r="A12" s="66">
        <v>1969</v>
      </c>
      <c r="B12" s="30">
        <v>22799</v>
      </c>
      <c r="C12" s="30">
        <v>7364.9</v>
      </c>
      <c r="D12" s="30">
        <f t="shared" si="0"/>
        <v>2161</v>
      </c>
      <c r="E12" s="30">
        <v>219.4</v>
      </c>
      <c r="F12" s="30">
        <v>561.6</v>
      </c>
      <c r="G12" s="30">
        <v>1380</v>
      </c>
      <c r="I12" s="135">
        <v>26099711</v>
      </c>
      <c r="J12" s="135">
        <v>8825774.4000000004</v>
      </c>
      <c r="K12" s="135">
        <f t="shared" si="1"/>
        <v>2585259.7999999998</v>
      </c>
      <c r="L12" s="135">
        <v>257701.8</v>
      </c>
      <c r="M12" s="135">
        <v>665225.4</v>
      </c>
      <c r="N12" s="135">
        <v>1662332.6</v>
      </c>
      <c r="P12" s="70"/>
      <c r="Q12" s="70"/>
      <c r="R12" s="70"/>
      <c r="S12" s="70"/>
      <c r="T12" s="70"/>
      <c r="U12" s="70"/>
    </row>
    <row r="13" spans="1:21" ht="15" hidden="1" customHeight="1" outlineLevel="1">
      <c r="A13" s="66">
        <v>1970</v>
      </c>
      <c r="B13" s="30">
        <v>23139</v>
      </c>
      <c r="C13" s="30">
        <v>8447.9</v>
      </c>
      <c r="D13" s="30">
        <f t="shared" si="0"/>
        <v>2610.1999999999998</v>
      </c>
      <c r="E13" s="30">
        <v>164</v>
      </c>
      <c r="F13" s="30">
        <v>599</v>
      </c>
      <c r="G13" s="30">
        <v>1847.2</v>
      </c>
      <c r="I13" s="135">
        <v>26593051.600000001</v>
      </c>
      <c r="J13" s="135">
        <v>10130334.9</v>
      </c>
      <c r="K13" s="135">
        <f t="shared" si="1"/>
        <v>3120440.1</v>
      </c>
      <c r="L13" s="135">
        <v>192740.4</v>
      </c>
      <c r="M13" s="135">
        <v>709430.3</v>
      </c>
      <c r="N13" s="135">
        <v>2218269.4</v>
      </c>
      <c r="P13" s="70"/>
      <c r="Q13" s="70"/>
      <c r="R13" s="70"/>
      <c r="S13" s="70"/>
      <c r="T13" s="70"/>
      <c r="U13" s="70"/>
    </row>
    <row r="14" spans="1:21" ht="15" hidden="1" customHeight="1" outlineLevel="1">
      <c r="A14" s="66">
        <v>1971</v>
      </c>
      <c r="B14" s="30">
        <v>23710.6</v>
      </c>
      <c r="C14" s="30">
        <v>7890.2</v>
      </c>
      <c r="D14" s="30">
        <f t="shared" si="0"/>
        <v>2682.3</v>
      </c>
      <c r="E14" s="30">
        <v>184.3</v>
      </c>
      <c r="F14" s="30">
        <v>573.9</v>
      </c>
      <c r="G14" s="30">
        <v>1924.1</v>
      </c>
      <c r="I14" s="135">
        <v>27447641.300000001</v>
      </c>
      <c r="J14" s="135">
        <v>9440034.6999999993</v>
      </c>
      <c r="K14" s="135">
        <f t="shared" si="1"/>
        <v>3202122.6999999997</v>
      </c>
      <c r="L14" s="135">
        <v>214464.5</v>
      </c>
      <c r="M14" s="135">
        <v>679315.9</v>
      </c>
      <c r="N14" s="135">
        <v>2308342.2999999998</v>
      </c>
      <c r="P14" s="70"/>
      <c r="Q14" s="70"/>
      <c r="R14" s="70"/>
      <c r="S14" s="70"/>
      <c r="T14" s="70"/>
      <c r="U14" s="70"/>
    </row>
    <row r="15" spans="1:21" ht="15" hidden="1" customHeight="1" outlineLevel="1">
      <c r="A15" s="66">
        <v>1972</v>
      </c>
      <c r="B15" s="30">
        <v>25345.8</v>
      </c>
      <c r="C15" s="30">
        <v>7561.8</v>
      </c>
      <c r="D15" s="30">
        <f t="shared" si="0"/>
        <v>2345.3000000000002</v>
      </c>
      <c r="E15" s="30">
        <v>236.8</v>
      </c>
      <c r="F15" s="30">
        <v>627.4</v>
      </c>
      <c r="G15" s="30">
        <v>1481.1</v>
      </c>
      <c r="I15" s="135">
        <v>29483045.199999999</v>
      </c>
      <c r="J15" s="135">
        <v>9058837.9000000004</v>
      </c>
      <c r="K15" s="135">
        <f t="shared" si="1"/>
        <v>2808747.2</v>
      </c>
      <c r="L15" s="135">
        <v>275281.5</v>
      </c>
      <c r="M15" s="135">
        <v>747456.3</v>
      </c>
      <c r="N15" s="135">
        <v>1786009.4</v>
      </c>
      <c r="P15" s="70"/>
      <c r="Q15" s="70"/>
      <c r="R15" s="70"/>
      <c r="S15" s="70"/>
      <c r="T15" s="70"/>
      <c r="U15" s="70"/>
    </row>
    <row r="16" spans="1:21" collapsed="1">
      <c r="A16" s="66">
        <v>1973</v>
      </c>
      <c r="B16" s="30">
        <v>30680.7</v>
      </c>
      <c r="C16" s="30">
        <v>9163.6</v>
      </c>
      <c r="D16" s="30">
        <f t="shared" si="0"/>
        <v>2534.6999999999998</v>
      </c>
      <c r="E16" s="30">
        <v>372.8</v>
      </c>
      <c r="F16" s="30">
        <v>903.1</v>
      </c>
      <c r="G16" s="30">
        <v>1258.8</v>
      </c>
      <c r="I16" s="135">
        <v>35733926.399999999</v>
      </c>
      <c r="J16" s="135">
        <v>11017340.1</v>
      </c>
      <c r="K16" s="135">
        <f t="shared" si="1"/>
        <v>3035220.5999999996</v>
      </c>
      <c r="L16" s="135">
        <v>430274.4</v>
      </c>
      <c r="M16" s="135">
        <v>1077832.8999999999</v>
      </c>
      <c r="N16" s="135">
        <v>1527113.3</v>
      </c>
      <c r="P16" s="70"/>
      <c r="Q16" s="70"/>
      <c r="R16" s="70"/>
      <c r="S16" s="70"/>
      <c r="T16" s="70"/>
      <c r="U16" s="70"/>
    </row>
    <row r="17" spans="1:21" ht="15" hidden="1" customHeight="1" outlineLevel="1">
      <c r="A17" s="66">
        <v>1974</v>
      </c>
      <c r="B17" s="30">
        <v>34540.5</v>
      </c>
      <c r="C17" s="30">
        <v>10536.2</v>
      </c>
      <c r="D17" s="30">
        <f t="shared" si="0"/>
        <v>2783.5</v>
      </c>
      <c r="E17" s="30">
        <v>467.6</v>
      </c>
      <c r="F17" s="30">
        <v>764.3</v>
      </c>
      <c r="G17" s="30">
        <v>1551.6</v>
      </c>
      <c r="I17" s="135">
        <v>40127739.200000003</v>
      </c>
      <c r="J17" s="135">
        <v>12658313.300000001</v>
      </c>
      <c r="K17" s="135">
        <f t="shared" si="1"/>
        <v>3321721.5999999996</v>
      </c>
      <c r="L17" s="135">
        <v>540299.6</v>
      </c>
      <c r="M17" s="135">
        <v>906749.6</v>
      </c>
      <c r="N17" s="135">
        <v>1874672.4</v>
      </c>
      <c r="P17" s="70"/>
      <c r="Q17" s="70"/>
      <c r="R17" s="70"/>
      <c r="S17" s="70"/>
      <c r="T17" s="70"/>
      <c r="U17" s="70"/>
    </row>
    <row r="18" spans="1:21" ht="15" hidden="1" customHeight="1" outlineLevel="1">
      <c r="A18" s="66">
        <v>1975</v>
      </c>
      <c r="B18" s="30">
        <v>34783</v>
      </c>
      <c r="C18" s="30">
        <v>10157.5</v>
      </c>
      <c r="D18" s="30">
        <f t="shared" si="0"/>
        <v>2337.3000000000002</v>
      </c>
      <c r="E18" s="30">
        <v>289.5</v>
      </c>
      <c r="F18" s="30">
        <v>628.20000000000005</v>
      </c>
      <c r="G18" s="30">
        <v>1419.6</v>
      </c>
      <c r="I18" s="135">
        <v>40881808.5</v>
      </c>
      <c r="J18" s="135">
        <v>12204658.5</v>
      </c>
      <c r="K18" s="135">
        <f t="shared" si="1"/>
        <v>2794372.3</v>
      </c>
      <c r="L18" s="135">
        <v>336484.3</v>
      </c>
      <c r="M18" s="135">
        <v>745261.7</v>
      </c>
      <c r="N18" s="135">
        <v>1712626.3</v>
      </c>
      <c r="P18" s="70"/>
      <c r="Q18" s="70"/>
      <c r="R18" s="70"/>
      <c r="S18" s="70"/>
      <c r="T18" s="70"/>
      <c r="U18" s="70"/>
    </row>
    <row r="19" spans="1:21" ht="15" hidden="1" customHeight="1" outlineLevel="1">
      <c r="A19" s="66">
        <v>1976</v>
      </c>
      <c r="B19" s="30">
        <v>34976.300000000003</v>
      </c>
      <c r="C19" s="30">
        <v>9355.6</v>
      </c>
      <c r="D19" s="30">
        <f t="shared" si="0"/>
        <v>2374.1</v>
      </c>
      <c r="E19" s="30">
        <v>247.4</v>
      </c>
      <c r="F19" s="30">
        <v>567.79999999999995</v>
      </c>
      <c r="G19" s="30">
        <v>1558.9</v>
      </c>
      <c r="I19" s="135">
        <v>41628999.200000003</v>
      </c>
      <c r="J19" s="135">
        <v>11335293</v>
      </c>
      <c r="K19" s="135">
        <f t="shared" si="1"/>
        <v>2860519.7</v>
      </c>
      <c r="L19" s="135">
        <v>289156.40000000002</v>
      </c>
      <c r="M19" s="135">
        <v>679551.2</v>
      </c>
      <c r="N19" s="135">
        <v>1891812.1</v>
      </c>
      <c r="P19" s="70"/>
      <c r="Q19" s="70"/>
      <c r="R19" s="70"/>
      <c r="S19" s="70"/>
      <c r="T19" s="70"/>
      <c r="U19" s="70"/>
    </row>
    <row r="20" spans="1:21" ht="15" hidden="1" customHeight="1" outlineLevel="1">
      <c r="A20" s="66">
        <v>1977</v>
      </c>
      <c r="B20" s="30">
        <v>33901.699999999997</v>
      </c>
      <c r="C20" s="30">
        <v>9267.2000000000007</v>
      </c>
      <c r="D20" s="30">
        <f t="shared" si="0"/>
        <v>2235.8000000000002</v>
      </c>
      <c r="E20" s="30">
        <v>263</v>
      </c>
      <c r="F20" s="30">
        <v>485.7</v>
      </c>
      <c r="G20" s="30">
        <v>1487.1</v>
      </c>
      <c r="I20" s="135">
        <v>40210199.600000001</v>
      </c>
      <c r="J20" s="135">
        <v>11229027.800000001</v>
      </c>
      <c r="K20" s="135">
        <f t="shared" si="1"/>
        <v>2689996.5</v>
      </c>
      <c r="L20" s="135">
        <v>307323.90000000002</v>
      </c>
      <c r="M20" s="135">
        <v>579155.9</v>
      </c>
      <c r="N20" s="135">
        <v>1803516.7</v>
      </c>
      <c r="P20" s="70"/>
      <c r="Q20" s="70"/>
      <c r="R20" s="70"/>
      <c r="S20" s="70"/>
      <c r="T20" s="70"/>
      <c r="U20" s="70"/>
    </row>
    <row r="21" spans="1:21" ht="15" hidden="1" customHeight="1" outlineLevel="1">
      <c r="A21" s="66">
        <v>1978</v>
      </c>
      <c r="B21" s="30">
        <v>33847.199999999997</v>
      </c>
      <c r="C21" s="30">
        <v>8399.1</v>
      </c>
      <c r="D21" s="30">
        <f t="shared" si="0"/>
        <v>2121.9</v>
      </c>
      <c r="E21" s="30">
        <v>286.10000000000002</v>
      </c>
      <c r="F21" s="30">
        <v>579.6</v>
      </c>
      <c r="G21" s="30">
        <v>1256.2</v>
      </c>
      <c r="I21" s="135">
        <v>40043889</v>
      </c>
      <c r="J21" s="135">
        <v>10219603.699999999</v>
      </c>
      <c r="K21" s="135">
        <f t="shared" si="1"/>
        <v>2554190.7000000002</v>
      </c>
      <c r="L21" s="135">
        <v>334615.09999999998</v>
      </c>
      <c r="M21" s="135">
        <v>690167.3</v>
      </c>
      <c r="N21" s="135">
        <v>1529408.3</v>
      </c>
      <c r="P21" s="70"/>
      <c r="Q21" s="70"/>
      <c r="R21" s="70"/>
      <c r="S21" s="70"/>
      <c r="T21" s="70"/>
      <c r="U21" s="70"/>
    </row>
    <row r="22" spans="1:21" ht="15" hidden="1" customHeight="1" outlineLevel="1">
      <c r="A22" s="66">
        <v>1979</v>
      </c>
      <c r="B22" s="30">
        <v>37442.9</v>
      </c>
      <c r="C22" s="30">
        <v>9565.7000000000007</v>
      </c>
      <c r="D22" s="30">
        <f t="shared" si="0"/>
        <v>2441.3000000000002</v>
      </c>
      <c r="E22" s="30">
        <v>291.8</v>
      </c>
      <c r="F22" s="30">
        <v>657.5</v>
      </c>
      <c r="G22" s="30">
        <v>1492</v>
      </c>
      <c r="I22" s="135">
        <v>44391657.899999999</v>
      </c>
      <c r="J22" s="135">
        <v>11637601.800000001</v>
      </c>
      <c r="K22" s="135">
        <f t="shared" si="1"/>
        <v>2938797.3</v>
      </c>
      <c r="L22" s="135">
        <v>341535.7</v>
      </c>
      <c r="M22" s="135">
        <v>785783.4</v>
      </c>
      <c r="N22" s="135">
        <v>1811478.2</v>
      </c>
      <c r="P22" s="70"/>
      <c r="Q22" s="70"/>
      <c r="R22" s="70"/>
      <c r="S22" s="70"/>
      <c r="T22" s="70"/>
      <c r="U22" s="70"/>
    </row>
    <row r="23" spans="1:21" ht="15" hidden="1" customHeight="1" outlineLevel="1">
      <c r="A23" s="66">
        <v>1980</v>
      </c>
      <c r="B23" s="30">
        <v>39213.699999999997</v>
      </c>
      <c r="C23" s="30">
        <v>10932.2</v>
      </c>
      <c r="D23" s="30">
        <f t="shared" si="0"/>
        <v>2951.1</v>
      </c>
      <c r="E23" s="30">
        <v>313.89999999999998</v>
      </c>
      <c r="F23" s="30">
        <v>656.8</v>
      </c>
      <c r="G23" s="30">
        <v>1980.4</v>
      </c>
      <c r="I23" s="135">
        <v>45814556.899999999</v>
      </c>
      <c r="J23" s="135">
        <v>13287262.5</v>
      </c>
      <c r="K23" s="135">
        <f t="shared" si="1"/>
        <v>3548532.3</v>
      </c>
      <c r="L23" s="135">
        <v>366067</v>
      </c>
      <c r="M23" s="135">
        <v>782190.7</v>
      </c>
      <c r="N23" s="135">
        <v>2400274.6</v>
      </c>
      <c r="P23" s="70"/>
      <c r="Q23" s="70"/>
      <c r="R23" s="70"/>
      <c r="S23" s="70"/>
      <c r="T23" s="70"/>
      <c r="U23" s="70"/>
    </row>
    <row r="24" spans="1:21" collapsed="1">
      <c r="A24" s="66">
        <v>1981</v>
      </c>
      <c r="B24" s="30">
        <v>41258.800000000003</v>
      </c>
      <c r="C24" s="30">
        <v>12026</v>
      </c>
      <c r="D24" s="30">
        <f t="shared" si="0"/>
        <v>3346.8999999999996</v>
      </c>
      <c r="E24" s="30">
        <v>203.2</v>
      </c>
      <c r="F24" s="30">
        <v>550</v>
      </c>
      <c r="G24" s="30">
        <v>2593.6999999999998</v>
      </c>
      <c r="I24" s="135">
        <v>52885209.899999999</v>
      </c>
      <c r="J24" s="135">
        <v>16194375.1</v>
      </c>
      <c r="K24" s="135">
        <f t="shared" si="1"/>
        <v>4462542.3</v>
      </c>
      <c r="L24" s="135">
        <v>263101.90000000002</v>
      </c>
      <c r="M24" s="135">
        <v>730906.8</v>
      </c>
      <c r="N24" s="135">
        <v>3468533.6</v>
      </c>
      <c r="P24" s="70"/>
      <c r="Q24" s="70"/>
      <c r="R24" s="70"/>
      <c r="S24" s="70"/>
      <c r="T24" s="70"/>
      <c r="U24" s="70"/>
    </row>
    <row r="25" spans="1:21">
      <c r="A25" s="66">
        <v>1982</v>
      </c>
      <c r="B25" s="30">
        <v>35358.199999999997</v>
      </c>
      <c r="C25" s="30">
        <v>9751.7000000000007</v>
      </c>
      <c r="D25" s="30">
        <f t="shared" si="0"/>
        <v>2506.9</v>
      </c>
      <c r="E25" s="30">
        <v>71</v>
      </c>
      <c r="F25" s="30">
        <v>367.5</v>
      </c>
      <c r="G25" s="30">
        <v>2068.4</v>
      </c>
      <c r="I25" s="135">
        <v>45264857.899999999</v>
      </c>
      <c r="J25" s="135">
        <v>13003874.6</v>
      </c>
      <c r="K25" s="135">
        <f t="shared" si="1"/>
        <v>3310059.5</v>
      </c>
      <c r="L25" s="135">
        <v>92004.3</v>
      </c>
      <c r="M25" s="135">
        <v>484341.4</v>
      </c>
      <c r="N25" s="135">
        <v>2733713.8</v>
      </c>
      <c r="P25" s="70"/>
      <c r="Q25" s="70"/>
      <c r="R25" s="70"/>
      <c r="S25" s="70"/>
      <c r="T25" s="70"/>
      <c r="U25" s="70"/>
    </row>
    <row r="26" spans="1:21">
      <c r="A26" s="66">
        <v>1983</v>
      </c>
      <c r="B26" s="30">
        <v>32934.400000000001</v>
      </c>
      <c r="C26" s="30">
        <v>7373.6</v>
      </c>
      <c r="D26" s="30">
        <f t="shared" si="0"/>
        <v>1498.8</v>
      </c>
      <c r="E26" s="30">
        <v>71.3</v>
      </c>
      <c r="F26" s="30">
        <v>337</v>
      </c>
      <c r="G26" s="30">
        <v>1090.5</v>
      </c>
      <c r="I26" s="135">
        <v>41736094.399999999</v>
      </c>
      <c r="J26" s="135">
        <v>10024129.4</v>
      </c>
      <c r="K26" s="135">
        <f t="shared" si="1"/>
        <v>2017530.6</v>
      </c>
      <c r="L26" s="135">
        <v>94250.4</v>
      </c>
      <c r="M26" s="135">
        <v>451728.7</v>
      </c>
      <c r="N26" s="135">
        <v>1471551.5</v>
      </c>
      <c r="P26" s="70"/>
      <c r="Q26" s="70"/>
      <c r="R26" s="70"/>
      <c r="S26" s="70"/>
      <c r="T26" s="70"/>
      <c r="U26" s="70"/>
    </row>
    <row r="27" spans="1:21">
      <c r="A27" s="66">
        <v>1984</v>
      </c>
      <c r="B27" s="30">
        <v>33335.699999999997</v>
      </c>
      <c r="C27" s="30">
        <v>7066</v>
      </c>
      <c r="D27" s="30">
        <f t="shared" si="0"/>
        <v>1706.5</v>
      </c>
      <c r="E27" s="30">
        <v>118.3</v>
      </c>
      <c r="F27" s="30">
        <v>387</v>
      </c>
      <c r="G27" s="30">
        <v>1201.2</v>
      </c>
      <c r="I27" s="135">
        <v>42341922.700000003</v>
      </c>
      <c r="J27" s="135">
        <v>9563934.9000000004</v>
      </c>
      <c r="K27" s="135">
        <f t="shared" si="1"/>
        <v>2282221.1</v>
      </c>
      <c r="L27" s="135">
        <v>154394.1</v>
      </c>
      <c r="M27" s="135">
        <v>514626.2</v>
      </c>
      <c r="N27" s="135">
        <v>1613200.8</v>
      </c>
      <c r="P27" s="70"/>
      <c r="Q27" s="70"/>
      <c r="R27" s="70"/>
      <c r="S27" s="70"/>
      <c r="T27" s="70"/>
      <c r="U27" s="70"/>
    </row>
    <row r="28" spans="1:21">
      <c r="A28" s="66">
        <v>1985</v>
      </c>
      <c r="B28" s="30">
        <v>34911.1</v>
      </c>
      <c r="C28" s="30">
        <v>8566.2999999999993</v>
      </c>
      <c r="D28" s="30">
        <f t="shared" si="0"/>
        <v>2473.6999999999998</v>
      </c>
      <c r="E28" s="30">
        <v>106.2</v>
      </c>
      <c r="F28" s="30">
        <v>378.5</v>
      </c>
      <c r="G28" s="30">
        <v>1989</v>
      </c>
      <c r="I28" s="135">
        <v>44855793.899999999</v>
      </c>
      <c r="J28" s="135">
        <v>11748476.6</v>
      </c>
      <c r="K28" s="135">
        <f t="shared" si="1"/>
        <v>3364723.7</v>
      </c>
      <c r="L28" s="135">
        <v>142962.6</v>
      </c>
      <c r="M28" s="135">
        <v>511932</v>
      </c>
      <c r="N28" s="135">
        <v>2709829.1</v>
      </c>
      <c r="P28" s="70"/>
      <c r="Q28" s="70"/>
      <c r="R28" s="70"/>
      <c r="S28" s="70"/>
      <c r="T28" s="70"/>
      <c r="U28" s="70"/>
    </row>
    <row r="29" spans="1:21">
      <c r="A29" s="66">
        <v>1986</v>
      </c>
      <c r="B29" s="30">
        <v>36916.699999999997</v>
      </c>
      <c r="C29" s="30">
        <v>11111.4</v>
      </c>
      <c r="D29" s="30">
        <f t="shared" si="0"/>
        <v>2459.3000000000002</v>
      </c>
      <c r="E29" s="30">
        <v>132.1</v>
      </c>
      <c r="F29" s="30">
        <v>463.7</v>
      </c>
      <c r="G29" s="30">
        <v>1863.5</v>
      </c>
      <c r="I29" s="135">
        <v>48320752.5</v>
      </c>
      <c r="J29" s="135">
        <v>15244099.1</v>
      </c>
      <c r="K29" s="135">
        <f t="shared" si="1"/>
        <v>3364119.6</v>
      </c>
      <c r="L29" s="135">
        <v>177884.1</v>
      </c>
      <c r="M29" s="135">
        <v>635911.5</v>
      </c>
      <c r="N29" s="135">
        <v>2550324</v>
      </c>
      <c r="P29" s="70"/>
      <c r="Q29" s="70"/>
      <c r="R29" s="70"/>
      <c r="S29" s="70"/>
      <c r="T29" s="70"/>
      <c r="U29" s="70"/>
    </row>
    <row r="30" spans="1:21">
      <c r="A30" s="66">
        <v>1987</v>
      </c>
      <c r="B30" s="30">
        <v>39410.9</v>
      </c>
      <c r="C30" s="30">
        <v>11781.6</v>
      </c>
      <c r="D30" s="30">
        <f t="shared" si="0"/>
        <v>3424.7999999999997</v>
      </c>
      <c r="E30" s="30">
        <v>156.9</v>
      </c>
      <c r="F30" s="30">
        <v>748.2</v>
      </c>
      <c r="G30" s="30">
        <v>2519.6999999999998</v>
      </c>
      <c r="I30" s="135">
        <v>51793312.700000003</v>
      </c>
      <c r="J30" s="135">
        <v>15945679.699999999</v>
      </c>
      <c r="K30" s="135">
        <f t="shared" si="1"/>
        <v>4609658.9000000004</v>
      </c>
      <c r="L30" s="135">
        <v>205546.8</v>
      </c>
      <c r="M30" s="135">
        <v>1004648.8</v>
      </c>
      <c r="N30" s="135">
        <v>3399463.3</v>
      </c>
      <c r="P30" s="70"/>
      <c r="Q30" s="70"/>
      <c r="R30" s="70"/>
      <c r="S30" s="70"/>
      <c r="T30" s="70"/>
      <c r="U30" s="70"/>
    </row>
    <row r="31" spans="1:21">
      <c r="A31" s="66">
        <v>1988</v>
      </c>
      <c r="B31" s="30">
        <v>46863.9</v>
      </c>
      <c r="C31" s="30">
        <v>13587.4</v>
      </c>
      <c r="D31" s="30">
        <f t="shared" si="0"/>
        <v>4535.2</v>
      </c>
      <c r="E31" s="30">
        <v>144.30000000000001</v>
      </c>
      <c r="F31" s="30">
        <v>1062.7</v>
      </c>
      <c r="G31" s="30">
        <v>3328.2</v>
      </c>
      <c r="I31" s="135">
        <v>62475674</v>
      </c>
      <c r="J31" s="135">
        <v>18657410.699999999</v>
      </c>
      <c r="K31" s="135">
        <f t="shared" si="1"/>
        <v>6195229.1999999993</v>
      </c>
      <c r="L31" s="135">
        <v>194407.3</v>
      </c>
      <c r="M31" s="135">
        <v>1448506.3</v>
      </c>
      <c r="N31" s="135">
        <v>4552315.5999999996</v>
      </c>
    </row>
    <row r="32" spans="1:21">
      <c r="A32" s="66">
        <v>1989</v>
      </c>
      <c r="B32" s="30">
        <v>48969.3</v>
      </c>
      <c r="C32" s="30">
        <v>15398.7</v>
      </c>
      <c r="D32" s="30">
        <f t="shared" si="0"/>
        <v>5787.5</v>
      </c>
      <c r="E32" s="30">
        <v>166.3</v>
      </c>
      <c r="F32" s="30">
        <v>803.7</v>
      </c>
      <c r="G32" s="30">
        <v>4817.5</v>
      </c>
      <c r="I32" s="135">
        <v>65905572.899999999</v>
      </c>
      <c r="J32" s="135">
        <v>21154980.600000001</v>
      </c>
      <c r="K32" s="135">
        <f t="shared" si="1"/>
        <v>7898377.0999999996</v>
      </c>
      <c r="L32" s="135">
        <v>222762.1</v>
      </c>
      <c r="M32" s="135">
        <v>1101439.2</v>
      </c>
      <c r="N32" s="135">
        <v>6574175.7999999998</v>
      </c>
      <c r="Q32" s="231"/>
      <c r="R32" s="231"/>
      <c r="S32" s="231"/>
      <c r="T32" s="231"/>
      <c r="U32" s="231"/>
    </row>
    <row r="33" spans="1:21">
      <c r="A33" s="66">
        <v>1990</v>
      </c>
      <c r="B33" s="30">
        <v>45633</v>
      </c>
      <c r="C33" s="30">
        <v>13893.9</v>
      </c>
      <c r="D33" s="30">
        <f t="shared" si="0"/>
        <v>4677.1000000000004</v>
      </c>
      <c r="E33" s="30">
        <v>134.6</v>
      </c>
      <c r="F33" s="30">
        <v>692.7</v>
      </c>
      <c r="G33" s="30">
        <v>3849.8</v>
      </c>
      <c r="I33" s="135">
        <v>63042952.299999997</v>
      </c>
      <c r="J33" s="135">
        <v>19479185.699999999</v>
      </c>
      <c r="K33" s="135">
        <f t="shared" si="1"/>
        <v>6486452.5</v>
      </c>
      <c r="L33" s="135">
        <v>182703.6</v>
      </c>
      <c r="M33" s="135">
        <v>958371.9</v>
      </c>
      <c r="N33" s="135">
        <v>5345377</v>
      </c>
      <c r="Q33" s="231"/>
      <c r="R33" s="231"/>
      <c r="S33" s="231"/>
      <c r="T33" s="231"/>
      <c r="U33" s="231"/>
    </row>
    <row r="34" spans="1:21">
      <c r="A34" s="66">
        <v>1991</v>
      </c>
      <c r="B34" s="30">
        <v>45232.7</v>
      </c>
      <c r="C34" s="30">
        <v>12808.6</v>
      </c>
      <c r="D34" s="30">
        <f t="shared" si="0"/>
        <v>3142.4</v>
      </c>
      <c r="E34" s="30">
        <v>37.9</v>
      </c>
      <c r="F34" s="30">
        <v>386.7</v>
      </c>
      <c r="G34" s="30">
        <v>2717.8</v>
      </c>
      <c r="I34" s="135">
        <v>61397277.200000003</v>
      </c>
      <c r="J34" s="135">
        <v>17726112.100000001</v>
      </c>
      <c r="K34" s="135">
        <f t="shared" si="1"/>
        <v>4294930.0999999996</v>
      </c>
      <c r="L34" s="135">
        <v>54793.599999999999</v>
      </c>
      <c r="M34" s="135">
        <v>529533.1</v>
      </c>
      <c r="N34" s="135">
        <v>3710603.4</v>
      </c>
      <c r="Q34" s="231"/>
      <c r="R34" s="231"/>
      <c r="S34" s="231"/>
      <c r="T34" s="231"/>
      <c r="U34" s="231"/>
    </row>
    <row r="35" spans="1:21">
      <c r="A35" s="66">
        <v>1992</v>
      </c>
      <c r="B35" s="30">
        <v>42637.7</v>
      </c>
      <c r="C35" s="30">
        <v>9866.9</v>
      </c>
      <c r="D35" s="30">
        <f t="shared" si="0"/>
        <v>2304.3000000000002</v>
      </c>
      <c r="E35" s="30">
        <v>141.9</v>
      </c>
      <c r="F35" s="30">
        <v>413.9</v>
      </c>
      <c r="G35" s="30">
        <v>1748.5</v>
      </c>
      <c r="I35" s="135">
        <v>57894610.100000001</v>
      </c>
      <c r="J35" s="135">
        <v>13699259</v>
      </c>
      <c r="K35" s="135">
        <f t="shared" si="1"/>
        <v>3151909.8</v>
      </c>
      <c r="L35" s="135">
        <v>191039.1</v>
      </c>
      <c r="M35" s="135">
        <v>563290.30000000005</v>
      </c>
      <c r="N35" s="135">
        <v>2397580.4</v>
      </c>
      <c r="Q35" s="231"/>
      <c r="R35" s="231"/>
      <c r="S35" s="231"/>
      <c r="T35" s="231"/>
      <c r="U35" s="231"/>
    </row>
    <row r="36" spans="1:21">
      <c r="A36" s="66">
        <v>1993</v>
      </c>
      <c r="B36" s="30">
        <v>39643.599999999999</v>
      </c>
      <c r="C36" s="30">
        <v>9561.7999999999993</v>
      </c>
      <c r="D36" s="30">
        <f t="shared" si="0"/>
        <v>2288.3999999999996</v>
      </c>
      <c r="E36" s="30">
        <v>250.4</v>
      </c>
      <c r="F36" s="30">
        <v>544.4</v>
      </c>
      <c r="G36" s="30">
        <v>1493.6</v>
      </c>
      <c r="I36" s="135">
        <v>55254303</v>
      </c>
      <c r="J36" s="135">
        <v>13312706.800000001</v>
      </c>
      <c r="K36" s="135">
        <f t="shared" si="1"/>
        <v>3149900.3</v>
      </c>
      <c r="L36" s="135">
        <v>329763</v>
      </c>
      <c r="M36" s="135">
        <v>755231.6</v>
      </c>
      <c r="N36" s="135">
        <v>2064905.7</v>
      </c>
      <c r="Q36" s="231"/>
      <c r="R36" s="231"/>
      <c r="S36" s="231"/>
      <c r="T36" s="231"/>
      <c r="U36" s="231"/>
    </row>
    <row r="37" spans="1:21">
      <c r="A37" s="66">
        <v>1994</v>
      </c>
      <c r="B37" s="30">
        <v>41866.5</v>
      </c>
      <c r="C37" s="30">
        <v>11137.8</v>
      </c>
      <c r="D37" s="30">
        <f t="shared" si="0"/>
        <v>3024.6</v>
      </c>
      <c r="E37" s="30">
        <v>327.10000000000002</v>
      </c>
      <c r="F37" s="30">
        <v>995.5</v>
      </c>
      <c r="G37" s="30">
        <v>1702</v>
      </c>
      <c r="I37" s="135">
        <v>59455609.399999999</v>
      </c>
      <c r="J37" s="135">
        <v>15376276.1</v>
      </c>
      <c r="K37" s="135">
        <f t="shared" si="1"/>
        <v>4083914.5</v>
      </c>
      <c r="L37" s="135">
        <v>419161.2</v>
      </c>
      <c r="M37" s="135">
        <v>1343848.8</v>
      </c>
      <c r="N37" s="135">
        <v>2320904.5</v>
      </c>
      <c r="Q37" s="231"/>
      <c r="R37" s="231"/>
      <c r="S37" s="231"/>
      <c r="T37" s="231"/>
      <c r="U37" s="231"/>
    </row>
    <row r="38" spans="1:21">
      <c r="A38" s="66">
        <v>1995</v>
      </c>
      <c r="B38" s="30">
        <v>44022.5</v>
      </c>
      <c r="C38" s="30">
        <v>12477</v>
      </c>
      <c r="D38" s="30">
        <f t="shared" si="0"/>
        <v>4212.7</v>
      </c>
      <c r="E38" s="30">
        <v>275.5</v>
      </c>
      <c r="F38" s="30">
        <v>1414</v>
      </c>
      <c r="G38" s="30">
        <v>2523.1999999999998</v>
      </c>
      <c r="I38" s="135">
        <v>61983446.399999999</v>
      </c>
      <c r="J38" s="135">
        <v>17194487</v>
      </c>
      <c r="K38" s="135">
        <f t="shared" si="1"/>
        <v>5708130.2000000002</v>
      </c>
      <c r="L38" s="135">
        <v>358136.7</v>
      </c>
      <c r="M38" s="135">
        <v>1918216.6</v>
      </c>
      <c r="N38" s="135">
        <v>3431776.9</v>
      </c>
      <c r="Q38" s="231"/>
      <c r="R38" s="231"/>
      <c r="S38" s="231"/>
      <c r="T38" s="231"/>
      <c r="U38" s="231"/>
    </row>
    <row r="39" spans="1:21">
      <c r="A39" s="66">
        <v>1996</v>
      </c>
      <c r="B39" s="30">
        <v>45996.6</v>
      </c>
      <c r="C39" s="30">
        <v>12673.9</v>
      </c>
      <c r="D39" s="30">
        <f t="shared" si="0"/>
        <v>3530.9</v>
      </c>
      <c r="E39" s="30">
        <v>251.4</v>
      </c>
      <c r="F39" s="30">
        <v>967.1</v>
      </c>
      <c r="G39" s="30">
        <v>2312.4</v>
      </c>
      <c r="I39" s="135">
        <v>63890671</v>
      </c>
      <c r="J39" s="135">
        <v>16974729</v>
      </c>
      <c r="K39" s="135">
        <f t="shared" si="1"/>
        <v>4631691.8</v>
      </c>
      <c r="L39" s="135">
        <v>313846.2</v>
      </c>
      <c r="M39" s="135">
        <v>1265713.5</v>
      </c>
      <c r="N39" s="135">
        <v>3052132.1</v>
      </c>
      <c r="Q39" s="231"/>
      <c r="R39" s="231"/>
      <c r="S39" s="231"/>
      <c r="T39" s="231"/>
      <c r="U39" s="231"/>
    </row>
    <row r="40" spans="1:21">
      <c r="A40" s="66">
        <v>1997</v>
      </c>
      <c r="B40" s="30">
        <v>54415.9</v>
      </c>
      <c r="C40" s="30">
        <v>14469.8</v>
      </c>
      <c r="D40" s="30">
        <f t="shared" si="0"/>
        <v>3312.3</v>
      </c>
      <c r="E40" s="30">
        <v>187.7</v>
      </c>
      <c r="F40" s="30">
        <v>1033.5999999999999</v>
      </c>
      <c r="G40" s="30">
        <v>2091</v>
      </c>
      <c r="I40" s="135">
        <v>76603162.799999997</v>
      </c>
      <c r="J40" s="135">
        <v>19226242.199999999</v>
      </c>
      <c r="K40" s="135">
        <f t="shared" si="1"/>
        <v>4322690.2</v>
      </c>
      <c r="L40" s="135">
        <v>233581.2</v>
      </c>
      <c r="M40" s="135">
        <v>1344602.6</v>
      </c>
      <c r="N40" s="135">
        <v>2744506.4</v>
      </c>
      <c r="Q40" s="231"/>
      <c r="R40" s="231"/>
      <c r="S40" s="231"/>
      <c r="T40" s="231"/>
      <c r="U40" s="231"/>
    </row>
    <row r="41" spans="1:21">
      <c r="A41" s="66">
        <v>1998</v>
      </c>
      <c r="B41" s="30">
        <v>57615.8</v>
      </c>
      <c r="C41" s="30">
        <v>14978.1</v>
      </c>
      <c r="D41" s="30">
        <f t="shared" si="0"/>
        <v>2652.6000000000004</v>
      </c>
      <c r="E41" s="30">
        <v>230.5</v>
      </c>
      <c r="F41" s="30">
        <v>746.2</v>
      </c>
      <c r="G41" s="30">
        <v>1675.9</v>
      </c>
      <c r="I41" s="135">
        <v>80833401.599999994</v>
      </c>
      <c r="J41" s="135">
        <v>19695830.399999999</v>
      </c>
      <c r="K41" s="135">
        <f t="shared" si="1"/>
        <v>3453212.2</v>
      </c>
      <c r="L41" s="135">
        <v>293843</v>
      </c>
      <c r="M41" s="135">
        <v>975980.3</v>
      </c>
      <c r="N41" s="135">
        <v>2183388.9</v>
      </c>
      <c r="Q41" s="231"/>
      <c r="R41" s="231"/>
      <c r="S41" s="231"/>
      <c r="T41" s="231"/>
      <c r="U41" s="231"/>
    </row>
    <row r="42" spans="1:21">
      <c r="A42" s="66">
        <v>1999</v>
      </c>
      <c r="B42" s="30">
        <v>58671</v>
      </c>
      <c r="C42" s="30">
        <v>13465.2</v>
      </c>
      <c r="D42" s="30">
        <f t="shared" si="0"/>
        <v>2232.1999999999998</v>
      </c>
      <c r="E42" s="30">
        <v>201.7</v>
      </c>
      <c r="F42" s="30">
        <v>626.6</v>
      </c>
      <c r="G42" s="30">
        <v>1403.9</v>
      </c>
      <c r="I42" s="135">
        <v>88209550.099999994</v>
      </c>
      <c r="J42" s="135">
        <v>19146770.100000001</v>
      </c>
      <c r="K42" s="135">
        <f t="shared" si="1"/>
        <v>3129740.9</v>
      </c>
      <c r="L42" s="135">
        <v>281852.7</v>
      </c>
      <c r="M42" s="135">
        <v>866726.2</v>
      </c>
      <c r="N42" s="135">
        <v>1981162</v>
      </c>
      <c r="Q42" s="231"/>
      <c r="R42" s="231"/>
      <c r="S42" s="231"/>
      <c r="T42" s="231"/>
      <c r="U42" s="231"/>
    </row>
    <row r="43" spans="1:21">
      <c r="A43" s="66">
        <v>2000</v>
      </c>
      <c r="B43" s="30">
        <v>61319.4</v>
      </c>
      <c r="C43" s="30">
        <v>13306.5</v>
      </c>
      <c r="D43" s="30">
        <f t="shared" si="0"/>
        <v>2799.1</v>
      </c>
      <c r="E43" s="30">
        <v>188.8</v>
      </c>
      <c r="F43" s="30">
        <v>1149.7</v>
      </c>
      <c r="G43" s="30">
        <v>1460.6</v>
      </c>
      <c r="I43" s="135">
        <v>92903060.299999997</v>
      </c>
      <c r="J43" s="135">
        <v>19235222.699999999</v>
      </c>
      <c r="K43" s="135">
        <f t="shared" si="1"/>
        <v>3966188.2</v>
      </c>
      <c r="L43" s="135">
        <v>270515.3</v>
      </c>
      <c r="M43" s="135">
        <v>1584573.9</v>
      </c>
      <c r="N43" s="135">
        <v>2111099</v>
      </c>
      <c r="Q43" s="231"/>
      <c r="R43" s="231"/>
      <c r="S43" s="231"/>
      <c r="T43" s="231"/>
      <c r="U43" s="231"/>
    </row>
    <row r="44" spans="1:21">
      <c r="A44" s="66">
        <v>2001</v>
      </c>
      <c r="B44" s="30">
        <v>59193.8</v>
      </c>
      <c r="C44" s="30">
        <v>10359.9</v>
      </c>
      <c r="D44" s="30">
        <f t="shared" si="0"/>
        <v>1831.7</v>
      </c>
      <c r="E44" s="30">
        <v>128.9</v>
      </c>
      <c r="F44" s="30">
        <v>521.4</v>
      </c>
      <c r="G44" s="30">
        <v>1181.4000000000001</v>
      </c>
      <c r="I44" s="135">
        <v>90988299.799999997</v>
      </c>
      <c r="J44" s="135">
        <v>15350272.6</v>
      </c>
      <c r="K44" s="135">
        <f t="shared" si="1"/>
        <v>2647079.2999999998</v>
      </c>
      <c r="L44" s="135">
        <v>191611.6</v>
      </c>
      <c r="M44" s="135">
        <v>753208.5</v>
      </c>
      <c r="N44" s="135">
        <v>1702259.2</v>
      </c>
      <c r="Q44" s="231"/>
      <c r="R44" s="231"/>
      <c r="S44" s="231"/>
      <c r="T44" s="231"/>
      <c r="U44" s="231"/>
    </row>
    <row r="45" spans="1:21">
      <c r="A45" s="66">
        <v>2002</v>
      </c>
      <c r="B45" s="30">
        <v>56716.2</v>
      </c>
      <c r="C45" s="30">
        <v>9627.4</v>
      </c>
      <c r="D45" s="30">
        <f t="shared" si="0"/>
        <v>1525.8000000000002</v>
      </c>
      <c r="E45" s="30">
        <v>174.1</v>
      </c>
      <c r="F45" s="30">
        <v>467.1</v>
      </c>
      <c r="G45" s="30">
        <v>884.6</v>
      </c>
      <c r="I45" s="135">
        <v>89314883</v>
      </c>
      <c r="J45" s="135">
        <v>14676282</v>
      </c>
      <c r="K45" s="135">
        <f t="shared" si="1"/>
        <v>2308268</v>
      </c>
      <c r="L45" s="135">
        <v>254872</v>
      </c>
      <c r="M45" s="135">
        <v>705744</v>
      </c>
      <c r="N45" s="135">
        <v>1347652</v>
      </c>
      <c r="Q45" s="231"/>
      <c r="R45" s="231"/>
      <c r="S45" s="231"/>
      <c r="T45" s="231"/>
      <c r="U45" s="231"/>
    </row>
    <row r="46" spans="1:21">
      <c r="A46" s="66">
        <v>2003</v>
      </c>
      <c r="B46" s="30">
        <v>61259.199999999997</v>
      </c>
      <c r="C46" s="30">
        <v>11783.5</v>
      </c>
      <c r="D46" s="30">
        <f t="shared" si="0"/>
        <v>2318.1999999999998</v>
      </c>
      <c r="E46" s="30">
        <v>163.19999999999999</v>
      </c>
      <c r="F46" s="30">
        <v>680.3</v>
      </c>
      <c r="G46" s="30">
        <v>1474.7</v>
      </c>
      <c r="I46" s="135">
        <v>97761209.299999997</v>
      </c>
      <c r="J46" s="135">
        <v>17866824.899999999</v>
      </c>
      <c r="K46" s="135">
        <f t="shared" si="1"/>
        <v>3428036.7</v>
      </c>
      <c r="L46" s="135">
        <v>247680.5</v>
      </c>
      <c r="M46" s="135">
        <v>1005229.5</v>
      </c>
      <c r="N46" s="135">
        <v>2175126.7000000002</v>
      </c>
      <c r="Q46" s="231"/>
      <c r="R46" s="231"/>
      <c r="S46" s="231"/>
      <c r="T46" s="231"/>
      <c r="U46" s="231"/>
    </row>
    <row r="47" spans="1:21">
      <c r="A47" s="66">
        <v>2004</v>
      </c>
      <c r="B47" s="30">
        <v>68068.5</v>
      </c>
      <c r="C47" s="30">
        <v>11983.8</v>
      </c>
      <c r="D47" s="30">
        <f t="shared" si="0"/>
        <v>1801.4</v>
      </c>
      <c r="E47" s="30">
        <v>169.1</v>
      </c>
      <c r="F47" s="30">
        <v>839.5</v>
      </c>
      <c r="G47" s="30">
        <v>792.8</v>
      </c>
      <c r="I47" s="135">
        <v>107436274.2</v>
      </c>
      <c r="J47" s="135">
        <v>17926781.199999999</v>
      </c>
      <c r="K47" s="135">
        <f t="shared" si="1"/>
        <v>2715203.1</v>
      </c>
      <c r="L47" s="135">
        <v>245819.2</v>
      </c>
      <c r="M47" s="135">
        <v>1234452.1000000001</v>
      </c>
      <c r="N47" s="135">
        <v>1234931.8</v>
      </c>
      <c r="Q47" s="231"/>
      <c r="R47" s="231"/>
      <c r="S47" s="231"/>
      <c r="T47" s="231"/>
      <c r="U47" s="231"/>
    </row>
    <row r="48" spans="1:21">
      <c r="A48" s="66">
        <v>2005</v>
      </c>
      <c r="B48" s="30">
        <v>78307.5</v>
      </c>
      <c r="C48" s="30">
        <v>13531.1</v>
      </c>
      <c r="D48" s="30">
        <f t="shared" si="0"/>
        <v>2257.6999999999998</v>
      </c>
      <c r="E48" s="30">
        <v>180.5</v>
      </c>
      <c r="F48" s="30">
        <v>1080</v>
      </c>
      <c r="G48" s="30">
        <v>997.2</v>
      </c>
      <c r="I48" s="135">
        <v>120206629.5</v>
      </c>
      <c r="J48" s="135">
        <v>19667280.199999999</v>
      </c>
      <c r="K48" s="135">
        <f t="shared" si="1"/>
        <v>3271050.9000000004</v>
      </c>
      <c r="L48" s="135">
        <v>248039.5</v>
      </c>
      <c r="M48" s="135">
        <v>1520881.3</v>
      </c>
      <c r="N48" s="135">
        <v>1502130.1</v>
      </c>
      <c r="Q48" s="231"/>
      <c r="R48" s="231"/>
      <c r="S48" s="231"/>
      <c r="T48" s="231"/>
      <c r="U48" s="231"/>
    </row>
    <row r="49" spans="1:21">
      <c r="A49" s="66">
        <v>2006</v>
      </c>
      <c r="B49" s="30">
        <v>86950.399999999994</v>
      </c>
      <c r="C49" s="30">
        <v>13542.7</v>
      </c>
      <c r="D49" s="30">
        <f t="shared" si="0"/>
        <v>2162.6999999999998</v>
      </c>
      <c r="E49" s="30">
        <v>188</v>
      </c>
      <c r="F49" s="30">
        <v>1002.8</v>
      </c>
      <c r="G49" s="30">
        <v>971.9</v>
      </c>
      <c r="I49" s="135">
        <v>129349483.3</v>
      </c>
      <c r="J49" s="135">
        <v>20695986.199999999</v>
      </c>
      <c r="K49" s="135">
        <f t="shared" si="1"/>
        <v>3254340.1</v>
      </c>
      <c r="L49" s="135">
        <v>267443.3</v>
      </c>
      <c r="M49" s="135">
        <v>1540138.3</v>
      </c>
      <c r="N49" s="135">
        <v>1446758.5</v>
      </c>
      <c r="Q49" s="231"/>
      <c r="R49" s="231"/>
      <c r="S49" s="231"/>
      <c r="T49" s="231"/>
      <c r="U49" s="231"/>
    </row>
    <row r="50" spans="1:21">
      <c r="A50" s="66">
        <v>2007</v>
      </c>
      <c r="B50" s="30">
        <v>89840.6</v>
      </c>
      <c r="C50" s="30">
        <v>13945.3</v>
      </c>
      <c r="D50" s="30">
        <f t="shared" si="0"/>
        <v>1827.1999999999998</v>
      </c>
      <c r="E50" s="30">
        <v>97.4</v>
      </c>
      <c r="F50" s="30">
        <v>778.8</v>
      </c>
      <c r="G50" s="30">
        <v>951</v>
      </c>
      <c r="I50" s="135">
        <v>144018546.90000001</v>
      </c>
      <c r="J50" s="135">
        <v>23133222.100000001</v>
      </c>
      <c r="K50" s="135">
        <f t="shared" si="1"/>
        <v>3583173.5</v>
      </c>
      <c r="L50" s="135">
        <v>253603.9</v>
      </c>
      <c r="M50" s="135">
        <v>1742570.8</v>
      </c>
      <c r="N50" s="135">
        <v>1586998.8</v>
      </c>
      <c r="Q50" s="231"/>
      <c r="R50" s="231"/>
      <c r="S50" s="231"/>
      <c r="T50" s="231"/>
      <c r="U50" s="231"/>
    </row>
    <row r="51" spans="1:21">
      <c r="A51" s="66">
        <v>2008</v>
      </c>
      <c r="B51" s="30">
        <v>92327.5</v>
      </c>
      <c r="C51" s="30">
        <v>13923</v>
      </c>
      <c r="D51" s="30">
        <f>SUM(E51:G51)</f>
        <v>1529.9</v>
      </c>
      <c r="E51" s="30">
        <v>156.19999999999999</v>
      </c>
      <c r="F51" s="30">
        <v>577.20000000000005</v>
      </c>
      <c r="G51" s="30">
        <v>796.5</v>
      </c>
      <c r="Q51" s="231"/>
      <c r="R51" s="231"/>
      <c r="S51" s="231"/>
      <c r="T51" s="231"/>
      <c r="U51" s="231"/>
    </row>
    <row r="52" spans="1:21">
      <c r="A52" s="66">
        <v>2009</v>
      </c>
      <c r="B52" s="30">
        <v>74939.199999999997</v>
      </c>
      <c r="C52" s="30">
        <v>9504.2000000000007</v>
      </c>
      <c r="D52" s="30">
        <f t="shared" si="0"/>
        <v>858.3</v>
      </c>
      <c r="E52" s="30">
        <v>108</v>
      </c>
      <c r="F52" s="30">
        <v>284.60000000000002</v>
      </c>
      <c r="G52" s="30">
        <v>465.7</v>
      </c>
      <c r="Q52" s="231"/>
      <c r="R52" s="231"/>
      <c r="S52" s="231"/>
      <c r="T52" s="231"/>
      <c r="U52" s="231"/>
    </row>
    <row r="53" spans="1:21">
      <c r="A53" s="66">
        <v>2010</v>
      </c>
      <c r="B53" s="30">
        <v>85054.1</v>
      </c>
      <c r="C53" s="30">
        <v>10618.1</v>
      </c>
      <c r="D53" s="30">
        <f t="shared" si="0"/>
        <v>1176.2</v>
      </c>
      <c r="E53" s="30">
        <v>144.5</v>
      </c>
      <c r="F53" s="30">
        <v>493.7</v>
      </c>
      <c r="G53" s="30">
        <v>538</v>
      </c>
      <c r="Q53" s="231"/>
      <c r="R53" s="231"/>
      <c r="S53" s="231"/>
      <c r="T53" s="231"/>
      <c r="U53" s="231"/>
    </row>
    <row r="54" spans="1:21">
      <c r="A54" s="66">
        <v>2011</v>
      </c>
      <c r="B54" s="30">
        <v>94319.8</v>
      </c>
      <c r="C54" s="30">
        <v>13251.3</v>
      </c>
      <c r="D54" s="30">
        <f t="shared" si="0"/>
        <v>1600.2</v>
      </c>
      <c r="E54" s="30">
        <v>153.19999999999999</v>
      </c>
      <c r="F54" s="30">
        <v>680.7</v>
      </c>
      <c r="G54" s="30">
        <v>766.3</v>
      </c>
      <c r="Q54" s="231"/>
      <c r="R54" s="231"/>
      <c r="S54" s="231"/>
      <c r="T54" s="231"/>
      <c r="U54" s="231"/>
    </row>
    <row r="55" spans="1:21">
      <c r="A55" s="66">
        <v>2012</v>
      </c>
      <c r="B55" s="30">
        <v>95528.7</v>
      </c>
      <c r="C55" s="30">
        <v>13577.1</v>
      </c>
      <c r="D55" s="30">
        <f t="shared" si="0"/>
        <v>1643.8000000000002</v>
      </c>
      <c r="E55" s="30">
        <v>114.1</v>
      </c>
      <c r="F55" s="30">
        <v>764</v>
      </c>
      <c r="G55" s="30">
        <v>765.7</v>
      </c>
      <c r="Q55" s="231"/>
      <c r="R55" s="231"/>
      <c r="S55" s="231"/>
      <c r="T55" s="231"/>
      <c r="U55" s="231"/>
    </row>
    <row r="57" spans="1:21">
      <c r="A57" s="66" t="s">
        <v>23</v>
      </c>
      <c r="B57" s="56"/>
      <c r="C57" s="56"/>
    </row>
    <row r="58" spans="1:21">
      <c r="A58" s="69" t="s">
        <v>2121</v>
      </c>
      <c r="B58" s="147">
        <f>((B55/B4)^(1/51)-1)*100</f>
        <v>4.1109337527825751</v>
      </c>
      <c r="C58" s="147">
        <f t="shared" ref="C58:G58" si="2">((C55/C4)^(1/51)-1)*100</f>
        <v>2.4952632249928275</v>
      </c>
      <c r="D58" s="147">
        <f t="shared" si="2"/>
        <v>0.85654012651528166</v>
      </c>
      <c r="E58" s="147">
        <f t="shared" si="2"/>
        <v>0.19516643901067443</v>
      </c>
      <c r="F58" s="147">
        <f t="shared" si="2"/>
        <v>2.7024257174594446</v>
      </c>
      <c r="G58" s="147">
        <f t="shared" si="2"/>
        <v>2.8189159204217162E-3</v>
      </c>
    </row>
    <row r="59" spans="1:21">
      <c r="A59" s="68" t="s">
        <v>1031</v>
      </c>
      <c r="B59" s="147">
        <f t="shared" ref="B59:G59" si="3">((B16/B4)^(1/12)-1)*100</f>
        <v>7.9577276830743893</v>
      </c>
      <c r="C59" s="147">
        <f t="shared" si="3"/>
        <v>7.4639306550537521</v>
      </c>
      <c r="D59" s="147">
        <f t="shared" si="3"/>
        <v>7.5017196282750831</v>
      </c>
      <c r="E59" s="147">
        <f t="shared" si="3"/>
        <v>11.287904565533147</v>
      </c>
      <c r="F59" s="147">
        <f t="shared" si="3"/>
        <v>13.572064580055176</v>
      </c>
      <c r="G59" s="147">
        <f t="shared" si="3"/>
        <v>4.242192381239529</v>
      </c>
    </row>
    <row r="60" spans="1:21">
      <c r="A60" s="68" t="s">
        <v>1032</v>
      </c>
      <c r="B60" s="147">
        <f t="shared" ref="B60:G60" si="4">((B24/B16)^(1/8)-1)*100</f>
        <v>3.7722936786061645</v>
      </c>
      <c r="C60" s="147">
        <f t="shared" si="4"/>
        <v>3.4562862321224186</v>
      </c>
      <c r="D60" s="147">
        <f t="shared" si="4"/>
        <v>3.5355563339356522</v>
      </c>
      <c r="E60" s="147">
        <f t="shared" si="4"/>
        <v>-7.3050712439455605</v>
      </c>
      <c r="F60" s="147">
        <f t="shared" si="4"/>
        <v>-6.0107128196091875</v>
      </c>
      <c r="G60" s="147">
        <f t="shared" si="4"/>
        <v>9.4574625232188616</v>
      </c>
    </row>
    <row r="61" spans="1:21">
      <c r="A61" s="68" t="s">
        <v>25</v>
      </c>
      <c r="B61" s="147">
        <f t="shared" ref="B61:G61" si="5">((B32/B24)^(1/8)-1)*100</f>
        <v>2.1647114966377501</v>
      </c>
      <c r="C61" s="147">
        <f t="shared" si="5"/>
        <v>3.1383922736472725</v>
      </c>
      <c r="D61" s="147">
        <f t="shared" si="5"/>
        <v>7.0855899068709594</v>
      </c>
      <c r="E61" s="147">
        <f t="shared" si="5"/>
        <v>-2.4738526694399243</v>
      </c>
      <c r="F61" s="147">
        <f t="shared" si="5"/>
        <v>4.8555469229073722</v>
      </c>
      <c r="G61" s="147">
        <f t="shared" si="5"/>
        <v>8.0470086485970214</v>
      </c>
    </row>
    <row r="62" spans="1:21">
      <c r="A62" s="68" t="s">
        <v>26</v>
      </c>
      <c r="B62" s="147">
        <f t="shared" ref="B62:G62" si="6">((B43/B32)^(1/11)-1)*100</f>
        <v>2.0656144931070042</v>
      </c>
      <c r="C62" s="147">
        <f t="shared" si="6"/>
        <v>-1.3187764952395264</v>
      </c>
      <c r="D62" s="147">
        <f t="shared" si="6"/>
        <v>-6.3903387469411594</v>
      </c>
      <c r="E62" s="147">
        <f t="shared" si="6"/>
        <v>1.1602692106803536</v>
      </c>
      <c r="F62" s="147">
        <f t="shared" si="6"/>
        <v>3.3083691512113544</v>
      </c>
      <c r="G62" s="147">
        <f t="shared" si="6"/>
        <v>-10.2813586066688</v>
      </c>
    </row>
    <row r="63" spans="1:21">
      <c r="A63" s="69" t="s">
        <v>2028</v>
      </c>
      <c r="B63" s="147">
        <f>((B55/B43)^(1/12)-1)*100</f>
        <v>3.7635124084058669</v>
      </c>
      <c r="C63" s="147">
        <f t="shared" ref="C63:G63" si="7">((C55/C43)^(1/12)-1)*100</f>
        <v>0.16790674195847899</v>
      </c>
      <c r="D63" s="147">
        <f t="shared" si="7"/>
        <v>-4.3387877360019917</v>
      </c>
      <c r="E63" s="147">
        <f t="shared" si="7"/>
        <v>-4.1099295126203135</v>
      </c>
      <c r="F63" s="147">
        <f t="shared" si="7"/>
        <v>-3.3483953114658682</v>
      </c>
      <c r="G63" s="147">
        <f t="shared" si="7"/>
        <v>-5.2395140433900806</v>
      </c>
    </row>
    <row r="65" spans="1:1">
      <c r="A65" s="64" t="s">
        <v>1813</v>
      </c>
    </row>
  </sheetData>
  <mergeCells count="9">
    <mergeCell ref="Q2:Q3"/>
    <mergeCell ref="R2:U2"/>
    <mergeCell ref="A1:G1"/>
    <mergeCell ref="B2:B3"/>
    <mergeCell ref="D2:G2"/>
    <mergeCell ref="I2:I3"/>
    <mergeCell ref="K2:N2"/>
    <mergeCell ref="J2:J3"/>
    <mergeCell ref="C2:C3"/>
  </mergeCells>
  <pageMargins left="0.7" right="0.7" top="0.75" bottom="0.75" header="0.3" footer="0.3"/>
  <pageSetup scale="91" orientation="portrait" horizontalDpi="0" verticalDpi="0" r:id="rId1"/>
</worksheet>
</file>

<file path=xl/worksheets/sheet66.xml><?xml version="1.0" encoding="utf-8"?>
<worksheet xmlns="http://schemas.openxmlformats.org/spreadsheetml/2006/main" xmlns:r="http://schemas.openxmlformats.org/officeDocument/2006/relationships">
  <sheetPr codeName="Sheet63"/>
  <dimension ref="A1:O65"/>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2.7109375" style="64" customWidth="1"/>
    <col min="2" max="3" width="14.140625" style="135" customWidth="1"/>
    <col min="4" max="4" width="16" style="135" customWidth="1"/>
    <col min="5" max="5" width="11.28515625" style="135" customWidth="1"/>
    <col min="6" max="6" width="15.140625" style="135" customWidth="1"/>
    <col min="7" max="7" width="14.140625" style="135" customWidth="1"/>
    <col min="8" max="8" width="9.140625" style="135"/>
    <col min="9" max="14" width="27.7109375" style="135" hidden="1" customWidth="1" outlineLevel="1"/>
    <col min="15" max="15" width="9.140625" style="64" collapsed="1"/>
    <col min="16" max="16384" width="9.140625" style="64"/>
  </cols>
  <sheetData>
    <row r="1" spans="1:14" ht="30" customHeight="1">
      <c r="A1" s="93" t="s">
        <v>1985</v>
      </c>
      <c r="B1" s="93"/>
      <c r="C1" s="93"/>
      <c r="D1" s="93"/>
      <c r="E1" s="93"/>
      <c r="F1" s="93"/>
      <c r="G1" s="93"/>
    </row>
    <row r="2" spans="1:14">
      <c r="B2" s="123" t="s">
        <v>673</v>
      </c>
      <c r="C2" s="123" t="s">
        <v>938</v>
      </c>
      <c r="D2" s="159" t="s">
        <v>37</v>
      </c>
      <c r="E2" s="160"/>
      <c r="F2" s="160"/>
      <c r="G2" s="161"/>
      <c r="I2" s="123" t="s">
        <v>673</v>
      </c>
      <c r="J2" s="123" t="s">
        <v>938</v>
      </c>
      <c r="K2" s="159" t="s">
        <v>37</v>
      </c>
      <c r="L2" s="160"/>
      <c r="M2" s="160"/>
      <c r="N2" s="161"/>
    </row>
    <row r="3" spans="1:14" ht="60">
      <c r="B3" s="126"/>
      <c r="C3" s="126"/>
      <c r="D3" s="72" t="s">
        <v>78</v>
      </c>
      <c r="E3" s="72" t="s">
        <v>750</v>
      </c>
      <c r="F3" s="72" t="s">
        <v>745</v>
      </c>
      <c r="G3" s="72" t="s">
        <v>678</v>
      </c>
      <c r="I3" s="126"/>
      <c r="J3" s="126"/>
      <c r="K3" s="72" t="s">
        <v>78</v>
      </c>
      <c r="L3" s="72" t="s">
        <v>750</v>
      </c>
      <c r="M3" s="72" t="s">
        <v>745</v>
      </c>
      <c r="N3" s="72" t="s">
        <v>678</v>
      </c>
    </row>
    <row r="4" spans="1:14">
      <c r="A4" s="66">
        <v>1961</v>
      </c>
      <c r="B4" s="30">
        <v>20916.5</v>
      </c>
      <c r="C4" s="30">
        <v>485.1</v>
      </c>
      <c r="D4" s="30">
        <f>SUM(E4:G4)</f>
        <v>280.39999999999998</v>
      </c>
      <c r="E4" s="30">
        <v>207.1</v>
      </c>
      <c r="F4" s="30">
        <v>12.2</v>
      </c>
      <c r="G4" s="30">
        <v>61.1</v>
      </c>
      <c r="I4" s="135">
        <v>17496541</v>
      </c>
      <c r="J4" s="135">
        <v>410685.6</v>
      </c>
      <c r="K4" s="135">
        <f>SUM(L4:N4)</f>
        <v>229392.6</v>
      </c>
      <c r="L4" s="135">
        <v>167705.79999999999</v>
      </c>
      <c r="M4" s="135">
        <v>9845.7000000000007</v>
      </c>
      <c r="N4" s="135">
        <v>51841.1</v>
      </c>
    </row>
    <row r="5" spans="1:14" hidden="1" outlineLevel="1">
      <c r="A5" s="66">
        <v>1962</v>
      </c>
      <c r="B5" s="30">
        <v>19796.5</v>
      </c>
      <c r="C5" s="30">
        <v>677.6</v>
      </c>
      <c r="D5" s="30">
        <f t="shared" ref="D5:D55" si="0">SUM(E5:G5)</f>
        <v>272.89999999999998</v>
      </c>
      <c r="E5" s="30">
        <v>212.3</v>
      </c>
      <c r="F5" s="30">
        <v>10.199999999999999</v>
      </c>
      <c r="G5" s="30">
        <v>50.4</v>
      </c>
      <c r="I5" s="135">
        <v>16605249.6</v>
      </c>
      <c r="J5" s="135">
        <v>573679.69999999995</v>
      </c>
      <c r="K5" s="135">
        <f t="shared" ref="K5:K50" si="1">SUM(L5:N5)</f>
        <v>219936.5</v>
      </c>
      <c r="L5" s="135">
        <v>170928.7</v>
      </c>
      <c r="M5" s="135">
        <v>8211.1</v>
      </c>
      <c r="N5" s="135">
        <v>40796.699999999997</v>
      </c>
    </row>
    <row r="6" spans="1:14" hidden="1" outlineLevel="1">
      <c r="A6" s="66">
        <v>1963</v>
      </c>
      <c r="B6" s="30">
        <v>20459.2</v>
      </c>
      <c r="C6" s="30">
        <v>500.2</v>
      </c>
      <c r="D6" s="30">
        <f t="shared" si="0"/>
        <v>232.2</v>
      </c>
      <c r="E6" s="30">
        <v>193.6</v>
      </c>
      <c r="F6" s="30">
        <v>11.1</v>
      </c>
      <c r="G6" s="30">
        <v>27.5</v>
      </c>
      <c r="I6" s="135">
        <v>17163411</v>
      </c>
      <c r="J6" s="135">
        <v>425497.3</v>
      </c>
      <c r="K6" s="135">
        <f t="shared" si="1"/>
        <v>187335.30000000002</v>
      </c>
      <c r="L6" s="135">
        <v>156021.70000000001</v>
      </c>
      <c r="M6" s="135">
        <v>8887.2000000000007</v>
      </c>
      <c r="N6" s="135">
        <v>22426.400000000001</v>
      </c>
    </row>
    <row r="7" spans="1:14" hidden="1" outlineLevel="1">
      <c r="A7" s="66">
        <v>1964</v>
      </c>
      <c r="B7" s="30">
        <v>22905.1</v>
      </c>
      <c r="C7" s="30">
        <v>359.2</v>
      </c>
      <c r="D7" s="30">
        <f t="shared" si="0"/>
        <v>306.7</v>
      </c>
      <c r="E7" s="30">
        <v>245.6</v>
      </c>
      <c r="F7" s="30">
        <v>11.7</v>
      </c>
      <c r="G7" s="30">
        <v>49.4</v>
      </c>
      <c r="I7" s="135">
        <v>19250121</v>
      </c>
      <c r="J7" s="135">
        <v>299150.2</v>
      </c>
      <c r="K7" s="135">
        <f t="shared" si="1"/>
        <v>247438.59999999998</v>
      </c>
      <c r="L7" s="135">
        <v>197620.9</v>
      </c>
      <c r="M7" s="135">
        <v>9441</v>
      </c>
      <c r="N7" s="135">
        <v>40376.699999999997</v>
      </c>
    </row>
    <row r="8" spans="1:14" hidden="1" outlineLevel="1">
      <c r="A8" s="66">
        <v>1965</v>
      </c>
      <c r="B8" s="30">
        <v>23855.1</v>
      </c>
      <c r="C8" s="30">
        <v>520.79999999999995</v>
      </c>
      <c r="D8" s="30">
        <f t="shared" si="0"/>
        <v>314.2</v>
      </c>
      <c r="E8" s="30">
        <v>229.6</v>
      </c>
      <c r="F8" s="30">
        <v>21.8</v>
      </c>
      <c r="G8" s="30">
        <v>62.8</v>
      </c>
      <c r="I8" s="135">
        <v>20081127.600000001</v>
      </c>
      <c r="J8" s="135">
        <v>439219.1</v>
      </c>
      <c r="K8" s="135">
        <f t="shared" si="1"/>
        <v>253702.5</v>
      </c>
      <c r="L8" s="135">
        <v>185282.9</v>
      </c>
      <c r="M8" s="135">
        <v>17345.8</v>
      </c>
      <c r="N8" s="135">
        <v>51073.8</v>
      </c>
    </row>
    <row r="9" spans="1:14" hidden="1" outlineLevel="1">
      <c r="A9" s="66">
        <v>1966</v>
      </c>
      <c r="B9" s="30">
        <v>26117.8</v>
      </c>
      <c r="C9" s="30">
        <v>832.4</v>
      </c>
      <c r="D9" s="30">
        <f t="shared" si="0"/>
        <v>324.89999999999998</v>
      </c>
      <c r="E9" s="30">
        <v>221.7</v>
      </c>
      <c r="F9" s="30">
        <v>21.9</v>
      </c>
      <c r="G9" s="30">
        <v>81.3</v>
      </c>
      <c r="I9" s="135">
        <v>21846880.199999999</v>
      </c>
      <c r="J9" s="135">
        <v>701419</v>
      </c>
      <c r="K9" s="135">
        <f t="shared" si="1"/>
        <v>262623</v>
      </c>
      <c r="L9" s="135">
        <v>178444.1</v>
      </c>
      <c r="M9" s="135">
        <v>17630.900000000001</v>
      </c>
      <c r="N9" s="135">
        <v>66548</v>
      </c>
    </row>
    <row r="10" spans="1:14" hidden="1" outlineLevel="1">
      <c r="A10" s="66">
        <v>1967</v>
      </c>
      <c r="B10" s="30">
        <v>26990.2</v>
      </c>
      <c r="C10" s="30">
        <v>1000</v>
      </c>
      <c r="D10" s="30">
        <f t="shared" si="0"/>
        <v>293.60000000000002</v>
      </c>
      <c r="E10" s="30">
        <v>205.3</v>
      </c>
      <c r="F10" s="30">
        <v>10.5</v>
      </c>
      <c r="G10" s="30">
        <v>77.8</v>
      </c>
      <c r="I10" s="135">
        <v>22604927.199999999</v>
      </c>
      <c r="J10" s="135">
        <v>839419.5</v>
      </c>
      <c r="K10" s="135">
        <f t="shared" si="1"/>
        <v>237303.69999999998</v>
      </c>
      <c r="L10" s="135">
        <v>165042.5</v>
      </c>
      <c r="M10" s="135">
        <v>8451.2999999999993</v>
      </c>
      <c r="N10" s="135">
        <v>63809.9</v>
      </c>
    </row>
    <row r="11" spans="1:14" hidden="1" outlineLevel="1">
      <c r="A11" s="66">
        <v>1968</v>
      </c>
      <c r="B11" s="30">
        <v>27326.5</v>
      </c>
      <c r="C11" s="30">
        <v>1497.7</v>
      </c>
      <c r="D11" s="30">
        <f t="shared" si="0"/>
        <v>287.60000000000002</v>
      </c>
      <c r="E11" s="30">
        <v>201.4</v>
      </c>
      <c r="F11" s="30">
        <v>18.5</v>
      </c>
      <c r="G11" s="30">
        <v>67.7</v>
      </c>
      <c r="I11" s="135">
        <v>23073041.100000001</v>
      </c>
      <c r="J11" s="135">
        <v>1245071.5</v>
      </c>
      <c r="K11" s="135">
        <f t="shared" si="1"/>
        <v>231714.1</v>
      </c>
      <c r="L11" s="135">
        <v>162099.20000000001</v>
      </c>
      <c r="M11" s="135">
        <v>14847.9</v>
      </c>
      <c r="N11" s="135">
        <v>54767</v>
      </c>
    </row>
    <row r="12" spans="1:14" hidden="1" outlineLevel="1">
      <c r="A12" s="66">
        <v>1969</v>
      </c>
      <c r="B12" s="30">
        <v>27637.1</v>
      </c>
      <c r="C12" s="30">
        <v>1394</v>
      </c>
      <c r="D12" s="30">
        <f t="shared" si="0"/>
        <v>335.59999999999997</v>
      </c>
      <c r="E12" s="30">
        <v>254.7</v>
      </c>
      <c r="F12" s="30">
        <v>47</v>
      </c>
      <c r="G12" s="30">
        <v>33.9</v>
      </c>
      <c r="I12" s="135">
        <v>23398424.699999999</v>
      </c>
      <c r="J12" s="135">
        <v>1165506.7</v>
      </c>
      <c r="K12" s="135">
        <f t="shared" si="1"/>
        <v>269155</v>
      </c>
      <c r="L12" s="135">
        <v>204120.7</v>
      </c>
      <c r="M12" s="135">
        <v>37324.1</v>
      </c>
      <c r="N12" s="135">
        <v>27710.2</v>
      </c>
    </row>
    <row r="13" spans="1:14" hidden="1" outlineLevel="1">
      <c r="A13" s="66">
        <v>1970</v>
      </c>
      <c r="B13" s="30">
        <v>29251.7</v>
      </c>
      <c r="C13" s="30">
        <v>1770.3</v>
      </c>
      <c r="D13" s="30">
        <f t="shared" si="0"/>
        <v>381.29999999999995</v>
      </c>
      <c r="E13" s="30">
        <v>244.7</v>
      </c>
      <c r="F13" s="30">
        <v>52</v>
      </c>
      <c r="G13" s="30">
        <v>84.6</v>
      </c>
      <c r="I13" s="135">
        <v>24909711.300000001</v>
      </c>
      <c r="J13" s="135">
        <v>1462730.2</v>
      </c>
      <c r="K13" s="135">
        <f t="shared" si="1"/>
        <v>306806.59999999998</v>
      </c>
      <c r="L13" s="135">
        <v>196566</v>
      </c>
      <c r="M13" s="135">
        <v>41250.5</v>
      </c>
      <c r="N13" s="135">
        <v>68990.100000000006</v>
      </c>
    </row>
    <row r="14" spans="1:14" hidden="1" outlineLevel="1">
      <c r="A14" s="66">
        <v>1971</v>
      </c>
      <c r="B14" s="30">
        <v>32054.5</v>
      </c>
      <c r="C14" s="30">
        <v>1806.2</v>
      </c>
      <c r="D14" s="30">
        <f t="shared" si="0"/>
        <v>354.6</v>
      </c>
      <c r="E14" s="30">
        <v>225.6</v>
      </c>
      <c r="F14" s="30">
        <v>29</v>
      </c>
      <c r="G14" s="30">
        <v>100</v>
      </c>
      <c r="I14" s="135">
        <v>27091976.5</v>
      </c>
      <c r="J14" s="135">
        <v>1525413.5</v>
      </c>
      <c r="K14" s="135">
        <f t="shared" si="1"/>
        <v>283769.7</v>
      </c>
      <c r="L14" s="135">
        <v>180856.4</v>
      </c>
      <c r="M14" s="135">
        <v>22763.7</v>
      </c>
      <c r="N14" s="135">
        <v>80149.600000000006</v>
      </c>
    </row>
    <row r="15" spans="1:14" hidden="1" outlineLevel="1">
      <c r="A15" s="66">
        <v>1972</v>
      </c>
      <c r="B15" s="30">
        <v>32455.8</v>
      </c>
      <c r="C15" s="30">
        <v>1683.2</v>
      </c>
      <c r="D15" s="30">
        <f t="shared" si="0"/>
        <v>409.5</v>
      </c>
      <c r="E15" s="30">
        <v>254.8</v>
      </c>
      <c r="F15" s="30">
        <v>40.9</v>
      </c>
      <c r="G15" s="30">
        <v>113.8</v>
      </c>
      <c r="I15" s="135">
        <v>27460582.100000001</v>
      </c>
      <c r="J15" s="135">
        <v>1395067.3</v>
      </c>
      <c r="K15" s="135">
        <f t="shared" si="1"/>
        <v>328150.3</v>
      </c>
      <c r="L15" s="135">
        <v>204770.9</v>
      </c>
      <c r="M15" s="135">
        <v>32247.8</v>
      </c>
      <c r="N15" s="135">
        <v>91131.6</v>
      </c>
    </row>
    <row r="16" spans="1:14" collapsed="1">
      <c r="A16" s="66">
        <v>1973</v>
      </c>
      <c r="B16" s="30">
        <v>32578.1</v>
      </c>
      <c r="C16" s="30">
        <v>1673</v>
      </c>
      <c r="D16" s="30">
        <f t="shared" si="0"/>
        <v>475</v>
      </c>
      <c r="E16" s="30">
        <v>327.3</v>
      </c>
      <c r="F16" s="30">
        <v>56.4</v>
      </c>
      <c r="G16" s="30">
        <v>91.3</v>
      </c>
      <c r="I16" s="135">
        <v>27586980.199999999</v>
      </c>
      <c r="J16" s="135">
        <v>1346567.3</v>
      </c>
      <c r="K16" s="135">
        <f t="shared" si="1"/>
        <v>383636.9</v>
      </c>
      <c r="L16" s="135">
        <v>263065.90000000002</v>
      </c>
      <c r="M16" s="135">
        <v>44971.1</v>
      </c>
      <c r="N16" s="135">
        <v>75599.899999999994</v>
      </c>
    </row>
    <row r="17" spans="1:14" hidden="1" outlineLevel="1">
      <c r="A17" s="66">
        <v>1974</v>
      </c>
      <c r="B17" s="30">
        <v>32578.799999999999</v>
      </c>
      <c r="C17" s="30">
        <v>1988.5</v>
      </c>
      <c r="D17" s="30">
        <f t="shared" si="0"/>
        <v>370.2</v>
      </c>
      <c r="E17" s="30">
        <v>260</v>
      </c>
      <c r="F17" s="30">
        <v>47.7</v>
      </c>
      <c r="G17" s="30">
        <v>62.5</v>
      </c>
      <c r="I17" s="135">
        <v>27572227</v>
      </c>
      <c r="J17" s="135">
        <v>1639647.9</v>
      </c>
      <c r="K17" s="135">
        <f t="shared" si="1"/>
        <v>298423.3</v>
      </c>
      <c r="L17" s="135">
        <v>208316.7</v>
      </c>
      <c r="M17" s="135">
        <v>38705.4</v>
      </c>
      <c r="N17" s="135">
        <v>51401.2</v>
      </c>
    </row>
    <row r="18" spans="1:14" hidden="1" outlineLevel="1">
      <c r="A18" s="66">
        <v>1975</v>
      </c>
      <c r="B18" s="30">
        <v>35668.699999999997</v>
      </c>
      <c r="C18" s="30">
        <v>2288</v>
      </c>
      <c r="D18" s="30">
        <f t="shared" si="0"/>
        <v>302</v>
      </c>
      <c r="E18" s="30">
        <v>230.1</v>
      </c>
      <c r="F18" s="30">
        <v>24.6</v>
      </c>
      <c r="G18" s="30">
        <v>47.3</v>
      </c>
      <c r="I18" s="135">
        <v>30253217.100000001</v>
      </c>
      <c r="J18" s="135">
        <v>1920935.4</v>
      </c>
      <c r="K18" s="135">
        <f t="shared" si="1"/>
        <v>243624.8</v>
      </c>
      <c r="L18" s="135">
        <v>184248.4</v>
      </c>
      <c r="M18" s="135">
        <v>20049.099999999999</v>
      </c>
      <c r="N18" s="135">
        <v>39327.300000000003</v>
      </c>
    </row>
    <row r="19" spans="1:14" hidden="1" outlineLevel="1">
      <c r="A19" s="66">
        <v>1976</v>
      </c>
      <c r="B19" s="30">
        <v>34663.300000000003</v>
      </c>
      <c r="C19" s="30">
        <v>2012.6</v>
      </c>
      <c r="D19" s="30">
        <f t="shared" si="0"/>
        <v>295.5</v>
      </c>
      <c r="E19" s="30">
        <v>202.2</v>
      </c>
      <c r="F19" s="30">
        <v>42</v>
      </c>
      <c r="G19" s="30">
        <v>51.3</v>
      </c>
      <c r="I19" s="135">
        <v>29353775.5</v>
      </c>
      <c r="J19" s="135">
        <v>1693530.2</v>
      </c>
      <c r="K19" s="135">
        <f t="shared" si="1"/>
        <v>235883.3</v>
      </c>
      <c r="L19" s="135">
        <v>162105.5</v>
      </c>
      <c r="M19" s="135">
        <v>33299.4</v>
      </c>
      <c r="N19" s="135">
        <v>40478.400000000001</v>
      </c>
    </row>
    <row r="20" spans="1:14" hidden="1" outlineLevel="1">
      <c r="A20" s="66">
        <v>1977</v>
      </c>
      <c r="B20" s="30">
        <v>36790.300000000003</v>
      </c>
      <c r="C20" s="30">
        <v>1828.6</v>
      </c>
      <c r="D20" s="30">
        <f t="shared" si="0"/>
        <v>315.5</v>
      </c>
      <c r="E20" s="30">
        <v>233.2</v>
      </c>
      <c r="F20" s="30">
        <v>38</v>
      </c>
      <c r="G20" s="30">
        <v>44.3</v>
      </c>
      <c r="I20" s="135">
        <v>31152461</v>
      </c>
      <c r="J20" s="135">
        <v>1546351.4</v>
      </c>
      <c r="K20" s="135">
        <f t="shared" si="1"/>
        <v>251858.4</v>
      </c>
      <c r="L20" s="135">
        <v>187013</v>
      </c>
      <c r="M20" s="135">
        <v>30162.9</v>
      </c>
      <c r="N20" s="135">
        <v>34682.5</v>
      </c>
    </row>
    <row r="21" spans="1:14" hidden="1" outlineLevel="1">
      <c r="A21" s="66">
        <v>1978</v>
      </c>
      <c r="B21" s="30">
        <v>37215</v>
      </c>
      <c r="C21" s="30">
        <v>1690.8</v>
      </c>
      <c r="D21" s="30">
        <f t="shared" si="0"/>
        <v>310</v>
      </c>
      <c r="E21" s="30">
        <v>228.3</v>
      </c>
      <c r="F21" s="30">
        <v>35.200000000000003</v>
      </c>
      <c r="G21" s="30">
        <v>46.5</v>
      </c>
      <c r="I21" s="135">
        <v>31729278.199999999</v>
      </c>
      <c r="J21" s="135">
        <v>1436550.4</v>
      </c>
      <c r="K21" s="135">
        <f t="shared" si="1"/>
        <v>248148.7</v>
      </c>
      <c r="L21" s="135">
        <v>183553.2</v>
      </c>
      <c r="M21" s="135">
        <v>28064.799999999999</v>
      </c>
      <c r="N21" s="135">
        <v>36530.699999999997</v>
      </c>
    </row>
    <row r="22" spans="1:14" hidden="1" outlineLevel="1">
      <c r="A22" s="66">
        <v>1979</v>
      </c>
      <c r="B22" s="30">
        <v>39195.300000000003</v>
      </c>
      <c r="C22" s="30">
        <v>934.9</v>
      </c>
      <c r="D22" s="30">
        <f t="shared" si="0"/>
        <v>383.4</v>
      </c>
      <c r="E22" s="30">
        <v>305.39999999999998</v>
      </c>
      <c r="F22" s="30">
        <v>44.8</v>
      </c>
      <c r="G22" s="30">
        <v>33.200000000000003</v>
      </c>
      <c r="I22" s="135">
        <v>33481116.600000001</v>
      </c>
      <c r="J22" s="135">
        <v>780677</v>
      </c>
      <c r="K22" s="135">
        <f t="shared" si="1"/>
        <v>306794.8</v>
      </c>
      <c r="L22" s="135">
        <v>244642.2</v>
      </c>
      <c r="M22" s="135">
        <v>35548.800000000003</v>
      </c>
      <c r="N22" s="135">
        <v>26603.8</v>
      </c>
    </row>
    <row r="23" spans="1:14" hidden="1" outlineLevel="1">
      <c r="A23" s="66">
        <v>1980</v>
      </c>
      <c r="B23" s="30">
        <v>42885.5</v>
      </c>
      <c r="C23" s="30">
        <v>941.6</v>
      </c>
      <c r="D23" s="30">
        <f t="shared" si="0"/>
        <v>364.7</v>
      </c>
      <c r="E23" s="30">
        <v>276</v>
      </c>
      <c r="F23" s="30">
        <v>58.7</v>
      </c>
      <c r="G23" s="30">
        <v>30</v>
      </c>
      <c r="I23" s="135">
        <v>36673938.600000001</v>
      </c>
      <c r="J23" s="135">
        <v>775601.4</v>
      </c>
      <c r="K23" s="135">
        <f t="shared" si="1"/>
        <v>292440.10000000003</v>
      </c>
      <c r="L23" s="135">
        <v>221762.5</v>
      </c>
      <c r="M23" s="135">
        <v>46385.2</v>
      </c>
      <c r="N23" s="135">
        <v>24292.400000000001</v>
      </c>
    </row>
    <row r="24" spans="1:14" collapsed="1">
      <c r="A24" s="66">
        <v>1981</v>
      </c>
      <c r="B24" s="30">
        <v>46564.4</v>
      </c>
      <c r="C24" s="30">
        <v>2106</v>
      </c>
      <c r="D24" s="30">
        <f t="shared" si="0"/>
        <v>328.4</v>
      </c>
      <c r="E24" s="30">
        <v>201</v>
      </c>
      <c r="F24" s="30">
        <v>38.4</v>
      </c>
      <c r="G24" s="30">
        <v>89</v>
      </c>
      <c r="I24" s="135">
        <v>39352321.200000003</v>
      </c>
      <c r="J24" s="135">
        <v>1628987.7</v>
      </c>
      <c r="K24" s="135">
        <f t="shared" si="1"/>
        <v>264656.40000000002</v>
      </c>
      <c r="L24" s="135">
        <v>161427.4</v>
      </c>
      <c r="M24" s="135">
        <v>30617.200000000001</v>
      </c>
      <c r="N24" s="135">
        <v>72611.8</v>
      </c>
    </row>
    <row r="25" spans="1:14">
      <c r="A25" s="66">
        <v>1982</v>
      </c>
      <c r="B25" s="30">
        <v>45750.7</v>
      </c>
      <c r="C25" s="30">
        <v>2397.1</v>
      </c>
      <c r="D25" s="30">
        <f t="shared" si="0"/>
        <v>205.5</v>
      </c>
      <c r="E25" s="30">
        <v>142.1</v>
      </c>
      <c r="F25" s="30">
        <v>9.1</v>
      </c>
      <c r="G25" s="30">
        <v>54.3</v>
      </c>
      <c r="I25" s="135">
        <v>38686280.700000003</v>
      </c>
      <c r="J25" s="135">
        <v>1843510.7</v>
      </c>
      <c r="K25" s="135">
        <f t="shared" si="1"/>
        <v>165671.6</v>
      </c>
      <c r="L25" s="135">
        <v>113980.5</v>
      </c>
      <c r="M25" s="135">
        <v>7321.8</v>
      </c>
      <c r="N25" s="135">
        <v>44369.3</v>
      </c>
    </row>
    <row r="26" spans="1:14">
      <c r="A26" s="66">
        <v>1983</v>
      </c>
      <c r="B26" s="30">
        <v>39606.800000000003</v>
      </c>
      <c r="C26" s="30">
        <v>1577.7</v>
      </c>
      <c r="D26" s="30">
        <f t="shared" si="0"/>
        <v>189.79999999999998</v>
      </c>
      <c r="E26" s="30">
        <v>139.69999999999999</v>
      </c>
      <c r="F26" s="30">
        <v>10.1</v>
      </c>
      <c r="G26" s="30">
        <v>40</v>
      </c>
      <c r="I26" s="135">
        <v>33900679.200000003</v>
      </c>
      <c r="J26" s="135">
        <v>1252499.8999999999</v>
      </c>
      <c r="K26" s="135">
        <f t="shared" si="1"/>
        <v>154014.70000000001</v>
      </c>
      <c r="L26" s="135">
        <v>112335.3</v>
      </c>
      <c r="M26" s="135">
        <v>7931.1</v>
      </c>
      <c r="N26" s="135">
        <v>33748.300000000003</v>
      </c>
    </row>
    <row r="27" spans="1:14">
      <c r="A27" s="66">
        <v>1984</v>
      </c>
      <c r="B27" s="30">
        <v>37860.6</v>
      </c>
      <c r="C27" s="30">
        <v>731.3</v>
      </c>
      <c r="D27" s="30">
        <f t="shared" si="0"/>
        <v>189.5</v>
      </c>
      <c r="E27" s="30">
        <v>142.5</v>
      </c>
      <c r="F27" s="30">
        <v>13.7</v>
      </c>
      <c r="G27" s="30">
        <v>33.299999999999997</v>
      </c>
      <c r="I27" s="135">
        <v>32836347.100000001</v>
      </c>
      <c r="J27" s="135">
        <v>585342</v>
      </c>
      <c r="K27" s="135">
        <f t="shared" si="1"/>
        <v>153048.1</v>
      </c>
      <c r="L27" s="135">
        <v>114572.7</v>
      </c>
      <c r="M27" s="135">
        <v>10987.8</v>
      </c>
      <c r="N27" s="135">
        <v>27487.599999999999</v>
      </c>
    </row>
    <row r="28" spans="1:14">
      <c r="A28" s="66">
        <v>1985</v>
      </c>
      <c r="B28" s="30">
        <v>39127.4</v>
      </c>
      <c r="C28" s="30">
        <v>608.20000000000005</v>
      </c>
      <c r="D28" s="30">
        <f t="shared" si="0"/>
        <v>236.3</v>
      </c>
      <c r="E28" s="30">
        <v>172.2</v>
      </c>
      <c r="F28" s="30">
        <v>24.9</v>
      </c>
      <c r="G28" s="30">
        <v>39.200000000000003</v>
      </c>
      <c r="I28" s="135">
        <v>33864610.399999999</v>
      </c>
      <c r="J28" s="135">
        <v>502270.6</v>
      </c>
      <c r="K28" s="135">
        <f t="shared" si="1"/>
        <v>192682.40000000002</v>
      </c>
      <c r="L28" s="135">
        <v>138641.1</v>
      </c>
      <c r="M28" s="135">
        <v>20053.2</v>
      </c>
      <c r="N28" s="135">
        <v>33988.1</v>
      </c>
    </row>
    <row r="29" spans="1:14">
      <c r="A29" s="66">
        <v>1986</v>
      </c>
      <c r="B29" s="30">
        <v>33759.599999999999</v>
      </c>
      <c r="C29" s="30">
        <v>652.5</v>
      </c>
      <c r="D29" s="30">
        <f t="shared" si="0"/>
        <v>215.2</v>
      </c>
      <c r="E29" s="30">
        <v>174.2</v>
      </c>
      <c r="F29" s="30">
        <v>21.1</v>
      </c>
      <c r="G29" s="30">
        <v>19.899999999999999</v>
      </c>
      <c r="I29" s="135">
        <v>29112506.300000001</v>
      </c>
      <c r="J29" s="135">
        <v>546683.19999999995</v>
      </c>
      <c r="K29" s="135">
        <f t="shared" si="1"/>
        <v>174291.30000000002</v>
      </c>
      <c r="L29" s="135">
        <v>140244</v>
      </c>
      <c r="M29" s="135">
        <v>17018.2</v>
      </c>
      <c r="N29" s="135">
        <v>17029.099999999999</v>
      </c>
    </row>
    <row r="30" spans="1:14">
      <c r="A30" s="66">
        <v>1987</v>
      </c>
      <c r="B30" s="30">
        <v>32796</v>
      </c>
      <c r="C30" s="30">
        <v>1009.7</v>
      </c>
      <c r="D30" s="30">
        <f t="shared" si="0"/>
        <v>255.7</v>
      </c>
      <c r="E30" s="30">
        <v>186.9</v>
      </c>
      <c r="F30" s="30">
        <v>17.2</v>
      </c>
      <c r="G30" s="30">
        <v>51.6</v>
      </c>
      <c r="I30" s="135">
        <v>28703809.899999999</v>
      </c>
      <c r="J30" s="135">
        <v>837559.5</v>
      </c>
      <c r="K30" s="135">
        <f t="shared" si="1"/>
        <v>206926.30000000002</v>
      </c>
      <c r="L30" s="135">
        <v>150404.70000000001</v>
      </c>
      <c r="M30" s="135">
        <v>13886.5</v>
      </c>
      <c r="N30" s="135">
        <v>42635.1</v>
      </c>
    </row>
    <row r="31" spans="1:14">
      <c r="A31" s="66">
        <v>1988</v>
      </c>
      <c r="B31" s="30">
        <v>35702.300000000003</v>
      </c>
      <c r="C31" s="30">
        <v>986.7</v>
      </c>
      <c r="D31" s="30">
        <f t="shared" si="0"/>
        <v>283.8</v>
      </c>
      <c r="E31" s="30">
        <v>209.3</v>
      </c>
      <c r="F31" s="30">
        <v>25.6</v>
      </c>
      <c r="G31" s="30">
        <v>48.9</v>
      </c>
      <c r="I31" s="135">
        <v>31290815.600000001</v>
      </c>
      <c r="J31" s="135">
        <v>817785.7</v>
      </c>
      <c r="K31" s="135">
        <f t="shared" si="1"/>
        <v>228945.2</v>
      </c>
      <c r="L31" s="135">
        <v>167757.1</v>
      </c>
      <c r="M31" s="135">
        <v>20334.7</v>
      </c>
      <c r="N31" s="135">
        <v>40853.4</v>
      </c>
    </row>
    <row r="32" spans="1:14">
      <c r="A32" s="66">
        <v>1989</v>
      </c>
      <c r="B32" s="30">
        <v>37451.9</v>
      </c>
      <c r="C32" s="30">
        <v>1266.3</v>
      </c>
      <c r="D32" s="30">
        <f t="shared" si="0"/>
        <v>296.10000000000002</v>
      </c>
      <c r="E32" s="30">
        <v>177.5</v>
      </c>
      <c r="F32" s="30">
        <v>30.7</v>
      </c>
      <c r="G32" s="30">
        <v>87.9</v>
      </c>
      <c r="I32" s="135">
        <v>32099267.399999999</v>
      </c>
      <c r="J32" s="135">
        <v>1054555.5</v>
      </c>
      <c r="K32" s="135">
        <f t="shared" si="1"/>
        <v>237047.90000000002</v>
      </c>
      <c r="L32" s="135">
        <v>142160.20000000001</v>
      </c>
      <c r="M32" s="135">
        <v>24677.599999999999</v>
      </c>
      <c r="N32" s="135">
        <v>70210.100000000006</v>
      </c>
    </row>
    <row r="33" spans="1:14">
      <c r="A33" s="66">
        <v>1990</v>
      </c>
      <c r="B33" s="30">
        <v>39433.1</v>
      </c>
      <c r="C33" s="30">
        <v>1340.1</v>
      </c>
      <c r="D33" s="30">
        <f t="shared" si="0"/>
        <v>350.6</v>
      </c>
      <c r="E33" s="30">
        <v>152.5</v>
      </c>
      <c r="F33" s="30">
        <v>29.2</v>
      </c>
      <c r="G33" s="30">
        <v>168.9</v>
      </c>
      <c r="I33" s="135">
        <v>33687819</v>
      </c>
      <c r="J33" s="135">
        <v>1097527.5</v>
      </c>
      <c r="K33" s="135">
        <f t="shared" si="1"/>
        <v>277779.5</v>
      </c>
      <c r="L33" s="135">
        <v>122660.8</v>
      </c>
      <c r="M33" s="135">
        <v>23651.599999999999</v>
      </c>
      <c r="N33" s="135">
        <v>131467.1</v>
      </c>
    </row>
    <row r="34" spans="1:14">
      <c r="A34" s="66">
        <v>1991</v>
      </c>
      <c r="B34" s="30">
        <v>41700.1</v>
      </c>
      <c r="C34" s="30">
        <v>1350</v>
      </c>
      <c r="D34" s="30">
        <f t="shared" si="0"/>
        <v>186</v>
      </c>
      <c r="E34" s="30">
        <v>88.5</v>
      </c>
      <c r="F34" s="30">
        <v>13.1</v>
      </c>
      <c r="G34" s="30">
        <v>84.4</v>
      </c>
      <c r="I34" s="135">
        <v>35509218.600000001</v>
      </c>
      <c r="J34" s="135">
        <v>1099987.2</v>
      </c>
      <c r="K34" s="135">
        <f t="shared" si="1"/>
        <v>148577.90000000002</v>
      </c>
      <c r="L34" s="135">
        <v>71167.7</v>
      </c>
      <c r="M34" s="135">
        <v>10620.6</v>
      </c>
      <c r="N34" s="135">
        <v>66789.600000000006</v>
      </c>
    </row>
    <row r="35" spans="1:14">
      <c r="A35" s="66">
        <v>1992</v>
      </c>
      <c r="B35" s="30">
        <v>37478.5</v>
      </c>
      <c r="C35" s="30">
        <v>836.3</v>
      </c>
      <c r="D35" s="30">
        <f t="shared" si="0"/>
        <v>186.8</v>
      </c>
      <c r="E35" s="30">
        <v>96.8</v>
      </c>
      <c r="F35" s="30">
        <v>10.5</v>
      </c>
      <c r="G35" s="30">
        <v>79.5</v>
      </c>
      <c r="I35" s="135">
        <v>31793346.100000001</v>
      </c>
      <c r="J35" s="135">
        <v>680174.1</v>
      </c>
      <c r="K35" s="135">
        <f t="shared" si="1"/>
        <v>148104.59999999998</v>
      </c>
      <c r="L35" s="135">
        <v>77799.899999999994</v>
      </c>
      <c r="M35" s="135">
        <v>8466.9</v>
      </c>
      <c r="N35" s="135">
        <v>61837.8</v>
      </c>
    </row>
    <row r="36" spans="1:14">
      <c r="A36" s="66">
        <v>1993</v>
      </c>
      <c r="B36" s="30">
        <v>37952.199999999997</v>
      </c>
      <c r="C36" s="30">
        <v>509.9</v>
      </c>
      <c r="D36" s="30">
        <f t="shared" si="0"/>
        <v>207.5</v>
      </c>
      <c r="E36" s="30">
        <v>149.9</v>
      </c>
      <c r="F36" s="30">
        <v>20.7</v>
      </c>
      <c r="G36" s="30">
        <v>36.9</v>
      </c>
      <c r="I36" s="135">
        <v>32480668.100000001</v>
      </c>
      <c r="J36" s="135">
        <v>422081.3</v>
      </c>
      <c r="K36" s="135">
        <f t="shared" si="1"/>
        <v>167394.4</v>
      </c>
      <c r="L36" s="135">
        <v>120172</v>
      </c>
      <c r="M36" s="135">
        <v>16635.400000000001</v>
      </c>
      <c r="N36" s="135">
        <v>30587</v>
      </c>
    </row>
    <row r="37" spans="1:14">
      <c r="A37" s="66">
        <v>1994</v>
      </c>
      <c r="B37" s="30">
        <v>42505.9</v>
      </c>
      <c r="C37" s="30">
        <v>451.3</v>
      </c>
      <c r="D37" s="30">
        <f t="shared" si="0"/>
        <v>210.4</v>
      </c>
      <c r="E37" s="30">
        <v>143.4</v>
      </c>
      <c r="F37" s="30">
        <v>24.1</v>
      </c>
      <c r="G37" s="30">
        <v>42.9</v>
      </c>
      <c r="I37" s="135">
        <v>36736328.700000003</v>
      </c>
      <c r="J37" s="135">
        <v>376088.6</v>
      </c>
      <c r="K37" s="135">
        <f t="shared" si="1"/>
        <v>170307.09999999998</v>
      </c>
      <c r="L37" s="135">
        <v>114979.8</v>
      </c>
      <c r="M37" s="135">
        <v>19450.099999999999</v>
      </c>
      <c r="N37" s="135">
        <v>35877.199999999997</v>
      </c>
    </row>
    <row r="38" spans="1:14">
      <c r="A38" s="66">
        <v>1995</v>
      </c>
      <c r="B38" s="30">
        <v>42645.9</v>
      </c>
      <c r="C38" s="30">
        <v>371.1</v>
      </c>
      <c r="D38" s="30">
        <f t="shared" si="0"/>
        <v>227.5</v>
      </c>
      <c r="E38" s="30">
        <v>112.2</v>
      </c>
      <c r="F38" s="30">
        <v>61.5</v>
      </c>
      <c r="G38" s="30">
        <v>53.8</v>
      </c>
      <c r="I38" s="135">
        <v>36869260.799999997</v>
      </c>
      <c r="J38" s="135">
        <v>305101.7</v>
      </c>
      <c r="K38" s="135">
        <f t="shared" si="1"/>
        <v>183821.59999999998</v>
      </c>
      <c r="L38" s="135">
        <v>90018.7</v>
      </c>
      <c r="M38" s="135">
        <v>49532.6</v>
      </c>
      <c r="N38" s="135">
        <v>44270.3</v>
      </c>
    </row>
    <row r="39" spans="1:14">
      <c r="A39" s="66">
        <v>1996</v>
      </c>
      <c r="B39" s="30">
        <v>40206.300000000003</v>
      </c>
      <c r="C39" s="30">
        <v>622.20000000000005</v>
      </c>
      <c r="D39" s="30">
        <f t="shared" si="0"/>
        <v>341.20000000000005</v>
      </c>
      <c r="E39" s="30">
        <v>123.4</v>
      </c>
      <c r="F39" s="30">
        <v>17</v>
      </c>
      <c r="G39" s="30">
        <v>200.8</v>
      </c>
      <c r="I39" s="135">
        <v>34895174</v>
      </c>
      <c r="J39" s="135">
        <v>519696.5</v>
      </c>
      <c r="K39" s="135">
        <f t="shared" si="1"/>
        <v>279386.2</v>
      </c>
      <c r="L39" s="135">
        <v>98942</v>
      </c>
      <c r="M39" s="135">
        <v>13619.7</v>
      </c>
      <c r="N39" s="135">
        <v>166824.5</v>
      </c>
    </row>
    <row r="40" spans="1:14">
      <c r="A40" s="66">
        <v>1997</v>
      </c>
      <c r="B40" s="30">
        <v>43583</v>
      </c>
      <c r="C40" s="30">
        <v>482</v>
      </c>
      <c r="D40" s="30">
        <f t="shared" si="0"/>
        <v>266.10000000000002</v>
      </c>
      <c r="E40" s="30">
        <v>169</v>
      </c>
      <c r="F40" s="30">
        <v>20.399999999999999</v>
      </c>
      <c r="G40" s="30">
        <v>76.7</v>
      </c>
      <c r="I40" s="135">
        <v>37818472.799999997</v>
      </c>
      <c r="J40" s="135">
        <v>400331.8</v>
      </c>
      <c r="K40" s="135">
        <f t="shared" si="1"/>
        <v>216205.09999999998</v>
      </c>
      <c r="L40" s="135">
        <v>135609</v>
      </c>
      <c r="M40" s="135">
        <v>16579.8</v>
      </c>
      <c r="N40" s="135">
        <v>64016.3</v>
      </c>
    </row>
    <row r="41" spans="1:14">
      <c r="A41" s="66">
        <v>1998</v>
      </c>
      <c r="B41" s="30">
        <v>42286.7</v>
      </c>
      <c r="C41" s="30">
        <v>459.3</v>
      </c>
      <c r="D41" s="30">
        <f t="shared" si="0"/>
        <v>227</v>
      </c>
      <c r="E41" s="30">
        <v>153.5</v>
      </c>
      <c r="F41" s="30">
        <v>21.7</v>
      </c>
      <c r="G41" s="30">
        <v>51.8</v>
      </c>
      <c r="I41" s="135">
        <v>38205081</v>
      </c>
      <c r="J41" s="135">
        <v>376058.6</v>
      </c>
      <c r="K41" s="135">
        <f t="shared" si="1"/>
        <v>183014.3</v>
      </c>
      <c r="L41" s="135">
        <v>123215.5</v>
      </c>
      <c r="M41" s="135">
        <v>17450.3</v>
      </c>
      <c r="N41" s="135">
        <v>42348.5</v>
      </c>
    </row>
    <row r="42" spans="1:14">
      <c r="A42" s="66">
        <v>1999</v>
      </c>
      <c r="B42" s="30">
        <v>43748.9</v>
      </c>
      <c r="C42" s="30">
        <v>779</v>
      </c>
      <c r="D42" s="30">
        <f t="shared" si="0"/>
        <v>260.2</v>
      </c>
      <c r="E42" s="30">
        <v>191.7</v>
      </c>
      <c r="F42" s="30">
        <v>27.6</v>
      </c>
      <c r="G42" s="30">
        <v>40.9</v>
      </c>
      <c r="I42" s="135">
        <v>38592791.5</v>
      </c>
      <c r="J42" s="135">
        <v>645579.9</v>
      </c>
      <c r="K42" s="135">
        <f t="shared" si="1"/>
        <v>211733.8</v>
      </c>
      <c r="L42" s="135">
        <v>154782.39999999999</v>
      </c>
      <c r="M42" s="135">
        <v>22697.599999999999</v>
      </c>
      <c r="N42" s="135">
        <v>34253.800000000003</v>
      </c>
    </row>
    <row r="43" spans="1:14">
      <c r="A43" s="66">
        <v>2000</v>
      </c>
      <c r="B43" s="30">
        <v>47268</v>
      </c>
      <c r="C43" s="30">
        <v>1198.7</v>
      </c>
      <c r="D43" s="30">
        <f t="shared" si="0"/>
        <v>312.7</v>
      </c>
      <c r="E43" s="30">
        <v>192.5</v>
      </c>
      <c r="F43" s="30">
        <v>30.7</v>
      </c>
      <c r="G43" s="30">
        <v>89.5</v>
      </c>
      <c r="I43" s="135">
        <v>42397022.700000003</v>
      </c>
      <c r="J43" s="135">
        <v>981220.4</v>
      </c>
      <c r="K43" s="135">
        <f t="shared" si="1"/>
        <v>255686.59999999998</v>
      </c>
      <c r="L43" s="135">
        <v>155186.9</v>
      </c>
      <c r="M43" s="135">
        <v>24419.9</v>
      </c>
      <c r="N43" s="135">
        <v>76079.8</v>
      </c>
    </row>
    <row r="44" spans="1:14">
      <c r="A44" s="66">
        <v>2001</v>
      </c>
      <c r="B44" s="30">
        <v>49936.6</v>
      </c>
      <c r="C44" s="30">
        <v>832.9</v>
      </c>
      <c r="D44" s="30">
        <f t="shared" si="0"/>
        <v>237.7</v>
      </c>
      <c r="E44" s="30">
        <v>137</v>
      </c>
      <c r="F44" s="30">
        <v>50.7</v>
      </c>
      <c r="G44" s="30">
        <v>50</v>
      </c>
      <c r="I44" s="135">
        <v>45039795.200000003</v>
      </c>
      <c r="J44" s="135">
        <v>656081.4</v>
      </c>
      <c r="K44" s="135">
        <f t="shared" si="1"/>
        <v>192750.7</v>
      </c>
      <c r="L44" s="135">
        <v>110506.6</v>
      </c>
      <c r="M44" s="135">
        <v>40770</v>
      </c>
      <c r="N44" s="135">
        <v>41474.1</v>
      </c>
    </row>
    <row r="45" spans="1:14">
      <c r="A45" s="66">
        <v>2002</v>
      </c>
      <c r="B45" s="30">
        <v>48356.3</v>
      </c>
      <c r="C45" s="30">
        <v>1085.2</v>
      </c>
      <c r="D45" s="30">
        <f t="shared" si="0"/>
        <v>263.89999999999998</v>
      </c>
      <c r="E45" s="30">
        <v>143.30000000000001</v>
      </c>
      <c r="F45" s="30">
        <v>38.200000000000003</v>
      </c>
      <c r="G45" s="30">
        <v>82.4</v>
      </c>
      <c r="I45" s="135">
        <v>42838680</v>
      </c>
      <c r="J45" s="135">
        <v>854520</v>
      </c>
      <c r="K45" s="135">
        <f t="shared" si="1"/>
        <v>212206</v>
      </c>
      <c r="L45" s="135">
        <v>114620</v>
      </c>
      <c r="M45" s="135">
        <v>30833</v>
      </c>
      <c r="N45" s="135">
        <v>66753</v>
      </c>
    </row>
    <row r="46" spans="1:14">
      <c r="A46" s="66">
        <v>2003</v>
      </c>
      <c r="B46" s="30">
        <v>52708.3</v>
      </c>
      <c r="C46" s="30">
        <v>699.6</v>
      </c>
      <c r="D46" s="30">
        <f t="shared" si="0"/>
        <v>254.7</v>
      </c>
      <c r="E46" s="30">
        <v>145.6</v>
      </c>
      <c r="F46" s="30">
        <v>46.5</v>
      </c>
      <c r="G46" s="30">
        <v>62.6</v>
      </c>
      <c r="I46" s="135">
        <v>46652835.100000001</v>
      </c>
      <c r="J46" s="135">
        <v>575111.6</v>
      </c>
      <c r="K46" s="135">
        <f t="shared" si="1"/>
        <v>208432.1</v>
      </c>
      <c r="L46" s="135">
        <v>117744.5</v>
      </c>
      <c r="M46" s="135">
        <v>37236.5</v>
      </c>
      <c r="N46" s="135">
        <v>53451.1</v>
      </c>
    </row>
    <row r="47" spans="1:14">
      <c r="A47" s="66">
        <v>2004</v>
      </c>
      <c r="B47" s="30">
        <v>57292.6</v>
      </c>
      <c r="C47" s="30">
        <v>553.70000000000005</v>
      </c>
      <c r="D47" s="30">
        <f t="shared" si="0"/>
        <v>282</v>
      </c>
      <c r="E47" s="30">
        <v>124.7</v>
      </c>
      <c r="F47" s="30">
        <v>82</v>
      </c>
      <c r="G47" s="30">
        <v>75.3</v>
      </c>
      <c r="I47" s="135">
        <v>50129021.200000003</v>
      </c>
      <c r="J47" s="135">
        <v>457012.4</v>
      </c>
      <c r="K47" s="135">
        <f t="shared" si="1"/>
        <v>229643.8</v>
      </c>
      <c r="L47" s="135">
        <v>101035.5</v>
      </c>
      <c r="M47" s="135">
        <v>65616.899999999994</v>
      </c>
      <c r="N47" s="135">
        <v>62991.4</v>
      </c>
    </row>
    <row r="48" spans="1:14">
      <c r="A48" s="66">
        <v>2005</v>
      </c>
      <c r="B48" s="30">
        <v>66470.5</v>
      </c>
      <c r="C48" s="30">
        <v>430.1</v>
      </c>
      <c r="D48" s="30">
        <f t="shared" si="0"/>
        <v>253.79999999999998</v>
      </c>
      <c r="E48" s="30">
        <v>130.9</v>
      </c>
      <c r="F48" s="30">
        <v>69.3</v>
      </c>
      <c r="G48" s="30">
        <v>53.6</v>
      </c>
      <c r="I48" s="135">
        <v>57614097.899999999</v>
      </c>
      <c r="J48" s="135">
        <v>344659</v>
      </c>
      <c r="K48" s="135">
        <f t="shared" si="1"/>
        <v>204154.5</v>
      </c>
      <c r="L48" s="135">
        <v>105147.1</v>
      </c>
      <c r="M48" s="135">
        <v>54350.5</v>
      </c>
      <c r="N48" s="135">
        <v>44656.9</v>
      </c>
    </row>
    <row r="49" spans="1:14">
      <c r="A49" s="66">
        <v>2006</v>
      </c>
      <c r="B49" s="30">
        <v>71795.3</v>
      </c>
      <c r="C49" s="30">
        <v>445.6</v>
      </c>
      <c r="D49" s="30">
        <f t="shared" si="0"/>
        <v>165</v>
      </c>
      <c r="E49" s="30">
        <v>77</v>
      </c>
      <c r="F49" s="30">
        <v>65.5</v>
      </c>
      <c r="G49" s="30">
        <v>22.5</v>
      </c>
      <c r="I49" s="135">
        <v>64508503.700000003</v>
      </c>
      <c r="J49" s="135">
        <v>354238.3</v>
      </c>
      <c r="K49" s="135">
        <f t="shared" si="1"/>
        <v>126179.4</v>
      </c>
      <c r="L49" s="135">
        <v>66949.100000000006</v>
      </c>
      <c r="M49" s="135">
        <v>43682.9</v>
      </c>
      <c r="N49" s="135">
        <v>15547.4</v>
      </c>
    </row>
    <row r="50" spans="1:14">
      <c r="A50" s="66">
        <v>2007</v>
      </c>
      <c r="B50" s="30">
        <v>76309.2</v>
      </c>
      <c r="C50" s="30">
        <v>475.9</v>
      </c>
      <c r="D50" s="30">
        <f t="shared" si="0"/>
        <v>115.2</v>
      </c>
      <c r="E50" s="30">
        <v>64.900000000000006</v>
      </c>
      <c r="F50" s="30">
        <v>24</v>
      </c>
      <c r="G50" s="30">
        <v>26.3</v>
      </c>
      <c r="I50" s="135">
        <v>63477070.299999997</v>
      </c>
      <c r="J50" s="135">
        <v>399315</v>
      </c>
      <c r="K50" s="135">
        <f t="shared" si="1"/>
        <v>131429.29999999999</v>
      </c>
      <c r="L50" s="135">
        <v>74077.100000000006</v>
      </c>
      <c r="M50" s="135">
        <v>42148.7</v>
      </c>
      <c r="N50" s="135">
        <v>15203.5</v>
      </c>
    </row>
    <row r="51" spans="1:14">
      <c r="A51" s="66">
        <v>2008</v>
      </c>
      <c r="B51" s="30">
        <v>83488.399999999994</v>
      </c>
      <c r="C51" s="30">
        <v>407.9</v>
      </c>
      <c r="D51" s="30">
        <f>SUM(E51:G51)</f>
        <v>91.2</v>
      </c>
      <c r="E51" s="30">
        <v>39.6</v>
      </c>
      <c r="F51" s="30">
        <v>10.9</v>
      </c>
      <c r="G51" s="30">
        <v>40.700000000000003</v>
      </c>
    </row>
    <row r="52" spans="1:14">
      <c r="A52" s="66">
        <v>2009</v>
      </c>
      <c r="B52" s="30">
        <v>70595.899999999994</v>
      </c>
      <c r="C52" s="30">
        <v>726.5</v>
      </c>
      <c r="D52" s="30">
        <f t="shared" si="0"/>
        <v>57</v>
      </c>
      <c r="E52" s="30">
        <v>27.3</v>
      </c>
      <c r="F52" s="30">
        <v>21</v>
      </c>
      <c r="G52" s="30">
        <v>8.6999999999999993</v>
      </c>
    </row>
    <row r="53" spans="1:14">
      <c r="A53" s="66">
        <v>2010</v>
      </c>
      <c r="B53" s="30">
        <v>85266</v>
      </c>
      <c r="C53" s="30">
        <v>1085.4000000000001</v>
      </c>
      <c r="D53" s="30">
        <f t="shared" si="0"/>
        <v>103.60000000000001</v>
      </c>
      <c r="E53" s="30">
        <v>26.1</v>
      </c>
      <c r="F53" s="30">
        <v>41.3</v>
      </c>
      <c r="G53" s="30">
        <v>36.200000000000003</v>
      </c>
    </row>
    <row r="54" spans="1:14">
      <c r="A54" s="66">
        <v>2011</v>
      </c>
      <c r="B54" s="30">
        <v>89557.2</v>
      </c>
      <c r="C54" s="30">
        <v>1211.4000000000001</v>
      </c>
      <c r="D54" s="30">
        <f t="shared" si="0"/>
        <v>111.1</v>
      </c>
      <c r="E54" s="30">
        <v>30.9</v>
      </c>
      <c r="F54" s="30">
        <v>25</v>
      </c>
      <c r="G54" s="30">
        <v>55.2</v>
      </c>
    </row>
    <row r="55" spans="1:14">
      <c r="A55" s="66">
        <v>2012</v>
      </c>
      <c r="B55" s="30">
        <v>98697.4</v>
      </c>
      <c r="C55" s="30">
        <v>927.8</v>
      </c>
      <c r="D55" s="30">
        <f t="shared" si="0"/>
        <v>124.80000000000001</v>
      </c>
      <c r="E55" s="30">
        <v>36.6</v>
      </c>
      <c r="F55" s="30">
        <v>23.5</v>
      </c>
      <c r="G55" s="30">
        <v>64.7</v>
      </c>
    </row>
    <row r="57" spans="1:14">
      <c r="A57" s="66" t="s">
        <v>23</v>
      </c>
      <c r="B57" s="56"/>
      <c r="C57" s="56"/>
    </row>
    <row r="58" spans="1:14">
      <c r="A58" s="69" t="s">
        <v>2121</v>
      </c>
      <c r="B58" s="147">
        <f>((B55/B4)^(1/51)-1)*100</f>
        <v>3.0889442815878798</v>
      </c>
      <c r="C58" s="147">
        <f t="shared" ref="C58:G58" si="2">((C55/C4)^(1/51)-1)*100</f>
        <v>1.2796102599589521</v>
      </c>
      <c r="D58" s="147">
        <f t="shared" si="2"/>
        <v>-1.5747334650330513</v>
      </c>
      <c r="E58" s="147">
        <f t="shared" si="2"/>
        <v>-3.3412452568177042</v>
      </c>
      <c r="F58" s="147">
        <f t="shared" si="2"/>
        <v>1.2937175704429649</v>
      </c>
      <c r="G58" s="147">
        <f t="shared" si="2"/>
        <v>0.11231662661850272</v>
      </c>
    </row>
    <row r="59" spans="1:14">
      <c r="A59" s="68" t="s">
        <v>1031</v>
      </c>
      <c r="B59" s="147">
        <f t="shared" ref="B59:G59" si="3">((B16/B4)^(1/12)-1)*100</f>
        <v>3.7615366456270394</v>
      </c>
      <c r="C59" s="147">
        <f t="shared" si="3"/>
        <v>10.867789571566489</v>
      </c>
      <c r="D59" s="147">
        <f t="shared" si="3"/>
        <v>4.490377942572743</v>
      </c>
      <c r="E59" s="147">
        <f t="shared" si="3"/>
        <v>3.8876268329754105</v>
      </c>
      <c r="F59" s="147">
        <f t="shared" si="3"/>
        <v>13.608268138953349</v>
      </c>
      <c r="G59" s="147">
        <f t="shared" si="3"/>
        <v>3.4036329227670192</v>
      </c>
    </row>
    <row r="60" spans="1:14">
      <c r="A60" s="68" t="s">
        <v>1032</v>
      </c>
      <c r="B60" s="147">
        <f t="shared" ref="B60:G60" si="4">((B24/B16)^(1/8)-1)*100</f>
        <v>4.5661293635510081</v>
      </c>
      <c r="C60" s="147">
        <f t="shared" si="4"/>
        <v>2.9189396760662678</v>
      </c>
      <c r="D60" s="147">
        <f t="shared" si="4"/>
        <v>-4.5087249403562346</v>
      </c>
      <c r="E60" s="147">
        <f t="shared" si="4"/>
        <v>-5.9126456994208603</v>
      </c>
      <c r="F60" s="147">
        <f t="shared" si="4"/>
        <v>-4.6915262178081623</v>
      </c>
      <c r="G60" s="147">
        <f t="shared" si="4"/>
        <v>-0.3184221811664778</v>
      </c>
    </row>
    <row r="61" spans="1:14">
      <c r="A61" s="68" t="s">
        <v>25</v>
      </c>
      <c r="B61" s="147">
        <f t="shared" ref="B61:G61" si="5">((B32/B24)^(1/8)-1)*100</f>
        <v>-2.6855168305551125</v>
      </c>
      <c r="C61" s="147">
        <f t="shared" si="5"/>
        <v>-6.1606955640693073</v>
      </c>
      <c r="D61" s="147">
        <f t="shared" si="5"/>
        <v>-1.2858506626738486</v>
      </c>
      <c r="E61" s="147">
        <f t="shared" si="5"/>
        <v>-1.5421637070849981</v>
      </c>
      <c r="F61" s="147">
        <f t="shared" si="5"/>
        <v>-2.7586691725086543</v>
      </c>
      <c r="G61" s="147">
        <f t="shared" si="5"/>
        <v>-0.15533629111132985</v>
      </c>
    </row>
    <row r="62" spans="1:14">
      <c r="A62" s="68" t="s">
        <v>26</v>
      </c>
      <c r="B62" s="147">
        <f t="shared" ref="B62:G62" si="6">((B43/B32)^(1/11)-1)*100</f>
        <v>2.1386954320765872</v>
      </c>
      <c r="C62" s="147">
        <f t="shared" si="6"/>
        <v>-0.49750040363635284</v>
      </c>
      <c r="D62" s="147">
        <f t="shared" si="6"/>
        <v>0.49711361507231988</v>
      </c>
      <c r="E62" s="147">
        <f t="shared" si="6"/>
        <v>0.74023121861099828</v>
      </c>
      <c r="F62" s="147">
        <f t="shared" si="6"/>
        <v>0</v>
      </c>
      <c r="G62" s="147">
        <f t="shared" si="6"/>
        <v>0.16412381403607679</v>
      </c>
    </row>
    <row r="63" spans="1:14">
      <c r="A63" s="69" t="s">
        <v>2028</v>
      </c>
      <c r="B63" s="147">
        <f>((B55/B43)^(1/12)-1)*100</f>
        <v>6.3273215257887649</v>
      </c>
      <c r="C63" s="147">
        <f t="shared" ref="C63:G63" si="7">((C55/C43)^(1/12)-1)*100</f>
        <v>-2.1121803312302734</v>
      </c>
      <c r="D63" s="147">
        <f t="shared" si="7"/>
        <v>-7.3688138333181445</v>
      </c>
      <c r="E63" s="147">
        <f t="shared" si="7"/>
        <v>-12.919510303224124</v>
      </c>
      <c r="F63" s="147">
        <f t="shared" si="7"/>
        <v>-2.2025666138338451</v>
      </c>
      <c r="G63" s="147">
        <f t="shared" si="7"/>
        <v>-2.6677483188433104</v>
      </c>
    </row>
    <row r="65" spans="1:1">
      <c r="A65" s="64" t="s">
        <v>1813</v>
      </c>
    </row>
  </sheetData>
  <mergeCells count="7">
    <mergeCell ref="A1:G1"/>
    <mergeCell ref="B2:B3"/>
    <mergeCell ref="D2:G2"/>
    <mergeCell ref="I2:I3"/>
    <mergeCell ref="K2:N2"/>
    <mergeCell ref="J2:J3"/>
    <mergeCell ref="C2:C3"/>
  </mergeCells>
  <pageMargins left="0.7" right="0.7" top="0.75" bottom="0.75" header="0.3" footer="0.3"/>
  <pageSetup scale="93" orientation="portrait" horizontalDpi="0" verticalDpi="0" r:id="rId1"/>
</worksheet>
</file>

<file path=xl/worksheets/sheet67.xml><?xml version="1.0" encoding="utf-8"?>
<worksheet xmlns="http://schemas.openxmlformats.org/spreadsheetml/2006/main" xmlns:r="http://schemas.openxmlformats.org/officeDocument/2006/relationships">
  <sheetPr codeName="Sheet64"/>
  <dimension ref="A1:O65"/>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5703125" style="64" customWidth="1"/>
    <col min="2" max="3" width="14.140625" style="135" customWidth="1"/>
    <col min="4" max="4" width="16" style="135" customWidth="1"/>
    <col min="5" max="5" width="11.28515625" style="135" customWidth="1"/>
    <col min="6" max="6" width="15.140625" style="135" customWidth="1"/>
    <col min="7" max="7" width="14.140625" style="135" customWidth="1"/>
    <col min="8" max="8" width="9.140625" style="135"/>
    <col min="9" max="14" width="27.7109375" style="135" hidden="1" customWidth="1" outlineLevel="1"/>
    <col min="15" max="15" width="9.140625" style="64" collapsed="1"/>
    <col min="16" max="16384" width="9.140625" style="64"/>
  </cols>
  <sheetData>
    <row r="1" spans="1:14" ht="30" customHeight="1">
      <c r="A1" s="93" t="s">
        <v>1986</v>
      </c>
      <c r="B1" s="93"/>
      <c r="C1" s="93"/>
      <c r="D1" s="93"/>
      <c r="E1" s="93"/>
      <c r="F1" s="93"/>
      <c r="G1" s="93"/>
    </row>
    <row r="2" spans="1:14">
      <c r="B2" s="123" t="s">
        <v>673</v>
      </c>
      <c r="C2" s="123" t="s">
        <v>938</v>
      </c>
      <c r="D2" s="159" t="s">
        <v>37</v>
      </c>
      <c r="E2" s="160"/>
      <c r="F2" s="160"/>
      <c r="G2" s="161"/>
      <c r="I2" s="123" t="s">
        <v>673</v>
      </c>
      <c r="J2" s="123" t="s">
        <v>938</v>
      </c>
      <c r="K2" s="159" t="s">
        <v>37</v>
      </c>
      <c r="L2" s="160"/>
      <c r="M2" s="160"/>
      <c r="N2" s="161"/>
    </row>
    <row r="3" spans="1:14" ht="60">
      <c r="B3" s="126"/>
      <c r="C3" s="126"/>
      <c r="D3" s="72" t="s">
        <v>78</v>
      </c>
      <c r="E3" s="72" t="s">
        <v>750</v>
      </c>
      <c r="F3" s="72" t="s">
        <v>745</v>
      </c>
      <c r="G3" s="72" t="s">
        <v>678</v>
      </c>
      <c r="I3" s="126"/>
      <c r="J3" s="126"/>
      <c r="K3" s="72" t="s">
        <v>78</v>
      </c>
      <c r="L3" s="72" t="s">
        <v>750</v>
      </c>
      <c r="M3" s="72" t="s">
        <v>745</v>
      </c>
      <c r="N3" s="72" t="s">
        <v>678</v>
      </c>
    </row>
    <row r="4" spans="1:14">
      <c r="A4" s="66">
        <v>1961</v>
      </c>
      <c r="B4" s="30">
        <v>14113.9</v>
      </c>
      <c r="C4" s="30">
        <v>1829.9</v>
      </c>
      <c r="D4" s="30">
        <f>SUM(E4:G4)</f>
        <v>325.3</v>
      </c>
      <c r="E4" s="30">
        <v>23.2</v>
      </c>
      <c r="F4" s="30">
        <v>102.9</v>
      </c>
      <c r="G4" s="30">
        <v>199.2</v>
      </c>
      <c r="I4" s="135">
        <v>10642841.699999999</v>
      </c>
      <c r="J4" s="135">
        <v>1352145.7</v>
      </c>
      <c r="K4" s="135">
        <f>SUM(L4:N4)</f>
        <v>239673.2</v>
      </c>
      <c r="L4" s="135">
        <v>17719.5</v>
      </c>
      <c r="M4" s="135">
        <v>70842.600000000006</v>
      </c>
      <c r="N4" s="135">
        <v>151111.1</v>
      </c>
    </row>
    <row r="5" spans="1:14" hidden="1" outlineLevel="1">
      <c r="A5" s="66">
        <v>1962</v>
      </c>
      <c r="B5" s="30">
        <v>15939.7</v>
      </c>
      <c r="C5" s="30">
        <v>2279.6999999999998</v>
      </c>
      <c r="D5" s="30">
        <f t="shared" ref="D5:D55" si="0">SUM(E5:G5)</f>
        <v>367.1</v>
      </c>
      <c r="E5" s="30">
        <v>26.1</v>
      </c>
      <c r="F5" s="30">
        <v>89.5</v>
      </c>
      <c r="G5" s="30">
        <v>251.5</v>
      </c>
      <c r="I5" s="135">
        <v>12021200.1</v>
      </c>
      <c r="J5" s="135">
        <v>1690816.3</v>
      </c>
      <c r="K5" s="135">
        <f t="shared" ref="K5:K50" si="1">SUM(L5:N5)</f>
        <v>263563</v>
      </c>
      <c r="L5" s="135">
        <v>19769.2</v>
      </c>
      <c r="M5" s="135">
        <v>62819.4</v>
      </c>
      <c r="N5" s="135">
        <v>180974.4</v>
      </c>
    </row>
    <row r="6" spans="1:14" hidden="1" outlineLevel="1">
      <c r="A6" s="66">
        <v>1963</v>
      </c>
      <c r="B6" s="30">
        <v>16029.3</v>
      </c>
      <c r="C6" s="30">
        <v>2397.6999999999998</v>
      </c>
      <c r="D6" s="30">
        <f t="shared" si="0"/>
        <v>393.3</v>
      </c>
      <c r="E6" s="30">
        <v>25.8</v>
      </c>
      <c r="F6" s="30">
        <v>91.2</v>
      </c>
      <c r="G6" s="30">
        <v>276.3</v>
      </c>
      <c r="I6" s="135">
        <v>12086776</v>
      </c>
      <c r="J6" s="135">
        <v>1772600.2</v>
      </c>
      <c r="K6" s="135">
        <f t="shared" si="1"/>
        <v>283985.40000000002</v>
      </c>
      <c r="L6" s="135">
        <v>19355.8</v>
      </c>
      <c r="M6" s="135">
        <v>64244.800000000003</v>
      </c>
      <c r="N6" s="135">
        <v>200384.8</v>
      </c>
    </row>
    <row r="7" spans="1:14" hidden="1" outlineLevel="1">
      <c r="A7" s="66">
        <v>1964</v>
      </c>
      <c r="B7" s="30">
        <v>16902.900000000001</v>
      </c>
      <c r="C7" s="30">
        <v>3193.3</v>
      </c>
      <c r="D7" s="30">
        <f t="shared" si="0"/>
        <v>607.4</v>
      </c>
      <c r="E7" s="30">
        <v>37</v>
      </c>
      <c r="F7" s="30">
        <v>116</v>
      </c>
      <c r="G7" s="30">
        <v>454.4</v>
      </c>
      <c r="I7" s="135">
        <v>12724911</v>
      </c>
      <c r="J7" s="135">
        <v>2363249.6</v>
      </c>
      <c r="K7" s="135">
        <f t="shared" si="1"/>
        <v>442356.4</v>
      </c>
      <c r="L7" s="135">
        <v>27556.1</v>
      </c>
      <c r="M7" s="135">
        <v>82404.899999999994</v>
      </c>
      <c r="N7" s="135">
        <v>332395.40000000002</v>
      </c>
    </row>
    <row r="8" spans="1:14" hidden="1" outlineLevel="1">
      <c r="A8" s="66">
        <v>1965</v>
      </c>
      <c r="B8" s="30">
        <v>20419.2</v>
      </c>
      <c r="C8" s="30">
        <v>4125.2</v>
      </c>
      <c r="D8" s="30">
        <f t="shared" si="0"/>
        <v>927.6</v>
      </c>
      <c r="E8" s="30">
        <v>43.9</v>
      </c>
      <c r="F8" s="30">
        <v>160.80000000000001</v>
      </c>
      <c r="G8" s="30">
        <v>722.9</v>
      </c>
      <c r="I8" s="135">
        <v>15396396.300000001</v>
      </c>
      <c r="J8" s="135">
        <v>3040983</v>
      </c>
      <c r="K8" s="135">
        <f t="shared" si="1"/>
        <v>669797.30000000005</v>
      </c>
      <c r="L8" s="135">
        <v>33141.699999999997</v>
      </c>
      <c r="M8" s="135">
        <v>112359.5</v>
      </c>
      <c r="N8" s="135">
        <v>524296.1</v>
      </c>
    </row>
    <row r="9" spans="1:14" hidden="1" outlineLevel="1">
      <c r="A9" s="66">
        <v>1966</v>
      </c>
      <c r="B9" s="30">
        <v>23661.3</v>
      </c>
      <c r="C9" s="30">
        <v>4901.8999999999996</v>
      </c>
      <c r="D9" s="30">
        <f t="shared" si="0"/>
        <v>1010.9000000000001</v>
      </c>
      <c r="E9" s="30">
        <v>38.299999999999997</v>
      </c>
      <c r="F9" s="30">
        <v>153.9</v>
      </c>
      <c r="G9" s="30">
        <v>818.7</v>
      </c>
      <c r="I9" s="135">
        <v>17750421</v>
      </c>
      <c r="J9" s="135">
        <v>3628311.8</v>
      </c>
      <c r="K9" s="135">
        <f t="shared" si="1"/>
        <v>732279.39999999991</v>
      </c>
      <c r="L9" s="135">
        <v>28896.7</v>
      </c>
      <c r="M9" s="135">
        <v>109049.5</v>
      </c>
      <c r="N9" s="135">
        <v>594333.19999999995</v>
      </c>
    </row>
    <row r="10" spans="1:14" hidden="1" outlineLevel="1">
      <c r="A10" s="66">
        <v>1967</v>
      </c>
      <c r="B10" s="30">
        <v>21835.8</v>
      </c>
      <c r="C10" s="30">
        <v>3730.8</v>
      </c>
      <c r="D10" s="30">
        <f t="shared" si="0"/>
        <v>746.40000000000009</v>
      </c>
      <c r="E10" s="30">
        <v>39</v>
      </c>
      <c r="F10" s="30">
        <v>100.7</v>
      </c>
      <c r="G10" s="30">
        <v>606.70000000000005</v>
      </c>
      <c r="I10" s="135">
        <v>16307926.300000001</v>
      </c>
      <c r="J10" s="135">
        <v>2735924.2</v>
      </c>
      <c r="K10" s="135">
        <f t="shared" si="1"/>
        <v>538918.6</v>
      </c>
      <c r="L10" s="135">
        <v>29374.2</v>
      </c>
      <c r="M10" s="135">
        <v>71979.899999999994</v>
      </c>
      <c r="N10" s="135">
        <v>437564.5</v>
      </c>
    </row>
    <row r="11" spans="1:14" hidden="1" outlineLevel="1">
      <c r="A11" s="66">
        <v>1968</v>
      </c>
      <c r="B11" s="30">
        <v>21108.6</v>
      </c>
      <c r="C11" s="30">
        <v>3045.2</v>
      </c>
      <c r="D11" s="30">
        <f t="shared" si="0"/>
        <v>504.69999999999993</v>
      </c>
      <c r="E11" s="30">
        <v>28.2</v>
      </c>
      <c r="F11" s="30">
        <v>110.1</v>
      </c>
      <c r="G11" s="30">
        <v>366.4</v>
      </c>
      <c r="I11" s="135">
        <v>15813374.6</v>
      </c>
      <c r="J11" s="135">
        <v>2234995.7000000002</v>
      </c>
      <c r="K11" s="135">
        <f t="shared" si="1"/>
        <v>360000.80000000005</v>
      </c>
      <c r="L11" s="135">
        <v>20467.8</v>
      </c>
      <c r="M11" s="135">
        <v>76541.3</v>
      </c>
      <c r="N11" s="135">
        <v>262991.7</v>
      </c>
    </row>
    <row r="12" spans="1:14" hidden="1" outlineLevel="1">
      <c r="A12" s="66">
        <v>1969</v>
      </c>
      <c r="B12" s="30">
        <v>20892.5</v>
      </c>
      <c r="C12" s="30">
        <v>3696.3</v>
      </c>
      <c r="D12" s="30">
        <f t="shared" si="0"/>
        <v>886.09999999999991</v>
      </c>
      <c r="E12" s="30">
        <v>42.3</v>
      </c>
      <c r="F12" s="30">
        <v>293.5</v>
      </c>
      <c r="G12" s="30">
        <v>550.29999999999995</v>
      </c>
      <c r="I12" s="135">
        <v>15570223</v>
      </c>
      <c r="J12" s="135">
        <v>2712080.6</v>
      </c>
      <c r="K12" s="135">
        <f t="shared" si="1"/>
        <v>630692.19999999995</v>
      </c>
      <c r="L12" s="135">
        <v>30715.9</v>
      </c>
      <c r="M12" s="135">
        <v>200125.1</v>
      </c>
      <c r="N12" s="135">
        <v>399851.2</v>
      </c>
    </row>
    <row r="13" spans="1:14" hidden="1" outlineLevel="1">
      <c r="A13" s="66">
        <v>1970</v>
      </c>
      <c r="B13" s="30">
        <v>21592.400000000001</v>
      </c>
      <c r="C13" s="30">
        <v>4603.6000000000004</v>
      </c>
      <c r="D13" s="30">
        <f t="shared" si="0"/>
        <v>906.6</v>
      </c>
      <c r="E13" s="30">
        <v>29.5</v>
      </c>
      <c r="F13" s="30">
        <v>288</v>
      </c>
      <c r="G13" s="30">
        <v>589.1</v>
      </c>
      <c r="I13" s="135">
        <v>16141648.699999999</v>
      </c>
      <c r="J13" s="135">
        <v>3374808.7</v>
      </c>
      <c r="K13" s="135">
        <f t="shared" si="1"/>
        <v>642456.29999999993</v>
      </c>
      <c r="L13" s="135">
        <v>21481.4</v>
      </c>
      <c r="M13" s="135">
        <v>193761.3</v>
      </c>
      <c r="N13" s="135">
        <v>427213.6</v>
      </c>
    </row>
    <row r="14" spans="1:14" hidden="1" outlineLevel="1">
      <c r="A14" s="66">
        <v>1971</v>
      </c>
      <c r="B14" s="30">
        <v>22132.6</v>
      </c>
      <c r="C14" s="30">
        <v>3277.6</v>
      </c>
      <c r="D14" s="30">
        <f t="shared" si="0"/>
        <v>838.5</v>
      </c>
      <c r="E14" s="30">
        <v>16.600000000000001</v>
      </c>
      <c r="F14" s="30">
        <v>208.3</v>
      </c>
      <c r="G14" s="30">
        <v>613.6</v>
      </c>
      <c r="I14" s="135">
        <v>16529332.800000001</v>
      </c>
      <c r="J14" s="135">
        <v>2400412.9</v>
      </c>
      <c r="K14" s="135">
        <f t="shared" si="1"/>
        <v>592119.30000000005</v>
      </c>
      <c r="L14" s="135">
        <v>11973.9</v>
      </c>
      <c r="M14" s="135">
        <v>141353</v>
      </c>
      <c r="N14" s="135">
        <v>438792.4</v>
      </c>
    </row>
    <row r="15" spans="1:14" hidden="1" outlineLevel="1">
      <c r="A15" s="66">
        <v>1972</v>
      </c>
      <c r="B15" s="30">
        <v>20974.5</v>
      </c>
      <c r="C15" s="30">
        <v>3013.9</v>
      </c>
      <c r="D15" s="30">
        <f t="shared" si="0"/>
        <v>727.6</v>
      </c>
      <c r="E15" s="30">
        <v>25.2</v>
      </c>
      <c r="F15" s="30">
        <v>228.6</v>
      </c>
      <c r="G15" s="30">
        <v>473.8</v>
      </c>
      <c r="I15" s="135">
        <v>15742026.4</v>
      </c>
      <c r="J15" s="135">
        <v>2221869.1</v>
      </c>
      <c r="K15" s="135">
        <f t="shared" si="1"/>
        <v>521102.6</v>
      </c>
      <c r="L15" s="135">
        <v>18065.8</v>
      </c>
      <c r="M15" s="135">
        <v>161558</v>
      </c>
      <c r="N15" s="135">
        <v>341478.8</v>
      </c>
    </row>
    <row r="16" spans="1:14" collapsed="1">
      <c r="A16" s="66">
        <v>1973</v>
      </c>
      <c r="B16" s="30">
        <v>21977.200000000001</v>
      </c>
      <c r="C16" s="30">
        <v>3275.2</v>
      </c>
      <c r="D16" s="30">
        <f t="shared" si="0"/>
        <v>667.8</v>
      </c>
      <c r="E16" s="30">
        <v>50.7</v>
      </c>
      <c r="F16" s="30">
        <v>336.3</v>
      </c>
      <c r="G16" s="30">
        <v>280.8</v>
      </c>
      <c r="I16" s="135">
        <v>16484379.300000001</v>
      </c>
      <c r="J16" s="135">
        <v>2417590.7000000002</v>
      </c>
      <c r="K16" s="135">
        <f t="shared" si="1"/>
        <v>487352.1</v>
      </c>
      <c r="L16" s="135">
        <v>37550.699999999997</v>
      </c>
      <c r="M16" s="135">
        <v>240720.1</v>
      </c>
      <c r="N16" s="135">
        <v>209081.3</v>
      </c>
    </row>
    <row r="17" spans="1:14" hidden="1" outlineLevel="1">
      <c r="A17" s="66">
        <v>1974</v>
      </c>
      <c r="B17" s="30">
        <v>23461.4</v>
      </c>
      <c r="C17" s="30">
        <v>3861.3</v>
      </c>
      <c r="D17" s="30">
        <f t="shared" si="0"/>
        <v>737.9</v>
      </c>
      <c r="E17" s="30">
        <v>69.599999999999994</v>
      </c>
      <c r="F17" s="30">
        <v>305.8</v>
      </c>
      <c r="G17" s="30">
        <v>362.5</v>
      </c>
      <c r="I17" s="135">
        <v>17655097.199999999</v>
      </c>
      <c r="J17" s="135">
        <v>2853889.3</v>
      </c>
      <c r="K17" s="135">
        <f t="shared" si="1"/>
        <v>547516</v>
      </c>
      <c r="L17" s="135">
        <v>52300.1</v>
      </c>
      <c r="M17" s="135">
        <v>222009.1</v>
      </c>
      <c r="N17" s="135">
        <v>273206.8</v>
      </c>
    </row>
    <row r="18" spans="1:14" hidden="1" outlineLevel="1">
      <c r="A18" s="66">
        <v>1975</v>
      </c>
      <c r="B18" s="30">
        <v>25227.9</v>
      </c>
      <c r="C18" s="30">
        <v>3549.3</v>
      </c>
      <c r="D18" s="30">
        <f t="shared" si="0"/>
        <v>639.20000000000005</v>
      </c>
      <c r="E18" s="30">
        <v>51.5</v>
      </c>
      <c r="F18" s="30">
        <v>257.7</v>
      </c>
      <c r="G18" s="30">
        <v>330</v>
      </c>
      <c r="I18" s="135">
        <v>18983828.600000001</v>
      </c>
      <c r="J18" s="135">
        <v>2618591.7999999998</v>
      </c>
      <c r="K18" s="135">
        <f t="shared" si="1"/>
        <v>465784.9</v>
      </c>
      <c r="L18" s="135">
        <v>37841.300000000003</v>
      </c>
      <c r="M18" s="135">
        <v>185622.1</v>
      </c>
      <c r="N18" s="135">
        <v>242321.5</v>
      </c>
    </row>
    <row r="19" spans="1:14" hidden="1" outlineLevel="1">
      <c r="A19" s="66">
        <v>1976</v>
      </c>
      <c r="B19" s="30">
        <v>23880.2</v>
      </c>
      <c r="C19" s="30">
        <v>3065.1</v>
      </c>
      <c r="D19" s="30">
        <f t="shared" si="0"/>
        <v>629</v>
      </c>
      <c r="E19" s="30">
        <v>38.9</v>
      </c>
      <c r="F19" s="30">
        <v>174.6</v>
      </c>
      <c r="G19" s="30">
        <v>415.5</v>
      </c>
      <c r="I19" s="135">
        <v>17891570.199999999</v>
      </c>
      <c r="J19" s="135">
        <v>2255485.4</v>
      </c>
      <c r="K19" s="135">
        <f t="shared" si="1"/>
        <v>454067.4</v>
      </c>
      <c r="L19" s="135">
        <v>29248.9</v>
      </c>
      <c r="M19" s="135">
        <v>122349</v>
      </c>
      <c r="N19" s="135">
        <v>302469.5</v>
      </c>
    </row>
    <row r="20" spans="1:14" hidden="1" outlineLevel="1">
      <c r="A20" s="66">
        <v>1977</v>
      </c>
      <c r="B20" s="30">
        <v>24434</v>
      </c>
      <c r="C20" s="30">
        <v>3863.1</v>
      </c>
      <c r="D20" s="30">
        <f t="shared" si="0"/>
        <v>790.7</v>
      </c>
      <c r="E20" s="30">
        <v>44</v>
      </c>
      <c r="F20" s="30">
        <v>202.7</v>
      </c>
      <c r="G20" s="30">
        <v>544</v>
      </c>
      <c r="I20" s="135">
        <v>18149850.699999999</v>
      </c>
      <c r="J20" s="135">
        <v>2832326.6</v>
      </c>
      <c r="K20" s="135">
        <f t="shared" si="1"/>
        <v>580488.89999999991</v>
      </c>
      <c r="L20" s="135">
        <v>32803.300000000003</v>
      </c>
      <c r="M20" s="135">
        <v>143161.5</v>
      </c>
      <c r="N20" s="135">
        <v>404524.1</v>
      </c>
    </row>
    <row r="21" spans="1:14" hidden="1" outlineLevel="1">
      <c r="A21" s="66">
        <v>1978</v>
      </c>
      <c r="B21" s="30">
        <v>24234.400000000001</v>
      </c>
      <c r="C21" s="30">
        <v>3233.8</v>
      </c>
      <c r="D21" s="30">
        <f t="shared" si="0"/>
        <v>494.6</v>
      </c>
      <c r="E21" s="30">
        <v>26</v>
      </c>
      <c r="F21" s="30">
        <v>220</v>
      </c>
      <c r="G21" s="30">
        <v>248.6</v>
      </c>
      <c r="I21" s="135">
        <v>17877665.5</v>
      </c>
      <c r="J21" s="135">
        <v>2354490.2000000002</v>
      </c>
      <c r="K21" s="135">
        <f t="shared" si="1"/>
        <v>357768.5</v>
      </c>
      <c r="L21" s="135">
        <v>19459.2</v>
      </c>
      <c r="M21" s="135">
        <v>152840.20000000001</v>
      </c>
      <c r="N21" s="135">
        <v>185469.1</v>
      </c>
    </row>
    <row r="22" spans="1:14" hidden="1" outlineLevel="1">
      <c r="A22" s="66">
        <v>1979</v>
      </c>
      <c r="B22" s="30">
        <v>27897.9</v>
      </c>
      <c r="C22" s="30">
        <v>4049.5</v>
      </c>
      <c r="D22" s="30">
        <f t="shared" si="0"/>
        <v>507</v>
      </c>
      <c r="E22" s="30">
        <v>37.5</v>
      </c>
      <c r="F22" s="30">
        <v>267.39999999999998</v>
      </c>
      <c r="G22" s="30">
        <v>202.1</v>
      </c>
      <c r="I22" s="135">
        <v>20347023.899999999</v>
      </c>
      <c r="J22" s="135">
        <v>2954029.7</v>
      </c>
      <c r="K22" s="135">
        <f t="shared" si="1"/>
        <v>361085.80000000005</v>
      </c>
      <c r="L22" s="135">
        <v>26946.1</v>
      </c>
      <c r="M22" s="135">
        <v>184416.1</v>
      </c>
      <c r="N22" s="135">
        <v>149723.6</v>
      </c>
    </row>
    <row r="23" spans="1:14" hidden="1" outlineLevel="1">
      <c r="A23" s="66">
        <v>1980</v>
      </c>
      <c r="B23" s="30">
        <v>30739.3</v>
      </c>
      <c r="C23" s="30">
        <v>5339.8</v>
      </c>
      <c r="D23" s="30">
        <f t="shared" si="0"/>
        <v>823.09999999999991</v>
      </c>
      <c r="E23" s="30">
        <v>52.5</v>
      </c>
      <c r="F23" s="30">
        <v>264.39999999999998</v>
      </c>
      <c r="G23" s="30">
        <v>506.2</v>
      </c>
      <c r="I23" s="135">
        <v>22366321.899999999</v>
      </c>
      <c r="J23" s="135">
        <v>3897859.3</v>
      </c>
      <c r="K23" s="135">
        <f t="shared" si="1"/>
        <v>585110.6</v>
      </c>
      <c r="L23" s="135">
        <v>38581.1</v>
      </c>
      <c r="M23" s="135">
        <v>184983.8</v>
      </c>
      <c r="N23" s="135">
        <v>361545.7</v>
      </c>
    </row>
    <row r="24" spans="1:14" collapsed="1">
      <c r="A24" s="66">
        <v>1981</v>
      </c>
      <c r="B24" s="30">
        <v>31560.6</v>
      </c>
      <c r="C24" s="30">
        <v>5650.9</v>
      </c>
      <c r="D24" s="30">
        <f t="shared" si="0"/>
        <v>1129</v>
      </c>
      <c r="E24" s="30">
        <v>45</v>
      </c>
      <c r="F24" s="30">
        <v>233.1</v>
      </c>
      <c r="G24" s="30">
        <v>850.9</v>
      </c>
      <c r="I24" s="135">
        <v>22885256.5</v>
      </c>
      <c r="J24" s="135">
        <v>4103157.5</v>
      </c>
      <c r="K24" s="135">
        <f t="shared" si="1"/>
        <v>817569</v>
      </c>
      <c r="L24" s="135">
        <v>33302.1</v>
      </c>
      <c r="M24" s="135">
        <v>162618.79999999999</v>
      </c>
      <c r="N24" s="135">
        <v>621648.1</v>
      </c>
    </row>
    <row r="25" spans="1:14">
      <c r="A25" s="66">
        <v>1982</v>
      </c>
      <c r="B25" s="30">
        <v>26551.9</v>
      </c>
      <c r="C25" s="30">
        <v>4298.2</v>
      </c>
      <c r="D25" s="30">
        <f t="shared" si="0"/>
        <v>863.59999999999991</v>
      </c>
      <c r="E25" s="30">
        <v>15.1</v>
      </c>
      <c r="F25" s="30">
        <v>184.2</v>
      </c>
      <c r="G25" s="30">
        <v>664.3</v>
      </c>
      <c r="I25" s="135">
        <v>19349911.199999999</v>
      </c>
      <c r="J25" s="135">
        <v>3136315.3</v>
      </c>
      <c r="K25" s="135">
        <f t="shared" si="1"/>
        <v>643525.4</v>
      </c>
      <c r="L25" s="135">
        <v>11421.6</v>
      </c>
      <c r="M25" s="135">
        <v>134723.1</v>
      </c>
      <c r="N25" s="135">
        <v>497380.7</v>
      </c>
    </row>
    <row r="26" spans="1:14">
      <c r="A26" s="66">
        <v>1983</v>
      </c>
      <c r="B26" s="30">
        <v>25015.5</v>
      </c>
      <c r="C26" s="30">
        <v>2597.9</v>
      </c>
      <c r="D26" s="30">
        <f t="shared" si="0"/>
        <v>381.1</v>
      </c>
      <c r="E26" s="30">
        <v>9.1999999999999993</v>
      </c>
      <c r="F26" s="30">
        <v>109.4</v>
      </c>
      <c r="G26" s="30">
        <v>262.5</v>
      </c>
      <c r="I26" s="135">
        <v>18293595.199999999</v>
      </c>
      <c r="J26" s="135">
        <v>1919581.9</v>
      </c>
      <c r="K26" s="135">
        <f t="shared" si="1"/>
        <v>289657.8</v>
      </c>
      <c r="L26" s="135">
        <v>6788.1</v>
      </c>
      <c r="M26" s="135">
        <v>80941.8</v>
      </c>
      <c r="N26" s="135">
        <v>201927.9</v>
      </c>
    </row>
    <row r="27" spans="1:14">
      <c r="A27" s="66">
        <v>1984</v>
      </c>
      <c r="B27" s="30">
        <v>26760.3</v>
      </c>
      <c r="C27" s="30">
        <v>3295.2</v>
      </c>
      <c r="D27" s="30">
        <f t="shared" si="0"/>
        <v>455.4</v>
      </c>
      <c r="E27" s="30">
        <v>10.8</v>
      </c>
      <c r="F27" s="30">
        <v>119.1</v>
      </c>
      <c r="G27" s="30">
        <v>325.5</v>
      </c>
      <c r="I27" s="135">
        <v>19724912.699999999</v>
      </c>
      <c r="J27" s="135">
        <v>2468439.1</v>
      </c>
      <c r="K27" s="135">
        <f t="shared" si="1"/>
        <v>337732.7</v>
      </c>
      <c r="L27" s="135">
        <v>8501.2000000000007</v>
      </c>
      <c r="M27" s="135">
        <v>86946</v>
      </c>
      <c r="N27" s="135">
        <v>242285.5</v>
      </c>
    </row>
    <row r="28" spans="1:14">
      <c r="A28" s="66">
        <v>1985</v>
      </c>
      <c r="B28" s="30">
        <v>30757.200000000001</v>
      </c>
      <c r="C28" s="30">
        <v>4938.6000000000004</v>
      </c>
      <c r="D28" s="30">
        <f t="shared" si="0"/>
        <v>591.1</v>
      </c>
      <c r="E28" s="30">
        <v>11.5</v>
      </c>
      <c r="F28" s="30">
        <v>117.8</v>
      </c>
      <c r="G28" s="30">
        <v>461.8</v>
      </c>
      <c r="I28" s="135">
        <v>22749881.100000001</v>
      </c>
      <c r="J28" s="135">
        <v>3719938.1</v>
      </c>
      <c r="K28" s="135">
        <f t="shared" si="1"/>
        <v>442980.9</v>
      </c>
      <c r="L28" s="135">
        <v>9105.2000000000007</v>
      </c>
      <c r="M28" s="135">
        <v>85680.5</v>
      </c>
      <c r="N28" s="135">
        <v>348195.2</v>
      </c>
    </row>
    <row r="29" spans="1:14">
      <c r="A29" s="66">
        <v>1986</v>
      </c>
      <c r="B29" s="30">
        <v>32225.8</v>
      </c>
      <c r="C29" s="30">
        <v>4570.8</v>
      </c>
      <c r="D29" s="30">
        <f t="shared" si="0"/>
        <v>595.9</v>
      </c>
      <c r="E29" s="30">
        <v>4.4000000000000004</v>
      </c>
      <c r="F29" s="30">
        <v>178</v>
      </c>
      <c r="G29" s="30">
        <v>413.5</v>
      </c>
      <c r="I29" s="135">
        <v>23880738.100000001</v>
      </c>
      <c r="J29" s="135">
        <v>3411091</v>
      </c>
      <c r="K29" s="135">
        <f t="shared" si="1"/>
        <v>450719.2</v>
      </c>
      <c r="L29" s="135">
        <v>3442.2</v>
      </c>
      <c r="M29" s="135">
        <v>126042.8</v>
      </c>
      <c r="N29" s="135">
        <v>321234.2</v>
      </c>
    </row>
    <row r="30" spans="1:14">
      <c r="A30" s="66">
        <v>1987</v>
      </c>
      <c r="B30" s="30">
        <v>35408.800000000003</v>
      </c>
      <c r="C30" s="30">
        <v>4524.3999999999996</v>
      </c>
      <c r="D30" s="30">
        <f t="shared" si="0"/>
        <v>676.7</v>
      </c>
      <c r="E30" s="30">
        <v>9.8000000000000007</v>
      </c>
      <c r="F30" s="30">
        <v>280.7</v>
      </c>
      <c r="G30" s="30">
        <v>386.2</v>
      </c>
      <c r="I30" s="135">
        <v>26332715</v>
      </c>
      <c r="J30" s="135">
        <v>3339189</v>
      </c>
      <c r="K30" s="135">
        <f t="shared" si="1"/>
        <v>483757.5</v>
      </c>
      <c r="L30" s="135">
        <v>6973.1</v>
      </c>
      <c r="M30" s="135">
        <v>194941.9</v>
      </c>
      <c r="N30" s="135">
        <v>281842.5</v>
      </c>
    </row>
    <row r="31" spans="1:14">
      <c r="A31" s="66">
        <v>1988</v>
      </c>
      <c r="B31" s="30">
        <v>37588.400000000001</v>
      </c>
      <c r="C31" s="30">
        <v>4888</v>
      </c>
      <c r="D31" s="30">
        <f t="shared" si="0"/>
        <v>1365.4</v>
      </c>
      <c r="E31" s="30">
        <v>13.2</v>
      </c>
      <c r="F31" s="30">
        <v>367.8</v>
      </c>
      <c r="G31" s="30">
        <v>984.4</v>
      </c>
      <c r="I31" s="135">
        <v>27994831.399999999</v>
      </c>
      <c r="J31" s="135">
        <v>3603678.1</v>
      </c>
      <c r="K31" s="135">
        <f t="shared" si="1"/>
        <v>960098.2</v>
      </c>
      <c r="L31" s="135">
        <v>9887.5</v>
      </c>
      <c r="M31" s="135">
        <v>253644.6</v>
      </c>
      <c r="N31" s="135">
        <v>696566.1</v>
      </c>
    </row>
    <row r="32" spans="1:14">
      <c r="A32" s="66">
        <v>1989</v>
      </c>
      <c r="B32" s="30">
        <v>39464.800000000003</v>
      </c>
      <c r="C32" s="30">
        <v>5915.6</v>
      </c>
      <c r="D32" s="30">
        <f t="shared" si="0"/>
        <v>1978.2</v>
      </c>
      <c r="E32" s="30">
        <v>7.2</v>
      </c>
      <c r="F32" s="30">
        <v>429.1</v>
      </c>
      <c r="G32" s="30">
        <v>1541.9</v>
      </c>
      <c r="I32" s="135">
        <v>29482130.300000001</v>
      </c>
      <c r="J32" s="135">
        <v>4320304</v>
      </c>
      <c r="K32" s="135">
        <f t="shared" si="1"/>
        <v>1382890.4</v>
      </c>
      <c r="L32" s="135">
        <v>5264.1</v>
      </c>
      <c r="M32" s="135">
        <v>293655.09999999998</v>
      </c>
      <c r="N32" s="135">
        <v>1083971.2</v>
      </c>
    </row>
    <row r="33" spans="1:14">
      <c r="A33" s="66">
        <v>1990</v>
      </c>
      <c r="B33" s="30">
        <v>38625.800000000003</v>
      </c>
      <c r="C33" s="30">
        <v>5374.6</v>
      </c>
      <c r="D33" s="30">
        <f t="shared" si="0"/>
        <v>1060.1999999999998</v>
      </c>
      <c r="E33" s="30">
        <v>12.2</v>
      </c>
      <c r="F33" s="30">
        <v>249.2</v>
      </c>
      <c r="G33" s="30">
        <v>798.8</v>
      </c>
      <c r="I33" s="135">
        <v>28901381.800000001</v>
      </c>
      <c r="J33" s="135">
        <v>4012420.5</v>
      </c>
      <c r="K33" s="135">
        <f t="shared" si="1"/>
        <v>748128.10000000009</v>
      </c>
      <c r="L33" s="135">
        <v>8730.5</v>
      </c>
      <c r="M33" s="135">
        <v>172516.7</v>
      </c>
      <c r="N33" s="135">
        <v>566880.9</v>
      </c>
    </row>
    <row r="34" spans="1:14">
      <c r="A34" s="66">
        <v>1991</v>
      </c>
      <c r="B34" s="30">
        <v>34143.699999999997</v>
      </c>
      <c r="C34" s="30">
        <v>4321.2</v>
      </c>
      <c r="D34" s="30">
        <f t="shared" si="0"/>
        <v>1247.0999999999999</v>
      </c>
      <c r="E34" s="30">
        <v>7.1</v>
      </c>
      <c r="F34" s="30">
        <v>226.2</v>
      </c>
      <c r="G34" s="30">
        <v>1013.8</v>
      </c>
      <c r="I34" s="135">
        <v>25436876.699999999</v>
      </c>
      <c r="J34" s="135">
        <v>3140473.5</v>
      </c>
      <c r="K34" s="135">
        <f t="shared" si="1"/>
        <v>856911.39999999991</v>
      </c>
      <c r="L34" s="135">
        <v>5330.6</v>
      </c>
      <c r="M34" s="135">
        <v>152927.6</v>
      </c>
      <c r="N34" s="135">
        <v>698653.2</v>
      </c>
    </row>
    <row r="35" spans="1:14">
      <c r="A35" s="66">
        <v>1992</v>
      </c>
      <c r="B35" s="30">
        <v>29621.8</v>
      </c>
      <c r="C35" s="30">
        <v>3279.6</v>
      </c>
      <c r="D35" s="30">
        <f t="shared" si="0"/>
        <v>1327.7</v>
      </c>
      <c r="E35" s="30">
        <v>7.3</v>
      </c>
      <c r="F35" s="30">
        <v>265.2</v>
      </c>
      <c r="G35" s="30">
        <v>1055.2</v>
      </c>
      <c r="I35" s="135">
        <v>21909276.100000001</v>
      </c>
      <c r="J35" s="135">
        <v>2314432.2999999998</v>
      </c>
      <c r="K35" s="135">
        <f t="shared" si="1"/>
        <v>883454.1</v>
      </c>
      <c r="L35" s="135">
        <v>5320.6</v>
      </c>
      <c r="M35" s="135">
        <v>175917.8</v>
      </c>
      <c r="N35" s="135">
        <v>702215.7</v>
      </c>
    </row>
    <row r="36" spans="1:14">
      <c r="A36" s="66">
        <v>1993</v>
      </c>
      <c r="B36" s="30">
        <v>28284.3</v>
      </c>
      <c r="C36" s="30">
        <v>2772.3</v>
      </c>
      <c r="D36" s="30">
        <f t="shared" si="0"/>
        <v>862.8</v>
      </c>
      <c r="E36" s="30">
        <v>3.6</v>
      </c>
      <c r="F36" s="30">
        <v>251.3</v>
      </c>
      <c r="G36" s="30">
        <v>607.9</v>
      </c>
      <c r="I36" s="135">
        <v>21112263.5</v>
      </c>
      <c r="J36" s="135">
        <v>1975596.2</v>
      </c>
      <c r="K36" s="135">
        <f t="shared" si="1"/>
        <v>576356.6</v>
      </c>
      <c r="L36" s="135">
        <v>2550.1999999999998</v>
      </c>
      <c r="M36" s="135">
        <v>167405.9</v>
      </c>
      <c r="N36" s="135">
        <v>406400.5</v>
      </c>
    </row>
    <row r="37" spans="1:14">
      <c r="A37" s="66">
        <v>1994</v>
      </c>
      <c r="B37" s="30">
        <v>29362.9</v>
      </c>
      <c r="C37" s="30">
        <v>3707.8</v>
      </c>
      <c r="D37" s="30">
        <f t="shared" si="0"/>
        <v>769.2</v>
      </c>
      <c r="E37" s="30">
        <v>8.5</v>
      </c>
      <c r="F37" s="30">
        <v>358.3</v>
      </c>
      <c r="G37" s="30">
        <v>402.4</v>
      </c>
      <c r="I37" s="135">
        <v>21905050.100000001</v>
      </c>
      <c r="J37" s="135">
        <v>2718491.2</v>
      </c>
      <c r="K37" s="135">
        <f t="shared" si="1"/>
        <v>547927.4</v>
      </c>
      <c r="L37" s="135">
        <v>6298.3</v>
      </c>
      <c r="M37" s="135">
        <v>249803.1</v>
      </c>
      <c r="N37" s="135">
        <v>291826</v>
      </c>
    </row>
    <row r="38" spans="1:14">
      <c r="A38" s="66">
        <v>1995</v>
      </c>
      <c r="B38" s="30">
        <v>28629.4</v>
      </c>
      <c r="C38" s="30">
        <v>4151.5</v>
      </c>
      <c r="D38" s="30">
        <f t="shared" si="0"/>
        <v>1592.1000000000001</v>
      </c>
      <c r="E38" s="30">
        <v>4.9000000000000004</v>
      </c>
      <c r="F38" s="30">
        <v>424.8</v>
      </c>
      <c r="G38" s="30">
        <v>1162.4000000000001</v>
      </c>
      <c r="I38" s="135">
        <v>21255865.100000001</v>
      </c>
      <c r="J38" s="135">
        <v>3031434.2</v>
      </c>
      <c r="K38" s="135">
        <f t="shared" si="1"/>
        <v>1160123.8</v>
      </c>
      <c r="L38" s="135">
        <v>3577.4</v>
      </c>
      <c r="M38" s="135">
        <v>291688.2</v>
      </c>
      <c r="N38" s="135">
        <v>864858.2</v>
      </c>
    </row>
    <row r="39" spans="1:14">
      <c r="A39" s="66">
        <v>1996</v>
      </c>
      <c r="B39" s="30">
        <v>30586.1</v>
      </c>
      <c r="C39" s="30">
        <v>5327.1</v>
      </c>
      <c r="D39" s="30">
        <f t="shared" si="0"/>
        <v>1122.9000000000001</v>
      </c>
      <c r="E39" s="30">
        <v>2.1</v>
      </c>
      <c r="F39" s="30">
        <v>346</v>
      </c>
      <c r="G39" s="30">
        <v>774.8</v>
      </c>
      <c r="I39" s="135">
        <v>22703893.5</v>
      </c>
      <c r="J39" s="135">
        <v>3893006.4</v>
      </c>
      <c r="K39" s="135">
        <f t="shared" si="1"/>
        <v>834564.9</v>
      </c>
      <c r="L39" s="135">
        <v>1474.2</v>
      </c>
      <c r="M39" s="135">
        <v>244211.7</v>
      </c>
      <c r="N39" s="135">
        <v>588879</v>
      </c>
    </row>
    <row r="40" spans="1:14">
      <c r="A40" s="66">
        <v>1997</v>
      </c>
      <c r="B40" s="30">
        <v>35185.599999999999</v>
      </c>
      <c r="C40" s="30">
        <v>5519.6</v>
      </c>
      <c r="D40" s="30">
        <f t="shared" si="0"/>
        <v>918.5</v>
      </c>
      <c r="E40" s="30">
        <v>2.4</v>
      </c>
      <c r="F40" s="30">
        <v>432.5</v>
      </c>
      <c r="G40" s="30">
        <v>483.6</v>
      </c>
      <c r="I40" s="135">
        <v>25987007</v>
      </c>
      <c r="J40" s="135">
        <v>3988682</v>
      </c>
      <c r="K40" s="135">
        <f t="shared" si="1"/>
        <v>673987</v>
      </c>
      <c r="L40" s="135">
        <v>1733.2</v>
      </c>
      <c r="M40" s="135">
        <v>313778.90000000002</v>
      </c>
      <c r="N40" s="135">
        <v>358474.9</v>
      </c>
    </row>
    <row r="41" spans="1:14">
      <c r="A41" s="66">
        <v>1998</v>
      </c>
      <c r="B41" s="30">
        <v>34133.9</v>
      </c>
      <c r="C41" s="30">
        <v>4607.6000000000004</v>
      </c>
      <c r="D41" s="30">
        <f t="shared" si="0"/>
        <v>575.9</v>
      </c>
      <c r="E41" s="30">
        <v>6.2</v>
      </c>
      <c r="F41" s="30">
        <v>322.7</v>
      </c>
      <c r="G41" s="30">
        <v>247</v>
      </c>
      <c r="I41" s="135">
        <v>25334076.5</v>
      </c>
      <c r="J41" s="135">
        <v>3332080.2</v>
      </c>
      <c r="K41" s="135">
        <f t="shared" si="1"/>
        <v>416508.6</v>
      </c>
      <c r="L41" s="135">
        <v>4451.8999999999996</v>
      </c>
      <c r="M41" s="135">
        <v>228470.6</v>
      </c>
      <c r="N41" s="135">
        <v>183586.1</v>
      </c>
    </row>
    <row r="42" spans="1:14">
      <c r="A42" s="66">
        <v>1999</v>
      </c>
      <c r="B42" s="30">
        <v>37468.400000000001</v>
      </c>
      <c r="C42" s="30">
        <v>4941.1000000000004</v>
      </c>
      <c r="D42" s="30">
        <f t="shared" si="0"/>
        <v>647.5</v>
      </c>
      <c r="E42" s="30">
        <v>8.6</v>
      </c>
      <c r="F42" s="30">
        <v>362.4</v>
      </c>
      <c r="G42" s="30">
        <v>276.5</v>
      </c>
      <c r="I42" s="135">
        <v>27689875.5</v>
      </c>
      <c r="J42" s="135">
        <v>3583552.5</v>
      </c>
      <c r="K42" s="135">
        <f t="shared" si="1"/>
        <v>487745</v>
      </c>
      <c r="L42" s="135">
        <v>6252</v>
      </c>
      <c r="M42" s="135">
        <v>269856.09999999998</v>
      </c>
      <c r="N42" s="135">
        <v>211636.9</v>
      </c>
    </row>
    <row r="43" spans="1:14">
      <c r="A43" s="66">
        <v>2000</v>
      </c>
      <c r="B43" s="30">
        <v>33757.699999999997</v>
      </c>
      <c r="C43" s="30">
        <v>5100.5</v>
      </c>
      <c r="D43" s="30">
        <f t="shared" si="0"/>
        <v>961</v>
      </c>
      <c r="E43" s="30">
        <v>8.1999999999999993</v>
      </c>
      <c r="F43" s="30">
        <v>432.6</v>
      </c>
      <c r="G43" s="30">
        <v>520.20000000000005</v>
      </c>
      <c r="I43" s="135">
        <v>25028179.199999999</v>
      </c>
      <c r="J43" s="135">
        <v>3753277.6</v>
      </c>
      <c r="K43" s="135">
        <f t="shared" si="1"/>
        <v>698967.10000000009</v>
      </c>
      <c r="L43" s="135">
        <v>5876.5</v>
      </c>
      <c r="M43" s="135">
        <v>295578.7</v>
      </c>
      <c r="N43" s="135">
        <v>397511.9</v>
      </c>
    </row>
    <row r="44" spans="1:14">
      <c r="A44" s="66">
        <v>2001</v>
      </c>
      <c r="B44" s="30">
        <v>35941.300000000003</v>
      </c>
      <c r="C44" s="30">
        <v>3922</v>
      </c>
      <c r="D44" s="30">
        <f t="shared" si="0"/>
        <v>407.2</v>
      </c>
      <c r="E44" s="30">
        <v>4.5999999999999996</v>
      </c>
      <c r="F44" s="30">
        <v>169.4</v>
      </c>
      <c r="G44" s="30">
        <v>233.2</v>
      </c>
      <c r="I44" s="135">
        <v>26778241.300000001</v>
      </c>
      <c r="J44" s="135">
        <v>2923340.5</v>
      </c>
      <c r="K44" s="135">
        <f t="shared" si="1"/>
        <v>293593.8</v>
      </c>
      <c r="L44" s="135">
        <v>3330.4</v>
      </c>
      <c r="M44" s="135">
        <v>117392.4</v>
      </c>
      <c r="N44" s="135">
        <v>172871</v>
      </c>
    </row>
    <row r="45" spans="1:14">
      <c r="A45" s="66">
        <v>2002</v>
      </c>
      <c r="B45" s="30">
        <v>36386.6</v>
      </c>
      <c r="C45" s="30">
        <v>3260.8</v>
      </c>
      <c r="D45" s="30">
        <f t="shared" si="0"/>
        <v>298.60000000000002</v>
      </c>
      <c r="E45" s="30">
        <v>24.1</v>
      </c>
      <c r="F45" s="30">
        <v>130.5</v>
      </c>
      <c r="G45" s="30">
        <v>144</v>
      </c>
      <c r="I45" s="135">
        <v>27101623</v>
      </c>
      <c r="J45" s="135">
        <v>2412405</v>
      </c>
      <c r="K45" s="135">
        <f t="shared" si="1"/>
        <v>219846</v>
      </c>
      <c r="L45" s="135">
        <v>18597</v>
      </c>
      <c r="M45" s="135">
        <v>91555</v>
      </c>
      <c r="N45" s="135">
        <v>109694</v>
      </c>
    </row>
    <row r="46" spans="1:14">
      <c r="A46" s="66">
        <v>2003</v>
      </c>
      <c r="B46" s="30">
        <v>35207.599999999999</v>
      </c>
      <c r="C46" s="30">
        <v>2992.8</v>
      </c>
      <c r="D46" s="30">
        <f t="shared" si="0"/>
        <v>348.6</v>
      </c>
      <c r="E46" s="30">
        <v>12.4</v>
      </c>
      <c r="F46" s="30">
        <v>177.8</v>
      </c>
      <c r="G46" s="30">
        <v>158.4</v>
      </c>
      <c r="I46" s="135">
        <v>26242648.5</v>
      </c>
      <c r="J46" s="135">
        <v>2227051.9</v>
      </c>
      <c r="K46" s="135">
        <f t="shared" si="1"/>
        <v>250243.3</v>
      </c>
      <c r="L46" s="135">
        <v>8424.4</v>
      </c>
      <c r="M46" s="135">
        <v>123266.6</v>
      </c>
      <c r="N46" s="135">
        <v>118552.3</v>
      </c>
    </row>
    <row r="47" spans="1:14">
      <c r="A47" s="66">
        <v>2004</v>
      </c>
      <c r="B47" s="30">
        <v>36965.1</v>
      </c>
      <c r="C47" s="30">
        <v>2600.8000000000002</v>
      </c>
      <c r="D47" s="30">
        <f t="shared" si="0"/>
        <v>505.80000000000007</v>
      </c>
      <c r="E47" s="30">
        <v>38.1</v>
      </c>
      <c r="F47" s="30">
        <v>224.8</v>
      </c>
      <c r="G47" s="30">
        <v>242.9</v>
      </c>
      <c r="I47" s="135">
        <v>27236974.300000001</v>
      </c>
      <c r="J47" s="135">
        <v>1926434.9</v>
      </c>
      <c r="K47" s="135">
        <f t="shared" si="1"/>
        <v>374835.19999999995</v>
      </c>
      <c r="L47" s="135">
        <v>26850.5</v>
      </c>
      <c r="M47" s="135">
        <v>161312.29999999999</v>
      </c>
      <c r="N47" s="135">
        <v>186672.4</v>
      </c>
    </row>
    <row r="48" spans="1:14">
      <c r="A48" s="66">
        <v>2005</v>
      </c>
      <c r="B48" s="30">
        <v>36455.9</v>
      </c>
      <c r="C48" s="30">
        <v>2164.8000000000002</v>
      </c>
      <c r="D48" s="30">
        <f t="shared" si="0"/>
        <v>368.3</v>
      </c>
      <c r="E48" s="30">
        <v>17.100000000000001</v>
      </c>
      <c r="F48" s="30">
        <v>283.7</v>
      </c>
      <c r="G48" s="30">
        <v>67.5</v>
      </c>
      <c r="I48" s="135">
        <v>27053397.5</v>
      </c>
      <c r="J48" s="135">
        <v>1572552.1</v>
      </c>
      <c r="K48" s="135">
        <f t="shared" si="1"/>
        <v>267740.7</v>
      </c>
      <c r="L48" s="135">
        <v>11982.8</v>
      </c>
      <c r="M48" s="135">
        <v>205454.6</v>
      </c>
      <c r="N48" s="135">
        <v>50303.3</v>
      </c>
    </row>
    <row r="49" spans="1:14">
      <c r="A49" s="66">
        <v>2006</v>
      </c>
      <c r="B49" s="30">
        <v>40652</v>
      </c>
      <c r="C49" s="30">
        <v>2449.4</v>
      </c>
      <c r="D49" s="30">
        <f t="shared" si="0"/>
        <v>247</v>
      </c>
      <c r="E49" s="30">
        <v>10.6</v>
      </c>
      <c r="F49" s="30">
        <v>192.9</v>
      </c>
      <c r="G49" s="30">
        <v>43.5</v>
      </c>
      <c r="I49" s="135">
        <v>28014729.5</v>
      </c>
      <c r="J49" s="135">
        <v>1522201.6000000001</v>
      </c>
      <c r="K49" s="135">
        <f t="shared" si="1"/>
        <v>175234.4</v>
      </c>
      <c r="L49" s="135">
        <v>10698</v>
      </c>
      <c r="M49" s="135">
        <v>135553.60000000001</v>
      </c>
      <c r="N49" s="135">
        <v>28982.799999999999</v>
      </c>
    </row>
    <row r="50" spans="1:14">
      <c r="A50" s="66">
        <v>2007</v>
      </c>
      <c r="B50" s="30">
        <v>38685.199999999997</v>
      </c>
      <c r="C50" s="30">
        <v>2716.5</v>
      </c>
      <c r="D50" s="30">
        <f t="shared" si="0"/>
        <v>198.4</v>
      </c>
      <c r="E50" s="30">
        <v>5.0999999999999996</v>
      </c>
      <c r="F50" s="30">
        <v>131.30000000000001</v>
      </c>
      <c r="G50" s="30">
        <v>62</v>
      </c>
      <c r="I50" s="135">
        <v>29364743</v>
      </c>
      <c r="J50" s="135">
        <v>1455929</v>
      </c>
      <c r="K50" s="135">
        <f t="shared" si="1"/>
        <v>139993.59999999998</v>
      </c>
      <c r="L50" s="135">
        <v>10748.2</v>
      </c>
      <c r="M50" s="135">
        <v>104188.4</v>
      </c>
      <c r="N50" s="135">
        <v>25057</v>
      </c>
    </row>
    <row r="51" spans="1:14">
      <c r="A51" s="66">
        <v>2008</v>
      </c>
      <c r="B51" s="30">
        <v>40223.9</v>
      </c>
      <c r="C51" s="30">
        <v>2092.3000000000002</v>
      </c>
      <c r="D51" s="30">
        <f>SUM(E51:G51)</f>
        <v>172.9</v>
      </c>
      <c r="E51" s="30">
        <v>2.2999999999999998</v>
      </c>
      <c r="F51" s="30">
        <v>96.7</v>
      </c>
      <c r="G51" s="30">
        <v>73.900000000000006</v>
      </c>
    </row>
    <row r="52" spans="1:14">
      <c r="A52" s="66">
        <v>2009</v>
      </c>
      <c r="B52" s="30">
        <v>41229.800000000003</v>
      </c>
      <c r="C52" s="30">
        <v>1478.3</v>
      </c>
      <c r="D52" s="30">
        <f t="shared" si="0"/>
        <v>100.79999999999998</v>
      </c>
      <c r="E52" s="30">
        <v>2.1</v>
      </c>
      <c r="F52" s="30">
        <v>81.3</v>
      </c>
      <c r="G52" s="30">
        <v>17.399999999999999</v>
      </c>
    </row>
    <row r="53" spans="1:14">
      <c r="A53" s="66">
        <v>2010</v>
      </c>
      <c r="B53" s="30">
        <v>42832.7</v>
      </c>
      <c r="C53" s="30">
        <v>1891.6</v>
      </c>
      <c r="D53" s="30">
        <f t="shared" si="0"/>
        <v>113.1</v>
      </c>
      <c r="E53" s="30">
        <v>3.1</v>
      </c>
      <c r="F53" s="30">
        <v>94.3</v>
      </c>
      <c r="G53" s="30">
        <v>15.7</v>
      </c>
    </row>
    <row r="54" spans="1:14">
      <c r="A54" s="66">
        <v>2011</v>
      </c>
      <c r="B54" s="30">
        <v>43672.2</v>
      </c>
      <c r="C54" s="30">
        <v>2546.3000000000002</v>
      </c>
      <c r="D54" s="30">
        <f t="shared" si="0"/>
        <v>91.2</v>
      </c>
      <c r="E54" s="30">
        <v>3</v>
      </c>
      <c r="F54" s="30">
        <v>58.7</v>
      </c>
      <c r="G54" s="30">
        <v>29.5</v>
      </c>
    </row>
    <row r="55" spans="1:14">
      <c r="A55" s="66">
        <v>2012</v>
      </c>
      <c r="B55" s="30">
        <v>43146.2</v>
      </c>
      <c r="C55" s="30">
        <v>3221.8</v>
      </c>
      <c r="D55" s="30">
        <f t="shared" si="0"/>
        <v>96.4</v>
      </c>
      <c r="E55" s="30">
        <v>3.8</v>
      </c>
      <c r="F55" s="30">
        <v>50.6</v>
      </c>
      <c r="G55" s="30">
        <v>42</v>
      </c>
    </row>
    <row r="57" spans="1:14">
      <c r="A57" s="66" t="s">
        <v>23</v>
      </c>
      <c r="B57" s="56"/>
      <c r="C57" s="56"/>
    </row>
    <row r="58" spans="1:14">
      <c r="A58" s="69" t="s">
        <v>2121</v>
      </c>
      <c r="B58" s="147">
        <f>((B55/B4)^(1/51)-1)*100</f>
        <v>2.2152272119293936</v>
      </c>
      <c r="C58" s="147">
        <f t="shared" ref="C58:G58" si="2">((C55/C4)^(1/51)-1)*100</f>
        <v>1.1153484364938793</v>
      </c>
      <c r="D58" s="147">
        <f t="shared" si="2"/>
        <v>-2.3565761612705072</v>
      </c>
      <c r="E58" s="147">
        <f t="shared" si="2"/>
        <v>-3.4851741000703207</v>
      </c>
      <c r="F58" s="147">
        <f t="shared" si="2"/>
        <v>-1.3821361667952781</v>
      </c>
      <c r="G58" s="147">
        <f t="shared" si="2"/>
        <v>-3.0061243964398354</v>
      </c>
    </row>
    <row r="59" spans="1:14">
      <c r="A59" s="68" t="s">
        <v>1031</v>
      </c>
      <c r="B59" s="147">
        <f t="shared" ref="B59:G59" si="3">((B16/B4)^(1/12)-1)*100</f>
        <v>3.7593184433928117</v>
      </c>
      <c r="C59" s="147">
        <f t="shared" si="3"/>
        <v>4.9705660230169535</v>
      </c>
      <c r="D59" s="147">
        <f t="shared" si="3"/>
        <v>6.1769378131431019</v>
      </c>
      <c r="E59" s="147">
        <f t="shared" si="3"/>
        <v>6.7316764984026056</v>
      </c>
      <c r="F59" s="147">
        <f t="shared" si="3"/>
        <v>10.37209626210247</v>
      </c>
      <c r="G59" s="147">
        <f t="shared" si="3"/>
        <v>2.9024339977595792</v>
      </c>
    </row>
    <row r="60" spans="1:14">
      <c r="A60" s="68" t="s">
        <v>1032</v>
      </c>
      <c r="B60" s="147">
        <f t="shared" ref="B60:G60" si="4">((B24/B16)^(1/8)-1)*100</f>
        <v>4.6276838266059661</v>
      </c>
      <c r="C60" s="147">
        <f t="shared" si="4"/>
        <v>7.0557441386640551</v>
      </c>
      <c r="D60" s="147">
        <f t="shared" si="4"/>
        <v>6.7839399873171669</v>
      </c>
      <c r="E60" s="147">
        <f t="shared" si="4"/>
        <v>-1.4797354604005997</v>
      </c>
      <c r="F60" s="147">
        <f t="shared" si="4"/>
        <v>-4.478325781859982</v>
      </c>
      <c r="G60" s="147">
        <f t="shared" si="4"/>
        <v>14.864328367004266</v>
      </c>
    </row>
    <row r="61" spans="1:14">
      <c r="A61" s="68" t="s">
        <v>25</v>
      </c>
      <c r="B61" s="147">
        <f t="shared" ref="B61:G61" si="5">((B32/B24)^(1/8)-1)*100</f>
        <v>2.8331363903124629</v>
      </c>
      <c r="C61" s="147">
        <f t="shared" si="5"/>
        <v>0.57386665210934495</v>
      </c>
      <c r="D61" s="147">
        <f t="shared" si="5"/>
        <v>7.26228190867515</v>
      </c>
      <c r="E61" s="147">
        <f t="shared" si="5"/>
        <v>-20.472927123294937</v>
      </c>
      <c r="F61" s="147">
        <f t="shared" si="5"/>
        <v>7.9262357797334593</v>
      </c>
      <c r="G61" s="147">
        <f t="shared" si="5"/>
        <v>7.7140140673507496</v>
      </c>
    </row>
    <row r="62" spans="1:14">
      <c r="A62" s="68" t="s">
        <v>26</v>
      </c>
      <c r="B62" s="147">
        <f t="shared" ref="B62:G62" si="6">((B43/B32)^(1/11)-1)*100</f>
        <v>-1.4099708936153754</v>
      </c>
      <c r="C62" s="147">
        <f t="shared" si="6"/>
        <v>-1.3387251535469047</v>
      </c>
      <c r="D62" s="147">
        <f t="shared" si="6"/>
        <v>-6.3525956207031946</v>
      </c>
      <c r="E62" s="147">
        <f t="shared" si="6"/>
        <v>1.1893179721208291</v>
      </c>
      <c r="F62" s="147">
        <f t="shared" si="6"/>
        <v>7.387747162084235E-2</v>
      </c>
      <c r="G62" s="147">
        <f t="shared" si="6"/>
        <v>-9.4056141089949428</v>
      </c>
    </row>
    <row r="63" spans="1:14">
      <c r="A63" s="69" t="s">
        <v>2028</v>
      </c>
      <c r="B63" s="147">
        <f>((B55/B43)^(1/12)-1)*100</f>
        <v>2.0659326952165546</v>
      </c>
      <c r="C63" s="147">
        <f t="shared" ref="C63:G63" si="7">((C55/C43)^(1/12)-1)*100</f>
        <v>-3.7559657968927129</v>
      </c>
      <c r="D63" s="147">
        <f t="shared" si="7"/>
        <v>-17.438139601553903</v>
      </c>
      <c r="E63" s="147">
        <f t="shared" si="7"/>
        <v>-6.2083566435782167</v>
      </c>
      <c r="F63" s="147">
        <f t="shared" si="7"/>
        <v>-16.374511675607383</v>
      </c>
      <c r="G63" s="147">
        <f t="shared" si="7"/>
        <v>-18.918225422347433</v>
      </c>
    </row>
    <row r="65" spans="1:1">
      <c r="A65" s="64" t="s">
        <v>1813</v>
      </c>
    </row>
  </sheetData>
  <mergeCells count="7">
    <mergeCell ref="A1:G1"/>
    <mergeCell ref="B2:B3"/>
    <mergeCell ref="D2:G2"/>
    <mergeCell ref="I2:I3"/>
    <mergeCell ref="K2:N2"/>
    <mergeCell ref="J2:J3"/>
    <mergeCell ref="C2:C3"/>
  </mergeCells>
  <pageMargins left="0.7" right="0.7" top="0.75" bottom="0.75" header="0.3" footer="0.3"/>
  <pageSetup scale="93" orientation="portrait" horizontalDpi="0" verticalDpi="0" r:id="rId1"/>
</worksheet>
</file>

<file path=xl/worksheets/sheet68.xml><?xml version="1.0" encoding="utf-8"?>
<worksheet xmlns="http://schemas.openxmlformats.org/spreadsheetml/2006/main" xmlns:r="http://schemas.openxmlformats.org/officeDocument/2006/relationships">
  <dimension ref="A1:O65"/>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5703125" style="64" customWidth="1"/>
    <col min="2" max="3" width="14.140625" style="135" customWidth="1"/>
    <col min="4" max="4" width="16" style="135" customWidth="1"/>
    <col min="5" max="5" width="11.28515625" style="135" customWidth="1"/>
    <col min="6" max="6" width="15.140625" style="135" customWidth="1"/>
    <col min="7" max="7" width="14.140625" style="135" customWidth="1"/>
    <col min="8" max="8" width="9.140625" style="135"/>
    <col min="9" max="14" width="27.7109375" style="135" hidden="1" customWidth="1" outlineLevel="1"/>
    <col min="15" max="15" width="9.140625" style="64" collapsed="1"/>
    <col min="16" max="16384" width="9.140625" style="64"/>
  </cols>
  <sheetData>
    <row r="1" spans="1:14" ht="30" customHeight="1">
      <c r="A1" s="93" t="s">
        <v>2073</v>
      </c>
      <c r="B1" s="93"/>
      <c r="C1" s="93"/>
      <c r="D1" s="93"/>
      <c r="E1" s="93"/>
      <c r="F1" s="93"/>
      <c r="G1" s="93"/>
    </row>
    <row r="2" spans="1:14">
      <c r="B2" s="123" t="s">
        <v>673</v>
      </c>
      <c r="C2" s="123" t="s">
        <v>938</v>
      </c>
      <c r="D2" s="159" t="s">
        <v>37</v>
      </c>
      <c r="E2" s="160"/>
      <c r="F2" s="160"/>
      <c r="G2" s="161"/>
      <c r="I2" s="123" t="s">
        <v>673</v>
      </c>
      <c r="J2" s="123" t="s">
        <v>938</v>
      </c>
      <c r="K2" s="159" t="s">
        <v>37</v>
      </c>
      <c r="L2" s="160"/>
      <c r="M2" s="160"/>
      <c r="N2" s="161"/>
    </row>
    <row r="3" spans="1:14" ht="60">
      <c r="B3" s="126"/>
      <c r="C3" s="126"/>
      <c r="D3" s="72" t="s">
        <v>78</v>
      </c>
      <c r="E3" s="72" t="s">
        <v>750</v>
      </c>
      <c r="F3" s="72" t="s">
        <v>745</v>
      </c>
      <c r="G3" s="72" t="s">
        <v>678</v>
      </c>
      <c r="I3" s="126"/>
      <c r="J3" s="126"/>
      <c r="K3" s="72" t="s">
        <v>78</v>
      </c>
      <c r="L3" s="72" t="s">
        <v>750</v>
      </c>
      <c r="M3" s="72" t="s">
        <v>745</v>
      </c>
      <c r="N3" s="72" t="s">
        <v>678</v>
      </c>
    </row>
    <row r="4" spans="1:14">
      <c r="A4" s="66">
        <v>1961</v>
      </c>
      <c r="B4" s="30">
        <v>3767.4</v>
      </c>
      <c r="C4" s="30">
        <v>900.7</v>
      </c>
      <c r="D4" s="30">
        <f>SUM(E4:G4)</f>
        <v>98.1</v>
      </c>
      <c r="E4" s="30">
        <v>0.5</v>
      </c>
      <c r="F4" s="30">
        <v>1</v>
      </c>
      <c r="G4" s="30">
        <v>96.6</v>
      </c>
      <c r="I4" s="135">
        <v>10642841.699999999</v>
      </c>
      <c r="J4" s="135">
        <v>1352145.7</v>
      </c>
      <c r="K4" s="135">
        <f>SUM(L4:N4)</f>
        <v>239673.2</v>
      </c>
      <c r="L4" s="135">
        <v>17719.5</v>
      </c>
      <c r="M4" s="135">
        <v>70842.600000000006</v>
      </c>
      <c r="N4" s="135">
        <v>151111.1</v>
      </c>
    </row>
    <row r="5" spans="1:14" hidden="1" outlineLevel="1">
      <c r="A5" s="66">
        <v>1962</v>
      </c>
      <c r="B5" s="30">
        <v>3858.5</v>
      </c>
      <c r="C5" s="30">
        <v>996.2</v>
      </c>
      <c r="D5" s="30">
        <f t="shared" ref="D5:D55" si="0">SUM(E5:G5)</f>
        <v>103.2</v>
      </c>
      <c r="E5" s="30">
        <v>0.5</v>
      </c>
      <c r="F5" s="30">
        <v>1.3</v>
      </c>
      <c r="G5" s="30">
        <v>101.4</v>
      </c>
      <c r="I5" s="135">
        <v>12021200.1</v>
      </c>
      <c r="J5" s="135">
        <v>1690816.3</v>
      </c>
      <c r="K5" s="135">
        <f t="shared" ref="K5:K50" si="1">SUM(L5:N5)</f>
        <v>263563</v>
      </c>
      <c r="L5" s="135">
        <v>19769.2</v>
      </c>
      <c r="M5" s="135">
        <v>62819.4</v>
      </c>
      <c r="N5" s="135">
        <v>180974.4</v>
      </c>
    </row>
    <row r="6" spans="1:14" hidden="1" outlineLevel="1">
      <c r="A6" s="66">
        <v>1963</v>
      </c>
      <c r="B6" s="30">
        <v>4022.3</v>
      </c>
      <c r="C6" s="30">
        <v>1036.7</v>
      </c>
      <c r="D6" s="30">
        <f t="shared" si="0"/>
        <v>107.3</v>
      </c>
      <c r="E6" s="30">
        <v>0.5</v>
      </c>
      <c r="F6" s="30">
        <v>1.3</v>
      </c>
      <c r="G6" s="30">
        <v>105.5</v>
      </c>
      <c r="I6" s="135">
        <v>12086776</v>
      </c>
      <c r="J6" s="135">
        <v>1772600.2</v>
      </c>
      <c r="K6" s="135">
        <f t="shared" si="1"/>
        <v>283985.40000000002</v>
      </c>
      <c r="L6" s="135">
        <v>19355.8</v>
      </c>
      <c r="M6" s="135">
        <v>64244.800000000003</v>
      </c>
      <c r="N6" s="135">
        <v>200384.8</v>
      </c>
    </row>
    <row r="7" spans="1:14" hidden="1" outlineLevel="1">
      <c r="A7" s="66">
        <v>1964</v>
      </c>
      <c r="B7" s="30">
        <v>4523.5</v>
      </c>
      <c r="C7" s="30">
        <v>1182.8</v>
      </c>
      <c r="D7" s="30">
        <f t="shared" si="0"/>
        <v>112.8</v>
      </c>
      <c r="E7" s="30">
        <v>0.6</v>
      </c>
      <c r="F7" s="30">
        <v>3.2</v>
      </c>
      <c r="G7" s="30">
        <v>109</v>
      </c>
      <c r="I7" s="135">
        <v>12724911</v>
      </c>
      <c r="J7" s="135">
        <v>2363249.6</v>
      </c>
      <c r="K7" s="135">
        <f t="shared" si="1"/>
        <v>442356.4</v>
      </c>
      <c r="L7" s="135">
        <v>27556.1</v>
      </c>
      <c r="M7" s="135">
        <v>82404.899999999994</v>
      </c>
      <c r="N7" s="135">
        <v>332395.40000000002</v>
      </c>
    </row>
    <row r="8" spans="1:14" hidden="1" outlineLevel="1">
      <c r="A8" s="66">
        <v>1965</v>
      </c>
      <c r="B8" s="30">
        <v>5110.5</v>
      </c>
      <c r="C8" s="30">
        <v>1350.3</v>
      </c>
      <c r="D8" s="30">
        <f t="shared" si="0"/>
        <v>120.9</v>
      </c>
      <c r="E8" s="30">
        <v>0.1</v>
      </c>
      <c r="F8" s="30">
        <v>0.1</v>
      </c>
      <c r="G8" s="30">
        <v>120.7</v>
      </c>
      <c r="I8" s="135">
        <v>15396396.300000001</v>
      </c>
      <c r="J8" s="135">
        <v>3040983</v>
      </c>
      <c r="K8" s="135">
        <f t="shared" si="1"/>
        <v>669797.30000000005</v>
      </c>
      <c r="L8" s="135">
        <v>33141.699999999997</v>
      </c>
      <c r="M8" s="135">
        <v>112359.5</v>
      </c>
      <c r="N8" s="135">
        <v>524296.1</v>
      </c>
    </row>
    <row r="9" spans="1:14" hidden="1" outlineLevel="1">
      <c r="A9" s="66">
        <v>1966</v>
      </c>
      <c r="B9" s="30">
        <v>5579.2</v>
      </c>
      <c r="C9" s="30">
        <v>1518.2</v>
      </c>
      <c r="D9" s="30">
        <f t="shared" si="0"/>
        <v>139.19999999999999</v>
      </c>
      <c r="E9" s="30">
        <v>0</v>
      </c>
      <c r="F9" s="30" t="s">
        <v>1814</v>
      </c>
      <c r="G9" s="30">
        <v>139.19999999999999</v>
      </c>
      <c r="I9" s="135">
        <v>17750421</v>
      </c>
      <c r="J9" s="135">
        <v>3628311.8</v>
      </c>
      <c r="K9" s="135">
        <f t="shared" si="1"/>
        <v>732279.39999999991</v>
      </c>
      <c r="L9" s="135">
        <v>28896.7</v>
      </c>
      <c r="M9" s="135">
        <v>109049.5</v>
      </c>
      <c r="N9" s="135">
        <v>594333.19999999995</v>
      </c>
    </row>
    <row r="10" spans="1:14" hidden="1" outlineLevel="1">
      <c r="A10" s="66">
        <v>1967</v>
      </c>
      <c r="B10" s="30">
        <v>6102.6</v>
      </c>
      <c r="C10" s="30">
        <v>1582.6</v>
      </c>
      <c r="D10" s="30">
        <f t="shared" si="0"/>
        <v>148.39999999999998</v>
      </c>
      <c r="E10" s="30">
        <v>0.7</v>
      </c>
      <c r="F10" s="30">
        <v>8</v>
      </c>
      <c r="G10" s="30">
        <v>139.69999999999999</v>
      </c>
      <c r="I10" s="135">
        <v>16307926.300000001</v>
      </c>
      <c r="J10" s="135">
        <v>2735924.2</v>
      </c>
      <c r="K10" s="135">
        <f t="shared" si="1"/>
        <v>538918.6</v>
      </c>
      <c r="L10" s="135">
        <v>29374.2</v>
      </c>
      <c r="M10" s="135">
        <v>71979.899999999994</v>
      </c>
      <c r="N10" s="135">
        <v>437564.5</v>
      </c>
    </row>
    <row r="11" spans="1:14" hidden="1" outlineLevel="1">
      <c r="A11" s="66">
        <v>1968</v>
      </c>
      <c r="B11" s="30">
        <v>6426.3</v>
      </c>
      <c r="C11" s="30">
        <v>1589.9</v>
      </c>
      <c r="D11" s="30">
        <f t="shared" si="0"/>
        <v>138</v>
      </c>
      <c r="E11" s="30">
        <v>0.6</v>
      </c>
      <c r="F11" s="30">
        <v>6.6</v>
      </c>
      <c r="G11" s="30">
        <v>130.80000000000001</v>
      </c>
      <c r="I11" s="135">
        <v>15813374.6</v>
      </c>
      <c r="J11" s="135">
        <v>2234995.7000000002</v>
      </c>
      <c r="K11" s="135">
        <f t="shared" si="1"/>
        <v>360000.80000000005</v>
      </c>
      <c r="L11" s="135">
        <v>20467.8</v>
      </c>
      <c r="M11" s="135">
        <v>76541.3</v>
      </c>
      <c r="N11" s="135">
        <v>262991.7</v>
      </c>
    </row>
    <row r="12" spans="1:14" hidden="1" outlineLevel="1">
      <c r="A12" s="66">
        <v>1969</v>
      </c>
      <c r="B12" s="30">
        <v>6638.2</v>
      </c>
      <c r="C12" s="30">
        <v>1670.7</v>
      </c>
      <c r="D12" s="30">
        <f t="shared" si="0"/>
        <v>140</v>
      </c>
      <c r="E12" s="30">
        <v>0.5</v>
      </c>
      <c r="F12" s="30">
        <v>6.1</v>
      </c>
      <c r="G12" s="30">
        <v>133.4</v>
      </c>
      <c r="I12" s="135">
        <v>15570223</v>
      </c>
      <c r="J12" s="135">
        <v>2712080.6</v>
      </c>
      <c r="K12" s="135">
        <f t="shared" si="1"/>
        <v>630692.19999999995</v>
      </c>
      <c r="L12" s="135">
        <v>30715.9</v>
      </c>
      <c r="M12" s="135">
        <v>200125.1</v>
      </c>
      <c r="N12" s="135">
        <v>399851.2</v>
      </c>
    </row>
    <row r="13" spans="1:14" hidden="1" outlineLevel="1">
      <c r="A13" s="66">
        <v>1970</v>
      </c>
      <c r="B13" s="30">
        <v>7110</v>
      </c>
      <c r="C13" s="30">
        <v>1730.2</v>
      </c>
      <c r="D13" s="30">
        <f t="shared" si="0"/>
        <v>146.10000000000002</v>
      </c>
      <c r="E13" s="30">
        <v>0.3</v>
      </c>
      <c r="F13" s="30">
        <v>8.5</v>
      </c>
      <c r="G13" s="30">
        <v>137.30000000000001</v>
      </c>
      <c r="I13" s="135">
        <v>16141648.699999999</v>
      </c>
      <c r="J13" s="135">
        <v>3374808.7</v>
      </c>
      <c r="K13" s="135">
        <f t="shared" si="1"/>
        <v>642456.29999999993</v>
      </c>
      <c r="L13" s="135">
        <v>21481.4</v>
      </c>
      <c r="M13" s="135">
        <v>193761.3</v>
      </c>
      <c r="N13" s="135">
        <v>427213.6</v>
      </c>
    </row>
    <row r="14" spans="1:14" hidden="1" outlineLevel="1">
      <c r="A14" s="66">
        <v>1971</v>
      </c>
      <c r="B14" s="30">
        <v>7499.2</v>
      </c>
      <c r="C14" s="30">
        <v>1715.7</v>
      </c>
      <c r="D14" s="30">
        <f t="shared" si="0"/>
        <v>127.1</v>
      </c>
      <c r="E14" s="30">
        <v>0.4</v>
      </c>
      <c r="F14" s="30">
        <v>15.2</v>
      </c>
      <c r="G14" s="30">
        <v>111.5</v>
      </c>
      <c r="I14" s="135">
        <v>16529332.800000001</v>
      </c>
      <c r="J14" s="135">
        <v>2400412.9</v>
      </c>
      <c r="K14" s="135">
        <f t="shared" si="1"/>
        <v>592119.30000000005</v>
      </c>
      <c r="L14" s="135">
        <v>11973.9</v>
      </c>
      <c r="M14" s="135">
        <v>141353</v>
      </c>
      <c r="N14" s="135">
        <v>438792.4</v>
      </c>
    </row>
    <row r="15" spans="1:14" hidden="1" outlineLevel="1">
      <c r="A15" s="66">
        <v>1972</v>
      </c>
      <c r="B15" s="30">
        <v>7522.8</v>
      </c>
      <c r="C15" s="30">
        <v>1626.4</v>
      </c>
      <c r="D15" s="30">
        <f t="shared" si="0"/>
        <v>100.60000000000001</v>
      </c>
      <c r="E15" s="30">
        <v>0.3</v>
      </c>
      <c r="F15" s="30">
        <v>4.5999999999999996</v>
      </c>
      <c r="G15" s="30">
        <v>95.7</v>
      </c>
      <c r="I15" s="135">
        <v>15742026.4</v>
      </c>
      <c r="J15" s="135">
        <v>2221869.1</v>
      </c>
      <c r="K15" s="135">
        <f t="shared" si="1"/>
        <v>521102.6</v>
      </c>
      <c r="L15" s="135">
        <v>18065.8</v>
      </c>
      <c r="M15" s="135">
        <v>161558</v>
      </c>
      <c r="N15" s="135">
        <v>341478.8</v>
      </c>
    </row>
    <row r="16" spans="1:14" collapsed="1">
      <c r="A16" s="66">
        <v>1973</v>
      </c>
      <c r="B16" s="30">
        <v>7431.3</v>
      </c>
      <c r="C16" s="30">
        <v>1578.7</v>
      </c>
      <c r="D16" s="30">
        <f t="shared" si="0"/>
        <v>107.3</v>
      </c>
      <c r="E16" s="30">
        <v>0.8</v>
      </c>
      <c r="F16" s="30">
        <v>3.3</v>
      </c>
      <c r="G16" s="30">
        <v>103.2</v>
      </c>
      <c r="I16" s="135">
        <v>16484379.300000001</v>
      </c>
      <c r="J16" s="135">
        <v>2417590.7000000002</v>
      </c>
      <c r="K16" s="135">
        <f t="shared" si="1"/>
        <v>487352.1</v>
      </c>
      <c r="L16" s="135">
        <v>37550.699999999997</v>
      </c>
      <c r="M16" s="135">
        <v>240720.1</v>
      </c>
      <c r="N16" s="135">
        <v>209081.3</v>
      </c>
    </row>
    <row r="17" spans="1:14" ht="15" hidden="1" customHeight="1" outlineLevel="1">
      <c r="A17" s="66">
        <v>1974</v>
      </c>
      <c r="B17" s="30">
        <v>7340</v>
      </c>
      <c r="C17" s="30">
        <v>1561.8</v>
      </c>
      <c r="D17" s="30">
        <f t="shared" si="0"/>
        <v>95.6</v>
      </c>
      <c r="E17" s="30">
        <v>0.7</v>
      </c>
      <c r="F17" s="30">
        <v>5.3</v>
      </c>
      <c r="G17" s="30">
        <v>89.6</v>
      </c>
      <c r="I17" s="135">
        <v>17655097.199999999</v>
      </c>
      <c r="J17" s="135">
        <v>2853889.3</v>
      </c>
      <c r="K17" s="135">
        <f t="shared" si="1"/>
        <v>547516</v>
      </c>
      <c r="L17" s="135">
        <v>52300.1</v>
      </c>
      <c r="M17" s="135">
        <v>222009.1</v>
      </c>
      <c r="N17" s="135">
        <v>273206.8</v>
      </c>
    </row>
    <row r="18" spans="1:14" ht="15" hidden="1" customHeight="1" outlineLevel="1">
      <c r="A18" s="66">
        <v>1975</v>
      </c>
      <c r="B18" s="30">
        <v>7715.7</v>
      </c>
      <c r="C18" s="30">
        <v>1637.9</v>
      </c>
      <c r="D18" s="30">
        <f t="shared" si="0"/>
        <v>128</v>
      </c>
      <c r="E18" s="30">
        <v>1</v>
      </c>
      <c r="F18" s="30">
        <v>9</v>
      </c>
      <c r="G18" s="30">
        <v>118</v>
      </c>
      <c r="I18" s="135">
        <v>18983828.600000001</v>
      </c>
      <c r="J18" s="135">
        <v>2618591.7999999998</v>
      </c>
      <c r="K18" s="135">
        <f t="shared" si="1"/>
        <v>465784.9</v>
      </c>
      <c r="L18" s="135">
        <v>37841.300000000003</v>
      </c>
      <c r="M18" s="135">
        <v>185622.1</v>
      </c>
      <c r="N18" s="135">
        <v>242321.5</v>
      </c>
    </row>
    <row r="19" spans="1:14" ht="15" hidden="1" customHeight="1" outlineLevel="1">
      <c r="A19" s="66">
        <v>1976</v>
      </c>
      <c r="B19" s="30">
        <v>8461.9</v>
      </c>
      <c r="C19" s="30">
        <v>1784.3</v>
      </c>
      <c r="D19" s="30">
        <f t="shared" si="0"/>
        <v>136.69999999999999</v>
      </c>
      <c r="E19" s="30">
        <v>9</v>
      </c>
      <c r="F19" s="30">
        <v>15.7</v>
      </c>
      <c r="G19" s="30">
        <v>112</v>
      </c>
      <c r="I19" s="135">
        <v>17891570.199999999</v>
      </c>
      <c r="J19" s="135">
        <v>2255485.4</v>
      </c>
      <c r="K19" s="135">
        <f t="shared" si="1"/>
        <v>454067.4</v>
      </c>
      <c r="L19" s="135">
        <v>29248.9</v>
      </c>
      <c r="M19" s="135">
        <v>122349</v>
      </c>
      <c r="N19" s="135">
        <v>302469.5</v>
      </c>
    </row>
    <row r="20" spans="1:14" ht="15" hidden="1" customHeight="1" outlineLevel="1">
      <c r="A20" s="66">
        <v>1977</v>
      </c>
      <c r="B20" s="30">
        <v>9184.9</v>
      </c>
      <c r="C20" s="30">
        <v>1871.3</v>
      </c>
      <c r="D20" s="30">
        <f t="shared" si="0"/>
        <v>139.69999999999999</v>
      </c>
      <c r="E20" s="30">
        <v>3.8</v>
      </c>
      <c r="F20" s="30">
        <v>11.6</v>
      </c>
      <c r="G20" s="30">
        <v>124.3</v>
      </c>
      <c r="I20" s="135">
        <v>18149850.699999999</v>
      </c>
      <c r="J20" s="135">
        <v>2832326.6</v>
      </c>
      <c r="K20" s="135">
        <f t="shared" si="1"/>
        <v>580488.89999999991</v>
      </c>
      <c r="L20" s="135">
        <v>32803.300000000003</v>
      </c>
      <c r="M20" s="135">
        <v>143161.5</v>
      </c>
      <c r="N20" s="135">
        <v>404524.1</v>
      </c>
    </row>
    <row r="21" spans="1:14" ht="15" hidden="1" customHeight="1" outlineLevel="1">
      <c r="A21" s="66">
        <v>1978</v>
      </c>
      <c r="B21" s="30">
        <v>9749.5</v>
      </c>
      <c r="C21" s="30">
        <v>1912.8</v>
      </c>
      <c r="D21" s="30">
        <f t="shared" si="0"/>
        <v>121.2</v>
      </c>
      <c r="E21" s="30">
        <v>3.7</v>
      </c>
      <c r="F21" s="30">
        <v>7.7</v>
      </c>
      <c r="G21" s="30">
        <v>109.8</v>
      </c>
      <c r="I21" s="135">
        <v>17877665.5</v>
      </c>
      <c r="J21" s="135">
        <v>2354490.2000000002</v>
      </c>
      <c r="K21" s="135">
        <f t="shared" si="1"/>
        <v>357768.5</v>
      </c>
      <c r="L21" s="135">
        <v>19459.2</v>
      </c>
      <c r="M21" s="135">
        <v>152840.20000000001</v>
      </c>
      <c r="N21" s="135">
        <v>185469.1</v>
      </c>
    </row>
    <row r="22" spans="1:14" ht="15" hidden="1" customHeight="1" outlineLevel="1">
      <c r="A22" s="66">
        <v>1979</v>
      </c>
      <c r="B22" s="30">
        <v>10536.6</v>
      </c>
      <c r="C22" s="30">
        <v>2121.1</v>
      </c>
      <c r="D22" s="30">
        <f t="shared" si="0"/>
        <v>165.1</v>
      </c>
      <c r="E22" s="30">
        <v>4.9000000000000004</v>
      </c>
      <c r="F22" s="30">
        <v>14.2</v>
      </c>
      <c r="G22" s="30">
        <v>146</v>
      </c>
      <c r="I22" s="135">
        <v>20347023.899999999</v>
      </c>
      <c r="J22" s="135">
        <v>2954029.7</v>
      </c>
      <c r="K22" s="135">
        <f t="shared" si="1"/>
        <v>361085.80000000005</v>
      </c>
      <c r="L22" s="135">
        <v>26946.1</v>
      </c>
      <c r="M22" s="135">
        <v>184416.1</v>
      </c>
      <c r="N22" s="135">
        <v>149723.6</v>
      </c>
    </row>
    <row r="23" spans="1:14" ht="15" hidden="1" customHeight="1" outlineLevel="1">
      <c r="A23" s="66">
        <v>1980</v>
      </c>
      <c r="B23" s="30">
        <v>12032.9</v>
      </c>
      <c r="C23" s="30">
        <v>2472</v>
      </c>
      <c r="D23" s="30">
        <f t="shared" si="0"/>
        <v>189.29999999999998</v>
      </c>
      <c r="E23" s="30">
        <v>5.2</v>
      </c>
      <c r="F23" s="30">
        <v>19</v>
      </c>
      <c r="G23" s="30">
        <v>165.1</v>
      </c>
      <c r="I23" s="135">
        <v>22366321.899999999</v>
      </c>
      <c r="J23" s="135">
        <v>3897859.3</v>
      </c>
      <c r="K23" s="135">
        <f t="shared" si="1"/>
        <v>585110.6</v>
      </c>
      <c r="L23" s="135">
        <v>38581.1</v>
      </c>
      <c r="M23" s="135">
        <v>184983.8</v>
      </c>
      <c r="N23" s="135">
        <v>361545.7</v>
      </c>
    </row>
    <row r="24" spans="1:14" collapsed="1">
      <c r="A24" s="66">
        <v>1981</v>
      </c>
      <c r="B24" s="30">
        <v>12788.3</v>
      </c>
      <c r="C24" s="30">
        <v>2872.1</v>
      </c>
      <c r="D24" s="30">
        <f t="shared" si="0"/>
        <v>201.3</v>
      </c>
      <c r="E24" s="30">
        <v>4.5</v>
      </c>
      <c r="F24" s="30">
        <v>17.5</v>
      </c>
      <c r="G24" s="30">
        <v>179.3</v>
      </c>
      <c r="I24" s="135">
        <v>22885256.5</v>
      </c>
      <c r="J24" s="135">
        <v>4103157.5</v>
      </c>
      <c r="K24" s="135">
        <f t="shared" si="1"/>
        <v>817569</v>
      </c>
      <c r="L24" s="135">
        <v>33302.1</v>
      </c>
      <c r="M24" s="135">
        <v>162618.79999999999</v>
      </c>
      <c r="N24" s="135">
        <v>621648.1</v>
      </c>
    </row>
    <row r="25" spans="1:14">
      <c r="A25" s="66">
        <v>1982</v>
      </c>
      <c r="B25" s="30">
        <v>12752.8</v>
      </c>
      <c r="C25" s="30">
        <v>2676.9</v>
      </c>
      <c r="D25" s="30">
        <f t="shared" si="0"/>
        <v>187.4</v>
      </c>
      <c r="E25" s="30">
        <v>3.9</v>
      </c>
      <c r="F25" s="30">
        <v>14.1</v>
      </c>
      <c r="G25" s="30">
        <v>169.4</v>
      </c>
      <c r="I25" s="135">
        <v>19349911.199999999</v>
      </c>
      <c r="J25" s="135">
        <v>3136315.3</v>
      </c>
      <c r="K25" s="135">
        <f t="shared" si="1"/>
        <v>643525.4</v>
      </c>
      <c r="L25" s="135">
        <v>11421.6</v>
      </c>
      <c r="M25" s="135">
        <v>134723.1</v>
      </c>
      <c r="N25" s="135">
        <v>497380.7</v>
      </c>
    </row>
    <row r="26" spans="1:14">
      <c r="A26" s="66">
        <v>1983</v>
      </c>
      <c r="B26" s="30">
        <v>12347</v>
      </c>
      <c r="C26" s="30">
        <v>2344</v>
      </c>
      <c r="D26" s="30">
        <f t="shared" si="0"/>
        <v>174.70000000000002</v>
      </c>
      <c r="E26" s="30">
        <v>4.7</v>
      </c>
      <c r="F26" s="30">
        <v>16.100000000000001</v>
      </c>
      <c r="G26" s="30">
        <v>153.9</v>
      </c>
      <c r="I26" s="135">
        <v>18293595.199999999</v>
      </c>
      <c r="J26" s="135">
        <v>1919581.9</v>
      </c>
      <c r="K26" s="135">
        <f t="shared" si="1"/>
        <v>289657.8</v>
      </c>
      <c r="L26" s="135">
        <v>6788.1</v>
      </c>
      <c r="M26" s="135">
        <v>80941.8</v>
      </c>
      <c r="N26" s="135">
        <v>201927.9</v>
      </c>
    </row>
    <row r="27" spans="1:14">
      <c r="A27" s="66">
        <v>1984</v>
      </c>
      <c r="B27" s="30">
        <v>13606.1</v>
      </c>
      <c r="C27" s="30">
        <v>2460.8000000000002</v>
      </c>
      <c r="D27" s="30">
        <f t="shared" si="0"/>
        <v>191.9</v>
      </c>
      <c r="E27" s="30">
        <v>5.9</v>
      </c>
      <c r="F27" s="30">
        <v>18.2</v>
      </c>
      <c r="G27" s="30">
        <v>167.8</v>
      </c>
      <c r="I27" s="135">
        <v>19724912.699999999</v>
      </c>
      <c r="J27" s="135">
        <v>2468439.1</v>
      </c>
      <c r="K27" s="135">
        <f t="shared" si="1"/>
        <v>337732.7</v>
      </c>
      <c r="L27" s="135">
        <v>8501.2000000000007</v>
      </c>
      <c r="M27" s="135">
        <v>86946</v>
      </c>
      <c r="N27" s="135">
        <v>242285.5</v>
      </c>
    </row>
    <row r="28" spans="1:14">
      <c r="A28" s="66">
        <v>1985</v>
      </c>
      <c r="B28" s="30">
        <v>14440.7</v>
      </c>
      <c r="C28" s="30">
        <v>2751.3</v>
      </c>
      <c r="D28" s="30">
        <f t="shared" si="0"/>
        <v>218</v>
      </c>
      <c r="E28" s="30">
        <v>5.9</v>
      </c>
      <c r="F28" s="30">
        <v>20.100000000000001</v>
      </c>
      <c r="G28" s="30">
        <v>192</v>
      </c>
      <c r="I28" s="135">
        <v>22749881.100000001</v>
      </c>
      <c r="J28" s="135">
        <v>3719938.1</v>
      </c>
      <c r="K28" s="135">
        <f t="shared" si="1"/>
        <v>442980.9</v>
      </c>
      <c r="L28" s="135">
        <v>9105.2000000000007</v>
      </c>
      <c r="M28" s="135">
        <v>85680.5</v>
      </c>
      <c r="N28" s="135">
        <v>348195.2</v>
      </c>
    </row>
    <row r="29" spans="1:14">
      <c r="A29" s="66">
        <v>1986</v>
      </c>
      <c r="B29" s="30">
        <v>14261.3</v>
      </c>
      <c r="C29" s="30">
        <v>2973.9</v>
      </c>
      <c r="D29" s="30">
        <f t="shared" si="0"/>
        <v>218.60000000000002</v>
      </c>
      <c r="E29" s="30">
        <v>5.9</v>
      </c>
      <c r="F29" s="30">
        <v>24.3</v>
      </c>
      <c r="G29" s="30">
        <v>188.4</v>
      </c>
      <c r="I29" s="135">
        <v>23880738.100000001</v>
      </c>
      <c r="J29" s="135">
        <v>3411091</v>
      </c>
      <c r="K29" s="135">
        <f t="shared" si="1"/>
        <v>450719.2</v>
      </c>
      <c r="L29" s="135">
        <v>3442.2</v>
      </c>
      <c r="M29" s="135">
        <v>126042.8</v>
      </c>
      <c r="N29" s="135">
        <v>321234.2</v>
      </c>
    </row>
    <row r="30" spans="1:14">
      <c r="A30" s="66">
        <v>1987</v>
      </c>
      <c r="B30" s="30">
        <v>14605.7</v>
      </c>
      <c r="C30" s="30">
        <v>2774.2</v>
      </c>
      <c r="D30" s="30">
        <f t="shared" si="0"/>
        <v>238.8</v>
      </c>
      <c r="E30" s="30">
        <v>7.3</v>
      </c>
      <c r="F30" s="30">
        <v>32.200000000000003</v>
      </c>
      <c r="G30" s="30">
        <v>199.3</v>
      </c>
      <c r="I30" s="135">
        <v>26332715</v>
      </c>
      <c r="J30" s="135">
        <v>3339189</v>
      </c>
      <c r="K30" s="135">
        <f t="shared" si="1"/>
        <v>483757.5</v>
      </c>
      <c r="L30" s="135">
        <v>6973.1</v>
      </c>
      <c r="M30" s="135">
        <v>194941.9</v>
      </c>
      <c r="N30" s="135">
        <v>281842.5</v>
      </c>
    </row>
    <row r="31" spans="1:14">
      <c r="A31" s="66">
        <v>1988</v>
      </c>
      <c r="B31" s="30">
        <v>16537.5</v>
      </c>
      <c r="C31" s="30">
        <v>2930.4</v>
      </c>
      <c r="D31" s="30">
        <f t="shared" si="0"/>
        <v>264.20000000000005</v>
      </c>
      <c r="E31" s="30">
        <v>8.8000000000000007</v>
      </c>
      <c r="F31" s="30">
        <v>39.1</v>
      </c>
      <c r="G31" s="30">
        <v>216.3</v>
      </c>
      <c r="I31" s="135">
        <v>27994831.399999999</v>
      </c>
      <c r="J31" s="135">
        <v>3603678.1</v>
      </c>
      <c r="K31" s="135">
        <f t="shared" si="1"/>
        <v>960098.2</v>
      </c>
      <c r="L31" s="135">
        <v>9887.5</v>
      </c>
      <c r="M31" s="135">
        <v>253644.6</v>
      </c>
      <c r="N31" s="135">
        <v>696566.1</v>
      </c>
    </row>
    <row r="32" spans="1:14">
      <c r="A32" s="66">
        <v>1989</v>
      </c>
      <c r="B32" s="30">
        <v>16031.1</v>
      </c>
      <c r="C32" s="30">
        <v>3065.1</v>
      </c>
      <c r="D32" s="30">
        <f t="shared" si="0"/>
        <v>312.5</v>
      </c>
      <c r="E32" s="30">
        <v>9.4</v>
      </c>
      <c r="F32" s="30">
        <v>29.4</v>
      </c>
      <c r="G32" s="30">
        <v>273.7</v>
      </c>
      <c r="I32" s="135">
        <v>29482130.300000001</v>
      </c>
      <c r="J32" s="135">
        <v>4320304</v>
      </c>
      <c r="K32" s="135">
        <f t="shared" si="1"/>
        <v>1382890.4</v>
      </c>
      <c r="L32" s="135">
        <v>5264.1</v>
      </c>
      <c r="M32" s="135">
        <v>293655.09999999998</v>
      </c>
      <c r="N32" s="135">
        <v>1083971.2</v>
      </c>
    </row>
    <row r="33" spans="1:14">
      <c r="A33" s="66">
        <v>1990</v>
      </c>
      <c r="B33" s="30">
        <v>17469.7</v>
      </c>
      <c r="C33" s="30">
        <v>3497.8</v>
      </c>
      <c r="D33" s="30">
        <f t="shared" si="0"/>
        <v>305.10000000000002</v>
      </c>
      <c r="E33" s="30">
        <v>8.8000000000000007</v>
      </c>
      <c r="F33" s="30">
        <v>23</v>
      </c>
      <c r="G33" s="30">
        <v>273.3</v>
      </c>
      <c r="I33" s="135">
        <v>28901381.800000001</v>
      </c>
      <c r="J33" s="135">
        <v>4012420.5</v>
      </c>
      <c r="K33" s="135">
        <f t="shared" si="1"/>
        <v>748128.10000000009</v>
      </c>
      <c r="L33" s="135">
        <v>8730.5</v>
      </c>
      <c r="M33" s="135">
        <v>172516.7</v>
      </c>
      <c r="N33" s="135">
        <v>566880.9</v>
      </c>
    </row>
    <row r="34" spans="1:14">
      <c r="A34" s="66">
        <v>1991</v>
      </c>
      <c r="B34" s="30">
        <v>17607.7</v>
      </c>
      <c r="C34" s="30">
        <v>3593.9</v>
      </c>
      <c r="D34" s="30">
        <f t="shared" si="0"/>
        <v>285.89999999999998</v>
      </c>
      <c r="E34" s="30">
        <v>6.5</v>
      </c>
      <c r="F34" s="30">
        <v>26.5</v>
      </c>
      <c r="G34" s="30">
        <v>252.9</v>
      </c>
      <c r="I34" s="135">
        <v>25436876.699999999</v>
      </c>
      <c r="J34" s="135">
        <v>3140473.5</v>
      </c>
      <c r="K34" s="135">
        <f t="shared" si="1"/>
        <v>856911.39999999991</v>
      </c>
      <c r="L34" s="135">
        <v>5330.6</v>
      </c>
      <c r="M34" s="135">
        <v>152927.6</v>
      </c>
      <c r="N34" s="135">
        <v>698653.2</v>
      </c>
    </row>
    <row r="35" spans="1:14">
      <c r="A35" s="66">
        <v>1992</v>
      </c>
      <c r="B35" s="30">
        <v>17784.7</v>
      </c>
      <c r="C35" s="30">
        <v>3657.6</v>
      </c>
      <c r="D35" s="30">
        <f t="shared" si="0"/>
        <v>262.60000000000002</v>
      </c>
      <c r="E35" s="30">
        <v>9.1999999999999993</v>
      </c>
      <c r="F35" s="30">
        <v>32.200000000000003</v>
      </c>
      <c r="G35" s="30">
        <v>221.2</v>
      </c>
      <c r="I35" s="135">
        <v>21909276.100000001</v>
      </c>
      <c r="J35" s="135">
        <v>2314432.2999999998</v>
      </c>
      <c r="K35" s="135">
        <f t="shared" si="1"/>
        <v>883454.1</v>
      </c>
      <c r="L35" s="135">
        <v>5320.6</v>
      </c>
      <c r="M35" s="135">
        <v>175917.8</v>
      </c>
      <c r="N35" s="135">
        <v>702215.7</v>
      </c>
    </row>
    <row r="36" spans="1:14">
      <c r="A36" s="66">
        <v>1993</v>
      </c>
      <c r="B36" s="30">
        <v>19746.599999999999</v>
      </c>
      <c r="C36" s="30">
        <v>3869.7</v>
      </c>
      <c r="D36" s="30">
        <f t="shared" si="0"/>
        <v>276.5</v>
      </c>
      <c r="E36" s="30">
        <v>9.5</v>
      </c>
      <c r="F36" s="30">
        <v>52.7</v>
      </c>
      <c r="G36" s="30">
        <v>214.3</v>
      </c>
      <c r="I36" s="135">
        <v>21112263.5</v>
      </c>
      <c r="J36" s="135">
        <v>1975596.2</v>
      </c>
      <c r="K36" s="135">
        <f t="shared" si="1"/>
        <v>576356.6</v>
      </c>
      <c r="L36" s="135">
        <v>2550.1999999999998</v>
      </c>
      <c r="M36" s="135">
        <v>167405.9</v>
      </c>
      <c r="N36" s="135">
        <v>406400.5</v>
      </c>
    </row>
    <row r="37" spans="1:14">
      <c r="A37" s="66">
        <v>1994</v>
      </c>
      <c r="B37" s="30">
        <v>23002.5</v>
      </c>
      <c r="C37" s="30">
        <v>4300.5</v>
      </c>
      <c r="D37" s="30">
        <f t="shared" si="0"/>
        <v>311.2</v>
      </c>
      <c r="E37" s="30">
        <v>16.7</v>
      </c>
      <c r="F37" s="30">
        <v>74.8</v>
      </c>
      <c r="G37" s="30">
        <v>219.7</v>
      </c>
      <c r="I37" s="135">
        <v>21905050.100000001</v>
      </c>
      <c r="J37" s="135">
        <v>2718491.2</v>
      </c>
      <c r="K37" s="135">
        <f t="shared" si="1"/>
        <v>547927.4</v>
      </c>
      <c r="L37" s="135">
        <v>6298.3</v>
      </c>
      <c r="M37" s="135">
        <v>249803.1</v>
      </c>
      <c r="N37" s="135">
        <v>291826</v>
      </c>
    </row>
    <row r="38" spans="1:14">
      <c r="A38" s="66">
        <v>1995</v>
      </c>
      <c r="B38" s="30">
        <v>23381.200000000001</v>
      </c>
      <c r="C38" s="30">
        <v>4531.7</v>
      </c>
      <c r="D38" s="30">
        <f t="shared" si="0"/>
        <v>418.6</v>
      </c>
      <c r="E38" s="30">
        <v>20</v>
      </c>
      <c r="F38" s="30">
        <v>101.5</v>
      </c>
      <c r="G38" s="30">
        <v>297.10000000000002</v>
      </c>
      <c r="I38" s="135">
        <v>21255865.100000001</v>
      </c>
      <c r="J38" s="135">
        <v>3031434.2</v>
      </c>
      <c r="K38" s="135">
        <f t="shared" si="1"/>
        <v>1160123.8</v>
      </c>
      <c r="L38" s="135">
        <v>3577.4</v>
      </c>
      <c r="M38" s="135">
        <v>291688.2</v>
      </c>
      <c r="N38" s="135">
        <v>864858.2</v>
      </c>
    </row>
    <row r="39" spans="1:14">
      <c r="A39" s="66">
        <v>1996</v>
      </c>
      <c r="B39" s="30">
        <v>24313.200000000001</v>
      </c>
      <c r="C39" s="30">
        <v>4703.3</v>
      </c>
      <c r="D39" s="30">
        <f t="shared" si="0"/>
        <v>401.5</v>
      </c>
      <c r="E39" s="30">
        <v>19</v>
      </c>
      <c r="F39" s="30">
        <v>83.4</v>
      </c>
      <c r="G39" s="30">
        <v>299.10000000000002</v>
      </c>
      <c r="I39" s="135">
        <v>22703893.5</v>
      </c>
      <c r="J39" s="135">
        <v>3893006.4</v>
      </c>
      <c r="K39" s="135">
        <f t="shared" si="1"/>
        <v>834564.9</v>
      </c>
      <c r="L39" s="135">
        <v>1474.2</v>
      </c>
      <c r="M39" s="135">
        <v>244211.7</v>
      </c>
      <c r="N39" s="135">
        <v>588879</v>
      </c>
    </row>
    <row r="40" spans="1:14">
      <c r="A40" s="66">
        <v>1997</v>
      </c>
      <c r="B40" s="30">
        <v>26208.7</v>
      </c>
      <c r="C40" s="30">
        <v>4458.2</v>
      </c>
      <c r="D40" s="30">
        <f t="shared" si="0"/>
        <v>331.3</v>
      </c>
      <c r="E40" s="30">
        <v>15</v>
      </c>
      <c r="F40" s="30">
        <v>81.2</v>
      </c>
      <c r="G40" s="30">
        <v>235.1</v>
      </c>
      <c r="I40" s="135">
        <v>25987007</v>
      </c>
      <c r="J40" s="135">
        <v>3988682</v>
      </c>
      <c r="K40" s="135">
        <f t="shared" si="1"/>
        <v>673987</v>
      </c>
      <c r="L40" s="135">
        <v>1733.2</v>
      </c>
      <c r="M40" s="135">
        <v>313778.90000000002</v>
      </c>
      <c r="N40" s="135">
        <v>358474.9</v>
      </c>
    </row>
    <row r="41" spans="1:14">
      <c r="A41" s="66">
        <v>1998</v>
      </c>
      <c r="B41" s="30">
        <v>29760</v>
      </c>
      <c r="C41" s="30">
        <v>4892.5</v>
      </c>
      <c r="D41" s="30">
        <f t="shared" si="0"/>
        <v>360.6</v>
      </c>
      <c r="E41" s="30">
        <v>15.9</v>
      </c>
      <c r="F41" s="30">
        <v>85.6</v>
      </c>
      <c r="G41" s="30">
        <v>259.10000000000002</v>
      </c>
      <c r="I41" s="135">
        <v>25334076.5</v>
      </c>
      <c r="J41" s="135">
        <v>3332080.2</v>
      </c>
      <c r="K41" s="135">
        <f t="shared" si="1"/>
        <v>416508.6</v>
      </c>
      <c r="L41" s="135">
        <v>4451.8999999999996</v>
      </c>
      <c r="M41" s="135">
        <v>228470.6</v>
      </c>
      <c r="N41" s="135">
        <v>183586.1</v>
      </c>
    </row>
    <row r="42" spans="1:14">
      <c r="A42" s="66">
        <v>1999</v>
      </c>
      <c r="B42" s="30">
        <v>30458.7</v>
      </c>
      <c r="C42" s="30">
        <v>5085.8</v>
      </c>
      <c r="D42" s="30">
        <f t="shared" si="0"/>
        <v>360.29999999999995</v>
      </c>
      <c r="E42" s="30">
        <v>32.6</v>
      </c>
      <c r="F42" s="30">
        <v>87.6</v>
      </c>
      <c r="G42" s="30">
        <v>240.1</v>
      </c>
      <c r="I42" s="135">
        <v>27689875.5</v>
      </c>
      <c r="J42" s="135">
        <v>3583552.5</v>
      </c>
      <c r="K42" s="135">
        <f t="shared" si="1"/>
        <v>487745</v>
      </c>
      <c r="L42" s="135">
        <v>6252</v>
      </c>
      <c r="M42" s="135">
        <v>269856.09999999998</v>
      </c>
      <c r="N42" s="135">
        <v>211636.9</v>
      </c>
    </row>
    <row r="43" spans="1:14">
      <c r="A43" s="66">
        <v>2000</v>
      </c>
      <c r="B43" s="30">
        <v>34898.800000000003</v>
      </c>
      <c r="C43" s="30">
        <v>6048.5</v>
      </c>
      <c r="D43" s="30">
        <f t="shared" si="0"/>
        <v>515.6</v>
      </c>
      <c r="E43" s="30">
        <v>20.8</v>
      </c>
      <c r="F43" s="30">
        <v>83.4</v>
      </c>
      <c r="G43" s="30">
        <v>411.4</v>
      </c>
      <c r="I43" s="135">
        <v>25028179.199999999</v>
      </c>
      <c r="J43" s="135">
        <v>3753277.6</v>
      </c>
      <c r="K43" s="135">
        <f t="shared" si="1"/>
        <v>698967.10000000009</v>
      </c>
      <c r="L43" s="135">
        <v>5876.5</v>
      </c>
      <c r="M43" s="135">
        <v>295578.7</v>
      </c>
      <c r="N43" s="135">
        <v>397511.9</v>
      </c>
    </row>
    <row r="44" spans="1:14">
      <c r="A44" s="66">
        <v>2001</v>
      </c>
      <c r="B44" s="30">
        <v>37707</v>
      </c>
      <c r="C44" s="30">
        <v>7180.7</v>
      </c>
      <c r="D44" s="30">
        <f t="shared" si="0"/>
        <v>666.9</v>
      </c>
      <c r="E44" s="30">
        <v>19.2</v>
      </c>
      <c r="F44" s="30">
        <v>79.900000000000006</v>
      </c>
      <c r="G44" s="30">
        <v>567.79999999999995</v>
      </c>
      <c r="I44" s="135">
        <v>26778241.300000001</v>
      </c>
      <c r="J44" s="135">
        <v>2923340.5</v>
      </c>
      <c r="K44" s="135">
        <f t="shared" si="1"/>
        <v>293593.8</v>
      </c>
      <c r="L44" s="135">
        <v>3330.4</v>
      </c>
      <c r="M44" s="135">
        <v>117392.4</v>
      </c>
      <c r="N44" s="135">
        <v>172871</v>
      </c>
    </row>
    <row r="45" spans="1:14">
      <c r="A45" s="66">
        <v>2002</v>
      </c>
      <c r="B45" s="30">
        <v>37514</v>
      </c>
      <c r="C45" s="30">
        <v>7650.1</v>
      </c>
      <c r="D45" s="30">
        <f t="shared" si="0"/>
        <v>683</v>
      </c>
      <c r="E45" s="30">
        <v>20.7</v>
      </c>
      <c r="F45" s="30">
        <v>103</v>
      </c>
      <c r="G45" s="30">
        <v>559.29999999999995</v>
      </c>
      <c r="I45" s="135">
        <v>27101623</v>
      </c>
      <c r="J45" s="135">
        <v>2412405</v>
      </c>
      <c r="K45" s="135">
        <f t="shared" si="1"/>
        <v>219846</v>
      </c>
      <c r="L45" s="135">
        <v>18597</v>
      </c>
      <c r="M45" s="135">
        <v>91555</v>
      </c>
      <c r="N45" s="135">
        <v>109694</v>
      </c>
    </row>
    <row r="46" spans="1:14">
      <c r="A46" s="66">
        <v>2003</v>
      </c>
      <c r="B46" s="30">
        <v>40640.699999999997</v>
      </c>
      <c r="C46" s="30">
        <v>7817.6</v>
      </c>
      <c r="D46" s="30">
        <f t="shared" si="0"/>
        <v>707.3</v>
      </c>
      <c r="E46" s="30">
        <v>24.4</v>
      </c>
      <c r="F46" s="30">
        <v>109.5</v>
      </c>
      <c r="G46" s="30">
        <v>573.4</v>
      </c>
      <c r="I46" s="135">
        <v>26242648.5</v>
      </c>
      <c r="J46" s="135">
        <v>2227051.9</v>
      </c>
      <c r="K46" s="135">
        <f t="shared" si="1"/>
        <v>250243.3</v>
      </c>
      <c r="L46" s="135">
        <v>8424.4</v>
      </c>
      <c r="M46" s="135">
        <v>123266.6</v>
      </c>
      <c r="N46" s="135">
        <v>118552.3</v>
      </c>
    </row>
    <row r="47" spans="1:14">
      <c r="A47" s="66">
        <v>2004</v>
      </c>
      <c r="B47" s="30">
        <v>44071.3</v>
      </c>
      <c r="C47" s="30">
        <v>7756.5</v>
      </c>
      <c r="D47" s="30">
        <f t="shared" si="0"/>
        <v>703.90000000000009</v>
      </c>
      <c r="E47" s="30">
        <v>17.899999999999999</v>
      </c>
      <c r="F47" s="30">
        <v>131.80000000000001</v>
      </c>
      <c r="G47" s="30">
        <v>554.20000000000005</v>
      </c>
      <c r="I47" s="135">
        <v>27236974.300000001</v>
      </c>
      <c r="J47" s="135">
        <v>1926434.9</v>
      </c>
      <c r="K47" s="135">
        <f t="shared" si="1"/>
        <v>374835.19999999995</v>
      </c>
      <c r="L47" s="135">
        <v>26850.5</v>
      </c>
      <c r="M47" s="135">
        <v>161312.29999999999</v>
      </c>
      <c r="N47" s="135">
        <v>186672.4</v>
      </c>
    </row>
    <row r="48" spans="1:14">
      <c r="A48" s="66">
        <v>2005</v>
      </c>
      <c r="B48" s="30">
        <v>48196.3</v>
      </c>
      <c r="C48" s="30">
        <v>7731</v>
      </c>
      <c r="D48" s="30">
        <f t="shared" si="0"/>
        <v>701.4</v>
      </c>
      <c r="E48" s="30">
        <v>15.7</v>
      </c>
      <c r="F48" s="30">
        <v>210.1</v>
      </c>
      <c r="G48" s="30">
        <v>475.6</v>
      </c>
      <c r="I48" s="135">
        <v>27053397.5</v>
      </c>
      <c r="J48" s="135">
        <v>1572552.1</v>
      </c>
      <c r="K48" s="135">
        <f t="shared" si="1"/>
        <v>267740.7</v>
      </c>
      <c r="L48" s="135">
        <v>11982.8</v>
      </c>
      <c r="M48" s="135">
        <v>205454.6</v>
      </c>
      <c r="N48" s="135">
        <v>50303.3</v>
      </c>
    </row>
    <row r="49" spans="1:14">
      <c r="A49" s="66">
        <v>2006</v>
      </c>
      <c r="B49" s="30">
        <v>49144.2</v>
      </c>
      <c r="C49" s="30">
        <v>7577.6</v>
      </c>
      <c r="D49" s="30">
        <f t="shared" si="0"/>
        <v>682.7</v>
      </c>
      <c r="E49" s="30">
        <v>17.100000000000001</v>
      </c>
      <c r="F49" s="30">
        <v>173</v>
      </c>
      <c r="G49" s="30">
        <v>492.6</v>
      </c>
      <c r="I49" s="135">
        <v>28014729.5</v>
      </c>
      <c r="J49" s="135">
        <v>1522201.6000000001</v>
      </c>
      <c r="K49" s="135">
        <f t="shared" si="1"/>
        <v>175234.4</v>
      </c>
      <c r="L49" s="135">
        <v>10698</v>
      </c>
      <c r="M49" s="135">
        <v>135553.60000000001</v>
      </c>
      <c r="N49" s="135">
        <v>28982.799999999999</v>
      </c>
    </row>
    <row r="50" spans="1:14">
      <c r="A50" s="66">
        <v>2007</v>
      </c>
      <c r="B50" s="30">
        <v>51054.8</v>
      </c>
      <c r="C50" s="30">
        <v>6967</v>
      </c>
      <c r="D50" s="30">
        <f t="shared" si="0"/>
        <v>626.5</v>
      </c>
      <c r="E50" s="30">
        <v>40.1</v>
      </c>
      <c r="F50" s="30">
        <v>183.5</v>
      </c>
      <c r="G50" s="30">
        <v>402.9</v>
      </c>
      <c r="I50" s="135">
        <v>29364743</v>
      </c>
      <c r="J50" s="135">
        <v>1455929</v>
      </c>
      <c r="K50" s="135">
        <f t="shared" si="1"/>
        <v>139993.59999999998</v>
      </c>
      <c r="L50" s="135">
        <v>10748.2</v>
      </c>
      <c r="M50" s="135">
        <v>104188.4</v>
      </c>
      <c r="N50" s="135">
        <v>25057</v>
      </c>
    </row>
    <row r="51" spans="1:14">
      <c r="A51" s="66">
        <v>2008</v>
      </c>
      <c r="B51" s="30">
        <v>51749.2</v>
      </c>
      <c r="C51" s="30">
        <v>6796.6</v>
      </c>
      <c r="D51" s="30">
        <f>SUM(E51:G51)</f>
        <v>599.1</v>
      </c>
      <c r="E51" s="30">
        <v>34.4</v>
      </c>
      <c r="F51" s="30">
        <v>231.9</v>
      </c>
      <c r="G51" s="30">
        <v>332.8</v>
      </c>
    </row>
    <row r="52" spans="1:14">
      <c r="A52" s="66">
        <v>2009</v>
      </c>
      <c r="B52" s="30">
        <v>45446.9</v>
      </c>
      <c r="C52" s="30">
        <v>6177</v>
      </c>
      <c r="D52" s="30">
        <f t="shared" si="0"/>
        <v>412.8</v>
      </c>
      <c r="E52" s="30">
        <v>14.8</v>
      </c>
      <c r="F52" s="30">
        <v>184.9</v>
      </c>
      <c r="G52" s="30">
        <v>213.1</v>
      </c>
    </row>
    <row r="53" spans="1:14">
      <c r="A53" s="66">
        <v>2010</v>
      </c>
      <c r="B53" s="30">
        <v>48115</v>
      </c>
      <c r="C53" s="30">
        <v>6159.3</v>
      </c>
      <c r="D53" s="30">
        <f t="shared" si="0"/>
        <v>402</v>
      </c>
      <c r="E53" s="30">
        <v>21.3</v>
      </c>
      <c r="F53" s="30">
        <v>169.3</v>
      </c>
      <c r="G53" s="30">
        <v>211.4</v>
      </c>
    </row>
    <row r="54" spans="1:14">
      <c r="A54" s="66">
        <v>2011</v>
      </c>
      <c r="B54" s="30">
        <v>51075.6</v>
      </c>
      <c r="C54" s="30">
        <v>6784.6</v>
      </c>
      <c r="D54" s="30">
        <f t="shared" si="0"/>
        <v>500.1</v>
      </c>
      <c r="E54" s="30">
        <v>20.8</v>
      </c>
      <c r="F54" s="30">
        <v>195.3</v>
      </c>
      <c r="G54" s="30">
        <v>284</v>
      </c>
    </row>
    <row r="55" spans="1:14">
      <c r="A55" s="66">
        <v>2012</v>
      </c>
      <c r="B55" s="30">
        <v>52358.9</v>
      </c>
      <c r="C55" s="30">
        <v>6917.9</v>
      </c>
      <c r="D55" s="30">
        <f t="shared" si="0"/>
        <v>547.4</v>
      </c>
      <c r="E55" s="30">
        <v>19.100000000000001</v>
      </c>
      <c r="F55" s="30">
        <v>224.8</v>
      </c>
      <c r="G55" s="30">
        <v>303.5</v>
      </c>
    </row>
    <row r="57" spans="1:14">
      <c r="A57" s="66" t="s">
        <v>23</v>
      </c>
      <c r="B57" s="56"/>
      <c r="C57" s="56"/>
    </row>
    <row r="58" spans="1:14">
      <c r="A58" s="69" t="s">
        <v>2121</v>
      </c>
      <c r="B58" s="147">
        <f>((B55/B4)^(1/51)-1)*100</f>
        <v>5.2957301371085119</v>
      </c>
      <c r="C58" s="147">
        <f t="shared" ref="C58:G58" si="2">((C55/C4)^(1/51)-1)*100</f>
        <v>4.0784148053750302</v>
      </c>
      <c r="D58" s="147">
        <f t="shared" si="2"/>
        <v>3.4284264371828854</v>
      </c>
      <c r="E58" s="147">
        <f t="shared" si="2"/>
        <v>7.4040975254495489</v>
      </c>
      <c r="F58" s="147">
        <f t="shared" si="2"/>
        <v>11.202270096539868</v>
      </c>
      <c r="G58" s="147">
        <f t="shared" si="2"/>
        <v>2.2700947280519745</v>
      </c>
    </row>
    <row r="59" spans="1:14">
      <c r="A59" s="68" t="s">
        <v>1031</v>
      </c>
      <c r="B59" s="147">
        <f t="shared" ref="B59:G59" si="3">((B16/B4)^(1/12)-1)*100</f>
        <v>5.8242636050550134</v>
      </c>
      <c r="C59" s="147">
        <f t="shared" si="3"/>
        <v>4.7876145331264386</v>
      </c>
      <c r="D59" s="147">
        <f t="shared" si="3"/>
        <v>0.74980777758695272</v>
      </c>
      <c r="E59" s="147">
        <f t="shared" si="3"/>
        <v>3.9944107690504271</v>
      </c>
      <c r="F59" s="147">
        <f t="shared" si="3"/>
        <v>10.461133386655753</v>
      </c>
      <c r="G59" s="147">
        <f t="shared" si="3"/>
        <v>0.55227035298111016</v>
      </c>
    </row>
    <row r="60" spans="1:14">
      <c r="A60" s="68" t="s">
        <v>1032</v>
      </c>
      <c r="B60" s="147">
        <f t="shared" ref="B60:G60" si="4">((B24/B16)^(1/8)-1)*100</f>
        <v>7.0208763031155641</v>
      </c>
      <c r="C60" s="147">
        <f t="shared" si="4"/>
        <v>7.7674219164911351</v>
      </c>
      <c r="D60" s="147">
        <f t="shared" si="4"/>
        <v>8.1821246675121362</v>
      </c>
      <c r="E60" s="147">
        <f t="shared" si="4"/>
        <v>24.098152448798025</v>
      </c>
      <c r="F60" s="147">
        <f t="shared" si="4"/>
        <v>23.187180037179722</v>
      </c>
      <c r="G60" s="147">
        <f t="shared" si="4"/>
        <v>7.1488647532596206</v>
      </c>
    </row>
    <row r="61" spans="1:14">
      <c r="A61" s="68" t="s">
        <v>25</v>
      </c>
      <c r="B61" s="147">
        <f t="shared" ref="B61:G61" si="5">((B32/B24)^(1/8)-1)*100</f>
        <v>2.8652802005476152</v>
      </c>
      <c r="C61" s="147">
        <f t="shared" si="5"/>
        <v>0.81627255729608272</v>
      </c>
      <c r="D61" s="147">
        <f t="shared" si="5"/>
        <v>5.6515276035870921</v>
      </c>
      <c r="E61" s="147">
        <f t="shared" si="5"/>
        <v>9.6451478412020961</v>
      </c>
      <c r="F61" s="147">
        <f t="shared" si="5"/>
        <v>6.6998134733347703</v>
      </c>
      <c r="G61" s="147">
        <f t="shared" si="5"/>
        <v>5.4294190642378837</v>
      </c>
    </row>
    <row r="62" spans="1:14">
      <c r="A62" s="68" t="s">
        <v>26</v>
      </c>
      <c r="B62" s="147">
        <f t="shared" ref="B62:G62" si="6">((B43/B32)^(1/11)-1)*100</f>
        <v>7.3280846595966675</v>
      </c>
      <c r="C62" s="147">
        <f t="shared" si="6"/>
        <v>6.3742815086821558</v>
      </c>
      <c r="D62" s="147">
        <f t="shared" si="6"/>
        <v>4.6572582994979461</v>
      </c>
      <c r="E62" s="147">
        <f t="shared" si="6"/>
        <v>7.4874527464841911</v>
      </c>
      <c r="F62" s="147">
        <f t="shared" si="6"/>
        <v>9.9424316411462321</v>
      </c>
      <c r="G62" s="147">
        <f t="shared" si="6"/>
        <v>3.7743337073089522</v>
      </c>
    </row>
    <row r="63" spans="1:14">
      <c r="A63" s="69" t="s">
        <v>2028</v>
      </c>
      <c r="B63" s="147">
        <f>((B55/B43)^(1/12)-1)*100</f>
        <v>3.4383700229800862</v>
      </c>
      <c r="C63" s="147">
        <f t="shared" ref="C63:G63" si="7">((C55/C43)^(1/12)-1)*100</f>
        <v>1.1254691811537487</v>
      </c>
      <c r="D63" s="147">
        <f t="shared" si="7"/>
        <v>0.49998347955237943</v>
      </c>
      <c r="E63" s="147">
        <f t="shared" si="7"/>
        <v>-0.70802040528271659</v>
      </c>
      <c r="F63" s="147">
        <f t="shared" si="7"/>
        <v>8.6140116659717769</v>
      </c>
      <c r="G63" s="147">
        <f t="shared" si="7"/>
        <v>-2.5030116546119752</v>
      </c>
    </row>
    <row r="65" spans="1:1">
      <c r="A65" s="64" t="s">
        <v>1813</v>
      </c>
    </row>
  </sheetData>
  <mergeCells count="7">
    <mergeCell ref="K2:N2"/>
    <mergeCell ref="A1:G1"/>
    <mergeCell ref="B2:B3"/>
    <mergeCell ref="C2:C3"/>
    <mergeCell ref="D2:G2"/>
    <mergeCell ref="I2:I3"/>
    <mergeCell ref="J2:J3"/>
  </mergeCells>
  <pageMargins left="0.7" right="0.7" top="0.75" bottom="0.75" header="0.3" footer="0.3"/>
  <pageSetup scale="91" orientation="portrait" horizontalDpi="0" verticalDpi="0" r:id="rId1"/>
</worksheet>
</file>

<file path=xl/worksheets/sheet69.xml><?xml version="1.0" encoding="utf-8"?>
<worksheet xmlns="http://schemas.openxmlformats.org/spreadsheetml/2006/main" xmlns:r="http://schemas.openxmlformats.org/officeDocument/2006/relationships">
  <sheetPr codeName="Sheet65"/>
  <dimension ref="A1:O65"/>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5703125" style="64" customWidth="1"/>
    <col min="2" max="3" width="14.140625" style="135" customWidth="1"/>
    <col min="4" max="4" width="16" style="135" customWidth="1"/>
    <col min="5" max="5" width="11.28515625" style="135" customWidth="1"/>
    <col min="6" max="6" width="15.140625" style="135" customWidth="1"/>
    <col min="7" max="7" width="14.140625" style="135" customWidth="1"/>
    <col min="8" max="8" width="9.140625" style="135"/>
    <col min="9" max="14" width="25.85546875" style="135" hidden="1" customWidth="1" outlineLevel="1"/>
    <col min="15" max="15" width="9.140625" style="64" collapsed="1"/>
    <col min="16" max="16384" width="9.140625" style="64"/>
  </cols>
  <sheetData>
    <row r="1" spans="1:14" ht="30" customHeight="1">
      <c r="A1" s="93" t="s">
        <v>2056</v>
      </c>
      <c r="B1" s="93"/>
      <c r="C1" s="93"/>
      <c r="D1" s="93"/>
      <c r="E1" s="93"/>
      <c r="F1" s="93"/>
      <c r="G1" s="93"/>
    </row>
    <row r="2" spans="1:14">
      <c r="B2" s="123" t="s">
        <v>673</v>
      </c>
      <c r="C2" s="123" t="s">
        <v>938</v>
      </c>
      <c r="D2" s="159" t="s">
        <v>37</v>
      </c>
      <c r="E2" s="160"/>
      <c r="F2" s="160"/>
      <c r="G2" s="161"/>
      <c r="I2" s="123" t="s">
        <v>673</v>
      </c>
      <c r="J2" s="123" t="s">
        <v>1640</v>
      </c>
      <c r="K2" s="159" t="s">
        <v>37</v>
      </c>
      <c r="L2" s="160"/>
      <c r="M2" s="160"/>
      <c r="N2" s="161"/>
    </row>
    <row r="3" spans="1:14" ht="60">
      <c r="B3" s="126"/>
      <c r="C3" s="126"/>
      <c r="D3" s="72" t="s">
        <v>78</v>
      </c>
      <c r="E3" s="72" t="s">
        <v>750</v>
      </c>
      <c r="F3" s="72" t="s">
        <v>745</v>
      </c>
      <c r="G3" s="72" t="s">
        <v>678</v>
      </c>
      <c r="I3" s="126"/>
      <c r="J3" s="126"/>
      <c r="K3" s="72" t="s">
        <v>78</v>
      </c>
      <c r="L3" s="72" t="s">
        <v>750</v>
      </c>
      <c r="M3" s="72" t="s">
        <v>745</v>
      </c>
      <c r="N3" s="72" t="s">
        <v>678</v>
      </c>
    </row>
    <row r="4" spans="1:14">
      <c r="A4" s="66">
        <v>1961</v>
      </c>
      <c r="B4" s="30">
        <v>7262.7</v>
      </c>
      <c r="C4" s="30">
        <v>1072.5999999999999</v>
      </c>
      <c r="D4" s="30">
        <f>SUM(E4:G4)</f>
        <v>257.3</v>
      </c>
      <c r="E4" s="30">
        <v>45.7</v>
      </c>
      <c r="F4" s="30">
        <v>46.8</v>
      </c>
      <c r="G4" s="30">
        <v>164.8</v>
      </c>
      <c r="I4" s="135">
        <v>6775434</v>
      </c>
      <c r="J4" s="135">
        <v>948799</v>
      </c>
      <c r="K4" s="135">
        <f>SUM(L4:N4)</f>
        <v>243703</v>
      </c>
      <c r="L4" s="135">
        <v>45599</v>
      </c>
      <c r="M4" s="135">
        <v>46612</v>
      </c>
      <c r="N4" s="135">
        <v>151492</v>
      </c>
    </row>
    <row r="5" spans="1:14" hidden="1" outlineLevel="1">
      <c r="A5" s="66">
        <v>1962</v>
      </c>
      <c r="B5" s="30">
        <v>7731.1</v>
      </c>
      <c r="C5" s="30">
        <v>1254.7</v>
      </c>
      <c r="D5" s="30">
        <f t="shared" ref="D5:D55" si="0">SUM(E5:G5)</f>
        <v>271.39999999999998</v>
      </c>
      <c r="E5" s="30">
        <v>49</v>
      </c>
      <c r="F5" s="30">
        <v>42.5</v>
      </c>
      <c r="G5" s="30">
        <v>179.9</v>
      </c>
      <c r="I5" s="135">
        <v>7175537</v>
      </c>
      <c r="J5" s="135">
        <v>1115783</v>
      </c>
      <c r="K5" s="135">
        <f t="shared" ref="K5:K50" si="1">SUM(L5:N5)</f>
        <v>256951</v>
      </c>
      <c r="L5" s="135">
        <v>48908</v>
      </c>
      <c r="M5" s="135">
        <v>42329</v>
      </c>
      <c r="N5" s="135">
        <v>165714</v>
      </c>
    </row>
    <row r="6" spans="1:14" hidden="1" outlineLevel="1">
      <c r="A6" s="66">
        <v>1963</v>
      </c>
      <c r="B6" s="30">
        <v>8273.2999999999993</v>
      </c>
      <c r="C6" s="30">
        <v>1333.7</v>
      </c>
      <c r="D6" s="30">
        <f t="shared" si="0"/>
        <v>319.3</v>
      </c>
      <c r="E6" s="30">
        <v>54.7</v>
      </c>
      <c r="F6" s="30">
        <v>52.5</v>
      </c>
      <c r="G6" s="30">
        <v>212.1</v>
      </c>
      <c r="I6" s="135">
        <v>7690709</v>
      </c>
      <c r="J6" s="135">
        <v>1186184</v>
      </c>
      <c r="K6" s="135">
        <f t="shared" si="1"/>
        <v>303968</v>
      </c>
      <c r="L6" s="135">
        <v>54649</v>
      </c>
      <c r="M6" s="135">
        <v>52282</v>
      </c>
      <c r="N6" s="135">
        <v>197037</v>
      </c>
    </row>
    <row r="7" spans="1:14" hidden="1" outlineLevel="1">
      <c r="A7" s="66">
        <v>1964</v>
      </c>
      <c r="B7" s="30">
        <v>9546.2999999999993</v>
      </c>
      <c r="C7" s="30">
        <v>1785</v>
      </c>
      <c r="D7" s="30">
        <f t="shared" si="0"/>
        <v>469.5</v>
      </c>
      <c r="E7" s="30">
        <v>80.2</v>
      </c>
      <c r="F7" s="30">
        <v>64.8</v>
      </c>
      <c r="G7" s="30">
        <v>324.5</v>
      </c>
      <c r="I7" s="135">
        <v>8908401</v>
      </c>
      <c r="J7" s="135">
        <v>1612078</v>
      </c>
      <c r="K7" s="135">
        <f t="shared" si="1"/>
        <v>452977</v>
      </c>
      <c r="L7" s="135">
        <v>80117</v>
      </c>
      <c r="M7" s="135">
        <v>64349</v>
      </c>
      <c r="N7" s="135">
        <v>308511</v>
      </c>
    </row>
    <row r="8" spans="1:14" hidden="1" outlineLevel="1">
      <c r="A8" s="66">
        <v>1965</v>
      </c>
      <c r="B8" s="30">
        <v>11336.7</v>
      </c>
      <c r="C8" s="30">
        <v>2291.3000000000002</v>
      </c>
      <c r="D8" s="30">
        <f t="shared" si="0"/>
        <v>590</v>
      </c>
      <c r="E8" s="30">
        <v>86.3</v>
      </c>
      <c r="F8" s="30">
        <v>81.7</v>
      </c>
      <c r="G8" s="30">
        <v>422</v>
      </c>
      <c r="I8" s="135">
        <v>10610319</v>
      </c>
      <c r="J8" s="135">
        <v>2086330</v>
      </c>
      <c r="K8" s="135">
        <f t="shared" si="1"/>
        <v>571643</v>
      </c>
      <c r="L8" s="135">
        <v>86251</v>
      </c>
      <c r="M8" s="135">
        <v>81722</v>
      </c>
      <c r="N8" s="135">
        <v>403670</v>
      </c>
    </row>
    <row r="9" spans="1:14" hidden="1" outlineLevel="1">
      <c r="A9" s="66">
        <v>1966</v>
      </c>
      <c r="B9" s="30">
        <v>13621.9</v>
      </c>
      <c r="C9" s="30">
        <v>2859.6</v>
      </c>
      <c r="D9" s="30">
        <f t="shared" si="0"/>
        <v>717.8</v>
      </c>
      <c r="E9" s="30">
        <v>83.2</v>
      </c>
      <c r="F9" s="30">
        <v>78.599999999999994</v>
      </c>
      <c r="G9" s="30">
        <v>556</v>
      </c>
      <c r="I9" s="135">
        <v>12773899</v>
      </c>
      <c r="J9" s="135">
        <v>2619221</v>
      </c>
      <c r="K9" s="135">
        <f t="shared" si="1"/>
        <v>695654</v>
      </c>
      <c r="L9" s="135">
        <v>83213</v>
      </c>
      <c r="M9" s="135">
        <v>78601</v>
      </c>
      <c r="N9" s="135">
        <v>533840</v>
      </c>
    </row>
    <row r="10" spans="1:14" hidden="1" outlineLevel="1">
      <c r="A10" s="66">
        <v>1967</v>
      </c>
      <c r="B10" s="30">
        <v>13885.9</v>
      </c>
      <c r="C10" s="30">
        <v>2528.1999999999998</v>
      </c>
      <c r="D10" s="30">
        <f t="shared" si="0"/>
        <v>621.29999999999995</v>
      </c>
      <c r="E10" s="30">
        <v>78.5</v>
      </c>
      <c r="F10" s="30">
        <v>68.900000000000006</v>
      </c>
      <c r="G10" s="30">
        <v>473.9</v>
      </c>
      <c r="I10" s="135">
        <v>12926282</v>
      </c>
      <c r="J10" s="135">
        <v>2266263</v>
      </c>
      <c r="K10" s="135">
        <f t="shared" si="1"/>
        <v>596639</v>
      </c>
      <c r="L10" s="135">
        <v>78438</v>
      </c>
      <c r="M10" s="135">
        <v>67529</v>
      </c>
      <c r="N10" s="135">
        <v>450672</v>
      </c>
    </row>
    <row r="11" spans="1:14" hidden="1" outlineLevel="1">
      <c r="A11" s="66">
        <v>1968</v>
      </c>
      <c r="B11" s="30">
        <v>13663.1</v>
      </c>
      <c r="C11" s="30">
        <v>2231.1</v>
      </c>
      <c r="D11" s="30">
        <f t="shared" si="0"/>
        <v>443.2</v>
      </c>
      <c r="E11" s="30">
        <v>69.8</v>
      </c>
      <c r="F11" s="30">
        <v>75.900000000000006</v>
      </c>
      <c r="G11" s="30">
        <v>297.5</v>
      </c>
      <c r="I11" s="135">
        <v>12666566</v>
      </c>
      <c r="J11" s="135">
        <v>1957294</v>
      </c>
      <c r="K11" s="135">
        <f t="shared" si="1"/>
        <v>419378</v>
      </c>
      <c r="L11" s="135">
        <v>69728</v>
      </c>
      <c r="M11" s="135">
        <v>74787</v>
      </c>
      <c r="N11" s="135">
        <v>274863</v>
      </c>
    </row>
    <row r="12" spans="1:14" hidden="1" outlineLevel="1">
      <c r="A12" s="66">
        <v>1969</v>
      </c>
      <c r="B12" s="30">
        <v>14606.6</v>
      </c>
      <c r="C12" s="30">
        <v>2625.9</v>
      </c>
      <c r="D12" s="30">
        <f t="shared" si="0"/>
        <v>636.20000000000005</v>
      </c>
      <c r="E12" s="30">
        <v>95.5</v>
      </c>
      <c r="F12" s="30">
        <v>164.7</v>
      </c>
      <c r="G12" s="30">
        <v>376</v>
      </c>
      <c r="I12" s="135">
        <v>13563666</v>
      </c>
      <c r="J12" s="135">
        <v>2323555</v>
      </c>
      <c r="K12" s="135">
        <f t="shared" si="1"/>
        <v>610676</v>
      </c>
      <c r="L12" s="135">
        <v>95408</v>
      </c>
      <c r="M12" s="135">
        <v>163545</v>
      </c>
      <c r="N12" s="135">
        <v>351723</v>
      </c>
    </row>
    <row r="13" spans="1:14" hidden="1" outlineLevel="1">
      <c r="A13" s="66">
        <v>1970</v>
      </c>
      <c r="B13" s="30">
        <v>15803.8</v>
      </c>
      <c r="C13" s="30">
        <v>3222.1</v>
      </c>
      <c r="D13" s="30">
        <f t="shared" si="0"/>
        <v>774.8</v>
      </c>
      <c r="E13" s="30">
        <v>80.7</v>
      </c>
      <c r="F13" s="30">
        <v>185.2</v>
      </c>
      <c r="G13" s="30">
        <v>508.9</v>
      </c>
      <c r="I13" s="135">
        <v>14687139</v>
      </c>
      <c r="J13" s="135">
        <v>2894203</v>
      </c>
      <c r="K13" s="135">
        <f t="shared" si="1"/>
        <v>746985</v>
      </c>
      <c r="L13" s="135">
        <v>80604</v>
      </c>
      <c r="M13" s="135">
        <v>183570</v>
      </c>
      <c r="N13" s="135">
        <v>482811</v>
      </c>
    </row>
    <row r="14" spans="1:14" hidden="1" outlineLevel="1">
      <c r="A14" s="66">
        <v>1971</v>
      </c>
      <c r="B14" s="30">
        <v>17450.3</v>
      </c>
      <c r="C14" s="30">
        <v>2998.8</v>
      </c>
      <c r="D14" s="30">
        <f t="shared" si="0"/>
        <v>794</v>
      </c>
      <c r="E14" s="30">
        <v>84.2</v>
      </c>
      <c r="F14" s="30">
        <v>169.5</v>
      </c>
      <c r="G14" s="30">
        <v>540.29999999999995</v>
      </c>
      <c r="I14" s="135">
        <v>16170993</v>
      </c>
      <c r="J14" s="135">
        <v>2658762</v>
      </c>
      <c r="K14" s="135">
        <f t="shared" si="1"/>
        <v>768655</v>
      </c>
      <c r="L14" s="135">
        <v>84113</v>
      </c>
      <c r="M14" s="135">
        <v>166441</v>
      </c>
      <c r="N14" s="135">
        <v>518101</v>
      </c>
    </row>
    <row r="15" spans="1:14" hidden="1" outlineLevel="1">
      <c r="A15" s="66">
        <v>1972</v>
      </c>
      <c r="B15" s="30">
        <v>18701.099999999999</v>
      </c>
      <c r="C15" s="30">
        <v>2945.7</v>
      </c>
      <c r="D15" s="30">
        <f t="shared" si="0"/>
        <v>737.8</v>
      </c>
      <c r="E15" s="30">
        <v>105.1</v>
      </c>
      <c r="F15" s="30">
        <v>190.1</v>
      </c>
      <c r="G15" s="30">
        <v>442.6</v>
      </c>
      <c r="I15" s="135">
        <v>17364268</v>
      </c>
      <c r="J15" s="135">
        <v>2605019</v>
      </c>
      <c r="K15" s="135">
        <f t="shared" si="1"/>
        <v>716613</v>
      </c>
      <c r="L15" s="135">
        <v>105037</v>
      </c>
      <c r="M15" s="135">
        <v>189152</v>
      </c>
      <c r="N15" s="135">
        <v>422424</v>
      </c>
    </row>
    <row r="16" spans="1:14" collapsed="1">
      <c r="A16" s="66">
        <v>1973</v>
      </c>
      <c r="B16" s="30">
        <v>21968.7</v>
      </c>
      <c r="C16" s="30">
        <v>3615.7</v>
      </c>
      <c r="D16" s="30">
        <f t="shared" si="0"/>
        <v>849.3</v>
      </c>
      <c r="E16" s="30">
        <v>162.5</v>
      </c>
      <c r="F16" s="30">
        <v>295</v>
      </c>
      <c r="G16" s="30">
        <v>391.8</v>
      </c>
      <c r="I16" s="135">
        <v>20539626</v>
      </c>
      <c r="J16" s="135">
        <v>3253441</v>
      </c>
      <c r="K16" s="135">
        <f t="shared" si="1"/>
        <v>824550</v>
      </c>
      <c r="L16" s="135">
        <v>162346</v>
      </c>
      <c r="M16" s="135">
        <v>294194</v>
      </c>
      <c r="N16" s="135">
        <v>368010</v>
      </c>
    </row>
    <row r="17" spans="1:14" hidden="1" outlineLevel="1">
      <c r="A17" s="66">
        <v>1974</v>
      </c>
      <c r="B17" s="30">
        <v>27519.599999999999</v>
      </c>
      <c r="C17" s="30">
        <v>4838.2</v>
      </c>
      <c r="D17" s="30">
        <f t="shared" si="0"/>
        <v>1070</v>
      </c>
      <c r="E17" s="30">
        <v>221.5</v>
      </c>
      <c r="F17" s="30">
        <v>305.10000000000002</v>
      </c>
      <c r="G17" s="30">
        <v>543.4</v>
      </c>
      <c r="I17" s="135">
        <v>25863887</v>
      </c>
      <c r="J17" s="135">
        <v>4425316</v>
      </c>
      <c r="K17" s="135">
        <f t="shared" si="1"/>
        <v>1044626</v>
      </c>
      <c r="L17" s="135">
        <v>221357</v>
      </c>
      <c r="M17" s="135">
        <v>303680</v>
      </c>
      <c r="N17" s="135">
        <v>519589</v>
      </c>
    </row>
    <row r="18" spans="1:14" hidden="1" outlineLevel="1">
      <c r="A18" s="66">
        <v>1975</v>
      </c>
      <c r="B18" s="30">
        <v>32892.5</v>
      </c>
      <c r="C18" s="30">
        <v>5419.7</v>
      </c>
      <c r="D18" s="30">
        <f t="shared" si="0"/>
        <v>1037</v>
      </c>
      <c r="E18" s="30">
        <v>178.2</v>
      </c>
      <c r="F18" s="30">
        <v>285</v>
      </c>
      <c r="G18" s="30">
        <v>573.79999999999995</v>
      </c>
      <c r="I18" s="135">
        <v>31061683</v>
      </c>
      <c r="J18" s="135">
        <v>4942715</v>
      </c>
      <c r="K18" s="135">
        <f t="shared" si="1"/>
        <v>999302</v>
      </c>
      <c r="L18" s="135">
        <v>177899</v>
      </c>
      <c r="M18" s="135">
        <v>282329</v>
      </c>
      <c r="N18" s="135">
        <v>539074</v>
      </c>
    </row>
    <row r="19" spans="1:14" hidden="1" outlineLevel="1">
      <c r="A19" s="66">
        <v>1976</v>
      </c>
      <c r="B19" s="30">
        <v>34756.6</v>
      </c>
      <c r="C19" s="30">
        <v>5384.4</v>
      </c>
      <c r="D19" s="30">
        <f t="shared" si="0"/>
        <v>1123</v>
      </c>
      <c r="E19" s="30">
        <v>170.6</v>
      </c>
      <c r="F19" s="30">
        <v>269</v>
      </c>
      <c r="G19" s="30">
        <v>683.4</v>
      </c>
      <c r="I19" s="135">
        <v>32687398</v>
      </c>
      <c r="J19" s="135">
        <v>4841572</v>
      </c>
      <c r="K19" s="135">
        <f t="shared" si="1"/>
        <v>1084549</v>
      </c>
      <c r="L19" s="135">
        <v>168147</v>
      </c>
      <c r="M19" s="135">
        <v>265236</v>
      </c>
      <c r="N19" s="135">
        <v>651166</v>
      </c>
    </row>
    <row r="20" spans="1:14" hidden="1" outlineLevel="1">
      <c r="A20" s="66">
        <v>1977</v>
      </c>
      <c r="B20" s="30">
        <v>37869.199999999997</v>
      </c>
      <c r="C20" s="30">
        <v>5996</v>
      </c>
      <c r="D20" s="30">
        <f t="shared" si="0"/>
        <v>1232.5</v>
      </c>
      <c r="E20" s="30">
        <v>198.8</v>
      </c>
      <c r="F20" s="30">
        <v>266</v>
      </c>
      <c r="G20" s="30">
        <v>767.7</v>
      </c>
      <c r="I20" s="135">
        <v>35435840</v>
      </c>
      <c r="J20" s="135">
        <v>5392008</v>
      </c>
      <c r="K20" s="135">
        <f t="shared" si="1"/>
        <v>1190643</v>
      </c>
      <c r="L20" s="135">
        <v>197965</v>
      </c>
      <c r="M20" s="135">
        <v>263286</v>
      </c>
      <c r="N20" s="135">
        <v>729392</v>
      </c>
    </row>
    <row r="21" spans="1:14" hidden="1" outlineLevel="1">
      <c r="A21" s="66">
        <v>1978</v>
      </c>
      <c r="B21" s="30">
        <v>41668</v>
      </c>
      <c r="C21" s="30">
        <v>6088.5</v>
      </c>
      <c r="D21" s="30">
        <f t="shared" si="0"/>
        <v>1229</v>
      </c>
      <c r="E21" s="30">
        <v>216.5</v>
      </c>
      <c r="F21" s="30">
        <v>339.5</v>
      </c>
      <c r="G21" s="30">
        <v>673</v>
      </c>
      <c r="I21" s="135">
        <v>39019491</v>
      </c>
      <c r="J21" s="135">
        <v>5428754</v>
      </c>
      <c r="K21" s="135">
        <f t="shared" si="1"/>
        <v>1191868</v>
      </c>
      <c r="L21" s="135">
        <v>215730</v>
      </c>
      <c r="M21" s="135">
        <v>338607</v>
      </c>
      <c r="N21" s="135">
        <v>637531</v>
      </c>
    </row>
    <row r="22" spans="1:14" hidden="1" outlineLevel="1">
      <c r="A22" s="66">
        <v>1979</v>
      </c>
      <c r="B22" s="30">
        <v>49782.5</v>
      </c>
      <c r="C22" s="30">
        <v>7347</v>
      </c>
      <c r="D22" s="30">
        <f t="shared" si="0"/>
        <v>1563.8999999999999</v>
      </c>
      <c r="E22" s="30">
        <v>271.39999999999998</v>
      </c>
      <c r="F22" s="30">
        <v>438.2</v>
      </c>
      <c r="G22" s="30">
        <v>854.3</v>
      </c>
      <c r="I22" s="135">
        <v>46820960</v>
      </c>
      <c r="J22" s="135">
        <v>6544341</v>
      </c>
      <c r="K22" s="135">
        <f t="shared" si="1"/>
        <v>1506862</v>
      </c>
      <c r="L22" s="135">
        <v>270206</v>
      </c>
      <c r="M22" s="135">
        <v>434864</v>
      </c>
      <c r="N22" s="135">
        <v>801792</v>
      </c>
    </row>
    <row r="23" spans="1:14" hidden="1" outlineLevel="1">
      <c r="A23" s="66">
        <v>1980</v>
      </c>
      <c r="B23" s="30">
        <v>59236.4</v>
      </c>
      <c r="C23" s="30">
        <v>9669.1</v>
      </c>
      <c r="D23" s="30">
        <f t="shared" si="0"/>
        <v>2170</v>
      </c>
      <c r="E23" s="30">
        <v>310.60000000000002</v>
      </c>
      <c r="F23" s="30">
        <v>504.3</v>
      </c>
      <c r="G23" s="30">
        <v>1355.1</v>
      </c>
      <c r="I23" s="135">
        <v>55461083</v>
      </c>
      <c r="J23" s="135">
        <v>8645948</v>
      </c>
      <c r="K23" s="135">
        <f t="shared" si="1"/>
        <v>2098400</v>
      </c>
      <c r="L23" s="135">
        <v>309338</v>
      </c>
      <c r="M23" s="135">
        <v>498419</v>
      </c>
      <c r="N23" s="135">
        <v>1290643</v>
      </c>
    </row>
    <row r="24" spans="1:14" collapsed="1">
      <c r="A24" s="66">
        <v>1981</v>
      </c>
      <c r="B24" s="30">
        <v>70616.3</v>
      </c>
      <c r="C24" s="30">
        <v>12082.5</v>
      </c>
      <c r="D24" s="30">
        <f t="shared" si="0"/>
        <v>2761.8</v>
      </c>
      <c r="E24" s="30">
        <v>246.8</v>
      </c>
      <c r="F24" s="30">
        <v>465.2</v>
      </c>
      <c r="G24" s="30">
        <v>2049.8000000000002</v>
      </c>
      <c r="I24" s="135">
        <v>68313114</v>
      </c>
      <c r="J24" s="135">
        <v>11568423</v>
      </c>
      <c r="K24" s="135">
        <f t="shared" si="1"/>
        <v>2893411</v>
      </c>
      <c r="L24" s="135">
        <v>258431</v>
      </c>
      <c r="M24" s="135">
        <v>494234</v>
      </c>
      <c r="N24" s="135">
        <v>2140746</v>
      </c>
    </row>
    <row r="25" spans="1:14">
      <c r="A25" s="66">
        <v>1982</v>
      </c>
      <c r="B25" s="30">
        <v>69351.199999999997</v>
      </c>
      <c r="C25" s="30">
        <v>11164.9</v>
      </c>
      <c r="D25" s="30">
        <f t="shared" si="0"/>
        <v>2271.1999999999998</v>
      </c>
      <c r="E25" s="30">
        <v>133.5</v>
      </c>
      <c r="F25" s="30">
        <v>350.1</v>
      </c>
      <c r="G25" s="30">
        <v>1787.6</v>
      </c>
      <c r="I25" s="135">
        <v>66223412</v>
      </c>
      <c r="J25" s="135">
        <v>10457442</v>
      </c>
      <c r="K25" s="135">
        <f t="shared" si="1"/>
        <v>2339631</v>
      </c>
      <c r="L25" s="135">
        <v>136593</v>
      </c>
      <c r="M25" s="135">
        <v>367540</v>
      </c>
      <c r="N25" s="135">
        <v>1835498</v>
      </c>
    </row>
    <row r="26" spans="1:14">
      <c r="A26" s="66">
        <v>1983</v>
      </c>
      <c r="B26" s="30">
        <v>66426.3</v>
      </c>
      <c r="C26" s="30">
        <v>8640.9</v>
      </c>
      <c r="D26" s="30">
        <f t="shared" si="0"/>
        <v>1418</v>
      </c>
      <c r="E26" s="30">
        <v>138.1</v>
      </c>
      <c r="F26" s="30">
        <v>303.89999999999998</v>
      </c>
      <c r="G26" s="30">
        <v>976</v>
      </c>
      <c r="I26" s="135">
        <v>62821032</v>
      </c>
      <c r="J26" s="135">
        <v>7971440</v>
      </c>
      <c r="K26" s="135">
        <f t="shared" si="1"/>
        <v>1445309</v>
      </c>
      <c r="L26" s="135">
        <v>142115</v>
      </c>
      <c r="M26" s="135">
        <v>322484</v>
      </c>
      <c r="N26" s="135">
        <v>980710</v>
      </c>
    </row>
    <row r="27" spans="1:14">
      <c r="A27" s="66">
        <v>1984</v>
      </c>
      <c r="B27" s="30">
        <v>70119.100000000006</v>
      </c>
      <c r="C27" s="30">
        <v>8736.7000000000007</v>
      </c>
      <c r="D27" s="30">
        <f t="shared" si="0"/>
        <v>1673</v>
      </c>
      <c r="E27" s="30">
        <v>177.1</v>
      </c>
      <c r="F27" s="30">
        <v>358.1</v>
      </c>
      <c r="G27" s="30">
        <v>1137.8</v>
      </c>
      <c r="I27" s="135">
        <v>66126002</v>
      </c>
      <c r="J27" s="135">
        <v>7955174</v>
      </c>
      <c r="K27" s="135">
        <f t="shared" si="1"/>
        <v>1701639</v>
      </c>
      <c r="L27" s="135">
        <v>183330</v>
      </c>
      <c r="M27" s="135">
        <v>378496</v>
      </c>
      <c r="N27" s="135">
        <v>1139813</v>
      </c>
    </row>
    <row r="28" spans="1:14">
      <c r="A28" s="66">
        <v>1985</v>
      </c>
      <c r="B28" s="30">
        <v>77777</v>
      </c>
      <c r="C28" s="30">
        <v>11162.3</v>
      </c>
      <c r="D28" s="30">
        <f t="shared" si="0"/>
        <v>2441.3000000000002</v>
      </c>
      <c r="E28" s="30">
        <v>182.3</v>
      </c>
      <c r="F28" s="30">
        <v>378.7</v>
      </c>
      <c r="G28" s="30">
        <v>1880.3</v>
      </c>
      <c r="I28" s="135">
        <v>73280891</v>
      </c>
      <c r="J28" s="135">
        <v>10412767</v>
      </c>
      <c r="K28" s="135">
        <f t="shared" si="1"/>
        <v>2557492</v>
      </c>
      <c r="L28" s="135">
        <v>190010</v>
      </c>
      <c r="M28" s="135">
        <v>404289</v>
      </c>
      <c r="N28" s="135">
        <v>1963193</v>
      </c>
    </row>
    <row r="29" spans="1:14">
      <c r="A29" s="66">
        <v>1986</v>
      </c>
      <c r="B29" s="30">
        <v>79630.399999999994</v>
      </c>
      <c r="C29" s="30">
        <v>13531.1</v>
      </c>
      <c r="D29" s="30">
        <f t="shared" si="0"/>
        <v>2519.6</v>
      </c>
      <c r="E29" s="30">
        <v>202.2</v>
      </c>
      <c r="F29" s="30">
        <v>488.6</v>
      </c>
      <c r="G29" s="30">
        <v>1828.8</v>
      </c>
      <c r="I29" s="135">
        <v>75791870</v>
      </c>
      <c r="J29" s="135">
        <v>12947126</v>
      </c>
      <c r="K29" s="135">
        <f t="shared" si="1"/>
        <v>2644094</v>
      </c>
      <c r="L29" s="135">
        <v>212525</v>
      </c>
      <c r="M29" s="135">
        <v>523511</v>
      </c>
      <c r="N29" s="135">
        <v>1908058</v>
      </c>
    </row>
    <row r="30" spans="1:14">
      <c r="A30" s="66">
        <v>1987</v>
      </c>
      <c r="B30" s="30">
        <v>86246.8</v>
      </c>
      <c r="C30" s="30">
        <v>14343.5</v>
      </c>
      <c r="D30" s="30">
        <f t="shared" si="0"/>
        <v>3354.3999999999996</v>
      </c>
      <c r="E30" s="30">
        <v>217.7</v>
      </c>
      <c r="F30" s="30">
        <v>763.6</v>
      </c>
      <c r="G30" s="30">
        <v>2373.1</v>
      </c>
      <c r="I30" s="135">
        <v>82750786</v>
      </c>
      <c r="J30" s="135">
        <v>13774630</v>
      </c>
      <c r="K30" s="135">
        <f t="shared" si="1"/>
        <v>3518749</v>
      </c>
      <c r="L30" s="135">
        <v>227598</v>
      </c>
      <c r="M30" s="135">
        <v>811803</v>
      </c>
      <c r="N30" s="135">
        <v>2479348</v>
      </c>
    </row>
    <row r="31" spans="1:14">
      <c r="A31" s="66">
        <v>1988</v>
      </c>
      <c r="B31" s="30">
        <v>98894.7</v>
      </c>
      <c r="C31" s="30">
        <v>16273.9</v>
      </c>
      <c r="D31" s="30">
        <f t="shared" si="0"/>
        <v>4616.8</v>
      </c>
      <c r="E31" s="30">
        <v>240.1</v>
      </c>
      <c r="F31" s="30">
        <v>1060.9000000000001</v>
      </c>
      <c r="G31" s="30">
        <v>3315.8</v>
      </c>
      <c r="I31" s="135">
        <v>94958067</v>
      </c>
      <c r="J31" s="135">
        <v>15812959</v>
      </c>
      <c r="K31" s="135">
        <f t="shared" si="1"/>
        <v>4905100</v>
      </c>
      <c r="L31" s="135">
        <v>249960</v>
      </c>
      <c r="M31" s="135">
        <v>1143107</v>
      </c>
      <c r="N31" s="135">
        <v>3512033</v>
      </c>
    </row>
    <row r="32" spans="1:14">
      <c r="A32" s="66">
        <v>1989</v>
      </c>
      <c r="B32" s="30">
        <v>106836.9</v>
      </c>
      <c r="C32" s="30">
        <v>19162</v>
      </c>
      <c r="D32" s="30">
        <f t="shared" si="0"/>
        <v>6144.1</v>
      </c>
      <c r="E32" s="30">
        <v>248.5</v>
      </c>
      <c r="F32" s="30">
        <v>921.4</v>
      </c>
      <c r="G32" s="30">
        <v>4974.2</v>
      </c>
      <c r="I32" s="135">
        <v>103156637</v>
      </c>
      <c r="J32" s="135">
        <v>18755787</v>
      </c>
      <c r="K32" s="135">
        <f t="shared" si="1"/>
        <v>6529232</v>
      </c>
      <c r="L32" s="135">
        <v>260477</v>
      </c>
      <c r="M32" s="135">
        <v>984751</v>
      </c>
      <c r="N32" s="135">
        <v>5284004</v>
      </c>
    </row>
    <row r="33" spans="1:14">
      <c r="A33" s="66">
        <v>1990</v>
      </c>
      <c r="B33" s="30">
        <v>108564.9</v>
      </c>
      <c r="C33" s="30">
        <v>18539.900000000001</v>
      </c>
      <c r="D33" s="30">
        <f t="shared" si="0"/>
        <v>4919.6000000000004</v>
      </c>
      <c r="E33" s="30">
        <v>223.8</v>
      </c>
      <c r="F33" s="30">
        <v>750.3</v>
      </c>
      <c r="G33" s="30">
        <v>3945.5</v>
      </c>
      <c r="I33" s="135">
        <v>104155908</v>
      </c>
      <c r="J33" s="135">
        <v>17837175</v>
      </c>
      <c r="K33" s="135">
        <f t="shared" si="1"/>
        <v>5267192</v>
      </c>
      <c r="L33" s="135">
        <v>235102</v>
      </c>
      <c r="M33" s="135">
        <v>816559</v>
      </c>
      <c r="N33" s="135">
        <v>4215531</v>
      </c>
    </row>
    <row r="34" spans="1:14">
      <c r="A34" s="66">
        <v>1991</v>
      </c>
      <c r="B34" s="30">
        <v>104696.4</v>
      </c>
      <c r="C34" s="30">
        <v>16912.7</v>
      </c>
      <c r="D34" s="30">
        <f t="shared" si="0"/>
        <v>3584.7999999999997</v>
      </c>
      <c r="E34" s="30">
        <v>95.3</v>
      </c>
      <c r="F34" s="30">
        <v>467.3</v>
      </c>
      <c r="G34" s="30">
        <v>3022.2</v>
      </c>
      <c r="I34" s="135">
        <v>98769878</v>
      </c>
      <c r="J34" s="135">
        <v>15771609</v>
      </c>
      <c r="K34" s="135">
        <f t="shared" si="1"/>
        <v>3715834</v>
      </c>
      <c r="L34" s="135">
        <v>98233</v>
      </c>
      <c r="M34" s="135">
        <v>490457</v>
      </c>
      <c r="N34" s="135">
        <v>3127144</v>
      </c>
    </row>
    <row r="35" spans="1:14">
      <c r="A35" s="66">
        <v>1992</v>
      </c>
      <c r="B35" s="30">
        <v>98716.5</v>
      </c>
      <c r="C35" s="30">
        <v>13997.1</v>
      </c>
      <c r="D35" s="30">
        <f t="shared" si="0"/>
        <v>3008.6000000000004</v>
      </c>
      <c r="E35" s="30">
        <v>193.8</v>
      </c>
      <c r="F35" s="30">
        <v>526.5</v>
      </c>
      <c r="G35" s="30">
        <v>2288.3000000000002</v>
      </c>
      <c r="I35" s="135">
        <v>92157035</v>
      </c>
      <c r="J35" s="135">
        <v>12505349</v>
      </c>
      <c r="K35" s="135">
        <f t="shared" si="1"/>
        <v>3068958</v>
      </c>
      <c r="L35" s="135">
        <v>201786</v>
      </c>
      <c r="M35" s="135">
        <v>546978</v>
      </c>
      <c r="N35" s="135">
        <v>2320194</v>
      </c>
    </row>
    <row r="36" spans="1:14">
      <c r="A36" s="66">
        <v>1993</v>
      </c>
      <c r="B36" s="30">
        <v>99222.1</v>
      </c>
      <c r="C36" s="30">
        <v>13918.7</v>
      </c>
      <c r="D36" s="30">
        <f t="shared" si="0"/>
        <v>2930.3999999999996</v>
      </c>
      <c r="E36" s="30">
        <v>326.7</v>
      </c>
      <c r="F36" s="30">
        <v>706.4</v>
      </c>
      <c r="G36" s="30">
        <v>1897.3</v>
      </c>
      <c r="I36" s="135">
        <v>92457808</v>
      </c>
      <c r="J36" s="135">
        <v>12260707</v>
      </c>
      <c r="K36" s="135">
        <f t="shared" si="1"/>
        <v>2997626</v>
      </c>
      <c r="L36" s="135">
        <v>342090</v>
      </c>
      <c r="M36" s="135">
        <v>734380</v>
      </c>
      <c r="N36" s="135">
        <v>1921156</v>
      </c>
    </row>
    <row r="37" spans="1:14">
      <c r="A37" s="66">
        <v>1994</v>
      </c>
      <c r="B37" s="30">
        <v>110728.8</v>
      </c>
      <c r="C37" s="30">
        <v>16804.099999999999</v>
      </c>
      <c r="D37" s="30">
        <f t="shared" si="0"/>
        <v>3694.6</v>
      </c>
      <c r="E37" s="30">
        <v>410.6</v>
      </c>
      <c r="F37" s="30">
        <v>1221.3</v>
      </c>
      <c r="G37" s="30">
        <v>2062.6999999999998</v>
      </c>
      <c r="I37" s="135">
        <v>103708857</v>
      </c>
      <c r="J37" s="135">
        <v>14971361</v>
      </c>
      <c r="K37" s="135">
        <f t="shared" si="1"/>
        <v>3788823</v>
      </c>
      <c r="L37" s="135">
        <v>426583</v>
      </c>
      <c r="M37" s="135">
        <v>1271835</v>
      </c>
      <c r="N37" s="135">
        <v>2090405</v>
      </c>
    </row>
    <row r="38" spans="1:14">
      <c r="A38" s="66">
        <v>1995</v>
      </c>
      <c r="B38" s="30">
        <v>116033.9</v>
      </c>
      <c r="C38" s="30">
        <v>19127.599999999999</v>
      </c>
      <c r="D38" s="30">
        <f t="shared" si="0"/>
        <v>5636.7999999999993</v>
      </c>
      <c r="E38" s="30">
        <v>360.7</v>
      </c>
      <c r="F38" s="30">
        <v>1772.4</v>
      </c>
      <c r="G38" s="30">
        <v>3503.7</v>
      </c>
      <c r="I38" s="135">
        <v>108090689</v>
      </c>
      <c r="J38" s="135">
        <v>17199513</v>
      </c>
      <c r="K38" s="135">
        <f t="shared" si="1"/>
        <v>5793960</v>
      </c>
      <c r="L38" s="135">
        <v>373766</v>
      </c>
      <c r="M38" s="135">
        <v>1850696</v>
      </c>
      <c r="N38" s="135">
        <v>3569498</v>
      </c>
    </row>
    <row r="39" spans="1:14">
      <c r="A39" s="66">
        <v>1996</v>
      </c>
      <c r="B39" s="30">
        <v>121720</v>
      </c>
      <c r="C39" s="30">
        <v>20850.900000000001</v>
      </c>
      <c r="D39" s="30">
        <f t="shared" si="0"/>
        <v>4883.2</v>
      </c>
      <c r="E39" s="30">
        <v>348.4</v>
      </c>
      <c r="F39" s="30">
        <v>1270.8</v>
      </c>
      <c r="G39" s="30">
        <v>3264</v>
      </c>
      <c r="I39" s="135">
        <v>111686868</v>
      </c>
      <c r="J39" s="135">
        <v>18306964</v>
      </c>
      <c r="K39" s="135">
        <f t="shared" si="1"/>
        <v>4856636</v>
      </c>
      <c r="L39" s="135">
        <v>350389</v>
      </c>
      <c r="M39" s="135">
        <v>1282485</v>
      </c>
      <c r="N39" s="135">
        <v>3223762</v>
      </c>
    </row>
    <row r="40" spans="1:14">
      <c r="A40" s="66">
        <v>1997</v>
      </c>
      <c r="B40" s="30">
        <v>140090.1</v>
      </c>
      <c r="C40" s="30">
        <v>23039.7</v>
      </c>
      <c r="D40" s="30">
        <f t="shared" si="0"/>
        <v>4538.1000000000004</v>
      </c>
      <c r="E40" s="30">
        <v>327.7</v>
      </c>
      <c r="F40" s="30">
        <v>1438.9</v>
      </c>
      <c r="G40" s="30">
        <v>2771.5</v>
      </c>
      <c r="I40" s="135">
        <v>131073912</v>
      </c>
      <c r="J40" s="135">
        <v>20747462</v>
      </c>
      <c r="K40" s="135">
        <f t="shared" si="1"/>
        <v>4535888</v>
      </c>
      <c r="L40" s="135">
        <v>327315</v>
      </c>
      <c r="M40" s="135">
        <v>1454332</v>
      </c>
      <c r="N40" s="135">
        <v>2754241</v>
      </c>
    </row>
    <row r="41" spans="1:14">
      <c r="A41" s="66">
        <v>1998</v>
      </c>
      <c r="B41" s="30">
        <v>150303</v>
      </c>
      <c r="C41" s="30">
        <v>24794.3</v>
      </c>
      <c r="D41" s="30">
        <f t="shared" si="0"/>
        <v>3882.5</v>
      </c>
      <c r="E41" s="30">
        <v>397.8</v>
      </c>
      <c r="F41" s="30">
        <v>1154.9000000000001</v>
      </c>
      <c r="G41" s="30">
        <v>2329.8000000000002</v>
      </c>
      <c r="I41" s="135">
        <v>139104126</v>
      </c>
      <c r="J41" s="135">
        <v>21885979</v>
      </c>
      <c r="K41" s="135">
        <f t="shared" si="1"/>
        <v>3767369</v>
      </c>
      <c r="L41" s="135">
        <v>395749</v>
      </c>
      <c r="M41" s="135">
        <v>1137888</v>
      </c>
      <c r="N41" s="135">
        <v>2233732</v>
      </c>
    </row>
    <row r="42" spans="1:14">
      <c r="A42" s="66">
        <v>1999</v>
      </c>
      <c r="B42" s="30">
        <v>157868.4</v>
      </c>
      <c r="C42" s="30">
        <v>24268.7</v>
      </c>
      <c r="D42" s="30">
        <f t="shared" si="0"/>
        <v>3553</v>
      </c>
      <c r="E42" s="30">
        <v>418.9</v>
      </c>
      <c r="F42" s="30">
        <v>1063.2</v>
      </c>
      <c r="G42" s="30">
        <v>2070.9</v>
      </c>
      <c r="I42" s="135">
        <v>149113087</v>
      </c>
      <c r="J42" s="135">
        <v>22120208</v>
      </c>
      <c r="K42" s="135">
        <f t="shared" si="1"/>
        <v>3612955</v>
      </c>
      <c r="L42" s="135">
        <v>424786</v>
      </c>
      <c r="M42" s="135">
        <v>1087031</v>
      </c>
      <c r="N42" s="135">
        <v>2101138</v>
      </c>
    </row>
    <row r="43" spans="1:14">
      <c r="A43" s="66">
        <v>2000</v>
      </c>
      <c r="B43" s="30">
        <v>168152.2</v>
      </c>
      <c r="C43" s="30">
        <v>25727.1</v>
      </c>
      <c r="D43" s="30">
        <f t="shared" si="0"/>
        <v>4627.1000000000004</v>
      </c>
      <c r="E43" s="30">
        <v>409.8</v>
      </c>
      <c r="F43" s="30">
        <v>1699.5</v>
      </c>
      <c r="G43" s="30">
        <v>2517.8000000000002</v>
      </c>
      <c r="I43" s="135">
        <v>157431485</v>
      </c>
      <c r="J43" s="135">
        <v>22951252</v>
      </c>
      <c r="K43" s="135">
        <f t="shared" si="1"/>
        <v>4675041</v>
      </c>
      <c r="L43" s="135">
        <v>422334</v>
      </c>
      <c r="M43" s="135">
        <v>1794444</v>
      </c>
      <c r="N43" s="135">
        <v>2458263</v>
      </c>
    </row>
    <row r="44" spans="1:14">
      <c r="A44" s="66">
        <v>2001</v>
      </c>
      <c r="B44" s="30">
        <v>175206.9</v>
      </c>
      <c r="C44" s="30">
        <v>22963.8</v>
      </c>
      <c r="D44" s="30">
        <f t="shared" si="0"/>
        <v>3338.7000000000003</v>
      </c>
      <c r="E44" s="30">
        <v>292.5</v>
      </c>
      <c r="F44" s="30">
        <v>874.9</v>
      </c>
      <c r="G44" s="30">
        <v>2171.3000000000002</v>
      </c>
      <c r="I44" s="135">
        <v>161901965</v>
      </c>
      <c r="J44" s="135">
        <v>18740821</v>
      </c>
      <c r="K44" s="135">
        <f t="shared" si="1"/>
        <v>3084543</v>
      </c>
      <c r="L44" s="135">
        <v>301239</v>
      </c>
      <c r="M44" s="135">
        <v>895449</v>
      </c>
      <c r="N44" s="135">
        <v>1887855</v>
      </c>
    </row>
    <row r="45" spans="1:14">
      <c r="A45" s="66">
        <v>2002</v>
      </c>
      <c r="B45" s="30">
        <v>172377.60000000001</v>
      </c>
      <c r="C45" s="30">
        <v>22352.6</v>
      </c>
      <c r="D45" s="30">
        <f t="shared" si="0"/>
        <v>2961</v>
      </c>
      <c r="E45" s="30">
        <v>370</v>
      </c>
      <c r="F45" s="30">
        <v>804.2</v>
      </c>
      <c r="G45" s="30">
        <v>1786.8</v>
      </c>
      <c r="I45" s="135">
        <v>159255186</v>
      </c>
      <c r="J45" s="135">
        <v>17943207</v>
      </c>
      <c r="K45" s="135">
        <f t="shared" si="1"/>
        <v>2740320</v>
      </c>
      <c r="L45" s="135">
        <v>388089</v>
      </c>
      <c r="M45" s="135">
        <v>828132</v>
      </c>
      <c r="N45" s="135">
        <v>1524099</v>
      </c>
    </row>
    <row r="46" spans="1:14">
      <c r="A46" s="66">
        <v>2003</v>
      </c>
      <c r="B46" s="30">
        <v>179070.2</v>
      </c>
      <c r="C46" s="30">
        <v>23806.7</v>
      </c>
      <c r="D46" s="30">
        <f t="shared" si="0"/>
        <v>3804.7999999999997</v>
      </c>
      <c r="E46" s="30">
        <v>346.5</v>
      </c>
      <c r="F46" s="30">
        <v>1055.0999999999999</v>
      </c>
      <c r="G46" s="30">
        <v>2403.1999999999998</v>
      </c>
      <c r="I46" s="135">
        <v>165171066</v>
      </c>
      <c r="J46" s="135">
        <v>19384493</v>
      </c>
      <c r="K46" s="135">
        <f t="shared" si="1"/>
        <v>3642477</v>
      </c>
      <c r="L46" s="135">
        <v>361099</v>
      </c>
      <c r="M46" s="135">
        <v>1094280</v>
      </c>
      <c r="N46" s="135">
        <v>2187098</v>
      </c>
    </row>
    <row r="47" spans="1:14">
      <c r="A47" s="66">
        <v>2004</v>
      </c>
      <c r="B47" s="30">
        <v>195480.9</v>
      </c>
      <c r="C47" s="30">
        <v>23327.5</v>
      </c>
      <c r="D47" s="30">
        <f t="shared" si="0"/>
        <v>3339</v>
      </c>
      <c r="E47" s="30">
        <v>346.8</v>
      </c>
      <c r="F47" s="30">
        <v>1315.6</v>
      </c>
      <c r="G47" s="30">
        <v>1676.6</v>
      </c>
      <c r="I47" s="135">
        <v>178223829</v>
      </c>
      <c r="J47" s="135">
        <v>18369717</v>
      </c>
      <c r="K47" s="135">
        <f t="shared" si="1"/>
        <v>3052576</v>
      </c>
      <c r="L47" s="135">
        <v>358578</v>
      </c>
      <c r="M47" s="135">
        <v>1328216</v>
      </c>
      <c r="N47" s="135">
        <v>1365782</v>
      </c>
    </row>
    <row r="48" spans="1:14">
      <c r="A48" s="66">
        <v>2005</v>
      </c>
      <c r="B48" s="30">
        <v>220094.7</v>
      </c>
      <c r="C48" s="30">
        <v>24205.3</v>
      </c>
      <c r="D48" s="30">
        <f t="shared" si="0"/>
        <v>3642.5</v>
      </c>
      <c r="E48" s="30">
        <v>341.1</v>
      </c>
      <c r="F48" s="30">
        <v>1659.4</v>
      </c>
      <c r="G48" s="30">
        <v>1642</v>
      </c>
      <c r="I48" s="135">
        <v>199198739</v>
      </c>
      <c r="J48" s="135">
        <v>18817107</v>
      </c>
      <c r="K48" s="135">
        <f t="shared" si="1"/>
        <v>3315170</v>
      </c>
      <c r="L48" s="135">
        <v>346934</v>
      </c>
      <c r="M48" s="135">
        <v>1587369</v>
      </c>
      <c r="N48" s="135">
        <v>1380867</v>
      </c>
    </row>
    <row r="49" spans="1:14">
      <c r="A49" s="66">
        <v>2006</v>
      </c>
      <c r="B49" s="30">
        <v>243272.4</v>
      </c>
      <c r="C49" s="30">
        <v>24043.8</v>
      </c>
      <c r="D49" s="30">
        <f t="shared" si="0"/>
        <v>3282.1000000000004</v>
      </c>
      <c r="E49" s="30">
        <v>294</v>
      </c>
      <c r="F49" s="30">
        <v>1441.4</v>
      </c>
      <c r="G49" s="30">
        <v>1546.7</v>
      </c>
      <c r="I49" s="135">
        <v>219413342</v>
      </c>
      <c r="J49" s="135">
        <v>19213484</v>
      </c>
      <c r="K49" s="135">
        <f t="shared" si="1"/>
        <v>3042618</v>
      </c>
      <c r="L49" s="135">
        <v>317808</v>
      </c>
      <c r="M49" s="135">
        <v>1480152</v>
      </c>
      <c r="N49" s="135">
        <v>1244658</v>
      </c>
    </row>
    <row r="50" spans="1:14">
      <c r="A50" s="66">
        <v>2007</v>
      </c>
      <c r="B50" s="30">
        <v>255889.9</v>
      </c>
      <c r="C50" s="30">
        <v>24104.7</v>
      </c>
      <c r="D50" s="30">
        <f t="shared" si="0"/>
        <v>2767.3</v>
      </c>
      <c r="E50" s="30">
        <v>207.5</v>
      </c>
      <c r="F50" s="30">
        <v>1117.5999999999999</v>
      </c>
      <c r="G50" s="30">
        <v>1442.2</v>
      </c>
      <c r="H50" s="31"/>
      <c r="I50" s="135">
        <v>231119183</v>
      </c>
      <c r="J50" s="135">
        <v>20082330</v>
      </c>
      <c r="K50" s="135">
        <f t="shared" si="1"/>
        <v>3107403</v>
      </c>
      <c r="L50" s="135">
        <v>308002</v>
      </c>
      <c r="M50" s="135">
        <v>1520231</v>
      </c>
      <c r="N50" s="135">
        <v>1279170</v>
      </c>
    </row>
    <row r="51" spans="1:14">
      <c r="A51" s="66">
        <v>2008</v>
      </c>
      <c r="B51" s="30">
        <v>277999.40000000002</v>
      </c>
      <c r="C51" s="30">
        <v>23817.599999999999</v>
      </c>
      <c r="D51" s="30">
        <f>SUM(E51:G51)</f>
        <v>2465.8999999999996</v>
      </c>
      <c r="E51" s="30">
        <v>239.9</v>
      </c>
      <c r="F51" s="30">
        <v>948.9</v>
      </c>
      <c r="G51" s="30">
        <v>1277.0999999999999</v>
      </c>
      <c r="H51" s="31"/>
    </row>
    <row r="52" spans="1:14">
      <c r="A52" s="66">
        <v>2009</v>
      </c>
      <c r="B52" s="30">
        <v>247137.8</v>
      </c>
      <c r="C52" s="30">
        <v>19040.099999999999</v>
      </c>
      <c r="D52" s="30">
        <f t="shared" si="0"/>
        <v>1537.3</v>
      </c>
      <c r="E52" s="30">
        <v>164.8</v>
      </c>
      <c r="F52" s="30">
        <v>614</v>
      </c>
      <c r="G52" s="30">
        <v>758.5</v>
      </c>
      <c r="H52" s="31"/>
    </row>
    <row r="53" spans="1:14">
      <c r="A53" s="66">
        <v>2010</v>
      </c>
      <c r="B53" s="30">
        <v>275299.8</v>
      </c>
      <c r="C53" s="30">
        <v>20076.099999999999</v>
      </c>
      <c r="D53" s="30">
        <f t="shared" si="0"/>
        <v>1825.3999999999999</v>
      </c>
      <c r="E53" s="30">
        <v>198.7</v>
      </c>
      <c r="F53" s="30">
        <v>813.4</v>
      </c>
      <c r="G53" s="30">
        <v>813.3</v>
      </c>
      <c r="H53" s="31"/>
    </row>
    <row r="54" spans="1:14">
      <c r="A54" s="66">
        <v>2011</v>
      </c>
      <c r="B54" s="30">
        <v>296450.09999999998</v>
      </c>
      <c r="C54" s="30">
        <v>23911.1</v>
      </c>
      <c r="D54" s="30">
        <f t="shared" si="0"/>
        <v>2306.3999999999996</v>
      </c>
      <c r="E54" s="30">
        <v>210.1</v>
      </c>
      <c r="F54" s="30">
        <v>962.5</v>
      </c>
      <c r="G54" s="30">
        <v>1133.8</v>
      </c>
      <c r="H54" s="31"/>
    </row>
    <row r="55" spans="1:14">
      <c r="A55" s="66">
        <v>2012</v>
      </c>
      <c r="B55" s="30">
        <v>317096.90000000002</v>
      </c>
      <c r="C55" s="30">
        <v>25016.7</v>
      </c>
      <c r="D55" s="30">
        <f t="shared" si="0"/>
        <v>2463.1999999999998</v>
      </c>
      <c r="E55" s="30">
        <v>183.8</v>
      </c>
      <c r="F55" s="30">
        <v>1077.5</v>
      </c>
      <c r="G55" s="30">
        <v>1201.9000000000001</v>
      </c>
      <c r="H55" s="31"/>
    </row>
    <row r="57" spans="1:14">
      <c r="A57" s="66" t="s">
        <v>23</v>
      </c>
      <c r="B57" s="56"/>
      <c r="C57" s="56"/>
    </row>
    <row r="58" spans="1:14">
      <c r="A58" s="69" t="s">
        <v>2121</v>
      </c>
      <c r="B58" s="147">
        <f>((B55/B4)^(1/51)-1)*100</f>
        <v>7.6858656995454799</v>
      </c>
      <c r="C58" s="147">
        <f t="shared" ref="C58:G58" si="2">((C55/C4)^(1/51)-1)*100</f>
        <v>6.3700725490350774</v>
      </c>
      <c r="D58" s="147">
        <f t="shared" si="2"/>
        <v>4.528921243545514</v>
      </c>
      <c r="E58" s="147">
        <f t="shared" si="2"/>
        <v>2.7664974846426826</v>
      </c>
      <c r="F58" s="147">
        <f t="shared" si="2"/>
        <v>6.3430822210784221</v>
      </c>
      <c r="G58" s="147">
        <f t="shared" si="2"/>
        <v>3.9728206615768258</v>
      </c>
    </row>
    <row r="59" spans="1:14">
      <c r="A59" s="68" t="s">
        <v>1031</v>
      </c>
      <c r="B59" s="147">
        <f t="shared" ref="B59:G59" si="3">((B16/B4)^(1/12)-1)*100</f>
        <v>9.6626798002790615</v>
      </c>
      <c r="C59" s="147">
        <f t="shared" si="3"/>
        <v>10.657167593376515</v>
      </c>
      <c r="D59" s="147">
        <f t="shared" si="3"/>
        <v>10.463409765770514</v>
      </c>
      <c r="E59" s="147">
        <f t="shared" si="3"/>
        <v>11.150502499210347</v>
      </c>
      <c r="F59" s="147">
        <f t="shared" si="3"/>
        <v>16.581958500844184</v>
      </c>
      <c r="G59" s="147">
        <f t="shared" si="3"/>
        <v>7.4836160008347585</v>
      </c>
    </row>
    <row r="60" spans="1:14">
      <c r="A60" s="68" t="s">
        <v>1032</v>
      </c>
      <c r="B60" s="147">
        <f t="shared" ref="B60:G60" si="4">((B24/B16)^(1/8)-1)*100</f>
        <v>15.71444456125397</v>
      </c>
      <c r="C60" s="147">
        <f t="shared" si="4"/>
        <v>16.277464144429011</v>
      </c>
      <c r="D60" s="147">
        <f t="shared" si="4"/>
        <v>15.882108223449887</v>
      </c>
      <c r="E60" s="147">
        <f t="shared" si="4"/>
        <v>5.3625987191425306</v>
      </c>
      <c r="F60" s="147">
        <f t="shared" si="4"/>
        <v>5.8588596394903547</v>
      </c>
      <c r="G60" s="147">
        <f t="shared" si="4"/>
        <v>22.97897872588748</v>
      </c>
    </row>
    <row r="61" spans="1:14">
      <c r="A61" s="68" t="s">
        <v>25</v>
      </c>
      <c r="B61" s="147">
        <f t="shared" ref="B61:G61" si="5">((B32/B24)^(1/8)-1)*100</f>
        <v>5.3118009901289787</v>
      </c>
      <c r="C61" s="147">
        <f t="shared" si="5"/>
        <v>5.9340323754089264</v>
      </c>
      <c r="D61" s="147">
        <f t="shared" si="5"/>
        <v>10.511699128965258</v>
      </c>
      <c r="E61" s="147">
        <f t="shared" si="5"/>
        <v>8.5843743486679891E-2</v>
      </c>
      <c r="F61" s="147">
        <f t="shared" si="5"/>
        <v>8.9183522886418629</v>
      </c>
      <c r="G61" s="147">
        <f t="shared" si="5"/>
        <v>11.718853277363284</v>
      </c>
    </row>
    <row r="62" spans="1:14">
      <c r="A62" s="68" t="s">
        <v>26</v>
      </c>
      <c r="B62" s="147">
        <f t="shared" ref="B62:G62" si="6">((B43/B32)^(1/11)-1)*100</f>
        <v>4.209518370985843</v>
      </c>
      <c r="C62" s="147">
        <f t="shared" si="6"/>
        <v>2.714514583993699</v>
      </c>
      <c r="D62" s="147">
        <f t="shared" si="6"/>
        <v>-2.5448933923679196</v>
      </c>
      <c r="E62" s="147">
        <f t="shared" si="6"/>
        <v>4.6524973434078909</v>
      </c>
      <c r="F62" s="147">
        <f t="shared" si="6"/>
        <v>5.723192555836798</v>
      </c>
      <c r="G62" s="147">
        <f t="shared" si="6"/>
        <v>-6.0021329931306937</v>
      </c>
    </row>
    <row r="63" spans="1:14">
      <c r="A63" s="69" t="s">
        <v>2028</v>
      </c>
      <c r="B63" s="147">
        <f>((B55/B43)^(1/12)-1)*100</f>
        <v>5.4283606512272486</v>
      </c>
      <c r="C63" s="147">
        <f t="shared" ref="C63:G63" si="7">((C55/C43)^(1/12)-1)*100</f>
        <v>-0.23307220717124766</v>
      </c>
      <c r="D63" s="147">
        <f t="shared" si="7"/>
        <v>-5.1182762952303733</v>
      </c>
      <c r="E63" s="147">
        <f t="shared" si="7"/>
        <v>-6.4634969399969933</v>
      </c>
      <c r="F63" s="147">
        <f t="shared" si="7"/>
        <v>-3.7262232600747902</v>
      </c>
      <c r="G63" s="147">
        <f t="shared" si="7"/>
        <v>-5.9763170208363299</v>
      </c>
    </row>
    <row r="65" spans="1:1">
      <c r="A65" s="64" t="s">
        <v>1813</v>
      </c>
    </row>
  </sheetData>
  <mergeCells count="7">
    <mergeCell ref="A1:G1"/>
    <mergeCell ref="B2:B3"/>
    <mergeCell ref="D2:G2"/>
    <mergeCell ref="I2:I3"/>
    <mergeCell ref="K2:N2"/>
    <mergeCell ref="J2:J3"/>
    <mergeCell ref="C2:C3"/>
  </mergeCells>
  <pageMargins left="0.7" right="0.7" top="0.75" bottom="0.75" header="0.3" footer="0.3"/>
  <pageSetup scale="93" orientation="portrait" horizontalDpi="0" verticalDpi="0" r:id="rId1"/>
</worksheet>
</file>

<file path=xl/worksheets/sheet7.xml><?xml version="1.0" encoding="utf-8"?>
<worksheet xmlns="http://schemas.openxmlformats.org/spreadsheetml/2006/main" xmlns:r="http://schemas.openxmlformats.org/officeDocument/2006/relationships">
  <sheetPr codeName="Sheet7">
    <pageSetUpPr fitToPage="1"/>
  </sheetPr>
  <dimension ref="A1:R44"/>
  <sheetViews>
    <sheetView zoomScale="85" zoomScaleNormal="85" workbookViewId="0">
      <pane xSplit="1" ySplit="4" topLeftCell="B5"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Col="1"/>
  <cols>
    <col min="1" max="1" width="11.5703125" style="64" customWidth="1"/>
    <col min="2" max="2" width="12.7109375" style="64" customWidth="1"/>
    <col min="3" max="3" width="14.7109375" style="64" customWidth="1"/>
    <col min="4" max="5" width="12.7109375" style="64" customWidth="1"/>
    <col min="6" max="6" width="15.140625" style="64" customWidth="1"/>
    <col min="7" max="9" width="14.7109375" style="64" customWidth="1"/>
    <col min="10" max="10" width="9.140625" style="64"/>
    <col min="11" max="17" width="17.7109375" style="64" hidden="1" customWidth="1" outlineLevel="1"/>
    <col min="18" max="18" width="9.140625" style="64" collapsed="1"/>
    <col min="19" max="16384" width="9.140625" style="64"/>
  </cols>
  <sheetData>
    <row r="1" spans="1:17" ht="30" customHeight="1">
      <c r="A1" s="140" t="s">
        <v>2165</v>
      </c>
      <c r="B1" s="140"/>
      <c r="C1" s="140"/>
      <c r="D1" s="140"/>
      <c r="E1" s="140"/>
      <c r="F1" s="140"/>
      <c r="G1" s="140"/>
      <c r="H1" s="140"/>
      <c r="I1" s="140"/>
    </row>
    <row r="2" spans="1:17">
      <c r="A2" s="96"/>
      <c r="B2" s="94" t="s">
        <v>36</v>
      </c>
      <c r="C2" s="94" t="s">
        <v>938</v>
      </c>
      <c r="D2" s="111" t="s">
        <v>37</v>
      </c>
      <c r="E2" s="111"/>
      <c r="F2" s="111"/>
      <c r="G2" s="111"/>
      <c r="H2" s="111"/>
      <c r="I2" s="111"/>
      <c r="K2" s="94" t="s">
        <v>36</v>
      </c>
      <c r="L2" s="111" t="s">
        <v>37</v>
      </c>
      <c r="M2" s="111"/>
      <c r="N2" s="111"/>
      <c r="O2" s="111"/>
      <c r="P2" s="111"/>
      <c r="Q2" s="111"/>
    </row>
    <row r="3" spans="1:17" ht="30" customHeight="1">
      <c r="A3" s="96"/>
      <c r="B3" s="94"/>
      <c r="C3" s="94"/>
      <c r="D3" s="94" t="s">
        <v>39</v>
      </c>
      <c r="E3" s="94" t="s">
        <v>28</v>
      </c>
      <c r="F3" s="94" t="s">
        <v>29</v>
      </c>
      <c r="G3" s="94" t="s">
        <v>2</v>
      </c>
      <c r="H3" s="94"/>
      <c r="I3" s="94"/>
      <c r="K3" s="94"/>
      <c r="L3" s="94" t="s">
        <v>39</v>
      </c>
      <c r="M3" s="94" t="s">
        <v>28</v>
      </c>
      <c r="N3" s="94" t="s">
        <v>29</v>
      </c>
      <c r="O3" s="94" t="s">
        <v>2</v>
      </c>
      <c r="P3" s="94"/>
      <c r="Q3" s="94"/>
    </row>
    <row r="4" spans="1:17" ht="60">
      <c r="A4" s="96"/>
      <c r="B4" s="94"/>
      <c r="C4" s="94"/>
      <c r="D4" s="94"/>
      <c r="E4" s="94"/>
      <c r="F4" s="94"/>
      <c r="G4" s="72" t="s">
        <v>38</v>
      </c>
      <c r="H4" s="72" t="s">
        <v>13</v>
      </c>
      <c r="I4" s="72" t="s">
        <v>19</v>
      </c>
      <c r="K4" s="94"/>
      <c r="L4" s="94"/>
      <c r="M4" s="94"/>
      <c r="N4" s="94"/>
      <c r="O4" s="72" t="s">
        <v>38</v>
      </c>
      <c r="P4" s="72" t="s">
        <v>13</v>
      </c>
      <c r="Q4" s="72" t="s">
        <v>19</v>
      </c>
    </row>
    <row r="5" spans="1:17">
      <c r="A5" s="66">
        <v>1981</v>
      </c>
      <c r="B5" s="58">
        <f>IFERROR(('1b'!B26/'1a'!B7)*100,"..")</f>
        <v>47.894128543467119</v>
      </c>
      <c r="C5" s="58">
        <f>IFERROR(('1b'!C26/'1a'!C7)*100,"..")</f>
        <v>57.218701832853505</v>
      </c>
      <c r="D5" s="58" t="str">
        <f>IFERROR(('1b'!D26/'1a'!D7)*100,"..")</f>
        <v>..</v>
      </c>
      <c r="E5" s="58" t="str">
        <f>IFERROR(('1b'!E26/'1a'!E7)*100,"..")</f>
        <v>..</v>
      </c>
      <c r="F5" s="58">
        <f>IFERROR(('1b'!F26/'1a'!F7)*100,"..")</f>
        <v>60.999836955093699</v>
      </c>
      <c r="G5" s="58">
        <f>('1b'!G26/'1a'!O7)*100</f>
        <v>69.230660501384151</v>
      </c>
      <c r="H5" s="58">
        <f>('1b'!H26/'1a'!P7)*100</f>
        <v>87.546427251202502</v>
      </c>
      <c r="I5" s="58">
        <f>('1b'!I26/'1a'!V7)*100</f>
        <v>34.118894598872473</v>
      </c>
    </row>
    <row r="6" spans="1:17">
      <c r="A6" s="66">
        <v>1982</v>
      </c>
      <c r="B6" s="58">
        <f>IFERROR(('1b'!B27/'1a'!B8)*100,"..")</f>
        <v>51.901756404900688</v>
      </c>
      <c r="C6" s="58">
        <f>IFERROR(('1b'!C27/'1a'!C8)*100,"..")</f>
        <v>60.579498103363029</v>
      </c>
      <c r="D6" s="58" t="str">
        <f>IFERROR(('1b'!D27/'1a'!D8)*100,"..")</f>
        <v>..</v>
      </c>
      <c r="E6" s="58" t="str">
        <f>IFERROR(('1b'!E27/'1a'!E8)*100,"..")</f>
        <v>..</v>
      </c>
      <c r="F6" s="58">
        <f>IFERROR(('1b'!F27/'1a'!F8)*100,"..")</f>
        <v>55.186406456582823</v>
      </c>
      <c r="G6" s="58">
        <f>('1b'!G27/'1a'!O8)*100</f>
        <v>65.169028687770449</v>
      </c>
      <c r="H6" s="58">
        <f>('1b'!H27/'1a'!P8)*100</f>
        <v>78.967979806629359</v>
      </c>
      <c r="I6" s="58">
        <f>('1b'!I27/'1a'!V8)*100</f>
        <v>38.772827344901053</v>
      </c>
    </row>
    <row r="7" spans="1:17">
      <c r="A7" s="66">
        <v>1983</v>
      </c>
      <c r="B7" s="58">
        <f>IFERROR(('1b'!B28/'1a'!B9)*100,"..")</f>
        <v>55.030798942713822</v>
      </c>
      <c r="C7" s="58">
        <f>IFERROR(('1b'!C28/'1a'!C9)*100,"..")</f>
        <v>65.002964399924096</v>
      </c>
      <c r="D7" s="58" t="str">
        <f>IFERROR(('1b'!D28/'1a'!D9)*100,"..")</f>
        <v>..</v>
      </c>
      <c r="E7" s="58" t="str">
        <f>IFERROR(('1b'!E28/'1a'!E9)*100,"..")</f>
        <v>..</v>
      </c>
      <c r="F7" s="58">
        <f>IFERROR(('1b'!F28/'1a'!F9)*100,"..")</f>
        <v>68.577385278637053</v>
      </c>
      <c r="G7" s="58">
        <f>('1b'!G28/'1a'!O9)*100</f>
        <v>60.610363687217962</v>
      </c>
      <c r="H7" s="58">
        <f>('1b'!H28/'1a'!P9)*100</f>
        <v>70.509499888523436</v>
      </c>
      <c r="I7" s="58">
        <f>('1b'!I28/'1a'!V9)*100</f>
        <v>41.557712810728887</v>
      </c>
    </row>
    <row r="8" spans="1:17">
      <c r="A8" s="66">
        <v>1984</v>
      </c>
      <c r="B8" s="58">
        <f>IFERROR(('1b'!B29/'1a'!B10)*100,"..")</f>
        <v>57.059166377671247</v>
      </c>
      <c r="C8" s="58">
        <f>IFERROR(('1b'!C29/'1a'!C10)*100,"..")</f>
        <v>66.887825074009001</v>
      </c>
      <c r="D8" s="58" t="str">
        <f>IFERROR(('1b'!D29/'1a'!D10)*100,"..")</f>
        <v>..</v>
      </c>
      <c r="E8" s="58" t="str">
        <f>IFERROR(('1b'!E29/'1a'!E10)*100,"..")</f>
        <v>..</v>
      </c>
      <c r="F8" s="58">
        <f>IFERROR(('1b'!F29/'1a'!F10)*100,"..")</f>
        <v>63.720955579652625</v>
      </c>
      <c r="G8" s="58">
        <f>('1b'!G29/'1a'!O10)*100</f>
        <v>71.663377401137822</v>
      </c>
      <c r="H8" s="58">
        <f>('1b'!H29/'1a'!P10)*100</f>
        <v>86.953835917483815</v>
      </c>
      <c r="I8" s="58">
        <f>('1b'!I29/'1a'!V10)*100</f>
        <v>42.524106392886566</v>
      </c>
    </row>
    <row r="9" spans="1:17">
      <c r="A9" s="66">
        <v>1985</v>
      </c>
      <c r="B9" s="58">
        <f>IFERROR(('1b'!B30/'1a'!B11)*100,"..")</f>
        <v>58.543009354986076</v>
      </c>
      <c r="C9" s="58">
        <f>IFERROR(('1b'!C30/'1a'!C11)*100,"..")</f>
        <v>68.925411826560662</v>
      </c>
      <c r="D9" s="58" t="str">
        <f>IFERROR(('1b'!D30/'1a'!D11)*100,"..")</f>
        <v>..</v>
      </c>
      <c r="E9" s="58" t="str">
        <f>IFERROR(('1b'!E30/'1a'!E11)*100,"..")</f>
        <v>..</v>
      </c>
      <c r="F9" s="58">
        <f>IFERROR(('1b'!F30/'1a'!F11)*100,"..")</f>
        <v>64.412184247320624</v>
      </c>
      <c r="G9" s="58">
        <f>('1b'!G30/'1a'!O11)*100</f>
        <v>72.963610162670207</v>
      </c>
      <c r="H9" s="58">
        <f>('1b'!H30/'1a'!P11)*100</f>
        <v>87.0647877589779</v>
      </c>
      <c r="I9" s="58">
        <f>('1b'!I30/'1a'!V11)*100</f>
        <v>46.331112524691115</v>
      </c>
    </row>
    <row r="10" spans="1:17">
      <c r="A10" s="66">
        <v>1986</v>
      </c>
      <c r="B10" s="58">
        <f>IFERROR(('1b'!B31/'1a'!B12)*100,"..")</f>
        <v>59.591275370422935</v>
      </c>
      <c r="C10" s="58">
        <f>IFERROR(('1b'!C31/'1a'!C12)*100,"..")</f>
        <v>72.667357024354217</v>
      </c>
      <c r="D10" s="58">
        <f>IFERROR(('1b'!D31/'1a'!D12)*100,"..")</f>
        <v>72.96651759277259</v>
      </c>
      <c r="E10" s="58">
        <f>IFERROR(('1b'!E31/'1a'!E12)*100,"..")</f>
        <v>50.764921602437838</v>
      </c>
      <c r="F10" s="58">
        <f>IFERROR(('1b'!F31/'1a'!F12)*100,"..")</f>
        <v>73.89182277984419</v>
      </c>
      <c r="G10" s="58">
        <f>('1b'!G31/'1a'!O12)*100</f>
        <v>82.749221436966806</v>
      </c>
      <c r="H10" s="58">
        <f>('1b'!H31/'1a'!P12)*100</f>
        <v>101.26626320394621</v>
      </c>
      <c r="I10" s="58">
        <f>('1b'!I31/'1a'!V12)*100</f>
        <v>48.13364906885387</v>
      </c>
      <c r="K10" s="31">
        <f>B10/B$10*100</f>
        <v>100</v>
      </c>
      <c r="L10" s="31">
        <f t="shared" ref="L10:Q10" si="0">D10/D$10*100</f>
        <v>100</v>
      </c>
      <c r="M10" s="31">
        <f t="shared" si="0"/>
        <v>100</v>
      </c>
      <c r="N10" s="31">
        <f t="shared" si="0"/>
        <v>100</v>
      </c>
      <c r="O10" s="31">
        <f t="shared" si="0"/>
        <v>100</v>
      </c>
      <c r="P10" s="31">
        <f t="shared" si="0"/>
        <v>100</v>
      </c>
      <c r="Q10" s="31">
        <f t="shared" si="0"/>
        <v>100</v>
      </c>
    </row>
    <row r="11" spans="1:17">
      <c r="A11" s="66">
        <v>1987</v>
      </c>
      <c r="B11" s="58">
        <f>IFERROR(('1b'!B32/'1a'!B13)*100,"..")</f>
        <v>62.283260871580367</v>
      </c>
      <c r="C11" s="58">
        <f>IFERROR(('1b'!C32/'1a'!C13)*100,"..")</f>
        <v>75.991935431676154</v>
      </c>
      <c r="D11" s="58">
        <f>IFERROR(('1b'!D32/'1a'!D13)*100,"..")</f>
        <v>81.168702933266644</v>
      </c>
      <c r="E11" s="58">
        <f>IFERROR(('1b'!E32/'1a'!E13)*100,"..")</f>
        <v>54.354695175636415</v>
      </c>
      <c r="F11" s="58">
        <f>IFERROR(('1b'!F32/'1a'!F13)*100,"..")</f>
        <v>77.145992655149627</v>
      </c>
      <c r="G11" s="58">
        <f>('1b'!G32/'1a'!O13)*100</f>
        <v>99.141837967276004</v>
      </c>
      <c r="H11" s="58">
        <f>('1b'!H32/'1a'!P13)*100</f>
        <v>123.98526584967111</v>
      </c>
      <c r="I11" s="58">
        <f>('1b'!I32/'1a'!V13)*100</f>
        <v>51.733573565472057</v>
      </c>
      <c r="K11" s="31">
        <f t="shared" ref="K11:K28" si="1">B11/B$10*100</f>
        <v>104.51741548477338</v>
      </c>
      <c r="L11" s="31">
        <f t="shared" ref="L11:L28" si="2">D11/D$10*100</f>
        <v>111.24102617349865</v>
      </c>
      <c r="M11" s="31">
        <f t="shared" ref="M11:M28" si="3">E11/E$10*100</f>
        <v>107.07136632911927</v>
      </c>
      <c r="N11" s="31">
        <f t="shared" ref="N11:N28" si="4">F11/F$10*100</f>
        <v>104.40396481353697</v>
      </c>
      <c r="O11" s="31">
        <f t="shared" ref="O11:O28" si="5">G11/G$10*100</f>
        <v>119.80999488049089</v>
      </c>
      <c r="P11" s="31">
        <f t="shared" ref="P11:P28" si="6">H11/H$10*100</f>
        <v>122.4349175400792</v>
      </c>
      <c r="Q11" s="31">
        <f t="shared" ref="Q11:Q28" si="7">I11/I$10*100</f>
        <v>107.47901845436358</v>
      </c>
    </row>
    <row r="12" spans="1:17">
      <c r="A12" s="66">
        <v>1988</v>
      </c>
      <c r="B12" s="58">
        <f>IFERROR(('1b'!B33/'1a'!B14)*100,"..")</f>
        <v>65.138903951344702</v>
      </c>
      <c r="C12" s="58">
        <f>IFERROR(('1b'!C33/'1a'!C14)*100,"..")</f>
        <v>79.865115634839896</v>
      </c>
      <c r="D12" s="58">
        <f>IFERROR(('1b'!D33/'1a'!D14)*100,"..")</f>
        <v>86.49616875194306</v>
      </c>
      <c r="E12" s="58">
        <f>IFERROR(('1b'!E33/'1a'!E14)*100,"..")</f>
        <v>61.418009460606271</v>
      </c>
      <c r="F12" s="58">
        <f>IFERROR(('1b'!F33/'1a'!F14)*100,"..")</f>
        <v>69.579115196595026</v>
      </c>
      <c r="G12" s="58">
        <f>('1b'!G33/'1a'!O14)*100</f>
        <v>112.5912058006747</v>
      </c>
      <c r="H12" s="58">
        <f>('1b'!H33/'1a'!P14)*100</f>
        <v>143.18591010438826</v>
      </c>
      <c r="I12" s="58">
        <f>('1b'!I33/'1a'!V14)*100</f>
        <v>53.570254946994623</v>
      </c>
      <c r="K12" s="31">
        <f t="shared" si="1"/>
        <v>109.3094644248464</v>
      </c>
      <c r="L12" s="31">
        <f t="shared" si="2"/>
        <v>118.54227336801202</v>
      </c>
      <c r="M12" s="31">
        <f t="shared" si="3"/>
        <v>120.98513603861618</v>
      </c>
      <c r="N12" s="31">
        <f t="shared" si="4"/>
        <v>94.163484644168832</v>
      </c>
      <c r="O12" s="31">
        <f t="shared" si="5"/>
        <v>136.06316028778548</v>
      </c>
      <c r="P12" s="31">
        <f t="shared" si="6"/>
        <v>141.39547127952926</v>
      </c>
      <c r="Q12" s="31">
        <f t="shared" si="7"/>
        <v>111.29481346898058</v>
      </c>
    </row>
    <row r="13" spans="1:17">
      <c r="A13" s="66">
        <v>1989</v>
      </c>
      <c r="B13" s="58">
        <f>IFERROR(('1b'!B34/'1a'!B15)*100,"..")</f>
        <v>67.960200304792025</v>
      </c>
      <c r="C13" s="58">
        <f>IFERROR(('1b'!C34/'1a'!C15)*100,"..")</f>
        <v>80.947341730067023</v>
      </c>
      <c r="D13" s="58">
        <f>IFERROR(('1b'!D34/'1a'!D15)*100,"..")</f>
        <v>87.451676154722151</v>
      </c>
      <c r="E13" s="58">
        <f>IFERROR(('1b'!E34/'1a'!E15)*100,"..")</f>
        <v>64.667500963107614</v>
      </c>
      <c r="F13" s="58">
        <f>IFERROR(('1b'!F34/'1a'!F15)*100,"..")</f>
        <v>73.046721609640031</v>
      </c>
      <c r="G13" s="58">
        <f>('1b'!G34/'1a'!O15)*100</f>
        <v>110.07613749905407</v>
      </c>
      <c r="H13" s="58">
        <f>('1b'!H34/'1a'!P15)*100</f>
        <v>137.52296163980938</v>
      </c>
      <c r="I13" s="58">
        <f>('1b'!I34/'1a'!V15)*100</f>
        <v>58.304649881200788</v>
      </c>
      <c r="K13" s="31">
        <f t="shared" si="1"/>
        <v>114.04387619218981</v>
      </c>
      <c r="L13" s="31">
        <f t="shared" si="2"/>
        <v>119.85178824456372</v>
      </c>
      <c r="M13" s="31">
        <f t="shared" si="3"/>
        <v>127.3861929100313</v>
      </c>
      <c r="N13" s="31">
        <f t="shared" si="4"/>
        <v>98.856299468045222</v>
      </c>
      <c r="O13" s="31">
        <f t="shared" si="5"/>
        <v>133.02377422717288</v>
      </c>
      <c r="P13" s="31">
        <f t="shared" si="6"/>
        <v>135.80333399173981</v>
      </c>
      <c r="Q13" s="31">
        <f t="shared" si="7"/>
        <v>121.13074950498263</v>
      </c>
    </row>
    <row r="14" spans="1:17">
      <c r="A14" s="66">
        <v>1990</v>
      </c>
      <c r="B14" s="58">
        <f>IFERROR(('1b'!B35/'1a'!B16)*100,"..")</f>
        <v>70.242511821787147</v>
      </c>
      <c r="C14" s="58">
        <f>IFERROR(('1b'!C35/'1a'!C16)*100,"..")</f>
        <v>81.001470180680641</v>
      </c>
      <c r="D14" s="58">
        <f>IFERROR(('1b'!D35/'1a'!D16)*100,"..")</f>
        <v>81.066268974019025</v>
      </c>
      <c r="E14" s="58">
        <f>IFERROR(('1b'!E35/'1a'!E16)*100,"..")</f>
        <v>65.030739632250487</v>
      </c>
      <c r="F14" s="58">
        <f>IFERROR(('1b'!F35/'1a'!F16)*100,"..")</f>
        <v>68.727867079638045</v>
      </c>
      <c r="G14" s="58">
        <f>('1b'!G35/'1a'!O16)*100</f>
        <v>96.500378289086143</v>
      </c>
      <c r="H14" s="58">
        <f>('1b'!H35/'1a'!P16)*100</f>
        <v>117.54257017284833</v>
      </c>
      <c r="I14" s="58">
        <f>('1b'!I35/'1a'!V16)*100</f>
        <v>57.26426881758676</v>
      </c>
      <c r="K14" s="31">
        <f t="shared" si="1"/>
        <v>117.8738185836022</v>
      </c>
      <c r="L14" s="31">
        <f t="shared" si="2"/>
        <v>111.10064129201189</v>
      </c>
      <c r="M14" s="31">
        <f t="shared" si="3"/>
        <v>128.10172374840735</v>
      </c>
      <c r="N14" s="31">
        <f t="shared" si="4"/>
        <v>93.0114652664723</v>
      </c>
      <c r="O14" s="31">
        <f t="shared" si="5"/>
        <v>116.6178685591551</v>
      </c>
      <c r="P14" s="31">
        <f t="shared" si="6"/>
        <v>116.07278322902297</v>
      </c>
      <c r="Q14" s="31">
        <f t="shared" si="7"/>
        <v>118.96930717983128</v>
      </c>
    </row>
    <row r="15" spans="1:17">
      <c r="A15" s="66">
        <v>1991</v>
      </c>
      <c r="B15" s="58">
        <f>IFERROR(('1b'!B36/'1a'!B17)*100,"..")</f>
        <v>71.790852969492803</v>
      </c>
      <c r="C15" s="58">
        <f>IFERROR(('1b'!C36/'1a'!C17)*100,"..")</f>
        <v>81.619769601811669</v>
      </c>
      <c r="D15" s="58">
        <f>IFERROR(('1b'!D36/'1a'!D17)*100,"..")</f>
        <v>73.271596820199875</v>
      </c>
      <c r="E15" s="58">
        <f>IFERROR(('1b'!E36/'1a'!E17)*100,"..")</f>
        <v>66.683472508119337</v>
      </c>
      <c r="F15" s="58">
        <f>IFERROR(('1b'!F36/'1a'!F17)*100,"..")</f>
        <v>67.15433830994678</v>
      </c>
      <c r="G15" s="58">
        <f>('1b'!G36/'1a'!O17)*100</f>
        <v>78.463795430643984</v>
      </c>
      <c r="H15" s="58">
        <f>('1b'!H36/'1a'!P17)*100</f>
        <v>88.274495101664399</v>
      </c>
      <c r="I15" s="58">
        <f>('1b'!I36/'1a'!V17)*100</f>
        <v>60.629202848257634</v>
      </c>
      <c r="K15" s="31">
        <f t="shared" si="1"/>
        <v>120.47208676645459</v>
      </c>
      <c r="L15" s="31">
        <f t="shared" si="2"/>
        <v>100.41810852085602</v>
      </c>
      <c r="M15" s="31">
        <f t="shared" si="3"/>
        <v>131.35738301803474</v>
      </c>
      <c r="N15" s="31">
        <f t="shared" si="4"/>
        <v>90.881962013616445</v>
      </c>
      <c r="O15" s="31">
        <f t="shared" si="5"/>
        <v>94.821188729144495</v>
      </c>
      <c r="P15" s="31">
        <f t="shared" si="6"/>
        <v>87.170684795471402</v>
      </c>
      <c r="Q15" s="31">
        <f t="shared" si="7"/>
        <v>125.96012149739408</v>
      </c>
    </row>
    <row r="16" spans="1:17">
      <c r="A16" s="66">
        <v>1992</v>
      </c>
      <c r="B16" s="58">
        <f>IFERROR(('1b'!B37/'1a'!B18)*100,"..")</f>
        <v>72.640872154354014</v>
      </c>
      <c r="C16" s="58">
        <f>IFERROR(('1b'!C37/'1a'!C18)*100,"..")</f>
        <v>80.033890921746249</v>
      </c>
      <c r="D16" s="58">
        <f>IFERROR(('1b'!D37/'1a'!D18)*100,"..")</f>
        <v>73.908738512412214</v>
      </c>
      <c r="E16" s="58">
        <f>IFERROR(('1b'!E37/'1a'!E18)*100,"..")</f>
        <v>74.38262341119146</v>
      </c>
      <c r="F16" s="58">
        <f>IFERROR(('1b'!F37/'1a'!F18)*100,"..")</f>
        <v>77.539165991142696</v>
      </c>
      <c r="G16" s="58">
        <f>('1b'!G37/'1a'!O18)*100</f>
        <v>69.011689255651362</v>
      </c>
      <c r="H16" s="58">
        <f>('1b'!H37/'1a'!P18)*100</f>
        <v>75.303978513118338</v>
      </c>
      <c r="I16" s="58">
        <f>('1b'!I37/'1a'!V18)*100</f>
        <v>58.501556561320619</v>
      </c>
      <c r="K16" s="31">
        <f t="shared" si="1"/>
        <v>121.89850226029566</v>
      </c>
      <c r="L16" s="31">
        <f t="shared" si="2"/>
        <v>101.29130586291397</v>
      </c>
      <c r="M16" s="31">
        <f t="shared" si="3"/>
        <v>146.52366449753259</v>
      </c>
      <c r="N16" s="31">
        <f t="shared" si="4"/>
        <v>104.93605797513688</v>
      </c>
      <c r="O16" s="31">
        <f t="shared" si="5"/>
        <v>83.398596454735411</v>
      </c>
      <c r="P16" s="31">
        <f t="shared" si="6"/>
        <v>74.362355369486806</v>
      </c>
      <c r="Q16" s="31">
        <f t="shared" si="7"/>
        <v>121.53983272208542</v>
      </c>
    </row>
    <row r="17" spans="1:17">
      <c r="A17" s="66">
        <v>1993</v>
      </c>
      <c r="B17" s="58">
        <f>IFERROR(('1b'!B38/'1a'!B19)*100,"..")</f>
        <v>73.498682294712211</v>
      </c>
      <c r="C17" s="58">
        <f>IFERROR(('1b'!C38/'1a'!C19)*100,"..")</f>
        <v>81.615662772909673</v>
      </c>
      <c r="D17" s="58">
        <f>IFERROR(('1b'!D38/'1a'!D19)*100,"..")</f>
        <v>86.02858718434247</v>
      </c>
      <c r="E17" s="58">
        <f>IFERROR(('1b'!E38/'1a'!E19)*100,"..")</f>
        <v>87.668785097716679</v>
      </c>
      <c r="F17" s="58">
        <f>IFERROR(('1b'!F38/'1a'!F19)*100,"..")</f>
        <v>107.06915091094946</v>
      </c>
      <c r="G17" s="58">
        <f>('1b'!G38/'1a'!O19)*100</f>
        <v>68.632972853674673</v>
      </c>
      <c r="H17" s="58">
        <f>('1b'!H38/'1a'!P19)*100</f>
        <v>75.449929410749249</v>
      </c>
      <c r="I17" s="58">
        <f>('1b'!I38/'1a'!V19)*100</f>
        <v>57.109620167596795</v>
      </c>
      <c r="K17" s="31">
        <f t="shared" si="1"/>
        <v>123.33799174097216</v>
      </c>
      <c r="L17" s="31">
        <f t="shared" si="2"/>
        <v>117.90145675372577</v>
      </c>
      <c r="M17" s="31">
        <f t="shared" si="3"/>
        <v>172.69559831942425</v>
      </c>
      <c r="N17" s="31">
        <f t="shared" si="4"/>
        <v>144.89986426502824</v>
      </c>
      <c r="O17" s="31">
        <f t="shared" si="5"/>
        <v>82.94092882306451</v>
      </c>
      <c r="P17" s="31">
        <f t="shared" si="6"/>
        <v>74.506481254073833</v>
      </c>
      <c r="Q17" s="31">
        <f t="shared" si="7"/>
        <v>118.64801707824613</v>
      </c>
    </row>
    <row r="18" spans="1:17">
      <c r="A18" s="66">
        <v>1994</v>
      </c>
      <c r="B18" s="58">
        <f>IFERROR(('1b'!B39/'1a'!B20)*100,"..")</f>
        <v>74.653747616443425</v>
      </c>
      <c r="C18" s="58">
        <f>IFERROR(('1b'!C39/'1a'!C20)*100,"..")</f>
        <v>87.023984412526417</v>
      </c>
      <c r="D18" s="58">
        <f>IFERROR(('1b'!D39/'1a'!D20)*100,"..")</f>
        <v>103.24327412608176</v>
      </c>
      <c r="E18" s="58">
        <f>IFERROR(('1b'!E39/'1a'!E20)*100,"..")</f>
        <v>91.473050326139244</v>
      </c>
      <c r="F18" s="58">
        <f>IFERROR(('1b'!F39/'1a'!F20)*100,"..")</f>
        <v>138.78145178163038</v>
      </c>
      <c r="G18" s="58">
        <f>('1b'!G39/'1a'!O20)*100</f>
        <v>83.469317694314455</v>
      </c>
      <c r="H18" s="58">
        <f>('1b'!H39/'1a'!P20)*100</f>
        <v>96.749583868219631</v>
      </c>
      <c r="I18" s="58">
        <f>('1b'!I39/'1a'!V20)*100</f>
        <v>59.522112121761673</v>
      </c>
      <c r="K18" s="31">
        <f t="shared" si="1"/>
        <v>125.27630454691776</v>
      </c>
      <c r="L18" s="31">
        <f t="shared" si="2"/>
        <v>141.49404073562107</v>
      </c>
      <c r="M18" s="31">
        <f t="shared" si="3"/>
        <v>180.18948407426777</v>
      </c>
      <c r="N18" s="31">
        <f t="shared" si="4"/>
        <v>187.81706359460176</v>
      </c>
      <c r="O18" s="31">
        <f t="shared" si="5"/>
        <v>100.87021514504058</v>
      </c>
      <c r="P18" s="31">
        <f t="shared" si="6"/>
        <v>95.539798554005912</v>
      </c>
      <c r="Q18" s="31">
        <f t="shared" si="7"/>
        <v>123.66008659891318</v>
      </c>
    </row>
    <row r="19" spans="1:17">
      <c r="A19" s="66">
        <v>1995</v>
      </c>
      <c r="B19" s="58">
        <f>IFERROR(('1b'!B40/'1a'!B21)*100,"..")</f>
        <v>76.468111295042377</v>
      </c>
      <c r="C19" s="58">
        <f>IFERROR(('1b'!C40/'1a'!C21)*100,"..")</f>
        <v>93.579738166901222</v>
      </c>
      <c r="D19" s="58">
        <f>IFERROR(('1b'!D40/'1a'!D21)*100,"..")</f>
        <v>133.16758580758977</v>
      </c>
      <c r="E19" s="58">
        <f>IFERROR(('1b'!E40/'1a'!E21)*100,"..")</f>
        <v>104.51262706572027</v>
      </c>
      <c r="F19" s="58">
        <f>IFERROR(('1b'!F40/'1a'!F21)*100,"..")</f>
        <v>122.47631290485499</v>
      </c>
      <c r="G19" s="58">
        <f>('1b'!G40/'1a'!O21)*100</f>
        <v>151.00624200990984</v>
      </c>
      <c r="H19" s="58">
        <f>('1b'!H40/'1a'!P21)*100</f>
        <v>202.09269755418887</v>
      </c>
      <c r="I19" s="58">
        <f>('1b'!I40/'1a'!V21)*100</f>
        <v>62.91066851792101</v>
      </c>
      <c r="K19" s="31">
        <f t="shared" si="1"/>
        <v>128.32098460674322</v>
      </c>
      <c r="L19" s="31">
        <f t="shared" si="2"/>
        <v>182.50505875969085</v>
      </c>
      <c r="M19" s="31">
        <f t="shared" si="3"/>
        <v>205.87567904507776</v>
      </c>
      <c r="N19" s="31">
        <f t="shared" si="4"/>
        <v>165.75083452706951</v>
      </c>
      <c r="O19" s="31">
        <f t="shared" si="5"/>
        <v>182.48660155061032</v>
      </c>
      <c r="P19" s="31">
        <f t="shared" si="6"/>
        <v>199.56567089592539</v>
      </c>
      <c r="Q19" s="31">
        <f t="shared" si="7"/>
        <v>130.69997753116331</v>
      </c>
    </row>
    <row r="20" spans="1:17">
      <c r="A20" s="66">
        <v>1996</v>
      </c>
      <c r="B20" s="58">
        <f>IFERROR(('1b'!B41/'1a'!B22)*100,"..")</f>
        <v>77.924308790020319</v>
      </c>
      <c r="C20" s="58">
        <f>IFERROR(('1b'!C41/'1a'!C22)*100,"..")</f>
        <v>93.495470214937939</v>
      </c>
      <c r="D20" s="58">
        <f>IFERROR(('1b'!D41/'1a'!D22)*100,"..")</f>
        <v>124.48707411863724</v>
      </c>
      <c r="E20" s="58">
        <f>IFERROR(('1b'!E41/'1a'!E22)*100,"..")</f>
        <v>112.89289429346063</v>
      </c>
      <c r="F20" s="58">
        <f>IFERROR(('1b'!F41/'1a'!F22)*100,"..")</f>
        <v>126.57533097902277</v>
      </c>
      <c r="G20" s="58">
        <f>('1b'!G41/'1a'!O22)*100</f>
        <v>125.41811381244989</v>
      </c>
      <c r="H20" s="58">
        <f>('1b'!H41/'1a'!P22)*100</f>
        <v>162.54837424890542</v>
      </c>
      <c r="I20" s="58">
        <f>('1b'!I41/'1a'!V22)*100</f>
        <v>65.877486924045186</v>
      </c>
      <c r="K20" s="31">
        <f t="shared" si="1"/>
        <v>130.76462671026613</v>
      </c>
      <c r="L20" s="31">
        <f t="shared" si="2"/>
        <v>170.60849033991423</v>
      </c>
      <c r="M20" s="31">
        <f t="shared" si="3"/>
        <v>222.38366716602843</v>
      </c>
      <c r="N20" s="31">
        <f t="shared" si="4"/>
        <v>171.29815751892548</v>
      </c>
      <c r="O20" s="31">
        <f t="shared" si="5"/>
        <v>151.56410131059127</v>
      </c>
      <c r="P20" s="31">
        <f t="shared" si="6"/>
        <v>160.51582146517987</v>
      </c>
      <c r="Q20" s="31">
        <f t="shared" si="7"/>
        <v>136.86368725090682</v>
      </c>
    </row>
    <row r="21" spans="1:17">
      <c r="A21" s="66">
        <v>1997</v>
      </c>
      <c r="B21" s="58">
        <f>IFERROR(('1b'!B42/'1a'!B23)*100,"..")</f>
        <v>78.726546043238798</v>
      </c>
      <c r="C21" s="58">
        <f>IFERROR(('1b'!C42/'1a'!C23)*100,"..")</f>
        <v>92.370529322300698</v>
      </c>
      <c r="D21" s="58">
        <f>IFERROR(('1b'!D42/'1a'!D23)*100,"..")</f>
        <v>116.04055344199762</v>
      </c>
      <c r="E21" s="58">
        <f>IFERROR(('1b'!E42/'1a'!E23)*100,"..")</f>
        <v>109.27414647188141</v>
      </c>
      <c r="F21" s="58">
        <f>IFERROR(('1b'!F42/'1a'!F23)*100,"..")</f>
        <v>125.63490279222292</v>
      </c>
      <c r="G21" s="58">
        <f>('1b'!G42/'1a'!O23)*100</f>
        <v>110.10150036525745</v>
      </c>
      <c r="H21" s="58">
        <f>('1b'!H42/'1a'!P23)*100</f>
        <v>133.05270419426043</v>
      </c>
      <c r="I21" s="58">
        <f>('1b'!I42/'1a'!V23)*100</f>
        <v>70.981146929147229</v>
      </c>
      <c r="K21" s="31">
        <f t="shared" si="1"/>
        <v>132.1108594401947</v>
      </c>
      <c r="L21" s="31">
        <f t="shared" si="2"/>
        <v>159.03260463877689</v>
      </c>
      <c r="M21" s="31">
        <f t="shared" si="3"/>
        <v>215.25522550326139</v>
      </c>
      <c r="N21" s="31">
        <f t="shared" si="4"/>
        <v>170.02544810207729</v>
      </c>
      <c r="O21" s="31">
        <f t="shared" si="5"/>
        <v>133.05442450491924</v>
      </c>
      <c r="P21" s="31">
        <f t="shared" si="6"/>
        <v>131.38897396292543</v>
      </c>
      <c r="Q21" s="31">
        <f t="shared" si="7"/>
        <v>147.46678945452615</v>
      </c>
    </row>
    <row r="22" spans="1:17">
      <c r="A22" s="66">
        <v>1998</v>
      </c>
      <c r="B22" s="58">
        <f>IFERROR(('1b'!B43/'1a'!B24)*100,"..")</f>
        <v>78.502012056525075</v>
      </c>
      <c r="C22" s="58">
        <f>IFERROR(('1b'!C43/'1a'!C24)*100,"..")</f>
        <v>92.806081680292934</v>
      </c>
      <c r="D22" s="58">
        <f>IFERROR(('1b'!D43/'1a'!D24)*100,"..")</f>
        <v>118.6137567369185</v>
      </c>
      <c r="E22" s="58">
        <f>IFERROR(('1b'!E43/'1a'!E24)*100,"..")</f>
        <v>112.38014829912406</v>
      </c>
      <c r="F22" s="58">
        <f>IFERROR(('1b'!F43/'1a'!F24)*100,"..")</f>
        <v>119.3428666051102</v>
      </c>
      <c r="G22" s="58">
        <f>('1b'!G43/'1a'!O24)*100</f>
        <v>119.43066691001584</v>
      </c>
      <c r="H22" s="58">
        <f>('1b'!H43/'1a'!P24)*100</f>
        <v>147.04222408026752</v>
      </c>
      <c r="I22" s="58">
        <f>('1b'!I43/'1a'!V24)*100</f>
        <v>72.703401062079976</v>
      </c>
      <c r="K22" s="31">
        <f t="shared" si="1"/>
        <v>131.73406940622075</v>
      </c>
      <c r="L22" s="31">
        <f t="shared" si="2"/>
        <v>162.55915815923129</v>
      </c>
      <c r="M22" s="31">
        <f t="shared" si="3"/>
        <v>221.37362720506465</v>
      </c>
      <c r="N22" s="31">
        <f t="shared" si="4"/>
        <v>161.51024851651636</v>
      </c>
      <c r="O22" s="31">
        <f t="shared" si="5"/>
        <v>144.32844785251626</v>
      </c>
      <c r="P22" s="31">
        <f t="shared" si="6"/>
        <v>145.20356476878223</v>
      </c>
      <c r="Q22" s="31">
        <f t="shared" si="7"/>
        <v>151.04485628770789</v>
      </c>
    </row>
    <row r="23" spans="1:17">
      <c r="A23" s="66">
        <v>1999</v>
      </c>
      <c r="B23" s="58">
        <f>IFERROR(('1b'!B44/'1a'!B25)*100,"..")</f>
        <v>79.880898139374807</v>
      </c>
      <c r="C23" s="58">
        <f>IFERROR(('1b'!C44/'1a'!C25)*100,"..")</f>
        <v>97.403105011302102</v>
      </c>
      <c r="D23" s="58">
        <f>IFERROR(('1b'!D44/'1a'!D25)*100,"..")</f>
        <v>121.60111556196654</v>
      </c>
      <c r="E23" s="58">
        <f>IFERROR(('1b'!E44/'1a'!E25)*100,"..")</f>
        <v>104.39055434305315</v>
      </c>
      <c r="F23" s="58">
        <f>IFERROR(('1b'!F44/'1a'!F25)*100,"..")</f>
        <v>147.05620261482068</v>
      </c>
      <c r="G23" s="58">
        <f>('1b'!G44/'1a'!O25)*100</f>
        <v>108.72774680313996</v>
      </c>
      <c r="H23" s="58">
        <f>('1b'!H44/'1a'!P25)*100</f>
        <v>126.46150043257937</v>
      </c>
      <c r="I23" s="58">
        <f>('1b'!I44/'1a'!V25)*100</f>
        <v>78.99011575583971</v>
      </c>
      <c r="K23" s="31">
        <f t="shared" si="1"/>
        <v>134.04797538369561</v>
      </c>
      <c r="L23" s="31">
        <f t="shared" si="2"/>
        <v>166.6533083579848</v>
      </c>
      <c r="M23" s="31">
        <f t="shared" si="3"/>
        <v>205.63521236294022</v>
      </c>
      <c r="N23" s="31">
        <f t="shared" si="4"/>
        <v>199.0155298414615</v>
      </c>
      <c r="O23" s="31">
        <f t="shared" si="5"/>
        <v>131.3942837346959</v>
      </c>
      <c r="P23" s="31">
        <f t="shared" si="6"/>
        <v>124.88018855587764</v>
      </c>
      <c r="Q23" s="31">
        <f t="shared" si="7"/>
        <v>164.10581222056635</v>
      </c>
    </row>
    <row r="24" spans="1:17">
      <c r="A24" s="66">
        <v>2000</v>
      </c>
      <c r="B24" s="58">
        <f>IFERROR(('1b'!B45/'1a'!B26)*100,"..")</f>
        <v>83.213119180943423</v>
      </c>
      <c r="C24" s="58">
        <f>IFERROR(('1b'!C45/'1a'!C26)*100,"..")</f>
        <v>96.444570351123389</v>
      </c>
      <c r="D24" s="58">
        <f>IFERROR(('1b'!D45/'1a'!D26)*100,"..")</f>
        <v>127.0357943951435</v>
      </c>
      <c r="E24" s="58">
        <f>IFERROR(('1b'!E45/'1a'!E26)*100,"..")</f>
        <v>100.1021386027721</v>
      </c>
      <c r="F24" s="58">
        <f>IFERROR(('1b'!F45/'1a'!F26)*100,"..")</f>
        <v>134.59002771790546</v>
      </c>
      <c r="G24" s="58">
        <f>('1b'!G45/'1a'!O26)*100</f>
        <v>133.39736040609137</v>
      </c>
      <c r="H24" s="58">
        <f>('1b'!H45/'1a'!P26)*100</f>
        <v>161.27903996440727</v>
      </c>
      <c r="I24" s="58">
        <f>('1b'!I45/'1a'!V26)*100</f>
        <v>85.839032802018806</v>
      </c>
      <c r="K24" s="31">
        <f t="shared" si="1"/>
        <v>139.63976884818405</v>
      </c>
      <c r="L24" s="31">
        <f t="shared" si="2"/>
        <v>174.10149008910153</v>
      </c>
      <c r="M24" s="31">
        <f t="shared" si="3"/>
        <v>197.18761586340162</v>
      </c>
      <c r="N24" s="31">
        <f t="shared" si="4"/>
        <v>182.14468483056314</v>
      </c>
      <c r="O24" s="31">
        <f t="shared" si="5"/>
        <v>161.20678610578244</v>
      </c>
      <c r="P24" s="31">
        <f t="shared" si="6"/>
        <v>159.26235931071903</v>
      </c>
      <c r="Q24" s="31">
        <f t="shared" si="7"/>
        <v>178.33477091925531</v>
      </c>
    </row>
    <row r="25" spans="1:17">
      <c r="A25" s="66">
        <v>2001</v>
      </c>
      <c r="B25" s="58">
        <f>IFERROR(('1b'!B46/'1a'!B27)*100,"..")</f>
        <v>84.587982576092998</v>
      </c>
      <c r="C25" s="58">
        <f>IFERROR(('1b'!C46/'1a'!C27)*100,"..")</f>
        <v>97.347080164043291</v>
      </c>
      <c r="D25" s="58">
        <f>IFERROR(('1b'!D46/'1a'!D27)*100,"..")</f>
        <v>123.45538399226254</v>
      </c>
      <c r="E25" s="58">
        <f>IFERROR(('1b'!E46/'1a'!E27)*100,"..")</f>
        <v>91.874024402845393</v>
      </c>
      <c r="F25" s="58">
        <f>IFERROR(('1b'!F46/'1a'!F27)*100,"..")</f>
        <v>131.710280859417</v>
      </c>
      <c r="G25" s="58">
        <f>('1b'!G46/'1a'!O27)*100</f>
        <v>132.29893226906654</v>
      </c>
      <c r="H25" s="58">
        <f>('1b'!H46/'1a'!P27)*100</f>
        <v>155.48731442923017</v>
      </c>
      <c r="I25" s="58">
        <f>('1b'!I46/'1a'!V27)*100</f>
        <v>92.436226923292693</v>
      </c>
      <c r="K25" s="31">
        <f t="shared" si="1"/>
        <v>141.94692436147579</v>
      </c>
      <c r="L25" s="31">
        <f t="shared" si="2"/>
        <v>169.19456768002718</v>
      </c>
      <c r="M25" s="31">
        <f t="shared" si="3"/>
        <v>180.97934853982599</v>
      </c>
      <c r="N25" s="31">
        <f t="shared" si="4"/>
        <v>178.24743781438318</v>
      </c>
      <c r="O25" s="31">
        <f t="shared" si="5"/>
        <v>159.87936801295902</v>
      </c>
      <c r="P25" s="31">
        <f t="shared" si="6"/>
        <v>153.54305521877995</v>
      </c>
      <c r="Q25" s="31">
        <f t="shared" si="7"/>
        <v>192.04076298280481</v>
      </c>
    </row>
    <row r="26" spans="1:17">
      <c r="A26" s="66">
        <v>2002</v>
      </c>
      <c r="B26" s="58">
        <f>IFERROR(('1b'!B47/'1a'!B28)*100,"..")</f>
        <v>85.346613352025784</v>
      </c>
      <c r="C26" s="58">
        <f>IFERROR(('1b'!C47/'1a'!C28)*100,"..")</f>
        <v>98.067644710939433</v>
      </c>
      <c r="D26" s="58">
        <f>IFERROR(('1b'!D47/'1a'!D28)*100,"..")</f>
        <v>114.24165215238841</v>
      </c>
      <c r="E26" s="58">
        <f>IFERROR(('1b'!E47/'1a'!E28)*100,"..")</f>
        <v>99.925747169110807</v>
      </c>
      <c r="F26" s="58">
        <f>IFERROR(('1b'!F47/'1a'!F28)*100,"..")</f>
        <v>126.67615363873772</v>
      </c>
      <c r="G26" s="58">
        <f>('1b'!G47/'1a'!O28)*100</f>
        <v>110.13197969543147</v>
      </c>
      <c r="H26" s="58">
        <f>('1b'!H47/'1a'!P28)*100</f>
        <v>121.11742424242419</v>
      </c>
      <c r="I26" s="58">
        <f>('1b'!I47/'1a'!V28)*100</f>
        <v>90.324416619237297</v>
      </c>
      <c r="K26" s="31">
        <f t="shared" si="1"/>
        <v>143.2199811490963</v>
      </c>
      <c r="L26" s="31">
        <f t="shared" si="2"/>
        <v>156.5672255183851</v>
      </c>
      <c r="M26" s="31">
        <f t="shared" si="3"/>
        <v>196.84014869888455</v>
      </c>
      <c r="N26" s="31">
        <f t="shared" si="4"/>
        <v>171.43460382099514</v>
      </c>
      <c r="O26" s="31">
        <f t="shared" si="5"/>
        <v>133.09125787887098</v>
      </c>
      <c r="P26" s="31">
        <f t="shared" si="6"/>
        <v>119.60293626960296</v>
      </c>
      <c r="Q26" s="31">
        <f t="shared" si="7"/>
        <v>187.65337423312886</v>
      </c>
    </row>
    <row r="27" spans="1:17">
      <c r="A27" s="66">
        <v>2003</v>
      </c>
      <c r="B27" s="58">
        <f>IFERROR(('1b'!B48/'1a'!B29)*100,"..")</f>
        <v>88.264890530587522</v>
      </c>
      <c r="C27" s="58">
        <f>IFERROR(('1b'!C48/'1a'!C29)*100,"..")</f>
        <v>97.762429683558054</v>
      </c>
      <c r="D27" s="58">
        <f>IFERROR(('1b'!D48/'1a'!D29)*100,"..")</f>
        <v>106.36066365750223</v>
      </c>
      <c r="E27" s="58">
        <f>IFERROR(('1b'!E48/'1a'!E29)*100,"..")</f>
        <v>94.118126540788097</v>
      </c>
      <c r="F27" s="58">
        <f>IFERROR(('1b'!F48/'1a'!F29)*100,"..")</f>
        <v>121.08094498212718</v>
      </c>
      <c r="G27" s="58">
        <f>('1b'!G48/'1a'!O29)*100</f>
        <v>99.165094585306093</v>
      </c>
      <c r="H27" s="58">
        <f>('1b'!H48/'1a'!P29)*100</f>
        <v>104.25411732102661</v>
      </c>
      <c r="I27" s="58">
        <f>('1b'!I48/'1a'!V29)*100</f>
        <v>88.800646289558998</v>
      </c>
      <c r="K27" s="31">
        <f t="shared" si="1"/>
        <v>148.11713624507561</v>
      </c>
      <c r="L27" s="31">
        <f t="shared" si="2"/>
        <v>145.76639692619423</v>
      </c>
      <c r="M27" s="31">
        <f t="shared" si="3"/>
        <v>185.39992492821727</v>
      </c>
      <c r="N27" s="31">
        <f t="shared" si="4"/>
        <v>163.86244164375248</v>
      </c>
      <c r="O27" s="31">
        <f t="shared" si="5"/>
        <v>119.8380998192761</v>
      </c>
      <c r="P27" s="31">
        <f t="shared" si="6"/>
        <v>102.95049310851235</v>
      </c>
      <c r="Q27" s="31">
        <f t="shared" si="7"/>
        <v>184.48766716716636</v>
      </c>
    </row>
    <row r="28" spans="1:17">
      <c r="A28" s="66">
        <v>2004</v>
      </c>
      <c r="B28" s="58">
        <f>IFERROR(('1b'!B49/'1a'!B30)*100,"..")</f>
        <v>91.047910674270923</v>
      </c>
      <c r="C28" s="58">
        <f>IFERROR(('1b'!C49/'1a'!C30)*100,"..")</f>
        <v>98.948684095590664</v>
      </c>
      <c r="D28" s="58">
        <f>IFERROR(('1b'!D49/'1a'!D30)*100,"..")</f>
        <v>115.88233146985336</v>
      </c>
      <c r="E28" s="58">
        <f>IFERROR(('1b'!E49/'1a'!E30)*100,"..")</f>
        <v>97.965465812518332</v>
      </c>
      <c r="F28" s="58">
        <f>IFERROR(('1b'!F49/'1a'!F30)*100,"..")</f>
        <v>142.18184799907979</v>
      </c>
      <c r="G28" s="58">
        <f>('1b'!G49/'1a'!O30)*100</f>
        <v>101.156768830383</v>
      </c>
      <c r="H28" s="58">
        <f>('1b'!H49/'1a'!P30)*100</f>
        <v>105.33162998192398</v>
      </c>
      <c r="I28" s="58">
        <f>('1b'!I49/'1a'!V30)*100</f>
        <v>92.651499862813949</v>
      </c>
      <c r="K28" s="31">
        <f t="shared" si="1"/>
        <v>152.78731678137726</v>
      </c>
      <c r="L28" s="31">
        <f t="shared" si="2"/>
        <v>158.81576275380809</v>
      </c>
      <c r="M28" s="31">
        <f t="shared" si="3"/>
        <v>192.97866069749594</v>
      </c>
      <c r="N28" s="31">
        <f t="shared" si="4"/>
        <v>192.41892086313965</v>
      </c>
      <c r="O28" s="31">
        <f t="shared" si="5"/>
        <v>122.24497955843357</v>
      </c>
      <c r="P28" s="31">
        <f t="shared" si="6"/>
        <v>104.01453223349446</v>
      </c>
      <c r="Q28" s="31">
        <f t="shared" si="7"/>
        <v>192.48800299823208</v>
      </c>
    </row>
    <row r="29" spans="1:17">
      <c r="A29" s="66">
        <v>2005</v>
      </c>
      <c r="B29" s="58">
        <f>IFERROR(('1b'!B50/'1a'!B31)*100,"..")</f>
        <v>94.052765582843151</v>
      </c>
      <c r="C29" s="58">
        <f>IFERROR(('1b'!C50/'1a'!C31)*100,"..")</f>
        <v>96.502571819220378</v>
      </c>
      <c r="D29" s="58">
        <f>IFERROR(('1b'!D50/'1a'!D31)*100,"..")</f>
        <v>107.70185326488068</v>
      </c>
      <c r="E29" s="58">
        <f>IFERROR(('1b'!E50/'1a'!E31)*100,"..")</f>
        <v>97.181239818336977</v>
      </c>
      <c r="F29" s="58">
        <f>IFERROR(('1b'!F50/'1a'!F31)*100,"..")</f>
        <v>120.56136120179181</v>
      </c>
      <c r="G29" s="58">
        <f>('1b'!G50/'1a'!O31)*100</f>
        <v>101.04602315767148</v>
      </c>
      <c r="H29" s="58">
        <f>('1b'!H50/'1a'!P31)*100</f>
        <v>103.66125355281859</v>
      </c>
      <c r="I29" s="58">
        <f>('1b'!I50/'1a'!V31)*100</f>
        <v>95.672410727388609</v>
      </c>
      <c r="K29" s="31"/>
      <c r="L29" s="31"/>
      <c r="M29" s="31"/>
      <c r="N29" s="31"/>
      <c r="O29" s="31"/>
      <c r="P29" s="31"/>
      <c r="Q29" s="31"/>
    </row>
    <row r="30" spans="1:17">
      <c r="A30" s="66">
        <v>2006</v>
      </c>
      <c r="B30" s="58">
        <f>IFERROR(('1b'!B51/'1a'!B32)*100,"..")</f>
        <v>96.814119939689775</v>
      </c>
      <c r="C30" s="58">
        <f>IFERROR(('1b'!C51/'1a'!C32)*100,"..")</f>
        <v>97.618979932301514</v>
      </c>
      <c r="D30" s="58">
        <f>IFERROR(('1b'!D51/'1a'!D32)*100,"..")</f>
        <v>104.60812137687965</v>
      </c>
      <c r="E30" s="58">
        <f>IFERROR(('1b'!E51/'1a'!E32)*100,"..")</f>
        <v>97.299666212510203</v>
      </c>
      <c r="F30" s="58">
        <f>IFERROR(('1b'!F51/'1a'!F32)*100,"..")</f>
        <v>105.92037203795553</v>
      </c>
      <c r="G30" s="58">
        <f>('1b'!G51/'1a'!O32)*100</f>
        <v>108.07856822243194</v>
      </c>
      <c r="H30" s="58">
        <f>('1b'!H51/'1a'!P32)*100</f>
        <v>112.98689382817903</v>
      </c>
      <c r="I30" s="58">
        <f>('1b'!I51/'1a'!V32)*100</f>
        <v>98.461995009656491</v>
      </c>
      <c r="K30" s="31"/>
      <c r="L30" s="31"/>
      <c r="M30" s="31"/>
      <c r="N30" s="31"/>
      <c r="O30" s="31"/>
      <c r="P30" s="31"/>
      <c r="Q30" s="31"/>
    </row>
    <row r="31" spans="1:17">
      <c r="A31" s="66">
        <v>2007</v>
      </c>
      <c r="B31" s="58">
        <f>IFERROR(('1b'!B52/'1a'!B33)*100,"..")</f>
        <v>99.999931824472569</v>
      </c>
      <c r="C31" s="58">
        <f>IFERROR(('1b'!C52/'1a'!C33)*100,"..")</f>
        <v>99.999462971913431</v>
      </c>
      <c r="D31" s="58">
        <f>IFERROR(('1b'!D52/'1a'!D33)*100,"..")</f>
        <v>99.995672494374247</v>
      </c>
      <c r="E31" s="58">
        <f>IFERROR(('1b'!E52/'1a'!E33)*100,"..")</f>
        <v>100</v>
      </c>
      <c r="F31" s="58">
        <f>IFERROR(('1b'!F52/'1a'!F33)*100,"..")</f>
        <v>99.989614705576898</v>
      </c>
      <c r="G31" s="58">
        <f>('1b'!G52/'1a'!O33)*100</f>
        <v>100</v>
      </c>
      <c r="H31" s="58">
        <f>('1b'!H52/'1a'!P33)*100</f>
        <v>100</v>
      </c>
      <c r="I31" s="58">
        <f>('1b'!I52/'1a'!V33)*100</f>
        <v>100</v>
      </c>
      <c r="K31" s="31"/>
      <c r="L31" s="31"/>
      <c r="M31" s="31"/>
      <c r="N31" s="31"/>
      <c r="O31" s="31"/>
      <c r="P31" s="31"/>
      <c r="Q31" s="31"/>
    </row>
    <row r="32" spans="1:17">
      <c r="A32" s="66">
        <v>2008</v>
      </c>
      <c r="B32" s="58">
        <f>IFERROR(('1b'!B53/'1a'!B34)*100,"..")</f>
        <v>104.74250452465932</v>
      </c>
      <c r="C32" s="58">
        <f>IFERROR(('1b'!C53/'1a'!C34)*100,"..")</f>
        <v>99.231371392267192</v>
      </c>
      <c r="D32" s="58">
        <f>IFERROR(('1b'!D53/'1a'!D34)*100,"..")</f>
        <v>97.745571658615134</v>
      </c>
      <c r="E32" s="58">
        <f>IFERROR(('1b'!E53/'1a'!E34)*100,"..")</f>
        <v>98.303797468354432</v>
      </c>
      <c r="F32" s="58">
        <f>IFERROR(('1b'!F53/'1a'!F34)*100,"..")</f>
        <v>92.532618825722281</v>
      </c>
      <c r="G32" s="58">
        <f>('1b'!G53/'1a'!O34)*100</f>
        <v>102.70396270396272</v>
      </c>
      <c r="H32" s="58">
        <f>('1b'!H53/'1a'!P34)*100</f>
        <v>102.67419962335215</v>
      </c>
      <c r="I32" s="58">
        <f>('1b'!I53/'1a'!V34)*100</f>
        <v>102.75229357798166</v>
      </c>
      <c r="K32" s="31"/>
      <c r="L32" s="31"/>
      <c r="M32" s="31"/>
      <c r="N32" s="31"/>
      <c r="O32" s="31"/>
      <c r="P32" s="31"/>
      <c r="Q32" s="31"/>
    </row>
    <row r="33" spans="1:17">
      <c r="A33" s="66">
        <v>2009</v>
      </c>
      <c r="B33" s="58">
        <f>IFERROR(('1b'!B54/'1a'!B35)*100,"..")</f>
        <v>102.43560191923342</v>
      </c>
      <c r="C33" s="58">
        <f>IFERROR(('1b'!C54/'1a'!C35)*100,"..")</f>
        <v>102.53679863342735</v>
      </c>
      <c r="D33" s="58">
        <f>IFERROR(('1b'!D54/'1a'!D35)*100,"..")</f>
        <v>97.629448424485986</v>
      </c>
      <c r="E33" s="58">
        <f>IFERROR(('1b'!E54/'1a'!E35)*100,"..")</f>
        <v>107.92079207920793</v>
      </c>
      <c r="F33" s="58">
        <f>IFERROR(('1b'!F54/'1a'!F35)*100,"..")</f>
        <v>84.71274175199089</v>
      </c>
      <c r="G33" s="58">
        <f>('1b'!G54/'1a'!O35)*100</f>
        <v>106.02223160264528</v>
      </c>
      <c r="H33" s="58">
        <f>('1b'!H54/'1a'!P35)*100</f>
        <v>111.82980816527299</v>
      </c>
      <c r="I33" s="58">
        <f>('1b'!I54/'1a'!V35)*100</f>
        <v>98.29003617231173</v>
      </c>
      <c r="K33" s="31"/>
      <c r="L33" s="31"/>
      <c r="M33" s="31"/>
      <c r="N33" s="31"/>
      <c r="O33" s="31"/>
      <c r="P33" s="31"/>
      <c r="Q33" s="31"/>
    </row>
    <row r="34" spans="1:17">
      <c r="B34" s="58"/>
      <c r="C34" s="58"/>
    </row>
    <row r="35" spans="1:17">
      <c r="A35" s="66" t="s">
        <v>23</v>
      </c>
    </row>
    <row r="36" spans="1:17">
      <c r="A36" s="64" t="s">
        <v>1783</v>
      </c>
      <c r="B36" s="65">
        <f>((B32/B5)^(1/27)-1)*100</f>
        <v>2.9405991830101952</v>
      </c>
      <c r="C36" s="65"/>
      <c r="D36" s="58" t="s">
        <v>22</v>
      </c>
      <c r="E36" s="58" t="s">
        <v>22</v>
      </c>
      <c r="F36" s="65">
        <f>((F32/F5)^(1/27)-1)*100</f>
        <v>1.5552667150501964</v>
      </c>
      <c r="G36" s="65">
        <f>((G32/G5)^(1/27)-1)*100</f>
        <v>1.4714875006870409</v>
      </c>
      <c r="H36" s="65">
        <f>((H32/H5)^(1/27)-1)*100</f>
        <v>0.59208525043235039</v>
      </c>
      <c r="I36" s="65">
        <f>((I32/I5)^(1/27)-1)*100</f>
        <v>4.1677314806059185</v>
      </c>
    </row>
    <row r="37" spans="1:17">
      <c r="A37" s="64" t="s">
        <v>25</v>
      </c>
      <c r="B37" s="65">
        <f>((B13/B5)^(1/8)-1)*100</f>
        <v>4.4711912491884442</v>
      </c>
      <c r="C37" s="65"/>
      <c r="D37" s="58" t="s">
        <v>22</v>
      </c>
      <c r="E37" s="58" t="s">
        <v>22</v>
      </c>
      <c r="F37" s="65">
        <f>((F13/F5)^(1/8)-1)*100</f>
        <v>2.2784191685722543</v>
      </c>
      <c r="G37" s="65">
        <f>((G13/G5)^(1/8)-1)*100</f>
        <v>5.9679025635399841</v>
      </c>
      <c r="H37" s="65">
        <f>((H13/H5)^(1/8)-1)*100</f>
        <v>5.8076572825151329</v>
      </c>
      <c r="I37" s="65">
        <f>((I13/I5)^(1/8)-1)*100</f>
        <v>6.92728258384403</v>
      </c>
    </row>
    <row r="38" spans="1:17">
      <c r="A38" s="64" t="s">
        <v>26</v>
      </c>
      <c r="B38" s="65">
        <f>((B24/B13)^(1/11)-1)*100</f>
        <v>1.8577987691428044</v>
      </c>
      <c r="C38" s="65"/>
      <c r="D38" s="65">
        <f t="shared" ref="D38:I38" si="8">((D24/D13)^(1/11)-1)*100</f>
        <v>3.4526532806252064</v>
      </c>
      <c r="E38" s="65">
        <f t="shared" si="8"/>
        <v>4.052054947117445</v>
      </c>
      <c r="F38" s="65">
        <f t="shared" si="8"/>
        <v>5.7129950950304043</v>
      </c>
      <c r="G38" s="65">
        <f t="shared" si="8"/>
        <v>1.7622573499191274</v>
      </c>
      <c r="H38" s="65">
        <f t="shared" si="8"/>
        <v>1.4591350820892801</v>
      </c>
      <c r="I38" s="65">
        <f t="shared" si="8"/>
        <v>3.5788432789077618</v>
      </c>
    </row>
    <row r="39" spans="1:17">
      <c r="A39" s="64" t="s">
        <v>1779</v>
      </c>
      <c r="B39" s="65">
        <f t="shared" ref="B39:I39" si="9">((B32/B24)^(1/8)-1)*100</f>
        <v>2.9180132917374646</v>
      </c>
      <c r="C39" s="65"/>
      <c r="D39" s="65">
        <f t="shared" si="9"/>
        <v>-3.2231743353419162</v>
      </c>
      <c r="E39" s="65">
        <f t="shared" si="9"/>
        <v>-0.22634835653826402</v>
      </c>
      <c r="F39" s="65">
        <f t="shared" si="9"/>
        <v>-4.5754223623273749</v>
      </c>
      <c r="G39" s="65">
        <f t="shared" si="9"/>
        <v>-3.2156816745824379</v>
      </c>
      <c r="H39" s="65">
        <f t="shared" si="9"/>
        <v>-5.4883327325657927</v>
      </c>
      <c r="I39" s="65">
        <f t="shared" si="9"/>
        <v>2.2735518170527103</v>
      </c>
    </row>
    <row r="41" spans="1:17" ht="15" customHeight="1">
      <c r="A41" s="104" t="s">
        <v>754</v>
      </c>
      <c r="B41" s="104"/>
      <c r="C41" s="104"/>
      <c r="D41" s="104"/>
      <c r="E41" s="104"/>
      <c r="F41" s="104"/>
      <c r="G41" s="104"/>
      <c r="H41" s="104"/>
      <c r="I41" s="104"/>
    </row>
    <row r="42" spans="1:17">
      <c r="A42" s="137" t="s">
        <v>755</v>
      </c>
      <c r="B42" s="137"/>
      <c r="C42" s="137"/>
      <c r="D42" s="137"/>
      <c r="E42" s="137"/>
      <c r="F42" s="137"/>
      <c r="G42" s="137"/>
      <c r="H42" s="137"/>
      <c r="I42" s="137"/>
    </row>
    <row r="44" spans="1:17">
      <c r="B44" s="138"/>
      <c r="C44" s="138"/>
      <c r="D44" s="138"/>
      <c r="E44" s="138"/>
      <c r="F44" s="138"/>
      <c r="G44" s="138"/>
      <c r="H44" s="138"/>
      <c r="I44" s="138"/>
    </row>
  </sheetData>
  <mergeCells count="17">
    <mergeCell ref="K2:K4"/>
    <mergeCell ref="L2:Q2"/>
    <mergeCell ref="L3:L4"/>
    <mergeCell ref="M3:M4"/>
    <mergeCell ref="N3:N4"/>
    <mergeCell ref="O3:Q3"/>
    <mergeCell ref="A41:I41"/>
    <mergeCell ref="A42:I42"/>
    <mergeCell ref="A1:I1"/>
    <mergeCell ref="A2:A4"/>
    <mergeCell ref="B2:B4"/>
    <mergeCell ref="D2:I2"/>
    <mergeCell ref="D3:D4"/>
    <mergeCell ref="E3:E4"/>
    <mergeCell ref="F3:F4"/>
    <mergeCell ref="G3:I3"/>
    <mergeCell ref="C2:C4"/>
  </mergeCells>
  <pageMargins left="0.70866141732283472" right="0.70866141732283472" top="0.74803149606299213" bottom="0.74803149606299213" header="0.31496062992125984" footer="0.31496062992125984"/>
  <pageSetup scale="73" orientation="portrait" horizontalDpi="0" verticalDpi="0" r:id="rId1"/>
</worksheet>
</file>

<file path=xl/worksheets/sheet70.xml><?xml version="1.0" encoding="utf-8"?>
<worksheet xmlns="http://schemas.openxmlformats.org/spreadsheetml/2006/main" xmlns:r="http://schemas.openxmlformats.org/officeDocument/2006/relationships">
  <sheetPr codeName="Sheet66"/>
  <dimension ref="A1:O65"/>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5703125" style="64" customWidth="1"/>
    <col min="2" max="3" width="14.140625" style="135" customWidth="1"/>
    <col min="4" max="4" width="16" style="135" customWidth="1"/>
    <col min="5" max="5" width="11.28515625" style="135" customWidth="1"/>
    <col min="6" max="6" width="15.140625" style="135" customWidth="1"/>
    <col min="7" max="7" width="14.140625" style="135" customWidth="1"/>
    <col min="8" max="8" width="9.140625" style="135"/>
    <col min="9" max="14" width="26.7109375" style="135" hidden="1" customWidth="1" outlineLevel="1"/>
    <col min="15" max="15" width="9.140625" style="64" collapsed="1"/>
    <col min="16" max="16384" width="9.140625" style="64"/>
  </cols>
  <sheetData>
    <row r="1" spans="1:14" ht="30" customHeight="1">
      <c r="A1" s="93" t="s">
        <v>2057</v>
      </c>
      <c r="B1" s="93"/>
      <c r="C1" s="93"/>
      <c r="D1" s="93"/>
      <c r="E1" s="93"/>
      <c r="F1" s="93"/>
      <c r="G1" s="93"/>
    </row>
    <row r="2" spans="1:14">
      <c r="B2" s="123" t="s">
        <v>673</v>
      </c>
      <c r="C2" s="123" t="s">
        <v>938</v>
      </c>
      <c r="D2" s="159" t="s">
        <v>37</v>
      </c>
      <c r="E2" s="160"/>
      <c r="F2" s="160"/>
      <c r="G2" s="161"/>
      <c r="I2" s="123" t="s">
        <v>673</v>
      </c>
      <c r="J2" s="123" t="s">
        <v>938</v>
      </c>
      <c r="K2" s="159" t="s">
        <v>37</v>
      </c>
      <c r="L2" s="160"/>
      <c r="M2" s="160"/>
      <c r="N2" s="161"/>
    </row>
    <row r="3" spans="1:14" ht="60">
      <c r="B3" s="126"/>
      <c r="C3" s="126"/>
      <c r="D3" s="72" t="s">
        <v>78</v>
      </c>
      <c r="E3" s="72" t="s">
        <v>750</v>
      </c>
      <c r="F3" s="72" t="s">
        <v>745</v>
      </c>
      <c r="G3" s="72" t="s">
        <v>678</v>
      </c>
      <c r="I3" s="126"/>
      <c r="J3" s="126"/>
      <c r="K3" s="72" t="s">
        <v>78</v>
      </c>
      <c r="L3" s="72" t="s">
        <v>750</v>
      </c>
      <c r="M3" s="72" t="s">
        <v>745</v>
      </c>
      <c r="N3" s="72" t="s">
        <v>678</v>
      </c>
    </row>
    <row r="4" spans="1:14">
      <c r="A4" s="66">
        <v>1961</v>
      </c>
      <c r="B4" s="30">
        <v>2609.6999999999998</v>
      </c>
      <c r="C4" s="30">
        <v>673.2</v>
      </c>
      <c r="D4" s="30">
        <f>SUM(E4:G4)</f>
        <v>169.1</v>
      </c>
      <c r="E4" s="30">
        <v>19.899999999999999</v>
      </c>
      <c r="F4" s="30">
        <v>32.700000000000003</v>
      </c>
      <c r="G4" s="30">
        <v>116.5</v>
      </c>
      <c r="I4" s="135">
        <v>2517119</v>
      </c>
      <c r="J4" s="135">
        <v>673542</v>
      </c>
      <c r="K4" s="135">
        <f>SUM(L4:N4)</f>
        <v>169093</v>
      </c>
      <c r="L4" s="135">
        <v>19911</v>
      </c>
      <c r="M4" s="135">
        <v>32669</v>
      </c>
      <c r="N4" s="135">
        <v>116513</v>
      </c>
    </row>
    <row r="5" spans="1:14" hidden="1" outlineLevel="1">
      <c r="A5" s="66">
        <v>1962</v>
      </c>
      <c r="B5" s="30">
        <v>2889.9</v>
      </c>
      <c r="C5" s="30">
        <v>768.4</v>
      </c>
      <c r="D5" s="30">
        <f t="shared" ref="D5:D55" si="0">SUM(E5:G5)</f>
        <v>180.9</v>
      </c>
      <c r="E5" s="30">
        <v>22.6</v>
      </c>
      <c r="F5" s="30">
        <v>30.4</v>
      </c>
      <c r="G5" s="30">
        <v>127.9</v>
      </c>
      <c r="I5" s="135">
        <v>2771343</v>
      </c>
      <c r="J5" s="135">
        <v>768711</v>
      </c>
      <c r="K5" s="135">
        <f t="shared" ref="K5:K50" si="1">SUM(L5:N5)</f>
        <v>180972</v>
      </c>
      <c r="L5" s="135">
        <v>22581</v>
      </c>
      <c r="M5" s="135">
        <v>30443</v>
      </c>
      <c r="N5" s="135">
        <v>127948</v>
      </c>
    </row>
    <row r="6" spans="1:14" hidden="1" outlineLevel="1">
      <c r="A6" s="66">
        <v>1963</v>
      </c>
      <c r="B6" s="30">
        <v>3189.5</v>
      </c>
      <c r="C6" s="30">
        <v>840</v>
      </c>
      <c r="D6" s="30">
        <f t="shared" si="0"/>
        <v>227.20000000000002</v>
      </c>
      <c r="E6" s="30">
        <v>29.1</v>
      </c>
      <c r="F6" s="30">
        <v>39.700000000000003</v>
      </c>
      <c r="G6" s="30">
        <v>158.4</v>
      </c>
      <c r="I6" s="135">
        <v>3069565</v>
      </c>
      <c r="J6" s="135">
        <v>840301</v>
      </c>
      <c r="K6" s="135">
        <f t="shared" si="1"/>
        <v>227271</v>
      </c>
      <c r="L6" s="135">
        <v>29110</v>
      </c>
      <c r="M6" s="135">
        <v>39709</v>
      </c>
      <c r="N6" s="135">
        <v>158452</v>
      </c>
    </row>
    <row r="7" spans="1:14" hidden="1" outlineLevel="1">
      <c r="A7" s="66">
        <v>1964</v>
      </c>
      <c r="B7" s="30">
        <v>3838.2</v>
      </c>
      <c r="C7" s="30">
        <v>1179.3</v>
      </c>
      <c r="D7" s="30">
        <f t="shared" si="0"/>
        <v>335</v>
      </c>
      <c r="E7" s="30">
        <v>45</v>
      </c>
      <c r="F7" s="30">
        <v>48.4</v>
      </c>
      <c r="G7" s="30">
        <v>241.6</v>
      </c>
      <c r="I7" s="135">
        <v>3731652</v>
      </c>
      <c r="J7" s="135">
        <v>1179587</v>
      </c>
      <c r="K7" s="135">
        <f t="shared" si="1"/>
        <v>335033</v>
      </c>
      <c r="L7" s="135">
        <v>44970</v>
      </c>
      <c r="M7" s="135">
        <v>48393</v>
      </c>
      <c r="N7" s="135">
        <v>241670</v>
      </c>
    </row>
    <row r="8" spans="1:14" hidden="1" outlineLevel="1">
      <c r="A8" s="66">
        <v>1965</v>
      </c>
      <c r="B8" s="30">
        <v>4604.8</v>
      </c>
      <c r="C8" s="30">
        <v>1491.2</v>
      </c>
      <c r="D8" s="30">
        <f t="shared" si="0"/>
        <v>403.3</v>
      </c>
      <c r="E8" s="30">
        <v>47.7</v>
      </c>
      <c r="F8" s="30">
        <v>58</v>
      </c>
      <c r="G8" s="30">
        <v>297.60000000000002</v>
      </c>
      <c r="I8" s="135">
        <v>4493372</v>
      </c>
      <c r="J8" s="135">
        <v>1491487</v>
      </c>
      <c r="K8" s="135">
        <f t="shared" si="1"/>
        <v>403226</v>
      </c>
      <c r="L8" s="135">
        <v>47675</v>
      </c>
      <c r="M8" s="135">
        <v>57965</v>
      </c>
      <c r="N8" s="135">
        <v>297586</v>
      </c>
    </row>
    <row r="9" spans="1:14" hidden="1" outlineLevel="1">
      <c r="A9" s="66">
        <v>1966</v>
      </c>
      <c r="B9" s="30">
        <v>5632.2</v>
      </c>
      <c r="C9" s="30">
        <v>1834.6</v>
      </c>
      <c r="D9" s="30">
        <f t="shared" si="0"/>
        <v>500.3</v>
      </c>
      <c r="E9" s="30">
        <v>44.7</v>
      </c>
      <c r="F9" s="30">
        <v>54</v>
      </c>
      <c r="G9" s="30">
        <v>401.6</v>
      </c>
      <c r="I9" s="135">
        <v>5493251</v>
      </c>
      <c r="J9" s="135">
        <v>1834933</v>
      </c>
      <c r="K9" s="135">
        <f t="shared" si="1"/>
        <v>500360</v>
      </c>
      <c r="L9" s="135">
        <v>44733</v>
      </c>
      <c r="M9" s="135">
        <v>53962</v>
      </c>
      <c r="N9" s="135">
        <v>401665</v>
      </c>
    </row>
    <row r="10" spans="1:14" hidden="1" outlineLevel="1">
      <c r="A10" s="66">
        <v>1967</v>
      </c>
      <c r="B10" s="30">
        <v>5719.1</v>
      </c>
      <c r="C10" s="30">
        <v>1590.8</v>
      </c>
      <c r="D10" s="30">
        <f t="shared" si="0"/>
        <v>440.20000000000005</v>
      </c>
      <c r="E10" s="30">
        <v>43.9</v>
      </c>
      <c r="F10" s="30">
        <v>51.2</v>
      </c>
      <c r="G10" s="30">
        <v>345.1</v>
      </c>
      <c r="I10" s="135">
        <v>5569122</v>
      </c>
      <c r="J10" s="135">
        <v>1591103</v>
      </c>
      <c r="K10" s="135">
        <f t="shared" si="1"/>
        <v>440126</v>
      </c>
      <c r="L10" s="135">
        <v>43861</v>
      </c>
      <c r="M10" s="135">
        <v>51189</v>
      </c>
      <c r="N10" s="135">
        <v>345076</v>
      </c>
    </row>
    <row r="11" spans="1:14" hidden="1" outlineLevel="1">
      <c r="A11" s="66">
        <v>1968</v>
      </c>
      <c r="B11" s="30">
        <v>5394.4</v>
      </c>
      <c r="C11" s="30">
        <v>1299</v>
      </c>
      <c r="D11" s="30">
        <f t="shared" si="0"/>
        <v>301.39999999999998</v>
      </c>
      <c r="E11" s="30">
        <v>36.299999999999997</v>
      </c>
      <c r="F11" s="30">
        <v>56</v>
      </c>
      <c r="G11" s="30">
        <v>209.1</v>
      </c>
      <c r="I11" s="135">
        <v>5267101</v>
      </c>
      <c r="J11" s="135">
        <v>1299267</v>
      </c>
      <c r="K11" s="135">
        <f t="shared" si="1"/>
        <v>301449</v>
      </c>
      <c r="L11" s="135">
        <v>36342</v>
      </c>
      <c r="M11" s="135">
        <v>55980</v>
      </c>
      <c r="N11" s="135">
        <v>209127</v>
      </c>
    </row>
    <row r="12" spans="1:14" hidden="1" outlineLevel="1">
      <c r="A12" s="66">
        <v>1969</v>
      </c>
      <c r="B12" s="30">
        <v>5890</v>
      </c>
      <c r="C12" s="30">
        <v>1552.4</v>
      </c>
      <c r="D12" s="30">
        <f t="shared" si="0"/>
        <v>416.8</v>
      </c>
      <c r="E12" s="30">
        <v>48.6</v>
      </c>
      <c r="F12" s="30">
        <v>111.2</v>
      </c>
      <c r="G12" s="30">
        <v>257</v>
      </c>
      <c r="I12" s="135">
        <v>5787016</v>
      </c>
      <c r="J12" s="135">
        <v>1552726</v>
      </c>
      <c r="K12" s="135">
        <f t="shared" si="1"/>
        <v>416845</v>
      </c>
      <c r="L12" s="135">
        <v>48618</v>
      </c>
      <c r="M12" s="135">
        <v>111179</v>
      </c>
      <c r="N12" s="135">
        <v>257048</v>
      </c>
    </row>
    <row r="13" spans="1:14" hidden="1" outlineLevel="1">
      <c r="A13" s="66">
        <v>1970</v>
      </c>
      <c r="B13" s="30">
        <v>6222.5</v>
      </c>
      <c r="C13" s="30">
        <v>1899.4</v>
      </c>
      <c r="D13" s="30">
        <f t="shared" si="0"/>
        <v>533.1</v>
      </c>
      <c r="E13" s="30">
        <v>37.6</v>
      </c>
      <c r="F13" s="30">
        <v>128.69999999999999</v>
      </c>
      <c r="G13" s="30">
        <v>366.8</v>
      </c>
      <c r="I13" s="135">
        <v>6124007</v>
      </c>
      <c r="J13" s="135">
        <v>1899750</v>
      </c>
      <c r="K13" s="135">
        <f t="shared" si="1"/>
        <v>533085</v>
      </c>
      <c r="L13" s="135">
        <v>37643</v>
      </c>
      <c r="M13" s="135">
        <v>128665</v>
      </c>
      <c r="N13" s="135">
        <v>366777</v>
      </c>
    </row>
    <row r="14" spans="1:14" hidden="1" outlineLevel="1">
      <c r="A14" s="66">
        <v>1971</v>
      </c>
      <c r="B14" s="30">
        <v>6632.6</v>
      </c>
      <c r="C14" s="30">
        <v>1790.9</v>
      </c>
      <c r="D14" s="30">
        <f t="shared" si="0"/>
        <v>559.70000000000005</v>
      </c>
      <c r="E14" s="30">
        <v>44.2</v>
      </c>
      <c r="F14" s="30">
        <v>126.2</v>
      </c>
      <c r="G14" s="30">
        <v>389.3</v>
      </c>
      <c r="I14" s="135">
        <v>6554772</v>
      </c>
      <c r="J14" s="135">
        <v>1791238</v>
      </c>
      <c r="K14" s="135">
        <f t="shared" si="1"/>
        <v>559666</v>
      </c>
      <c r="L14" s="135">
        <v>44166</v>
      </c>
      <c r="M14" s="135">
        <v>126181</v>
      </c>
      <c r="N14" s="135">
        <v>389319</v>
      </c>
    </row>
    <row r="15" spans="1:14" hidden="1" outlineLevel="1">
      <c r="A15" s="66">
        <v>1972</v>
      </c>
      <c r="B15" s="30">
        <v>7429.7</v>
      </c>
      <c r="C15" s="30">
        <v>1782.2</v>
      </c>
      <c r="D15" s="30">
        <f t="shared" si="0"/>
        <v>515</v>
      </c>
      <c r="E15" s="30">
        <v>58.6</v>
      </c>
      <c r="F15" s="30">
        <v>142.4</v>
      </c>
      <c r="G15" s="30">
        <v>314</v>
      </c>
      <c r="I15" s="135">
        <v>7353804</v>
      </c>
      <c r="J15" s="135">
        <v>1782500</v>
      </c>
      <c r="K15" s="135">
        <f t="shared" si="1"/>
        <v>515067</v>
      </c>
      <c r="L15" s="135">
        <v>58621</v>
      </c>
      <c r="M15" s="135">
        <v>142436</v>
      </c>
      <c r="N15" s="135">
        <v>314010</v>
      </c>
    </row>
    <row r="16" spans="1:14" collapsed="1">
      <c r="A16" s="66">
        <v>1973</v>
      </c>
      <c r="B16" s="30">
        <v>9232.2999999999993</v>
      </c>
      <c r="C16" s="30">
        <v>2270.6</v>
      </c>
      <c r="D16" s="30">
        <f t="shared" si="0"/>
        <v>596.5</v>
      </c>
      <c r="E16" s="30">
        <v>93.9</v>
      </c>
      <c r="F16" s="30">
        <v>214</v>
      </c>
      <c r="G16" s="30">
        <v>288.60000000000002</v>
      </c>
      <c r="I16" s="135">
        <v>9150041</v>
      </c>
      <c r="J16" s="135">
        <v>2270920</v>
      </c>
      <c r="K16" s="135">
        <f t="shared" si="1"/>
        <v>596469</v>
      </c>
      <c r="L16" s="135">
        <v>93887</v>
      </c>
      <c r="M16" s="135">
        <v>213977</v>
      </c>
      <c r="N16" s="135">
        <v>288605</v>
      </c>
    </row>
    <row r="17" spans="1:14" hidden="1" outlineLevel="1">
      <c r="A17" s="66">
        <v>1974</v>
      </c>
      <c r="B17" s="30">
        <v>11743.9</v>
      </c>
      <c r="C17" s="30">
        <v>3000.8</v>
      </c>
      <c r="D17" s="30">
        <f t="shared" si="0"/>
        <v>754.5</v>
      </c>
      <c r="E17" s="30">
        <v>133.1</v>
      </c>
      <c r="F17" s="30">
        <v>213.6</v>
      </c>
      <c r="G17" s="30">
        <v>407.8</v>
      </c>
      <c r="I17" s="135">
        <v>11603451</v>
      </c>
      <c r="J17" s="135">
        <v>3001088</v>
      </c>
      <c r="K17" s="135">
        <f t="shared" si="1"/>
        <v>754567</v>
      </c>
      <c r="L17" s="135">
        <v>133139</v>
      </c>
      <c r="M17" s="135">
        <v>213611</v>
      </c>
      <c r="N17" s="135">
        <v>407817</v>
      </c>
    </row>
    <row r="18" spans="1:14" hidden="1" outlineLevel="1">
      <c r="A18" s="66">
        <v>1975</v>
      </c>
      <c r="B18" s="30">
        <v>13643</v>
      </c>
      <c r="C18" s="30">
        <v>3380.4</v>
      </c>
      <c r="D18" s="30">
        <f t="shared" si="0"/>
        <v>740.7</v>
      </c>
      <c r="E18" s="30">
        <v>96</v>
      </c>
      <c r="F18" s="30">
        <v>206.7</v>
      </c>
      <c r="G18" s="30">
        <v>438</v>
      </c>
      <c r="I18" s="135">
        <v>13554098</v>
      </c>
      <c r="J18" s="135">
        <v>3380739</v>
      </c>
      <c r="K18" s="135">
        <f t="shared" si="1"/>
        <v>740684</v>
      </c>
      <c r="L18" s="135">
        <v>95969</v>
      </c>
      <c r="M18" s="135">
        <v>206698</v>
      </c>
      <c r="N18" s="135">
        <v>438017</v>
      </c>
    </row>
    <row r="19" spans="1:14" hidden="1" outlineLevel="1">
      <c r="A19" s="66">
        <v>1976</v>
      </c>
      <c r="B19" s="30">
        <v>14486.4</v>
      </c>
      <c r="C19" s="30">
        <v>3340.7</v>
      </c>
      <c r="D19" s="30">
        <f t="shared" si="0"/>
        <v>807.1</v>
      </c>
      <c r="E19" s="30">
        <v>87.3</v>
      </c>
      <c r="F19" s="30">
        <v>200.3</v>
      </c>
      <c r="G19" s="30">
        <v>519.5</v>
      </c>
      <c r="I19" s="135">
        <v>14758347</v>
      </c>
      <c r="J19" s="135">
        <v>3405352</v>
      </c>
      <c r="K19" s="135">
        <f t="shared" si="1"/>
        <v>820330</v>
      </c>
      <c r="L19" s="135">
        <v>88348</v>
      </c>
      <c r="M19" s="135">
        <v>203287</v>
      </c>
      <c r="N19" s="135">
        <v>528695</v>
      </c>
    </row>
    <row r="20" spans="1:14" hidden="1" outlineLevel="1">
      <c r="A20" s="66">
        <v>1977</v>
      </c>
      <c r="B20" s="30">
        <v>15341.7</v>
      </c>
      <c r="C20" s="30">
        <v>3662.1</v>
      </c>
      <c r="D20" s="30">
        <f t="shared" si="0"/>
        <v>842.5</v>
      </c>
      <c r="E20" s="30">
        <v>102.7</v>
      </c>
      <c r="F20" s="30">
        <v>190.2</v>
      </c>
      <c r="G20" s="30">
        <v>549.6</v>
      </c>
      <c r="I20" s="135">
        <v>15622960</v>
      </c>
      <c r="J20" s="135">
        <v>3738441</v>
      </c>
      <c r="K20" s="135">
        <f t="shared" si="1"/>
        <v>856687</v>
      </c>
      <c r="L20" s="135">
        <v>103960</v>
      </c>
      <c r="M20" s="135">
        <v>193133</v>
      </c>
      <c r="N20" s="135">
        <v>559594</v>
      </c>
    </row>
    <row r="21" spans="1:14" hidden="1" outlineLevel="1">
      <c r="A21" s="66">
        <v>1978</v>
      </c>
      <c r="B21" s="30">
        <v>17193.7</v>
      </c>
      <c r="C21" s="30">
        <v>3803.6</v>
      </c>
      <c r="D21" s="30">
        <f t="shared" si="0"/>
        <v>913.7</v>
      </c>
      <c r="E21" s="30">
        <v>124.6</v>
      </c>
      <c r="F21" s="30">
        <v>256.89999999999998</v>
      </c>
      <c r="G21" s="30">
        <v>532.20000000000005</v>
      </c>
      <c r="I21" s="135">
        <v>17558014</v>
      </c>
      <c r="J21" s="135">
        <v>3894126</v>
      </c>
      <c r="K21" s="135">
        <f t="shared" si="1"/>
        <v>929747</v>
      </c>
      <c r="L21" s="135">
        <v>126094</v>
      </c>
      <c r="M21" s="135">
        <v>261041</v>
      </c>
      <c r="N21" s="135">
        <v>542612</v>
      </c>
    </row>
    <row r="22" spans="1:14" hidden="1" outlineLevel="1">
      <c r="A22" s="66">
        <v>1979</v>
      </c>
      <c r="B22" s="30">
        <v>20978.1</v>
      </c>
      <c r="C22" s="30">
        <v>4845.1000000000004</v>
      </c>
      <c r="D22" s="30">
        <f t="shared" si="0"/>
        <v>1176</v>
      </c>
      <c r="E22" s="30">
        <v>142.69999999999999</v>
      </c>
      <c r="F22" s="30">
        <v>325.39999999999998</v>
      </c>
      <c r="G22" s="30">
        <v>707.9</v>
      </c>
      <c r="I22" s="135">
        <v>21463879</v>
      </c>
      <c r="J22" s="135">
        <v>4953850</v>
      </c>
      <c r="K22" s="135">
        <f t="shared" si="1"/>
        <v>1195668</v>
      </c>
      <c r="L22" s="135">
        <v>144451</v>
      </c>
      <c r="M22" s="135">
        <v>330280</v>
      </c>
      <c r="N22" s="135">
        <v>720937</v>
      </c>
    </row>
    <row r="23" spans="1:14" hidden="1" outlineLevel="1">
      <c r="A23" s="66">
        <v>1980</v>
      </c>
      <c r="B23" s="30">
        <v>24395.8</v>
      </c>
      <c r="C23" s="30">
        <v>6265.7</v>
      </c>
      <c r="D23" s="30">
        <f t="shared" si="0"/>
        <v>1611.8</v>
      </c>
      <c r="E23" s="30">
        <v>169.9</v>
      </c>
      <c r="F23" s="30">
        <v>368.1</v>
      </c>
      <c r="G23" s="30">
        <v>1073.8</v>
      </c>
      <c r="I23" s="135">
        <v>24719771</v>
      </c>
      <c r="J23" s="135">
        <v>6395105</v>
      </c>
      <c r="K23" s="135">
        <f t="shared" si="1"/>
        <v>1635974</v>
      </c>
      <c r="L23" s="135">
        <v>171921</v>
      </c>
      <c r="M23" s="135">
        <v>373187</v>
      </c>
      <c r="N23" s="135">
        <v>1090866</v>
      </c>
    </row>
    <row r="24" spans="1:14" collapsed="1">
      <c r="A24" s="66">
        <v>1981</v>
      </c>
      <c r="B24" s="30">
        <v>29204.2</v>
      </c>
      <c r="C24" s="30">
        <v>7593.3</v>
      </c>
      <c r="D24" s="30">
        <f t="shared" si="0"/>
        <v>2038.4</v>
      </c>
      <c r="E24" s="30">
        <v>123</v>
      </c>
      <c r="F24" s="30">
        <v>341.2</v>
      </c>
      <c r="G24" s="30">
        <v>1574.2</v>
      </c>
      <c r="I24" s="135">
        <v>31825201</v>
      </c>
      <c r="J24" s="135">
        <v>8502854</v>
      </c>
      <c r="K24" s="135">
        <f t="shared" si="1"/>
        <v>2279514</v>
      </c>
      <c r="L24" s="135">
        <v>137831</v>
      </c>
      <c r="M24" s="135">
        <v>380515</v>
      </c>
      <c r="N24" s="135">
        <v>1761168</v>
      </c>
    </row>
    <row r="25" spans="1:14">
      <c r="A25" s="66">
        <v>1982</v>
      </c>
      <c r="B25" s="30">
        <v>26932.7</v>
      </c>
      <c r="C25" s="30">
        <v>6792.2</v>
      </c>
      <c r="D25" s="30">
        <f t="shared" si="0"/>
        <v>1657</v>
      </c>
      <c r="E25" s="30">
        <v>45.9</v>
      </c>
      <c r="F25" s="30">
        <v>250.9</v>
      </c>
      <c r="G25" s="30">
        <v>1360.2</v>
      </c>
      <c r="I25" s="135">
        <v>29412222</v>
      </c>
      <c r="J25" s="135">
        <v>7551158</v>
      </c>
      <c r="K25" s="135">
        <f t="shared" si="1"/>
        <v>1840618</v>
      </c>
      <c r="L25" s="135">
        <v>52038</v>
      </c>
      <c r="M25" s="135">
        <v>278661</v>
      </c>
      <c r="N25" s="135">
        <v>1509919</v>
      </c>
    </row>
    <row r="26" spans="1:14">
      <c r="A26" s="66">
        <v>1983</v>
      </c>
      <c r="B26" s="30">
        <v>26517.200000000001</v>
      </c>
      <c r="C26" s="30">
        <v>5388.3</v>
      </c>
      <c r="D26" s="30">
        <f t="shared" si="0"/>
        <v>1023</v>
      </c>
      <c r="E26" s="30">
        <v>47.7</v>
      </c>
      <c r="F26" s="30">
        <v>236.1</v>
      </c>
      <c r="G26" s="30">
        <v>739.2</v>
      </c>
      <c r="I26" s="135">
        <v>28745097</v>
      </c>
      <c r="J26" s="135">
        <v>6089024</v>
      </c>
      <c r="K26" s="135">
        <f t="shared" si="1"/>
        <v>1159318</v>
      </c>
      <c r="L26" s="135">
        <v>55310</v>
      </c>
      <c r="M26" s="135">
        <v>266902</v>
      </c>
      <c r="N26" s="135">
        <v>837106</v>
      </c>
    </row>
    <row r="27" spans="1:14">
      <c r="A27" s="66">
        <v>1984</v>
      </c>
      <c r="B27" s="30">
        <v>28349.8</v>
      </c>
      <c r="C27" s="30">
        <v>5417.4</v>
      </c>
      <c r="D27" s="30">
        <f t="shared" si="0"/>
        <v>1227.4000000000001</v>
      </c>
      <c r="E27" s="30">
        <v>82.6</v>
      </c>
      <c r="F27" s="30">
        <v>282.60000000000002</v>
      </c>
      <c r="G27" s="30">
        <v>862.2</v>
      </c>
      <c r="I27" s="135">
        <v>31082253</v>
      </c>
      <c r="J27" s="135">
        <v>6144116</v>
      </c>
      <c r="K27" s="135">
        <f t="shared" si="1"/>
        <v>1383738</v>
      </c>
      <c r="L27" s="135">
        <v>93680</v>
      </c>
      <c r="M27" s="135">
        <v>317789</v>
      </c>
      <c r="N27" s="135">
        <v>972269</v>
      </c>
    </row>
    <row r="28" spans="1:14">
      <c r="A28" s="66">
        <v>1985</v>
      </c>
      <c r="B28" s="30">
        <v>31574.9</v>
      </c>
      <c r="C28" s="30">
        <v>6864.7</v>
      </c>
      <c r="D28" s="30">
        <f t="shared" si="0"/>
        <v>1881.4</v>
      </c>
      <c r="E28" s="30">
        <v>78.5</v>
      </c>
      <c r="F28" s="30">
        <v>294.5</v>
      </c>
      <c r="G28" s="30">
        <v>1508.4</v>
      </c>
      <c r="I28" s="135">
        <v>34491286</v>
      </c>
      <c r="J28" s="135">
        <v>7850209</v>
      </c>
      <c r="K28" s="135">
        <f t="shared" si="1"/>
        <v>2148204</v>
      </c>
      <c r="L28" s="135">
        <v>91335</v>
      </c>
      <c r="M28" s="135">
        <v>335986</v>
      </c>
      <c r="N28" s="135">
        <v>1720883</v>
      </c>
    </row>
    <row r="29" spans="1:14">
      <c r="A29" s="66">
        <v>1986</v>
      </c>
      <c r="B29" s="30">
        <v>34281</v>
      </c>
      <c r="C29" s="30">
        <v>9033.5</v>
      </c>
      <c r="D29" s="30">
        <f t="shared" si="0"/>
        <v>1932.8</v>
      </c>
      <c r="E29" s="30">
        <v>99</v>
      </c>
      <c r="F29" s="30">
        <v>370.7</v>
      </c>
      <c r="G29" s="30">
        <v>1463.1</v>
      </c>
      <c r="I29" s="135">
        <v>38646762</v>
      </c>
      <c r="J29" s="135">
        <v>10421420</v>
      </c>
      <c r="K29" s="135">
        <f t="shared" si="1"/>
        <v>2219187</v>
      </c>
      <c r="L29" s="135">
        <v>114682</v>
      </c>
      <c r="M29" s="135">
        <v>426730</v>
      </c>
      <c r="N29" s="135">
        <v>1677775</v>
      </c>
    </row>
    <row r="30" spans="1:14">
      <c r="A30" s="66">
        <v>1987</v>
      </c>
      <c r="B30" s="30">
        <v>37830.699999999997</v>
      </c>
      <c r="C30" s="30">
        <v>9568.6</v>
      </c>
      <c r="D30" s="30">
        <f t="shared" si="0"/>
        <v>2693.3</v>
      </c>
      <c r="E30" s="30">
        <v>117.5</v>
      </c>
      <c r="F30" s="30">
        <v>589.29999999999995</v>
      </c>
      <c r="G30" s="30">
        <v>1986.5</v>
      </c>
      <c r="I30" s="135">
        <v>43013115</v>
      </c>
      <c r="J30" s="135">
        <v>10953004</v>
      </c>
      <c r="K30" s="135">
        <f t="shared" si="1"/>
        <v>3048687</v>
      </c>
      <c r="L30" s="135">
        <v>134097</v>
      </c>
      <c r="M30" s="135">
        <v>666490</v>
      </c>
      <c r="N30" s="135">
        <v>2248100</v>
      </c>
    </row>
    <row r="31" spans="1:14">
      <c r="A31" s="66">
        <v>1988</v>
      </c>
      <c r="B31" s="30">
        <v>43686.1</v>
      </c>
      <c r="C31" s="30">
        <v>10918.9</v>
      </c>
      <c r="D31" s="30">
        <f t="shared" si="0"/>
        <v>3533.2</v>
      </c>
      <c r="E31" s="30">
        <v>108.8</v>
      </c>
      <c r="F31" s="30">
        <v>828.4</v>
      </c>
      <c r="G31" s="30">
        <v>2596</v>
      </c>
      <c r="I31" s="135">
        <v>49915256</v>
      </c>
      <c r="J31" s="135">
        <v>12607649</v>
      </c>
      <c r="K31" s="135">
        <f t="shared" si="1"/>
        <v>4043310</v>
      </c>
      <c r="L31" s="135">
        <v>126588</v>
      </c>
      <c r="M31" s="135">
        <v>947068</v>
      </c>
      <c r="N31" s="135">
        <v>2969654</v>
      </c>
    </row>
    <row r="32" spans="1:14">
      <c r="A32" s="66">
        <v>1989</v>
      </c>
      <c r="B32" s="30">
        <v>46765.1</v>
      </c>
      <c r="C32" s="30">
        <v>12663</v>
      </c>
      <c r="D32" s="30">
        <f t="shared" si="0"/>
        <v>4620</v>
      </c>
      <c r="E32" s="30">
        <v>131.69999999999999</v>
      </c>
      <c r="F32" s="30">
        <v>648.5</v>
      </c>
      <c r="G32" s="30">
        <v>3839.8</v>
      </c>
      <c r="I32" s="135">
        <v>54092026</v>
      </c>
      <c r="J32" s="135">
        <v>14621299</v>
      </c>
      <c r="K32" s="135">
        <f t="shared" si="1"/>
        <v>5276457</v>
      </c>
      <c r="L32" s="135">
        <v>152313</v>
      </c>
      <c r="M32" s="135">
        <v>739971</v>
      </c>
      <c r="N32" s="135">
        <v>4384173</v>
      </c>
    </row>
    <row r="33" spans="1:14">
      <c r="A33" s="66">
        <v>1990</v>
      </c>
      <c r="B33" s="30">
        <v>44542.1</v>
      </c>
      <c r="C33" s="30">
        <v>11714.9</v>
      </c>
      <c r="D33" s="30">
        <f t="shared" si="0"/>
        <v>3819.6</v>
      </c>
      <c r="E33" s="30">
        <v>108.2</v>
      </c>
      <c r="F33" s="30">
        <v>568.20000000000005</v>
      </c>
      <c r="G33" s="30">
        <v>3143.2</v>
      </c>
      <c r="I33" s="135">
        <v>52418016</v>
      </c>
      <c r="J33" s="135">
        <v>13762340</v>
      </c>
      <c r="K33" s="135">
        <f t="shared" si="1"/>
        <v>4433080</v>
      </c>
      <c r="L33" s="135">
        <v>127582</v>
      </c>
      <c r="M33" s="135">
        <v>657390</v>
      </c>
      <c r="N33" s="135">
        <v>3648108</v>
      </c>
    </row>
    <row r="34" spans="1:14">
      <c r="A34" s="66">
        <v>1991</v>
      </c>
      <c r="B34" s="30">
        <v>42349</v>
      </c>
      <c r="C34" s="30">
        <v>10710.9</v>
      </c>
      <c r="D34" s="30">
        <f t="shared" si="0"/>
        <v>2543.4</v>
      </c>
      <c r="E34" s="30">
        <v>30</v>
      </c>
      <c r="F34" s="30">
        <v>315.60000000000002</v>
      </c>
      <c r="G34" s="30">
        <v>2197.8000000000002</v>
      </c>
      <c r="I34" s="135">
        <v>49139631</v>
      </c>
      <c r="J34" s="135">
        <v>12455377</v>
      </c>
      <c r="K34" s="135">
        <f t="shared" si="1"/>
        <v>2921738</v>
      </c>
      <c r="L34" s="135">
        <v>39265</v>
      </c>
      <c r="M34" s="135">
        <v>363269</v>
      </c>
      <c r="N34" s="135">
        <v>2519204</v>
      </c>
    </row>
    <row r="35" spans="1:14">
      <c r="A35" s="66">
        <v>1992</v>
      </c>
      <c r="B35" s="30">
        <v>41918.1</v>
      </c>
      <c r="C35" s="30">
        <v>8691.2999999999993</v>
      </c>
      <c r="D35" s="30">
        <f t="shared" si="0"/>
        <v>1965.4</v>
      </c>
      <c r="E35" s="30">
        <v>119.6</v>
      </c>
      <c r="F35" s="30">
        <v>352.1</v>
      </c>
      <c r="G35" s="30">
        <v>1493.7</v>
      </c>
      <c r="I35" s="135">
        <v>48676274</v>
      </c>
      <c r="J35" s="135">
        <v>10164563</v>
      </c>
      <c r="K35" s="135">
        <f t="shared" si="1"/>
        <v>2257703</v>
      </c>
      <c r="L35" s="135">
        <v>135683</v>
      </c>
      <c r="M35" s="135">
        <v>402451</v>
      </c>
      <c r="N35" s="135">
        <v>1719569</v>
      </c>
    </row>
    <row r="36" spans="1:14">
      <c r="A36" s="66">
        <v>1993</v>
      </c>
      <c r="B36" s="30">
        <v>40965.300000000003</v>
      </c>
      <c r="C36" s="30">
        <v>8843.9</v>
      </c>
      <c r="D36" s="30">
        <f t="shared" si="0"/>
        <v>2085.5</v>
      </c>
      <c r="E36" s="30">
        <v>220.8</v>
      </c>
      <c r="F36" s="30">
        <v>508.3</v>
      </c>
      <c r="G36" s="30">
        <v>1356.4</v>
      </c>
      <c r="I36" s="135">
        <v>48811267</v>
      </c>
      <c r="J36" s="135">
        <v>10378667</v>
      </c>
      <c r="K36" s="135">
        <f t="shared" si="1"/>
        <v>2406421</v>
      </c>
      <c r="L36" s="135">
        <v>244718</v>
      </c>
      <c r="M36" s="135">
        <v>587897</v>
      </c>
      <c r="N36" s="135">
        <v>1573806</v>
      </c>
    </row>
    <row r="37" spans="1:14">
      <c r="A37" s="66">
        <v>1994</v>
      </c>
      <c r="B37" s="30">
        <v>45072.2</v>
      </c>
      <c r="C37" s="30">
        <v>10763</v>
      </c>
      <c r="D37" s="30">
        <f t="shared" si="0"/>
        <v>2826.8</v>
      </c>
      <c r="E37" s="30">
        <v>297.3</v>
      </c>
      <c r="F37" s="30">
        <v>931.5</v>
      </c>
      <c r="G37" s="30">
        <v>1598</v>
      </c>
      <c r="I37" s="135">
        <v>54504689</v>
      </c>
      <c r="J37" s="135">
        <v>12497256</v>
      </c>
      <c r="K37" s="135">
        <f t="shared" si="1"/>
        <v>3202863</v>
      </c>
      <c r="L37" s="135">
        <v>327955</v>
      </c>
      <c r="M37" s="135">
        <v>1052365</v>
      </c>
      <c r="N37" s="135">
        <v>1822543</v>
      </c>
    </row>
    <row r="38" spans="1:14">
      <c r="A38" s="66">
        <v>1995</v>
      </c>
      <c r="B38" s="30">
        <v>49360.6</v>
      </c>
      <c r="C38" s="30">
        <v>12539.4</v>
      </c>
      <c r="D38" s="30">
        <f t="shared" si="0"/>
        <v>4114.5</v>
      </c>
      <c r="E38" s="30">
        <v>263.10000000000002</v>
      </c>
      <c r="F38" s="30">
        <v>1386.4</v>
      </c>
      <c r="G38" s="30">
        <v>2465</v>
      </c>
      <c r="I38" s="135">
        <v>58369778</v>
      </c>
      <c r="J38" s="135">
        <v>14442465</v>
      </c>
      <c r="K38" s="135">
        <f t="shared" si="1"/>
        <v>4658973</v>
      </c>
      <c r="L38" s="135">
        <v>294248</v>
      </c>
      <c r="M38" s="135">
        <v>1562091</v>
      </c>
      <c r="N38" s="135">
        <v>2802634</v>
      </c>
    </row>
    <row r="39" spans="1:14">
      <c r="A39" s="66">
        <v>1996</v>
      </c>
      <c r="B39" s="30">
        <v>52785.1</v>
      </c>
      <c r="C39" s="30">
        <v>13095.7</v>
      </c>
      <c r="D39" s="30">
        <f t="shared" si="0"/>
        <v>3535.8999999999996</v>
      </c>
      <c r="E39" s="30">
        <v>242</v>
      </c>
      <c r="F39" s="30">
        <v>968.8</v>
      </c>
      <c r="G39" s="30">
        <v>2325.1</v>
      </c>
      <c r="I39" s="135">
        <v>60985488</v>
      </c>
      <c r="J39" s="135">
        <v>14601817</v>
      </c>
      <c r="K39" s="135">
        <f t="shared" si="1"/>
        <v>3882985</v>
      </c>
      <c r="L39" s="135">
        <v>260893</v>
      </c>
      <c r="M39" s="135">
        <v>1060609</v>
      </c>
      <c r="N39" s="135">
        <v>2561483</v>
      </c>
    </row>
    <row r="40" spans="1:14">
      <c r="A40" s="66">
        <v>1997</v>
      </c>
      <c r="B40" s="30">
        <v>63393.3</v>
      </c>
      <c r="C40" s="30">
        <v>15427.1</v>
      </c>
      <c r="D40" s="30">
        <f t="shared" si="0"/>
        <v>3442.2999999999997</v>
      </c>
      <c r="E40" s="30">
        <v>188.6</v>
      </c>
      <c r="F40" s="30">
        <v>1072</v>
      </c>
      <c r="G40" s="30">
        <v>2181.6999999999998</v>
      </c>
      <c r="I40" s="135">
        <v>73489567</v>
      </c>
      <c r="J40" s="135">
        <v>16971806</v>
      </c>
      <c r="K40" s="135">
        <f t="shared" si="1"/>
        <v>3743004</v>
      </c>
      <c r="L40" s="135">
        <v>201498</v>
      </c>
      <c r="M40" s="135">
        <v>1163262</v>
      </c>
      <c r="N40" s="135">
        <v>2378244</v>
      </c>
    </row>
    <row r="41" spans="1:14">
      <c r="A41" s="66">
        <v>1998</v>
      </c>
      <c r="B41" s="30">
        <v>70582.399999999994</v>
      </c>
      <c r="C41" s="30">
        <v>17270.5</v>
      </c>
      <c r="D41" s="30">
        <f t="shared" si="0"/>
        <v>3005.5</v>
      </c>
      <c r="E41" s="30">
        <v>265.2</v>
      </c>
      <c r="F41" s="30">
        <v>851.8</v>
      </c>
      <c r="G41" s="30">
        <v>1888.5</v>
      </c>
      <c r="I41" s="135">
        <v>80509872</v>
      </c>
      <c r="J41" s="135">
        <v>18622433</v>
      </c>
      <c r="K41" s="135">
        <f t="shared" si="1"/>
        <v>3225573</v>
      </c>
      <c r="L41" s="135">
        <v>278547</v>
      </c>
      <c r="M41" s="135">
        <v>916624</v>
      </c>
      <c r="N41" s="135">
        <v>2030402</v>
      </c>
    </row>
    <row r="42" spans="1:14">
      <c r="A42" s="66">
        <v>1999</v>
      </c>
      <c r="B42" s="30">
        <v>72594.2</v>
      </c>
      <c r="C42" s="30">
        <v>15926.8</v>
      </c>
      <c r="D42" s="30">
        <f t="shared" si="0"/>
        <v>2569.4</v>
      </c>
      <c r="E42" s="30">
        <v>236.6</v>
      </c>
      <c r="F42" s="30">
        <v>712.3</v>
      </c>
      <c r="G42" s="30">
        <v>1620.5</v>
      </c>
      <c r="I42" s="135">
        <v>87154760</v>
      </c>
      <c r="J42" s="135">
        <v>18302128</v>
      </c>
      <c r="K42" s="135">
        <f t="shared" si="1"/>
        <v>2967051</v>
      </c>
      <c r="L42" s="135">
        <v>271937</v>
      </c>
      <c r="M42" s="135">
        <v>819005</v>
      </c>
      <c r="N42" s="135">
        <v>1876109</v>
      </c>
    </row>
    <row r="43" spans="1:14">
      <c r="A43" s="66">
        <v>2000</v>
      </c>
      <c r="B43" s="30">
        <v>76557.100000000006</v>
      </c>
      <c r="C43" s="30">
        <v>15715.9</v>
      </c>
      <c r="D43" s="30">
        <f t="shared" si="0"/>
        <v>3219.9</v>
      </c>
      <c r="E43" s="30">
        <v>229.9</v>
      </c>
      <c r="F43" s="30">
        <v>1312.8</v>
      </c>
      <c r="G43" s="30">
        <v>1677.2</v>
      </c>
      <c r="I43" s="135">
        <v>92084907</v>
      </c>
      <c r="J43" s="135">
        <v>18440195</v>
      </c>
      <c r="K43" s="135">
        <f t="shared" si="1"/>
        <v>3758273</v>
      </c>
      <c r="L43" s="135">
        <v>262021</v>
      </c>
      <c r="M43" s="135">
        <v>1489823</v>
      </c>
      <c r="N43" s="135">
        <v>2006429</v>
      </c>
    </row>
    <row r="44" spans="1:14">
      <c r="A44" s="66">
        <v>2001</v>
      </c>
      <c r="B44" s="30">
        <v>74693.5</v>
      </c>
      <c r="C44" s="30">
        <v>12694.6</v>
      </c>
      <c r="D44" s="30">
        <f t="shared" si="0"/>
        <v>2199</v>
      </c>
      <c r="E44" s="30">
        <v>159.19999999999999</v>
      </c>
      <c r="F44" s="30">
        <v>627.79999999999995</v>
      </c>
      <c r="G44" s="30">
        <v>1412</v>
      </c>
      <c r="I44" s="135">
        <v>91082319</v>
      </c>
      <c r="J44" s="135">
        <v>15230658</v>
      </c>
      <c r="K44" s="135">
        <f t="shared" si="1"/>
        <v>2605723</v>
      </c>
      <c r="L44" s="135">
        <v>188616</v>
      </c>
      <c r="M44" s="135">
        <v>740020</v>
      </c>
      <c r="N44" s="135">
        <v>1677087</v>
      </c>
    </row>
    <row r="45" spans="1:14">
      <c r="A45" s="66">
        <v>2002</v>
      </c>
      <c r="B45" s="30">
        <v>71989.100000000006</v>
      </c>
      <c r="C45" s="30">
        <v>11917.6</v>
      </c>
      <c r="D45" s="30">
        <f t="shared" si="0"/>
        <v>1868.6</v>
      </c>
      <c r="E45" s="30">
        <v>211.4</v>
      </c>
      <c r="F45" s="30">
        <v>574.79999999999995</v>
      </c>
      <c r="G45" s="30">
        <v>1082.4000000000001</v>
      </c>
      <c r="I45" s="135">
        <v>89314883</v>
      </c>
      <c r="J45" s="135">
        <v>14676282</v>
      </c>
      <c r="K45" s="135">
        <f t="shared" si="1"/>
        <v>2308268</v>
      </c>
      <c r="L45" s="135">
        <v>254872</v>
      </c>
      <c r="M45" s="135">
        <v>705744</v>
      </c>
      <c r="N45" s="135">
        <v>1347652</v>
      </c>
    </row>
    <row r="46" spans="1:14">
      <c r="A46" s="66">
        <v>2003</v>
      </c>
      <c r="B46" s="30">
        <v>72162.399999999994</v>
      </c>
      <c r="C46" s="30">
        <v>13555.9</v>
      </c>
      <c r="D46" s="30">
        <f t="shared" si="0"/>
        <v>2650.6</v>
      </c>
      <c r="E46" s="30">
        <v>189.5</v>
      </c>
      <c r="F46" s="30">
        <v>779.4</v>
      </c>
      <c r="G46" s="30">
        <v>1681.7</v>
      </c>
      <c r="I46" s="135">
        <v>90904838</v>
      </c>
      <c r="J46" s="135">
        <v>16513996</v>
      </c>
      <c r="K46" s="135">
        <f t="shared" si="1"/>
        <v>3171579</v>
      </c>
      <c r="L46" s="135">
        <v>230199</v>
      </c>
      <c r="M46" s="135">
        <v>929689</v>
      </c>
      <c r="N46" s="135">
        <v>2011691</v>
      </c>
    </row>
    <row r="47" spans="1:14">
      <c r="A47" s="66">
        <v>2004</v>
      </c>
      <c r="B47" s="30">
        <v>76023.899999999994</v>
      </c>
      <c r="C47" s="30">
        <v>13167.6</v>
      </c>
      <c r="D47" s="30">
        <f t="shared" si="0"/>
        <v>1972.4</v>
      </c>
      <c r="E47" s="30">
        <v>189.3</v>
      </c>
      <c r="F47" s="30">
        <v>929.4</v>
      </c>
      <c r="G47" s="30">
        <v>853.7</v>
      </c>
      <c r="I47" s="135">
        <v>94879974</v>
      </c>
      <c r="J47" s="135">
        <v>15758104</v>
      </c>
      <c r="K47" s="135">
        <f t="shared" si="1"/>
        <v>2394116</v>
      </c>
      <c r="L47" s="135">
        <v>220871</v>
      </c>
      <c r="M47" s="135">
        <v>1079531</v>
      </c>
      <c r="N47" s="135">
        <v>1093714</v>
      </c>
    </row>
    <row r="48" spans="1:14">
      <c r="A48" s="66">
        <v>2005</v>
      </c>
      <c r="B48" s="30">
        <v>83699.5</v>
      </c>
      <c r="C48" s="30">
        <v>14332.1</v>
      </c>
      <c r="D48" s="30">
        <f t="shared" si="0"/>
        <v>2384.6999999999998</v>
      </c>
      <c r="E48" s="30">
        <v>192</v>
      </c>
      <c r="F48" s="30">
        <v>1143.4000000000001</v>
      </c>
      <c r="G48" s="30">
        <v>1049.3</v>
      </c>
      <c r="I48" s="135">
        <v>101636119</v>
      </c>
      <c r="J48" s="135">
        <v>16581388</v>
      </c>
      <c r="K48" s="135">
        <f t="shared" si="1"/>
        <v>2770347</v>
      </c>
      <c r="L48" s="135">
        <v>214087</v>
      </c>
      <c r="M48" s="135">
        <v>1283695</v>
      </c>
      <c r="N48" s="135">
        <v>1272565</v>
      </c>
    </row>
    <row r="49" spans="1:14">
      <c r="A49" s="66">
        <v>2006</v>
      </c>
      <c r="B49" s="30">
        <v>89702</v>
      </c>
      <c r="C49" s="30">
        <v>13903.8</v>
      </c>
      <c r="D49" s="30">
        <f t="shared" si="0"/>
        <v>2217.1</v>
      </c>
      <c r="E49" s="30">
        <v>192.9</v>
      </c>
      <c r="F49" s="30">
        <v>1029.0999999999999</v>
      </c>
      <c r="G49" s="30">
        <v>995.1</v>
      </c>
      <c r="I49" s="135">
        <v>105443624</v>
      </c>
      <c r="J49" s="135">
        <v>16870886</v>
      </c>
      <c r="K49" s="135">
        <f t="shared" si="1"/>
        <v>2669044</v>
      </c>
      <c r="L49" s="135">
        <v>223594</v>
      </c>
      <c r="M49" s="135">
        <v>1255598</v>
      </c>
      <c r="N49" s="135">
        <v>1189852</v>
      </c>
    </row>
    <row r="50" spans="1:14">
      <c r="A50" s="66">
        <v>2007</v>
      </c>
      <c r="B50" s="30">
        <v>89840.6</v>
      </c>
      <c r="C50" s="30">
        <v>13945.3</v>
      </c>
      <c r="D50" s="30">
        <f t="shared" si="0"/>
        <v>1827.1999999999998</v>
      </c>
      <c r="E50" s="30">
        <v>97.4</v>
      </c>
      <c r="F50" s="30">
        <v>778.8</v>
      </c>
      <c r="G50" s="30">
        <v>951</v>
      </c>
      <c r="I50" s="135">
        <v>108840462</v>
      </c>
      <c r="J50" s="135">
        <v>17583279</v>
      </c>
      <c r="K50" s="135">
        <f t="shared" si="1"/>
        <v>2748797</v>
      </c>
      <c r="L50" s="135">
        <v>199504</v>
      </c>
      <c r="M50" s="135">
        <v>1324070</v>
      </c>
      <c r="N50" s="135">
        <v>1225223</v>
      </c>
    </row>
    <row r="51" spans="1:14">
      <c r="A51" s="66">
        <v>2008</v>
      </c>
      <c r="B51" s="30">
        <v>92561.4</v>
      </c>
      <c r="C51" s="30">
        <v>14123</v>
      </c>
      <c r="D51" s="30">
        <f>SUM(E51:G51)</f>
        <v>1561</v>
      </c>
      <c r="E51" s="30">
        <v>158.80000000000001</v>
      </c>
      <c r="F51" s="30">
        <v>587.79999999999995</v>
      </c>
      <c r="G51" s="30">
        <v>814.4</v>
      </c>
    </row>
    <row r="52" spans="1:14">
      <c r="A52" s="66">
        <v>2009</v>
      </c>
      <c r="B52" s="30">
        <v>79907.7</v>
      </c>
      <c r="C52" s="30">
        <v>10297.5</v>
      </c>
      <c r="D52" s="30">
        <f t="shared" si="0"/>
        <v>934.90000000000009</v>
      </c>
      <c r="E52" s="30">
        <v>116.9</v>
      </c>
      <c r="F52" s="30">
        <v>310.8</v>
      </c>
      <c r="G52" s="30">
        <v>507.2</v>
      </c>
    </row>
    <row r="53" spans="1:14">
      <c r="A53" s="66">
        <v>2010</v>
      </c>
      <c r="B53" s="30">
        <v>83500.5</v>
      </c>
      <c r="C53" s="30">
        <v>10550.4</v>
      </c>
      <c r="D53" s="30">
        <f t="shared" si="0"/>
        <v>1181.5</v>
      </c>
      <c r="E53" s="30">
        <v>144.6</v>
      </c>
      <c r="F53" s="30">
        <v>494.1</v>
      </c>
      <c r="G53" s="30">
        <v>542.79999999999995</v>
      </c>
    </row>
    <row r="54" spans="1:14">
      <c r="A54" s="66">
        <v>2011</v>
      </c>
      <c r="B54" s="30">
        <v>89239.1</v>
      </c>
      <c r="C54" s="30">
        <v>12794.9</v>
      </c>
      <c r="D54" s="30">
        <f t="shared" si="0"/>
        <v>1571.6999999999998</v>
      </c>
      <c r="E54" s="30">
        <v>149.30000000000001</v>
      </c>
      <c r="F54" s="30">
        <v>664.5</v>
      </c>
      <c r="G54" s="30">
        <v>757.9</v>
      </c>
    </row>
    <row r="55" spans="1:14">
      <c r="A55" s="66">
        <v>2012</v>
      </c>
      <c r="B55" s="135">
        <v>91884.7</v>
      </c>
      <c r="C55" s="135">
        <v>13353.2</v>
      </c>
      <c r="D55" s="30">
        <f t="shared" si="0"/>
        <v>1651</v>
      </c>
      <c r="E55" s="135">
        <v>115</v>
      </c>
      <c r="F55" s="135">
        <v>757.3</v>
      </c>
      <c r="G55" s="135">
        <v>778.7</v>
      </c>
    </row>
    <row r="56" spans="1:14">
      <c r="A56" s="66"/>
    </row>
    <row r="57" spans="1:14">
      <c r="A57" s="66" t="s">
        <v>23</v>
      </c>
      <c r="B57" s="56"/>
      <c r="C57" s="56"/>
    </row>
    <row r="58" spans="1:14">
      <c r="A58" s="69" t="s">
        <v>2121</v>
      </c>
      <c r="B58" s="147">
        <f>((B55/B4)^(1/51)-1)*100</f>
        <v>7.2325223979077702</v>
      </c>
      <c r="C58" s="147">
        <f t="shared" ref="C58:G58" si="2">((C55/C4)^(1/51)-1)*100</f>
        <v>6.0327498275156266</v>
      </c>
      <c r="D58" s="147">
        <f t="shared" si="2"/>
        <v>4.5692491270932223</v>
      </c>
      <c r="E58" s="147">
        <f t="shared" si="2"/>
        <v>3.4994716116243829</v>
      </c>
      <c r="F58" s="147">
        <f t="shared" si="2"/>
        <v>6.3553202598132241</v>
      </c>
      <c r="G58" s="147">
        <f t="shared" si="2"/>
        <v>3.7952162890954266</v>
      </c>
    </row>
    <row r="59" spans="1:14">
      <c r="A59" s="68" t="s">
        <v>1031</v>
      </c>
      <c r="B59" s="147">
        <f t="shared" ref="B59:G59" si="3">((B16/B4)^(1/12)-1)*100</f>
        <v>11.103210880982385</v>
      </c>
      <c r="C59" s="147">
        <f t="shared" si="3"/>
        <v>10.662304634979902</v>
      </c>
      <c r="D59" s="147">
        <f t="shared" si="3"/>
        <v>11.076512774297619</v>
      </c>
      <c r="E59" s="147">
        <f t="shared" si="3"/>
        <v>13.802300926817669</v>
      </c>
      <c r="F59" s="147">
        <f t="shared" si="3"/>
        <v>16.94693256465689</v>
      </c>
      <c r="G59" s="147">
        <f t="shared" si="3"/>
        <v>7.8526615117222587</v>
      </c>
    </row>
    <row r="60" spans="1:14">
      <c r="A60" s="68" t="s">
        <v>1032</v>
      </c>
      <c r="B60" s="147">
        <f t="shared" ref="B60:G60" si="4">((B24/B16)^(1/8)-1)*100</f>
        <v>15.482699076137418</v>
      </c>
      <c r="C60" s="147">
        <f t="shared" si="4"/>
        <v>16.288358625367238</v>
      </c>
      <c r="D60" s="147">
        <f t="shared" si="4"/>
        <v>16.603039224634909</v>
      </c>
      <c r="E60" s="147">
        <f t="shared" si="4"/>
        <v>3.4320041559613657</v>
      </c>
      <c r="F60" s="147">
        <f t="shared" si="4"/>
        <v>6.0045254433505502</v>
      </c>
      <c r="G60" s="147">
        <f t="shared" si="4"/>
        <v>23.621909533086804</v>
      </c>
    </row>
    <row r="61" spans="1:14">
      <c r="A61" s="68" t="s">
        <v>25</v>
      </c>
      <c r="B61" s="147">
        <f t="shared" ref="B61:G61" si="5">((B32/B24)^(1/8)-1)*100</f>
        <v>6.0619406230428829</v>
      </c>
      <c r="C61" s="147">
        <f t="shared" si="5"/>
        <v>6.6014853480127478</v>
      </c>
      <c r="D61" s="147">
        <f t="shared" si="5"/>
        <v>10.769213125557343</v>
      </c>
      <c r="E61" s="147">
        <f t="shared" si="5"/>
        <v>0.85793753611913548</v>
      </c>
      <c r="F61" s="147">
        <f t="shared" si="5"/>
        <v>8.3584089930694994</v>
      </c>
      <c r="G61" s="147">
        <f t="shared" si="5"/>
        <v>11.790805908621005</v>
      </c>
    </row>
    <row r="62" spans="1:14">
      <c r="A62" s="68" t="s">
        <v>26</v>
      </c>
      <c r="B62" s="147">
        <f t="shared" ref="B62:G62" si="6">((B43/B32)^(1/11)-1)*100</f>
        <v>4.5828151310090881</v>
      </c>
      <c r="C62" s="147">
        <f t="shared" si="6"/>
        <v>1.9829366698318474</v>
      </c>
      <c r="D62" s="147">
        <f t="shared" si="6"/>
        <v>-3.2289414524510618</v>
      </c>
      <c r="E62" s="147">
        <f t="shared" si="6"/>
        <v>5.1951567565616363</v>
      </c>
      <c r="F62" s="147">
        <f t="shared" si="6"/>
        <v>6.621408910682236</v>
      </c>
      <c r="G62" s="147">
        <f t="shared" si="6"/>
        <v>-7.2534335084727841</v>
      </c>
    </row>
    <row r="63" spans="1:14">
      <c r="A63" s="69" t="s">
        <v>2028</v>
      </c>
      <c r="B63" s="147">
        <f>((B55/B43)^(1/12)-1)*100</f>
        <v>1.5324370762719752</v>
      </c>
      <c r="C63" s="147">
        <f t="shared" ref="C63:G63" si="7">((C55/C43)^(1/12)-1)*100</f>
        <v>-1.3484663094352811</v>
      </c>
      <c r="D63" s="147">
        <f t="shared" si="7"/>
        <v>-5.4143199297489897</v>
      </c>
      <c r="E63" s="147">
        <f t="shared" si="7"/>
        <v>-5.6091480917253573</v>
      </c>
      <c r="F63" s="147">
        <f t="shared" si="7"/>
        <v>-4.4811432683009915</v>
      </c>
      <c r="G63" s="147">
        <f t="shared" si="7"/>
        <v>-6.1936776122406663</v>
      </c>
    </row>
    <row r="65" spans="1:1">
      <c r="A65" s="64" t="s">
        <v>1813</v>
      </c>
    </row>
  </sheetData>
  <mergeCells count="7">
    <mergeCell ref="A1:G1"/>
    <mergeCell ref="B2:B3"/>
    <mergeCell ref="D2:G2"/>
    <mergeCell ref="I2:I3"/>
    <mergeCell ref="K2:N2"/>
    <mergeCell ref="J2:J3"/>
    <mergeCell ref="C2:C3"/>
  </mergeCells>
  <pageMargins left="0.7" right="0.7" top="0.75" bottom="0.75" header="0.3" footer="0.3"/>
  <pageSetup scale="93" orientation="portrait" horizontalDpi="0" verticalDpi="0" r:id="rId1"/>
</worksheet>
</file>

<file path=xl/worksheets/sheet71.xml><?xml version="1.0" encoding="utf-8"?>
<worksheet xmlns="http://schemas.openxmlformats.org/spreadsheetml/2006/main" xmlns:r="http://schemas.openxmlformats.org/officeDocument/2006/relationships">
  <sheetPr codeName="Sheet67"/>
  <dimension ref="A1:O65"/>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5703125" style="64" customWidth="1"/>
    <col min="2" max="3" width="14.140625" style="135" customWidth="1"/>
    <col min="4" max="4" width="16" style="135" customWidth="1"/>
    <col min="5" max="5" width="11.28515625" style="135" customWidth="1"/>
    <col min="6" max="6" width="15.140625" style="135" customWidth="1"/>
    <col min="7" max="7" width="14.140625" style="135" customWidth="1"/>
    <col min="8" max="8" width="9.140625" style="135"/>
    <col min="9" max="14" width="27.7109375" style="135" hidden="1" customWidth="1" outlineLevel="1"/>
    <col min="15" max="15" width="9.140625" style="64" collapsed="1"/>
    <col min="16" max="16384" width="9.140625" style="64"/>
  </cols>
  <sheetData>
    <row r="1" spans="1:14" ht="30" customHeight="1">
      <c r="A1" s="93" t="s">
        <v>2058</v>
      </c>
      <c r="B1" s="93"/>
      <c r="C1" s="93"/>
      <c r="D1" s="93"/>
      <c r="E1" s="93"/>
      <c r="F1" s="93"/>
      <c r="G1" s="93"/>
    </row>
    <row r="2" spans="1:14">
      <c r="B2" s="123" t="s">
        <v>673</v>
      </c>
      <c r="C2" s="123" t="s">
        <v>938</v>
      </c>
      <c r="D2" s="159" t="s">
        <v>37</v>
      </c>
      <c r="E2" s="160"/>
      <c r="F2" s="160"/>
      <c r="G2" s="161"/>
      <c r="I2" s="123" t="s">
        <v>673</v>
      </c>
      <c r="J2" s="123" t="s">
        <v>938</v>
      </c>
      <c r="K2" s="159" t="s">
        <v>37</v>
      </c>
      <c r="L2" s="160"/>
      <c r="M2" s="160"/>
      <c r="N2" s="161"/>
    </row>
    <row r="3" spans="1:14" ht="60">
      <c r="B3" s="126"/>
      <c r="C3" s="126"/>
      <c r="D3" s="72" t="s">
        <v>78</v>
      </c>
      <c r="E3" s="72" t="s">
        <v>750</v>
      </c>
      <c r="F3" s="72" t="s">
        <v>745</v>
      </c>
      <c r="G3" s="72" t="s">
        <v>678</v>
      </c>
      <c r="I3" s="126"/>
      <c r="J3" s="126"/>
      <c r="K3" s="72" t="s">
        <v>78</v>
      </c>
      <c r="L3" s="72" t="s">
        <v>750</v>
      </c>
      <c r="M3" s="72" t="s">
        <v>745</v>
      </c>
      <c r="N3" s="72" t="s">
        <v>678</v>
      </c>
    </row>
    <row r="4" spans="1:14">
      <c r="A4" s="66">
        <v>1961</v>
      </c>
      <c r="B4" s="30">
        <v>2364.8000000000002</v>
      </c>
      <c r="C4" s="30">
        <v>57.6</v>
      </c>
      <c r="D4" s="30">
        <f>SUM(E4:G4)</f>
        <v>32.4</v>
      </c>
      <c r="E4" s="30">
        <v>22.7</v>
      </c>
      <c r="F4" s="30">
        <v>1.5</v>
      </c>
      <c r="G4" s="30">
        <v>8.1999999999999993</v>
      </c>
      <c r="I4" s="135">
        <v>2457023</v>
      </c>
      <c r="J4" s="135">
        <v>57632</v>
      </c>
      <c r="K4" s="135">
        <f>SUM(L4:N4)</f>
        <v>32438</v>
      </c>
      <c r="L4" s="135">
        <v>22724</v>
      </c>
      <c r="M4" s="135">
        <v>1521</v>
      </c>
      <c r="N4" s="135">
        <v>8193</v>
      </c>
    </row>
    <row r="5" spans="1:14" hidden="1" outlineLevel="1">
      <c r="A5" s="66">
        <v>1962</v>
      </c>
      <c r="B5" s="30">
        <v>2302</v>
      </c>
      <c r="C5" s="30">
        <v>79.3</v>
      </c>
      <c r="D5" s="30">
        <f t="shared" ref="D5:D55" si="0">SUM(E5:G5)</f>
        <v>30.8</v>
      </c>
      <c r="E5" s="30">
        <v>23</v>
      </c>
      <c r="F5" s="30">
        <v>1.3</v>
      </c>
      <c r="G5" s="30">
        <v>6.5</v>
      </c>
      <c r="I5" s="135">
        <v>2377682</v>
      </c>
      <c r="J5" s="135">
        <v>79291</v>
      </c>
      <c r="K5" s="135">
        <f t="shared" ref="K5:K50" si="1">SUM(L5:N5)</f>
        <v>30763</v>
      </c>
      <c r="L5" s="135">
        <v>23005</v>
      </c>
      <c r="M5" s="135">
        <v>1257</v>
      </c>
      <c r="N5" s="135">
        <v>6501</v>
      </c>
    </row>
    <row r="6" spans="1:14" hidden="1" outlineLevel="1">
      <c r="A6" s="66">
        <v>1963</v>
      </c>
      <c r="B6" s="30">
        <v>2473.3000000000002</v>
      </c>
      <c r="C6" s="30">
        <v>60.7</v>
      </c>
      <c r="D6" s="30">
        <f t="shared" si="0"/>
        <v>27.299999999999997</v>
      </c>
      <c r="E6" s="30">
        <v>22.2</v>
      </c>
      <c r="F6" s="30">
        <v>1.4</v>
      </c>
      <c r="G6" s="30">
        <v>3.7</v>
      </c>
      <c r="I6" s="135">
        <v>2555788</v>
      </c>
      <c r="J6" s="135">
        <v>60690</v>
      </c>
      <c r="K6" s="135">
        <f t="shared" si="1"/>
        <v>27346</v>
      </c>
      <c r="L6" s="135">
        <v>22228</v>
      </c>
      <c r="M6" s="135">
        <v>1396</v>
      </c>
      <c r="N6" s="135">
        <v>3722</v>
      </c>
    </row>
    <row r="7" spans="1:14" hidden="1" outlineLevel="1">
      <c r="A7" s="66">
        <v>1964</v>
      </c>
      <c r="B7" s="30">
        <v>2867.3</v>
      </c>
      <c r="C7" s="30">
        <v>46</v>
      </c>
      <c r="D7" s="30">
        <f t="shared" si="0"/>
        <v>38.700000000000003</v>
      </c>
      <c r="E7" s="30">
        <v>30.3</v>
      </c>
      <c r="F7" s="30">
        <v>1.5</v>
      </c>
      <c r="G7" s="30">
        <v>6.9</v>
      </c>
      <c r="I7" s="135">
        <v>2966887</v>
      </c>
      <c r="J7" s="135">
        <v>45953</v>
      </c>
      <c r="K7" s="135">
        <f t="shared" si="1"/>
        <v>38759</v>
      </c>
      <c r="L7" s="135">
        <v>30302</v>
      </c>
      <c r="M7" s="135">
        <v>1546</v>
      </c>
      <c r="N7" s="135">
        <v>6911</v>
      </c>
    </row>
    <row r="8" spans="1:14" hidden="1" outlineLevel="1">
      <c r="A8" s="66">
        <v>1965</v>
      </c>
      <c r="B8" s="30">
        <v>3196.7</v>
      </c>
      <c r="C8" s="30">
        <v>71</v>
      </c>
      <c r="D8" s="30">
        <f t="shared" si="0"/>
        <v>45</v>
      </c>
      <c r="E8" s="30">
        <v>32.6</v>
      </c>
      <c r="F8" s="30">
        <v>3.1</v>
      </c>
      <c r="G8" s="30">
        <v>9.3000000000000007</v>
      </c>
      <c r="I8" s="135">
        <v>3323016</v>
      </c>
      <c r="J8" s="135">
        <v>71028</v>
      </c>
      <c r="K8" s="135">
        <f t="shared" si="1"/>
        <v>45008</v>
      </c>
      <c r="L8" s="135">
        <v>32587</v>
      </c>
      <c r="M8" s="135">
        <v>3142</v>
      </c>
      <c r="N8" s="135">
        <v>9279</v>
      </c>
    </row>
    <row r="9" spans="1:14" hidden="1" outlineLevel="1">
      <c r="A9" s="66">
        <v>1966</v>
      </c>
      <c r="B9" s="30">
        <v>3707.3</v>
      </c>
      <c r="C9" s="30">
        <v>121.3</v>
      </c>
      <c r="D9" s="30">
        <f t="shared" si="0"/>
        <v>48.899999999999991</v>
      </c>
      <c r="E9" s="30">
        <v>32.9</v>
      </c>
      <c r="F9" s="30">
        <v>3.3</v>
      </c>
      <c r="G9" s="30">
        <v>12.7</v>
      </c>
      <c r="I9" s="135">
        <v>3844377</v>
      </c>
      <c r="J9" s="135">
        <v>121308</v>
      </c>
      <c r="K9" s="135">
        <f t="shared" si="1"/>
        <v>48955</v>
      </c>
      <c r="L9" s="135">
        <v>32945</v>
      </c>
      <c r="M9" s="135">
        <v>3278</v>
      </c>
      <c r="N9" s="135">
        <v>12732</v>
      </c>
    </row>
    <row r="10" spans="1:14" hidden="1" outlineLevel="1">
      <c r="A10" s="66">
        <v>1967</v>
      </c>
      <c r="B10" s="30">
        <v>3916</v>
      </c>
      <c r="C10" s="30">
        <v>148.69999999999999</v>
      </c>
      <c r="D10" s="30">
        <f t="shared" si="0"/>
        <v>42.800000000000004</v>
      </c>
      <c r="E10" s="30">
        <v>28.6</v>
      </c>
      <c r="F10" s="30">
        <v>1.6</v>
      </c>
      <c r="G10" s="30">
        <v>12.6</v>
      </c>
      <c r="I10" s="135">
        <v>4075502</v>
      </c>
      <c r="J10" s="135">
        <v>148730</v>
      </c>
      <c r="K10" s="135">
        <f t="shared" si="1"/>
        <v>42848</v>
      </c>
      <c r="L10" s="135">
        <v>28637</v>
      </c>
      <c r="M10" s="135">
        <v>1600</v>
      </c>
      <c r="N10" s="135">
        <v>12611</v>
      </c>
    </row>
    <row r="11" spans="1:14" hidden="1" outlineLevel="1">
      <c r="A11" s="66">
        <v>1968</v>
      </c>
      <c r="B11" s="30">
        <v>4041.4</v>
      </c>
      <c r="C11" s="30">
        <v>225.5</v>
      </c>
      <c r="D11" s="30">
        <f t="shared" si="0"/>
        <v>43.099999999999994</v>
      </c>
      <c r="E11" s="30">
        <v>29.4</v>
      </c>
      <c r="F11" s="30">
        <v>2.9</v>
      </c>
      <c r="G11" s="30">
        <v>10.8</v>
      </c>
      <c r="I11" s="135">
        <v>4227346</v>
      </c>
      <c r="J11" s="135">
        <v>225466</v>
      </c>
      <c r="K11" s="135">
        <f t="shared" si="1"/>
        <v>43090</v>
      </c>
      <c r="L11" s="135">
        <v>29416</v>
      </c>
      <c r="M11" s="135">
        <v>2857</v>
      </c>
      <c r="N11" s="135">
        <v>10817</v>
      </c>
    </row>
    <row r="12" spans="1:14" hidden="1" outlineLevel="1">
      <c r="A12" s="66">
        <v>1969</v>
      </c>
      <c r="B12" s="30">
        <v>4284</v>
      </c>
      <c r="C12" s="30">
        <v>222.9</v>
      </c>
      <c r="D12" s="30">
        <f t="shared" si="0"/>
        <v>54.1</v>
      </c>
      <c r="E12" s="30">
        <v>40.700000000000003</v>
      </c>
      <c r="F12" s="30">
        <v>7.6</v>
      </c>
      <c r="G12" s="30">
        <v>5.8</v>
      </c>
      <c r="I12" s="135">
        <v>4490334</v>
      </c>
      <c r="J12" s="135">
        <v>222882</v>
      </c>
      <c r="K12" s="135">
        <f t="shared" si="1"/>
        <v>54075</v>
      </c>
      <c r="L12" s="135">
        <v>40654</v>
      </c>
      <c r="M12" s="135">
        <v>7578</v>
      </c>
      <c r="N12" s="135">
        <v>5843</v>
      </c>
    </row>
    <row r="13" spans="1:14" hidden="1" outlineLevel="1">
      <c r="A13" s="66">
        <v>1970</v>
      </c>
      <c r="B13" s="30">
        <v>4769</v>
      </c>
      <c r="C13" s="30">
        <v>288.8</v>
      </c>
      <c r="D13" s="30">
        <f t="shared" si="0"/>
        <v>62.2</v>
      </c>
      <c r="E13" s="30">
        <v>38.4</v>
      </c>
      <c r="F13" s="30">
        <v>8.6</v>
      </c>
      <c r="G13" s="30">
        <v>15.2</v>
      </c>
      <c r="I13" s="135">
        <v>5028834</v>
      </c>
      <c r="J13" s="135">
        <v>288823</v>
      </c>
      <c r="K13" s="135">
        <f t="shared" si="1"/>
        <v>62209</v>
      </c>
      <c r="L13" s="135">
        <v>38428</v>
      </c>
      <c r="M13" s="135">
        <v>8584</v>
      </c>
      <c r="N13" s="135">
        <v>15197</v>
      </c>
    </row>
    <row r="14" spans="1:14" hidden="1" outlineLevel="1">
      <c r="A14" s="66">
        <v>1971</v>
      </c>
      <c r="B14" s="30">
        <v>5547.5</v>
      </c>
      <c r="C14" s="30">
        <v>319.60000000000002</v>
      </c>
      <c r="D14" s="30">
        <f t="shared" si="0"/>
        <v>61</v>
      </c>
      <c r="E14" s="30">
        <v>37.200000000000003</v>
      </c>
      <c r="F14" s="30">
        <v>5</v>
      </c>
      <c r="G14" s="30">
        <v>18.8</v>
      </c>
      <c r="I14" s="135">
        <v>5771176</v>
      </c>
      <c r="J14" s="135">
        <v>319584</v>
      </c>
      <c r="K14" s="135">
        <f t="shared" si="1"/>
        <v>61035</v>
      </c>
      <c r="L14" s="135">
        <v>37230</v>
      </c>
      <c r="M14" s="135">
        <v>5035</v>
      </c>
      <c r="N14" s="135">
        <v>18770</v>
      </c>
    </row>
    <row r="15" spans="1:14" hidden="1" outlineLevel="1">
      <c r="A15" s="66">
        <v>1972</v>
      </c>
      <c r="B15" s="30">
        <v>5905.9</v>
      </c>
      <c r="C15" s="30">
        <v>309.60000000000002</v>
      </c>
      <c r="D15" s="30">
        <f t="shared" si="0"/>
        <v>71.5</v>
      </c>
      <c r="E15" s="30">
        <v>42</v>
      </c>
      <c r="F15" s="30">
        <v>7.2</v>
      </c>
      <c r="G15" s="30">
        <v>22.3</v>
      </c>
      <c r="I15" s="135">
        <v>6149341</v>
      </c>
      <c r="J15" s="135">
        <v>309620</v>
      </c>
      <c r="K15" s="135">
        <f t="shared" si="1"/>
        <v>71550</v>
      </c>
      <c r="L15" s="135">
        <v>42018</v>
      </c>
      <c r="M15" s="135">
        <v>7231</v>
      </c>
      <c r="N15" s="135">
        <v>22301</v>
      </c>
    </row>
    <row r="16" spans="1:14" collapsed="1">
      <c r="A16" s="66">
        <v>1973</v>
      </c>
      <c r="B16" s="30">
        <v>6513</v>
      </c>
      <c r="C16" s="30">
        <v>326</v>
      </c>
      <c r="D16" s="30">
        <f t="shared" si="0"/>
        <v>89.8</v>
      </c>
      <c r="E16" s="30">
        <v>58.3</v>
      </c>
      <c r="F16" s="30">
        <v>11.2</v>
      </c>
      <c r="G16" s="30">
        <v>20.3</v>
      </c>
      <c r="I16" s="135">
        <v>6791415</v>
      </c>
      <c r="J16" s="135">
        <v>326007</v>
      </c>
      <c r="K16" s="135">
        <f t="shared" si="1"/>
        <v>89776</v>
      </c>
      <c r="L16" s="135">
        <v>58272</v>
      </c>
      <c r="M16" s="135">
        <v>11244</v>
      </c>
      <c r="N16" s="135">
        <v>20260</v>
      </c>
    </row>
    <row r="17" spans="1:14" hidden="1" outlineLevel="1">
      <c r="A17" s="66">
        <v>1974</v>
      </c>
      <c r="B17" s="30">
        <v>7961.3</v>
      </c>
      <c r="C17" s="30">
        <v>480.7</v>
      </c>
      <c r="D17" s="30">
        <f t="shared" si="0"/>
        <v>99.2</v>
      </c>
      <c r="E17" s="30">
        <v>70.7</v>
      </c>
      <c r="F17" s="30">
        <v>12.2</v>
      </c>
      <c r="G17" s="30">
        <v>16.3</v>
      </c>
      <c r="I17" s="135">
        <v>8295700</v>
      </c>
      <c r="J17" s="135">
        <v>480711</v>
      </c>
      <c r="K17" s="135">
        <f t="shared" si="1"/>
        <v>99223</v>
      </c>
      <c r="L17" s="135">
        <v>70703</v>
      </c>
      <c r="M17" s="135">
        <v>12210</v>
      </c>
      <c r="N17" s="135">
        <v>16310</v>
      </c>
    </row>
    <row r="18" spans="1:14" hidden="1" outlineLevel="1">
      <c r="A18" s="66">
        <v>1975</v>
      </c>
      <c r="B18" s="30">
        <v>9963.2999999999993</v>
      </c>
      <c r="C18" s="30">
        <v>657.8</v>
      </c>
      <c r="D18" s="30">
        <f t="shared" si="0"/>
        <v>89.300000000000011</v>
      </c>
      <c r="E18" s="30">
        <v>67.7</v>
      </c>
      <c r="F18" s="30">
        <v>7.2</v>
      </c>
      <c r="G18" s="30">
        <v>14.4</v>
      </c>
      <c r="I18" s="135">
        <v>10382802</v>
      </c>
      <c r="J18" s="135">
        <v>657796</v>
      </c>
      <c r="K18" s="135">
        <f t="shared" si="1"/>
        <v>89363</v>
      </c>
      <c r="L18" s="135">
        <v>67746</v>
      </c>
      <c r="M18" s="135">
        <v>7221</v>
      </c>
      <c r="N18" s="135">
        <v>14396</v>
      </c>
    </row>
    <row r="19" spans="1:14" hidden="1" outlineLevel="1">
      <c r="A19" s="66">
        <v>1976</v>
      </c>
      <c r="B19" s="30">
        <v>10477.1</v>
      </c>
      <c r="C19" s="30">
        <v>634</v>
      </c>
      <c r="D19" s="30">
        <f t="shared" si="0"/>
        <v>97.3</v>
      </c>
      <c r="E19" s="30">
        <v>68.3</v>
      </c>
      <c r="F19" s="30">
        <v>13.2</v>
      </c>
      <c r="G19" s="30">
        <v>15.8</v>
      </c>
      <c r="I19" s="135">
        <v>10977915</v>
      </c>
      <c r="J19" s="135">
        <v>633955</v>
      </c>
      <c r="K19" s="135">
        <f t="shared" si="1"/>
        <v>97389</v>
      </c>
      <c r="L19" s="135">
        <v>68339</v>
      </c>
      <c r="M19" s="135">
        <v>13249</v>
      </c>
      <c r="N19" s="135">
        <v>15801</v>
      </c>
    </row>
    <row r="20" spans="1:14" hidden="1" outlineLevel="1">
      <c r="A20" s="66">
        <v>1977</v>
      </c>
      <c r="B20" s="30">
        <v>11937.7</v>
      </c>
      <c r="C20" s="30">
        <v>618.9</v>
      </c>
      <c r="D20" s="30">
        <f t="shared" si="0"/>
        <v>108.4</v>
      </c>
      <c r="E20" s="30">
        <v>81</v>
      </c>
      <c r="F20" s="30">
        <v>12.9</v>
      </c>
      <c r="G20" s="30">
        <v>14.5</v>
      </c>
      <c r="I20" s="135">
        <v>12513642</v>
      </c>
      <c r="J20" s="135">
        <v>618902</v>
      </c>
      <c r="K20" s="135">
        <f t="shared" si="1"/>
        <v>108418</v>
      </c>
      <c r="L20" s="135">
        <v>80982</v>
      </c>
      <c r="M20" s="135">
        <v>12946</v>
      </c>
      <c r="N20" s="135">
        <v>14490</v>
      </c>
    </row>
    <row r="21" spans="1:14" hidden="1" outlineLevel="1">
      <c r="A21" s="66">
        <v>1978</v>
      </c>
      <c r="B21" s="30">
        <v>13119.4</v>
      </c>
      <c r="C21" s="30">
        <v>620.9</v>
      </c>
      <c r="D21" s="30">
        <f t="shared" si="0"/>
        <v>109.79999999999998</v>
      </c>
      <c r="E21" s="30">
        <v>81.099999999999994</v>
      </c>
      <c r="F21" s="30">
        <v>12.3</v>
      </c>
      <c r="G21" s="30">
        <v>16.399999999999999</v>
      </c>
      <c r="I21" s="135">
        <v>13870893</v>
      </c>
      <c r="J21" s="135">
        <v>620865</v>
      </c>
      <c r="K21" s="135">
        <f t="shared" si="1"/>
        <v>109761</v>
      </c>
      <c r="L21" s="135">
        <v>81118</v>
      </c>
      <c r="M21" s="135">
        <v>12261</v>
      </c>
      <c r="N21" s="135">
        <v>16382</v>
      </c>
    </row>
    <row r="22" spans="1:14" hidden="1" outlineLevel="1">
      <c r="A22" s="66">
        <v>1979</v>
      </c>
      <c r="B22" s="30">
        <v>14982.5</v>
      </c>
      <c r="C22" s="30">
        <v>365</v>
      </c>
      <c r="D22" s="30">
        <f t="shared" si="0"/>
        <v>143.39999999999998</v>
      </c>
      <c r="E22" s="30">
        <v>113.2</v>
      </c>
      <c r="F22" s="30">
        <v>17</v>
      </c>
      <c r="G22" s="30">
        <v>13.2</v>
      </c>
      <c r="I22" s="135">
        <v>15974503</v>
      </c>
      <c r="J22" s="135">
        <v>364966</v>
      </c>
      <c r="K22" s="135">
        <f t="shared" si="1"/>
        <v>143339</v>
      </c>
      <c r="L22" s="135">
        <v>113211</v>
      </c>
      <c r="M22" s="135">
        <v>16971</v>
      </c>
      <c r="N22" s="135">
        <v>13157</v>
      </c>
    </row>
    <row r="23" spans="1:14" hidden="1" outlineLevel="1">
      <c r="A23" s="66">
        <v>1980</v>
      </c>
      <c r="B23" s="30">
        <v>17905.099999999999</v>
      </c>
      <c r="C23" s="30">
        <v>397.7</v>
      </c>
      <c r="D23" s="30">
        <f t="shared" si="0"/>
        <v>155.69999999999999</v>
      </c>
      <c r="E23" s="30">
        <v>117</v>
      </c>
      <c r="F23" s="30">
        <v>25</v>
      </c>
      <c r="G23" s="30">
        <v>13.7</v>
      </c>
      <c r="I23" s="135">
        <v>19348579</v>
      </c>
      <c r="J23" s="135">
        <v>397673</v>
      </c>
      <c r="K23" s="135">
        <f t="shared" si="1"/>
        <v>155656</v>
      </c>
      <c r="L23" s="135">
        <v>117003</v>
      </c>
      <c r="M23" s="135">
        <v>24999</v>
      </c>
      <c r="N23" s="135">
        <v>13654</v>
      </c>
    </row>
    <row r="24" spans="1:14" collapsed="1">
      <c r="A24" s="66">
        <v>1981</v>
      </c>
      <c r="B24" s="30">
        <v>21664.2</v>
      </c>
      <c r="C24" s="30">
        <v>891.8</v>
      </c>
      <c r="D24" s="30">
        <f t="shared" si="0"/>
        <v>164.9</v>
      </c>
      <c r="E24" s="30">
        <v>100.9</v>
      </c>
      <c r="F24" s="30">
        <v>19.100000000000001</v>
      </c>
      <c r="G24" s="30">
        <v>44.9</v>
      </c>
      <c r="I24" s="135">
        <v>23181321</v>
      </c>
      <c r="J24" s="135">
        <v>892274</v>
      </c>
      <c r="K24" s="135">
        <f t="shared" si="1"/>
        <v>164989</v>
      </c>
      <c r="L24" s="135">
        <v>100947</v>
      </c>
      <c r="M24" s="135">
        <v>19081</v>
      </c>
      <c r="N24" s="135">
        <v>44961</v>
      </c>
    </row>
    <row r="25" spans="1:14">
      <c r="A25" s="66">
        <v>1982</v>
      </c>
      <c r="B25" s="30">
        <v>23198.7</v>
      </c>
      <c r="C25" s="30">
        <v>1095.0999999999999</v>
      </c>
      <c r="D25" s="30">
        <f t="shared" si="0"/>
        <v>111.80000000000001</v>
      </c>
      <c r="E25" s="30">
        <v>76.900000000000006</v>
      </c>
      <c r="F25" s="30">
        <v>5</v>
      </c>
      <c r="G25" s="30">
        <v>29.9</v>
      </c>
      <c r="I25" s="135">
        <v>24725350</v>
      </c>
      <c r="J25" s="135">
        <v>1096151</v>
      </c>
      <c r="K25" s="135">
        <f t="shared" si="1"/>
        <v>111951</v>
      </c>
      <c r="L25" s="135">
        <v>76933</v>
      </c>
      <c r="M25" s="135">
        <v>5047</v>
      </c>
      <c r="N25" s="135">
        <v>29971</v>
      </c>
    </row>
    <row r="26" spans="1:14">
      <c r="A26" s="66">
        <v>1983</v>
      </c>
      <c r="B26" s="30">
        <v>20992.6</v>
      </c>
      <c r="C26" s="30">
        <v>783</v>
      </c>
      <c r="D26" s="30">
        <f t="shared" si="0"/>
        <v>110.89999999999999</v>
      </c>
      <c r="E26" s="30">
        <v>82</v>
      </c>
      <c r="F26" s="30">
        <v>5.6</v>
      </c>
      <c r="G26" s="30">
        <v>23.3</v>
      </c>
      <c r="I26" s="135">
        <v>22530704</v>
      </c>
      <c r="J26" s="135">
        <v>784847</v>
      </c>
      <c r="K26" s="135">
        <f t="shared" si="1"/>
        <v>111119</v>
      </c>
      <c r="L26" s="135">
        <v>82194</v>
      </c>
      <c r="M26" s="135">
        <v>5598</v>
      </c>
      <c r="N26" s="135">
        <v>23327</v>
      </c>
    </row>
    <row r="27" spans="1:14">
      <c r="A27" s="66">
        <v>1984</v>
      </c>
      <c r="B27" s="30">
        <v>20920.3</v>
      </c>
      <c r="C27" s="30">
        <v>381.3</v>
      </c>
      <c r="D27" s="30">
        <f t="shared" si="0"/>
        <v>111.89999999999999</v>
      </c>
      <c r="E27" s="30">
        <v>84.1</v>
      </c>
      <c r="F27" s="30">
        <v>8</v>
      </c>
      <c r="G27" s="30">
        <v>19.8</v>
      </c>
      <c r="I27" s="135">
        <v>22742253</v>
      </c>
      <c r="J27" s="135">
        <v>381526</v>
      </c>
      <c r="K27" s="135">
        <f t="shared" si="1"/>
        <v>111931</v>
      </c>
      <c r="L27" s="135">
        <v>84120</v>
      </c>
      <c r="M27" s="135">
        <v>8026</v>
      </c>
      <c r="N27" s="135">
        <v>19785</v>
      </c>
    </row>
    <row r="28" spans="1:14">
      <c r="A28" s="66">
        <v>1985</v>
      </c>
      <c r="B28" s="30">
        <v>22301.1</v>
      </c>
      <c r="C28" s="30">
        <v>344.1</v>
      </c>
      <c r="D28" s="30">
        <f t="shared" si="0"/>
        <v>132.10000000000002</v>
      </c>
      <c r="E28" s="30">
        <v>92.4</v>
      </c>
      <c r="F28" s="30">
        <v>14.2</v>
      </c>
      <c r="G28" s="30">
        <v>25.5</v>
      </c>
      <c r="I28" s="135">
        <v>24305289</v>
      </c>
      <c r="J28" s="135">
        <v>344421</v>
      </c>
      <c r="K28" s="135">
        <f t="shared" si="1"/>
        <v>132201</v>
      </c>
      <c r="L28" s="135">
        <v>92479</v>
      </c>
      <c r="M28" s="135">
        <v>14200</v>
      </c>
      <c r="N28" s="135">
        <v>25522</v>
      </c>
    </row>
    <row r="29" spans="1:14">
      <c r="A29" s="66">
        <v>1986</v>
      </c>
      <c r="B29" s="30">
        <v>19653.900000000001</v>
      </c>
      <c r="C29" s="30">
        <v>380.6</v>
      </c>
      <c r="D29" s="30">
        <f t="shared" si="0"/>
        <v>120.4</v>
      </c>
      <c r="E29" s="30">
        <v>95.4</v>
      </c>
      <c r="F29" s="30">
        <v>12.2</v>
      </c>
      <c r="G29" s="30">
        <v>12.8</v>
      </c>
      <c r="I29" s="135">
        <v>21312652</v>
      </c>
      <c r="J29" s="135">
        <v>380815</v>
      </c>
      <c r="K29" s="135">
        <f t="shared" si="1"/>
        <v>120449</v>
      </c>
      <c r="L29" s="135">
        <v>95403</v>
      </c>
      <c r="M29" s="135">
        <v>12206</v>
      </c>
      <c r="N29" s="135">
        <v>12840</v>
      </c>
    </row>
    <row r="30" spans="1:14">
      <c r="A30" s="66">
        <v>1987</v>
      </c>
      <c r="B30" s="30">
        <v>19447.7</v>
      </c>
      <c r="C30" s="30">
        <v>583.79999999999995</v>
      </c>
      <c r="D30" s="30">
        <f t="shared" si="0"/>
        <v>131.19999999999999</v>
      </c>
      <c r="E30" s="30">
        <v>88.7</v>
      </c>
      <c r="F30" s="30">
        <v>9.6999999999999993</v>
      </c>
      <c r="G30" s="30">
        <v>32.799999999999997</v>
      </c>
      <c r="I30" s="135">
        <v>21309119</v>
      </c>
      <c r="J30" s="135">
        <v>583535</v>
      </c>
      <c r="K30" s="135">
        <f t="shared" si="1"/>
        <v>131136</v>
      </c>
      <c r="L30" s="135">
        <v>88617</v>
      </c>
      <c r="M30" s="135">
        <v>9710</v>
      </c>
      <c r="N30" s="135">
        <v>32809</v>
      </c>
    </row>
    <row r="31" spans="1:14">
      <c r="A31" s="66">
        <v>1988</v>
      </c>
      <c r="B31" s="30">
        <v>22091.5</v>
      </c>
      <c r="C31" s="30">
        <v>602.20000000000005</v>
      </c>
      <c r="D31" s="30">
        <f t="shared" si="0"/>
        <v>163.69999999999999</v>
      </c>
      <c r="E31" s="30">
        <v>115.7</v>
      </c>
      <c r="F31" s="30">
        <v>15.3</v>
      </c>
      <c r="G31" s="30">
        <v>32.700000000000003</v>
      </c>
      <c r="I31" s="135">
        <v>24258403</v>
      </c>
      <c r="J31" s="135">
        <v>602171</v>
      </c>
      <c r="K31" s="135">
        <f t="shared" si="1"/>
        <v>163723</v>
      </c>
      <c r="L31" s="135">
        <v>115680</v>
      </c>
      <c r="M31" s="135">
        <v>15341</v>
      </c>
      <c r="N31" s="135">
        <v>32702</v>
      </c>
    </row>
    <row r="32" spans="1:14">
      <c r="A32" s="66">
        <v>1989</v>
      </c>
      <c r="B32" s="30">
        <v>23994.5</v>
      </c>
      <c r="C32" s="30">
        <v>806.2</v>
      </c>
      <c r="D32" s="30">
        <f t="shared" si="0"/>
        <v>180</v>
      </c>
      <c r="E32" s="30">
        <v>103.9</v>
      </c>
      <c r="F32" s="30">
        <v>19.100000000000001</v>
      </c>
      <c r="G32" s="30">
        <v>57</v>
      </c>
      <c r="I32" s="135">
        <v>25587831</v>
      </c>
      <c r="J32" s="135">
        <v>806056</v>
      </c>
      <c r="K32" s="135">
        <f t="shared" si="1"/>
        <v>179982</v>
      </c>
      <c r="L32" s="135">
        <v>103910</v>
      </c>
      <c r="M32" s="135">
        <v>19080</v>
      </c>
      <c r="N32" s="135">
        <v>56992</v>
      </c>
    </row>
    <row r="33" spans="1:14">
      <c r="A33" s="66">
        <v>1990</v>
      </c>
      <c r="B33" s="30">
        <v>26267.3</v>
      </c>
      <c r="C33" s="30">
        <v>868.8</v>
      </c>
      <c r="D33" s="30">
        <f t="shared" si="0"/>
        <v>229.7</v>
      </c>
      <c r="E33" s="30">
        <v>100.1</v>
      </c>
      <c r="F33" s="30">
        <v>19.600000000000001</v>
      </c>
      <c r="G33" s="30">
        <v>110</v>
      </c>
      <c r="I33" s="135">
        <v>27971020</v>
      </c>
      <c r="J33" s="135">
        <v>868868</v>
      </c>
      <c r="K33" s="135">
        <f t="shared" si="1"/>
        <v>229745</v>
      </c>
      <c r="L33" s="135">
        <v>100121</v>
      </c>
      <c r="M33" s="135">
        <v>19620</v>
      </c>
      <c r="N33" s="135">
        <v>110004</v>
      </c>
    </row>
    <row r="34" spans="1:14">
      <c r="A34" s="66">
        <v>1991</v>
      </c>
      <c r="B34" s="30">
        <v>27771.3</v>
      </c>
      <c r="C34" s="30">
        <v>880.7</v>
      </c>
      <c r="D34" s="30">
        <f t="shared" si="0"/>
        <v>118.9</v>
      </c>
      <c r="E34" s="30">
        <v>54.6</v>
      </c>
      <c r="F34" s="30">
        <v>8.5</v>
      </c>
      <c r="G34" s="30">
        <v>55.8</v>
      </c>
      <c r="I34" s="135">
        <v>29364437</v>
      </c>
      <c r="J34" s="135">
        <v>880743</v>
      </c>
      <c r="K34" s="135">
        <f t="shared" si="1"/>
        <v>118876</v>
      </c>
      <c r="L34" s="135">
        <v>54598</v>
      </c>
      <c r="M34" s="135">
        <v>8501</v>
      </c>
      <c r="N34" s="135">
        <v>55777</v>
      </c>
    </row>
    <row r="35" spans="1:14">
      <c r="A35" s="66">
        <v>1992</v>
      </c>
      <c r="B35" s="30">
        <v>24765.1</v>
      </c>
      <c r="C35" s="30">
        <v>550.1</v>
      </c>
      <c r="D35" s="30">
        <f t="shared" si="0"/>
        <v>118.9</v>
      </c>
      <c r="E35" s="30">
        <v>61.8</v>
      </c>
      <c r="F35" s="30">
        <v>6.9</v>
      </c>
      <c r="G35" s="30">
        <v>50.2</v>
      </c>
      <c r="I35" s="135">
        <v>25957024</v>
      </c>
      <c r="J35" s="135">
        <v>549945</v>
      </c>
      <c r="K35" s="135">
        <f t="shared" si="1"/>
        <v>118815</v>
      </c>
      <c r="L35" s="135">
        <v>61737</v>
      </c>
      <c r="M35" s="135">
        <v>6855</v>
      </c>
      <c r="N35" s="135">
        <v>50223</v>
      </c>
    </row>
    <row r="36" spans="1:14">
      <c r="A36" s="66">
        <v>1993</v>
      </c>
      <c r="B36" s="30">
        <v>24779.4</v>
      </c>
      <c r="C36" s="30">
        <v>347.7</v>
      </c>
      <c r="D36" s="30">
        <f t="shared" si="0"/>
        <v>133.69999999999999</v>
      </c>
      <c r="E36" s="30">
        <v>95.2</v>
      </c>
      <c r="F36" s="30">
        <v>13.3</v>
      </c>
      <c r="G36" s="30">
        <v>25.2</v>
      </c>
      <c r="I36" s="135">
        <v>26593100</v>
      </c>
      <c r="J36" s="135">
        <v>347580</v>
      </c>
      <c r="K36" s="135">
        <f t="shared" si="1"/>
        <v>133735</v>
      </c>
      <c r="L36" s="135">
        <v>95210</v>
      </c>
      <c r="M36" s="135">
        <v>13308</v>
      </c>
      <c r="N36" s="135">
        <v>25217</v>
      </c>
    </row>
    <row r="37" spans="1:14">
      <c r="A37" s="66">
        <v>1994</v>
      </c>
      <c r="B37" s="30">
        <v>28394.9</v>
      </c>
      <c r="C37" s="30">
        <v>321</v>
      </c>
      <c r="D37" s="30">
        <f t="shared" si="0"/>
        <v>140.19999999999999</v>
      </c>
      <c r="E37" s="30">
        <v>93.3</v>
      </c>
      <c r="F37" s="30">
        <v>16.2</v>
      </c>
      <c r="G37" s="30">
        <v>30.7</v>
      </c>
      <c r="I37" s="135">
        <v>31150138</v>
      </c>
      <c r="J37" s="135">
        <v>320909</v>
      </c>
      <c r="K37" s="135">
        <f t="shared" si="1"/>
        <v>140174</v>
      </c>
      <c r="L37" s="135">
        <v>93280</v>
      </c>
      <c r="M37" s="135">
        <v>16197</v>
      </c>
      <c r="N37" s="135">
        <v>30697</v>
      </c>
    </row>
    <row r="38" spans="1:14">
      <c r="A38" s="66">
        <v>1995</v>
      </c>
      <c r="B38" s="30">
        <v>28906</v>
      </c>
      <c r="C38" s="30">
        <v>262.5</v>
      </c>
      <c r="D38" s="30">
        <f t="shared" si="0"/>
        <v>157.1</v>
      </c>
      <c r="E38" s="30">
        <v>76.5</v>
      </c>
      <c r="F38" s="30">
        <v>42.5</v>
      </c>
      <c r="G38" s="30">
        <v>38.1</v>
      </c>
      <c r="I38" s="135">
        <v>31664392</v>
      </c>
      <c r="J38" s="135">
        <v>262425</v>
      </c>
      <c r="K38" s="135">
        <f t="shared" si="1"/>
        <v>157050</v>
      </c>
      <c r="L38" s="135">
        <v>76507</v>
      </c>
      <c r="M38" s="135">
        <v>42443</v>
      </c>
      <c r="N38" s="135">
        <v>38100</v>
      </c>
    </row>
    <row r="39" spans="1:14">
      <c r="A39" s="66">
        <v>1996</v>
      </c>
      <c r="B39" s="30">
        <v>28297.9</v>
      </c>
      <c r="C39" s="30">
        <v>463.8</v>
      </c>
      <c r="D39" s="30">
        <f t="shared" si="0"/>
        <v>249.3</v>
      </c>
      <c r="E39" s="30">
        <v>88.2</v>
      </c>
      <c r="F39" s="30">
        <v>12.2</v>
      </c>
      <c r="G39" s="30">
        <v>148.9</v>
      </c>
      <c r="I39" s="135">
        <v>31144076</v>
      </c>
      <c r="J39" s="135">
        <v>463596</v>
      </c>
      <c r="K39" s="135">
        <f t="shared" si="1"/>
        <v>249143</v>
      </c>
      <c r="L39" s="135">
        <v>88168</v>
      </c>
      <c r="M39" s="135">
        <v>12154</v>
      </c>
      <c r="N39" s="135">
        <v>148821</v>
      </c>
    </row>
    <row r="40" spans="1:14">
      <c r="A40" s="66">
        <v>1997</v>
      </c>
      <c r="B40" s="30">
        <v>31206.400000000001</v>
      </c>
      <c r="C40" s="30">
        <v>372.9</v>
      </c>
      <c r="D40" s="30">
        <f t="shared" si="0"/>
        <v>198.9</v>
      </c>
      <c r="E40" s="30">
        <v>124.2</v>
      </c>
      <c r="F40" s="30">
        <v>15.2</v>
      </c>
      <c r="G40" s="30">
        <v>59.5</v>
      </c>
      <c r="I40" s="135">
        <v>34733512</v>
      </c>
      <c r="J40" s="135">
        <v>372874</v>
      </c>
      <c r="K40" s="135">
        <f t="shared" si="1"/>
        <v>198941</v>
      </c>
      <c r="L40" s="135">
        <v>124234</v>
      </c>
      <c r="M40" s="135">
        <v>15241</v>
      </c>
      <c r="N40" s="135">
        <v>59466</v>
      </c>
    </row>
    <row r="41" spans="1:14">
      <c r="A41" s="66">
        <v>1998</v>
      </c>
      <c r="B41" s="30">
        <v>31255.3</v>
      </c>
      <c r="C41" s="30">
        <v>356.3</v>
      </c>
      <c r="D41" s="30">
        <f t="shared" si="0"/>
        <v>169</v>
      </c>
      <c r="E41" s="30">
        <v>113</v>
      </c>
      <c r="F41" s="30">
        <v>16.100000000000001</v>
      </c>
      <c r="G41" s="30">
        <v>39.9</v>
      </c>
      <c r="I41" s="135">
        <v>35948553</v>
      </c>
      <c r="J41" s="135">
        <v>356327</v>
      </c>
      <c r="K41" s="135">
        <f t="shared" si="1"/>
        <v>169130</v>
      </c>
      <c r="L41" s="135">
        <v>113042</v>
      </c>
      <c r="M41" s="135">
        <v>16145</v>
      </c>
      <c r="N41" s="135">
        <v>39943</v>
      </c>
    </row>
    <row r="42" spans="1:14">
      <c r="A42" s="66">
        <v>1999</v>
      </c>
      <c r="B42" s="30">
        <v>32780.5</v>
      </c>
      <c r="C42" s="30">
        <v>614.9</v>
      </c>
      <c r="D42" s="30">
        <f t="shared" si="0"/>
        <v>201.39999999999998</v>
      </c>
      <c r="E42" s="30">
        <v>147</v>
      </c>
      <c r="F42" s="30">
        <v>21.6</v>
      </c>
      <c r="G42" s="30">
        <v>32.799999999999997</v>
      </c>
      <c r="I42" s="135">
        <v>36674775</v>
      </c>
      <c r="J42" s="135">
        <v>614939</v>
      </c>
      <c r="K42" s="135">
        <f t="shared" si="1"/>
        <v>201346</v>
      </c>
      <c r="L42" s="135">
        <v>146979</v>
      </c>
      <c r="M42" s="135">
        <v>21586</v>
      </c>
      <c r="N42" s="135">
        <v>32781</v>
      </c>
    </row>
    <row r="43" spans="1:14">
      <c r="A43" s="66">
        <v>2000</v>
      </c>
      <c r="B43" s="30">
        <v>36033.1</v>
      </c>
      <c r="C43" s="30">
        <v>956.8</v>
      </c>
      <c r="D43" s="30">
        <f t="shared" si="0"/>
        <v>252.89999999999998</v>
      </c>
      <c r="E43" s="30">
        <v>154.6</v>
      </c>
      <c r="F43" s="30">
        <v>24</v>
      </c>
      <c r="G43" s="30">
        <v>74.3</v>
      </c>
      <c r="I43" s="135">
        <v>41429409</v>
      </c>
      <c r="J43" s="135">
        <v>956840</v>
      </c>
      <c r="K43" s="135">
        <f t="shared" si="1"/>
        <v>252927</v>
      </c>
      <c r="L43" s="135">
        <v>154624</v>
      </c>
      <c r="M43" s="135">
        <v>23965</v>
      </c>
      <c r="N43" s="135">
        <v>74338</v>
      </c>
    </row>
    <row r="44" spans="1:14">
      <c r="A44" s="66">
        <v>2001</v>
      </c>
      <c r="B44" s="30">
        <v>38364.5</v>
      </c>
      <c r="C44" s="30">
        <v>649.79999999999995</v>
      </c>
      <c r="D44" s="30">
        <f t="shared" si="0"/>
        <v>190.89999999999998</v>
      </c>
      <c r="E44" s="30">
        <v>109.3</v>
      </c>
      <c r="F44" s="30">
        <v>40.299999999999997</v>
      </c>
      <c r="G44" s="30">
        <v>41.3</v>
      </c>
      <c r="I44" s="135">
        <v>44524806</v>
      </c>
      <c r="J44" s="135">
        <v>649815</v>
      </c>
      <c r="K44" s="135">
        <f t="shared" si="1"/>
        <v>190958</v>
      </c>
      <c r="L44" s="135">
        <v>109340</v>
      </c>
      <c r="M44" s="135">
        <v>40309</v>
      </c>
      <c r="N44" s="135">
        <v>41309</v>
      </c>
    </row>
    <row r="45" spans="1:14">
      <c r="A45" s="66">
        <v>2002</v>
      </c>
      <c r="B45" s="30">
        <v>37740.300000000003</v>
      </c>
      <c r="C45" s="30">
        <v>854.5</v>
      </c>
      <c r="D45" s="30">
        <f t="shared" si="0"/>
        <v>212.2</v>
      </c>
      <c r="E45" s="30">
        <v>114.6</v>
      </c>
      <c r="F45" s="30">
        <v>30.8</v>
      </c>
      <c r="G45" s="30">
        <v>66.8</v>
      </c>
      <c r="I45" s="135">
        <v>42838680</v>
      </c>
      <c r="J45" s="135">
        <v>854520</v>
      </c>
      <c r="K45" s="135">
        <f t="shared" si="1"/>
        <v>212206</v>
      </c>
      <c r="L45" s="135">
        <v>114620</v>
      </c>
      <c r="M45" s="135">
        <v>30833</v>
      </c>
      <c r="N45" s="135">
        <v>66753</v>
      </c>
    </row>
    <row r="46" spans="1:14">
      <c r="A46" s="66">
        <v>2003</v>
      </c>
      <c r="B46" s="30">
        <v>41660.300000000003</v>
      </c>
      <c r="C46" s="30">
        <v>578.5</v>
      </c>
      <c r="D46" s="30">
        <f t="shared" si="0"/>
        <v>214.39999999999998</v>
      </c>
      <c r="E46" s="30">
        <v>122.3</v>
      </c>
      <c r="F46" s="30">
        <v>38.299999999999997</v>
      </c>
      <c r="G46" s="30">
        <v>53.8</v>
      </c>
      <c r="I46" s="135">
        <v>47249774</v>
      </c>
      <c r="J46" s="135">
        <v>578499</v>
      </c>
      <c r="K46" s="135">
        <f t="shared" si="1"/>
        <v>214361</v>
      </c>
      <c r="L46" s="135">
        <v>122279</v>
      </c>
      <c r="M46" s="135">
        <v>38257</v>
      </c>
      <c r="N46" s="135">
        <v>53825</v>
      </c>
    </row>
    <row r="47" spans="1:14">
      <c r="A47" s="66">
        <v>2004</v>
      </c>
      <c r="B47" s="30">
        <v>47558.2</v>
      </c>
      <c r="C47" s="30">
        <v>485.8</v>
      </c>
      <c r="D47" s="30">
        <f t="shared" si="0"/>
        <v>246.2</v>
      </c>
      <c r="E47" s="30">
        <v>108.4</v>
      </c>
      <c r="F47" s="30">
        <v>70.3</v>
      </c>
      <c r="G47" s="30">
        <v>67.5</v>
      </c>
      <c r="I47" s="135">
        <v>53469916</v>
      </c>
      <c r="J47" s="135">
        <v>485811</v>
      </c>
      <c r="K47" s="135">
        <f t="shared" si="1"/>
        <v>246195</v>
      </c>
      <c r="L47" s="135">
        <v>108438</v>
      </c>
      <c r="M47" s="135">
        <v>70280</v>
      </c>
      <c r="N47" s="135">
        <v>67477</v>
      </c>
    </row>
    <row r="48" spans="1:14">
      <c r="A48" s="66">
        <v>2005</v>
      </c>
      <c r="B48" s="30">
        <v>58600.9</v>
      </c>
      <c r="C48" s="30">
        <v>388.8</v>
      </c>
      <c r="D48" s="30">
        <f t="shared" si="0"/>
        <v>230.8</v>
      </c>
      <c r="E48" s="30">
        <v>119</v>
      </c>
      <c r="F48" s="30">
        <v>62.1</v>
      </c>
      <c r="G48" s="30">
        <v>49.7</v>
      </c>
      <c r="I48" s="135">
        <v>66297416</v>
      </c>
      <c r="J48" s="135">
        <v>388817</v>
      </c>
      <c r="K48" s="135">
        <f t="shared" si="1"/>
        <v>230823</v>
      </c>
      <c r="L48" s="135">
        <v>119042</v>
      </c>
      <c r="M48" s="135">
        <v>62085</v>
      </c>
      <c r="N48" s="135">
        <v>49696</v>
      </c>
    </row>
    <row r="49" spans="1:14">
      <c r="A49" s="66">
        <v>2006</v>
      </c>
      <c r="B49" s="30">
        <v>68212.600000000006</v>
      </c>
      <c r="C49" s="30">
        <v>426.9</v>
      </c>
      <c r="D49" s="30">
        <f t="shared" si="0"/>
        <v>159.49999999999997</v>
      </c>
      <c r="E49" s="30">
        <v>74.599999999999994</v>
      </c>
      <c r="F49" s="30">
        <v>63.3</v>
      </c>
      <c r="G49" s="30">
        <v>21.6</v>
      </c>
      <c r="I49" s="135">
        <v>79212149</v>
      </c>
      <c r="J49" s="135">
        <v>414133</v>
      </c>
      <c r="K49" s="135">
        <f t="shared" si="1"/>
        <v>151828</v>
      </c>
      <c r="L49" s="135">
        <v>80631</v>
      </c>
      <c r="M49" s="135">
        <v>52955</v>
      </c>
      <c r="N49" s="135">
        <v>18242</v>
      </c>
    </row>
    <row r="50" spans="1:14">
      <c r="A50" s="66">
        <v>2007</v>
      </c>
      <c r="B50" s="30">
        <v>76309.2</v>
      </c>
      <c r="C50" s="30">
        <v>475.9</v>
      </c>
      <c r="D50" s="30">
        <f t="shared" si="0"/>
        <v>115.2</v>
      </c>
      <c r="E50" s="30">
        <v>64.900000000000006</v>
      </c>
      <c r="F50" s="30">
        <v>24</v>
      </c>
      <c r="G50" s="30">
        <v>26.3</v>
      </c>
      <c r="I50" s="135">
        <v>82422319</v>
      </c>
      <c r="J50" s="135">
        <v>479499</v>
      </c>
      <c r="K50" s="135">
        <f t="shared" si="1"/>
        <v>165645</v>
      </c>
      <c r="L50" s="135">
        <v>93000</v>
      </c>
      <c r="M50" s="135">
        <v>53786</v>
      </c>
      <c r="N50" s="135">
        <v>18859</v>
      </c>
    </row>
    <row r="51" spans="1:14">
      <c r="A51" s="66">
        <v>2008</v>
      </c>
      <c r="B51" s="30">
        <v>88071.3</v>
      </c>
      <c r="C51" s="30">
        <v>428.6</v>
      </c>
      <c r="D51" s="30">
        <f>SUM(E51:G51)</f>
        <v>97.9</v>
      </c>
      <c r="E51" s="30">
        <v>43.5</v>
      </c>
      <c r="F51" s="30">
        <v>11.7</v>
      </c>
      <c r="G51" s="30">
        <v>42.7</v>
      </c>
    </row>
    <row r="52" spans="1:14">
      <c r="A52" s="66">
        <v>2009</v>
      </c>
      <c r="B52" s="30">
        <v>76497.2</v>
      </c>
      <c r="C52" s="30">
        <v>784.1</v>
      </c>
      <c r="D52" s="30">
        <f t="shared" si="0"/>
        <v>62.399999999999991</v>
      </c>
      <c r="E52" s="30">
        <v>30.2</v>
      </c>
      <c r="F52" s="30">
        <v>22.9</v>
      </c>
      <c r="G52" s="30">
        <v>9.3000000000000007</v>
      </c>
    </row>
    <row r="53" spans="1:14">
      <c r="A53" s="66">
        <v>2010</v>
      </c>
      <c r="B53" s="30">
        <v>96275.7</v>
      </c>
      <c r="C53" s="30">
        <v>1219.9000000000001</v>
      </c>
      <c r="D53" s="30">
        <f t="shared" si="0"/>
        <v>116.7</v>
      </c>
      <c r="E53" s="30">
        <v>29.5</v>
      </c>
      <c r="F53" s="30">
        <v>46.7</v>
      </c>
      <c r="G53" s="30">
        <v>40.5</v>
      </c>
    </row>
    <row r="54" spans="1:14">
      <c r="A54" s="66">
        <v>2011</v>
      </c>
      <c r="B54" s="30">
        <v>105639.1</v>
      </c>
      <c r="C54" s="30">
        <v>1407.2</v>
      </c>
      <c r="D54" s="30">
        <f t="shared" si="0"/>
        <v>131.30000000000001</v>
      </c>
      <c r="E54" s="30">
        <v>37.299999999999997</v>
      </c>
      <c r="F54" s="30">
        <v>30.1</v>
      </c>
      <c r="G54" s="30">
        <v>63.9</v>
      </c>
    </row>
    <row r="55" spans="1:14">
      <c r="A55" s="66">
        <v>2012</v>
      </c>
      <c r="B55" s="30">
        <v>120788.2</v>
      </c>
      <c r="C55" s="30">
        <v>1102.3</v>
      </c>
      <c r="D55" s="30">
        <f t="shared" si="0"/>
        <v>153.1</v>
      </c>
      <c r="E55" s="30">
        <v>46</v>
      </c>
      <c r="F55" s="30">
        <v>29.1</v>
      </c>
      <c r="G55" s="30">
        <v>78</v>
      </c>
    </row>
    <row r="57" spans="1:14">
      <c r="A57" s="66" t="s">
        <v>23</v>
      </c>
      <c r="B57" s="56"/>
      <c r="C57" s="56"/>
    </row>
    <row r="58" spans="1:14">
      <c r="A58" s="69" t="s">
        <v>2121</v>
      </c>
      <c r="B58" s="147">
        <f>((B55/B4)^(1/51)-1)*100</f>
        <v>8.0176457802258572</v>
      </c>
      <c r="C58" s="147">
        <f t="shared" ref="C58:G58" si="2">((C55/C4)^(1/51)-1)*100</f>
        <v>5.9582677095707748</v>
      </c>
      <c r="D58" s="147">
        <f t="shared" si="2"/>
        <v>3.0917996775167822</v>
      </c>
      <c r="E58" s="147">
        <f t="shared" si="2"/>
        <v>1.3944893746470566</v>
      </c>
      <c r="F58" s="147">
        <f t="shared" si="2"/>
        <v>5.9866131529419775</v>
      </c>
      <c r="G58" s="147">
        <f t="shared" si="2"/>
        <v>4.5158063411534055</v>
      </c>
    </row>
    <row r="59" spans="1:14">
      <c r="A59" s="68" t="s">
        <v>1031</v>
      </c>
      <c r="B59" s="147">
        <f t="shared" ref="B59:G59" si="3">((B16/B4)^(1/12)-1)*100</f>
        <v>8.8091844366939398</v>
      </c>
      <c r="C59" s="147">
        <f t="shared" si="3"/>
        <v>15.54014982933165</v>
      </c>
      <c r="D59" s="147">
        <f t="shared" si="3"/>
        <v>8.8665041102376385</v>
      </c>
      <c r="E59" s="147">
        <f t="shared" si="3"/>
        <v>8.1774877596834994</v>
      </c>
      <c r="F59" s="147">
        <f t="shared" si="3"/>
        <v>18.238949793547942</v>
      </c>
      <c r="G59" s="147">
        <f t="shared" si="3"/>
        <v>7.8466970509717626</v>
      </c>
    </row>
    <row r="60" spans="1:14">
      <c r="A60" s="68" t="s">
        <v>1032</v>
      </c>
      <c r="B60" s="147">
        <f t="shared" ref="B60:G60" si="4">((B24/B16)^(1/8)-1)*100</f>
        <v>16.210453845312813</v>
      </c>
      <c r="C60" s="147">
        <f t="shared" si="4"/>
        <v>13.404746858665106</v>
      </c>
      <c r="D60" s="147">
        <f t="shared" si="4"/>
        <v>7.892943085895987</v>
      </c>
      <c r="E60" s="147">
        <f t="shared" si="4"/>
        <v>7.0971284502461929</v>
      </c>
      <c r="F60" s="147">
        <f t="shared" si="4"/>
        <v>6.8998062493810908</v>
      </c>
      <c r="G60" s="147">
        <f t="shared" si="4"/>
        <v>10.431707649342382</v>
      </c>
    </row>
    <row r="61" spans="1:14">
      <c r="A61" s="68" t="s">
        <v>25</v>
      </c>
      <c r="B61" s="147">
        <f t="shared" ref="B61:G61" si="5">((B32/B24)^(1/8)-1)*100</f>
        <v>1.285232887456611</v>
      </c>
      <c r="C61" s="147">
        <f t="shared" si="5"/>
        <v>-1.2534535215751319</v>
      </c>
      <c r="D61" s="147">
        <f t="shared" si="5"/>
        <v>1.1012397592160772</v>
      </c>
      <c r="E61" s="147">
        <f t="shared" si="5"/>
        <v>0.36690860198407282</v>
      </c>
      <c r="F61" s="147">
        <f t="shared" si="5"/>
        <v>0</v>
      </c>
      <c r="G61" s="147">
        <f t="shared" si="5"/>
        <v>3.0275955311141356</v>
      </c>
    </row>
    <row r="62" spans="1:14">
      <c r="A62" s="68" t="s">
        <v>26</v>
      </c>
      <c r="B62" s="147">
        <f t="shared" ref="B62:G62" si="6">((B43/B32)^(1/11)-1)*100</f>
        <v>3.7656544027428573</v>
      </c>
      <c r="C62" s="147">
        <f t="shared" si="6"/>
        <v>1.5691154484207326</v>
      </c>
      <c r="D62" s="147">
        <f t="shared" si="6"/>
        <v>3.1395234362029178</v>
      </c>
      <c r="E62" s="147">
        <f t="shared" si="6"/>
        <v>3.6788946382886989</v>
      </c>
      <c r="F62" s="147">
        <f t="shared" si="6"/>
        <v>2.0977497805933165</v>
      </c>
      <c r="G62" s="147">
        <f t="shared" si="6"/>
        <v>2.4388997548028479</v>
      </c>
    </row>
    <row r="63" spans="1:14">
      <c r="A63" s="69" t="s">
        <v>2028</v>
      </c>
      <c r="B63" s="147">
        <f>((B55/B43)^(1/12)-1)*100</f>
        <v>10.605546737730197</v>
      </c>
      <c r="C63" s="147">
        <f t="shared" ref="C63:G63" si="7">((C55/C43)^(1/12)-1)*100</f>
        <v>1.1866505039426878</v>
      </c>
      <c r="D63" s="147">
        <f t="shared" si="7"/>
        <v>-4.0962630384668852</v>
      </c>
      <c r="E63" s="147">
        <f t="shared" si="7"/>
        <v>-9.608201292895636</v>
      </c>
      <c r="F63" s="147">
        <f t="shared" si="7"/>
        <v>1.6186635508140368</v>
      </c>
      <c r="G63" s="147">
        <f t="shared" si="7"/>
        <v>0.40580345280922803</v>
      </c>
    </row>
    <row r="65" spans="1:1">
      <c r="A65" s="64" t="s">
        <v>1813</v>
      </c>
    </row>
  </sheetData>
  <mergeCells count="7">
    <mergeCell ref="A1:G1"/>
    <mergeCell ref="B2:B3"/>
    <mergeCell ref="D2:G2"/>
    <mergeCell ref="I2:I3"/>
    <mergeCell ref="K2:N2"/>
    <mergeCell ref="C2:C3"/>
    <mergeCell ref="J2:J3"/>
  </mergeCells>
  <pageMargins left="0.7" right="0.7" top="0.75" bottom="0.75" header="0.3" footer="0.3"/>
  <pageSetup scale="93" orientation="portrait" horizontalDpi="0" verticalDpi="0" r:id="rId1"/>
</worksheet>
</file>

<file path=xl/worksheets/sheet72.xml><?xml version="1.0" encoding="utf-8"?>
<worksheet xmlns="http://schemas.openxmlformats.org/spreadsheetml/2006/main" xmlns:r="http://schemas.openxmlformats.org/officeDocument/2006/relationships">
  <sheetPr codeName="Sheet68"/>
  <dimension ref="A1:O65"/>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5703125" style="64" customWidth="1"/>
    <col min="2" max="3" width="14.140625" style="135" customWidth="1"/>
    <col min="4" max="4" width="16" style="135" customWidth="1"/>
    <col min="5" max="5" width="11.28515625" style="135" customWidth="1"/>
    <col min="6" max="6" width="15.140625" style="135" customWidth="1"/>
    <col min="7" max="7" width="14.140625" style="135" customWidth="1"/>
    <col min="8" max="8" width="9.140625" style="135"/>
    <col min="9" max="14" width="27.7109375" style="135" hidden="1" customWidth="1" outlineLevel="1"/>
    <col min="15" max="15" width="9.140625" style="64" collapsed="1"/>
    <col min="16" max="16384" width="9.140625" style="64"/>
  </cols>
  <sheetData>
    <row r="1" spans="1:14" ht="30" customHeight="1">
      <c r="A1" s="93" t="s">
        <v>2059</v>
      </c>
      <c r="B1" s="93"/>
      <c r="C1" s="93"/>
      <c r="D1" s="93"/>
      <c r="E1" s="93"/>
      <c r="F1" s="93"/>
      <c r="G1" s="93"/>
    </row>
    <row r="2" spans="1:14">
      <c r="B2" s="123" t="s">
        <v>673</v>
      </c>
      <c r="C2" s="123" t="s">
        <v>938</v>
      </c>
      <c r="D2" s="159" t="s">
        <v>37</v>
      </c>
      <c r="E2" s="160"/>
      <c r="F2" s="160"/>
      <c r="G2" s="161"/>
      <c r="I2" s="123" t="s">
        <v>673</v>
      </c>
      <c r="J2" s="123" t="s">
        <v>938</v>
      </c>
      <c r="K2" s="159" t="s">
        <v>37</v>
      </c>
      <c r="L2" s="160"/>
      <c r="M2" s="160"/>
      <c r="N2" s="161"/>
    </row>
    <row r="3" spans="1:14" ht="60">
      <c r="B3" s="126"/>
      <c r="C3" s="126"/>
      <c r="D3" s="72" t="s">
        <v>78</v>
      </c>
      <c r="E3" s="72" t="s">
        <v>750</v>
      </c>
      <c r="F3" s="72" t="s">
        <v>745</v>
      </c>
      <c r="G3" s="72" t="s">
        <v>678</v>
      </c>
      <c r="I3" s="126"/>
      <c r="J3" s="126"/>
      <c r="K3" s="72" t="s">
        <v>78</v>
      </c>
      <c r="L3" s="72" t="s">
        <v>750</v>
      </c>
      <c r="M3" s="72" t="s">
        <v>745</v>
      </c>
      <c r="N3" s="72" t="s">
        <v>678</v>
      </c>
    </row>
    <row r="4" spans="1:14">
      <c r="A4" s="66">
        <v>1961</v>
      </c>
      <c r="B4" s="30">
        <v>1801.3</v>
      </c>
      <c r="C4" s="30">
        <v>217.6</v>
      </c>
      <c r="D4" s="30">
        <f>SUM(E4:G4)</f>
        <v>42.2</v>
      </c>
      <c r="E4" s="30">
        <v>3</v>
      </c>
      <c r="F4" s="30">
        <v>12.4</v>
      </c>
      <c r="G4" s="30">
        <v>26.8</v>
      </c>
      <c r="I4" s="135">
        <v>1801292</v>
      </c>
      <c r="J4" s="135">
        <v>217625</v>
      </c>
      <c r="K4" s="135">
        <f>SUM(L4:N4)</f>
        <v>42172</v>
      </c>
      <c r="L4" s="135">
        <v>2964</v>
      </c>
      <c r="M4" s="135">
        <v>12422</v>
      </c>
      <c r="N4" s="135">
        <v>26786</v>
      </c>
    </row>
    <row r="5" spans="1:14" hidden="1" outlineLevel="1">
      <c r="A5" s="66">
        <v>1962</v>
      </c>
      <c r="B5" s="30">
        <v>2026.5</v>
      </c>
      <c r="C5" s="30">
        <v>267.8</v>
      </c>
      <c r="D5" s="30">
        <f t="shared" ref="D5:D55" si="0">SUM(E5:G5)</f>
        <v>45.2</v>
      </c>
      <c r="E5" s="30">
        <v>3.3</v>
      </c>
      <c r="F5" s="30">
        <v>10.6</v>
      </c>
      <c r="G5" s="30">
        <v>31.3</v>
      </c>
      <c r="I5" s="135">
        <v>2026512</v>
      </c>
      <c r="J5" s="135">
        <v>267781</v>
      </c>
      <c r="K5" s="135">
        <f t="shared" ref="K5:K50" si="1">SUM(L5:N5)</f>
        <v>45216</v>
      </c>
      <c r="L5" s="135">
        <v>3322</v>
      </c>
      <c r="M5" s="135">
        <v>10629</v>
      </c>
      <c r="N5" s="135">
        <v>31265</v>
      </c>
    </row>
    <row r="6" spans="1:14" hidden="1" outlineLevel="1">
      <c r="A6" s="66">
        <v>1963</v>
      </c>
      <c r="B6" s="30">
        <v>2065.4</v>
      </c>
      <c r="C6" s="30">
        <v>285.2</v>
      </c>
      <c r="D6" s="30">
        <f t="shared" si="0"/>
        <v>49.4</v>
      </c>
      <c r="E6" s="30">
        <v>3.3</v>
      </c>
      <c r="F6" s="30">
        <v>11.2</v>
      </c>
      <c r="G6" s="30">
        <v>34.9</v>
      </c>
      <c r="I6" s="135">
        <v>2065356</v>
      </c>
      <c r="J6" s="135">
        <v>285193</v>
      </c>
      <c r="K6" s="135">
        <f t="shared" si="1"/>
        <v>49351</v>
      </c>
      <c r="L6" s="135">
        <v>3311</v>
      </c>
      <c r="M6" s="135">
        <v>11177</v>
      </c>
      <c r="N6" s="135">
        <v>34863</v>
      </c>
    </row>
    <row r="7" spans="1:14" hidden="1" outlineLevel="1">
      <c r="A7" s="66">
        <v>1964</v>
      </c>
      <c r="B7" s="30">
        <v>2209.9</v>
      </c>
      <c r="C7" s="30">
        <v>386.5</v>
      </c>
      <c r="D7" s="30">
        <f t="shared" si="0"/>
        <v>79.099999999999994</v>
      </c>
      <c r="E7" s="30">
        <v>4.8</v>
      </c>
      <c r="F7" s="30">
        <v>14.4</v>
      </c>
      <c r="G7" s="30">
        <v>59.9</v>
      </c>
      <c r="I7" s="135">
        <v>2209862</v>
      </c>
      <c r="J7" s="135">
        <v>386538</v>
      </c>
      <c r="K7" s="135">
        <f t="shared" si="1"/>
        <v>79185</v>
      </c>
      <c r="L7" s="135">
        <v>4845</v>
      </c>
      <c r="M7" s="135">
        <v>14410</v>
      </c>
      <c r="N7" s="135">
        <v>59930</v>
      </c>
    </row>
    <row r="8" spans="1:14" hidden="1" outlineLevel="1">
      <c r="A8" s="66">
        <v>1965</v>
      </c>
      <c r="B8" s="30">
        <v>2793.9</v>
      </c>
      <c r="C8" s="30">
        <v>523.79999999999995</v>
      </c>
      <c r="D8" s="30">
        <f t="shared" si="0"/>
        <v>123.4</v>
      </c>
      <c r="E8" s="30">
        <v>6</v>
      </c>
      <c r="F8" s="30">
        <v>20.6</v>
      </c>
      <c r="G8" s="30">
        <v>96.8</v>
      </c>
      <c r="I8" s="135">
        <v>2793931</v>
      </c>
      <c r="J8" s="135">
        <v>523815</v>
      </c>
      <c r="K8" s="135">
        <f t="shared" si="1"/>
        <v>123409</v>
      </c>
      <c r="L8" s="135">
        <v>5989</v>
      </c>
      <c r="M8" s="135">
        <v>20615</v>
      </c>
      <c r="N8" s="135">
        <v>96805</v>
      </c>
    </row>
    <row r="9" spans="1:14" hidden="1" outlineLevel="1">
      <c r="A9" s="66">
        <v>1966</v>
      </c>
      <c r="B9" s="30">
        <v>3436.3</v>
      </c>
      <c r="C9" s="30">
        <v>663</v>
      </c>
      <c r="D9" s="30">
        <f t="shared" si="0"/>
        <v>146.30000000000001</v>
      </c>
      <c r="E9" s="30">
        <v>5.5</v>
      </c>
      <c r="F9" s="30">
        <v>21.4</v>
      </c>
      <c r="G9" s="30">
        <v>119.4</v>
      </c>
      <c r="I9" s="135">
        <v>3436271</v>
      </c>
      <c r="J9" s="135">
        <v>662980</v>
      </c>
      <c r="K9" s="135">
        <f t="shared" si="1"/>
        <v>146339</v>
      </c>
      <c r="L9" s="135">
        <v>5535</v>
      </c>
      <c r="M9" s="135">
        <v>21361</v>
      </c>
      <c r="N9" s="135">
        <v>119443</v>
      </c>
    </row>
    <row r="10" spans="1:14" hidden="1" outlineLevel="1">
      <c r="A10" s="66">
        <v>1967</v>
      </c>
      <c r="B10" s="30">
        <v>3281.7</v>
      </c>
      <c r="C10" s="30">
        <v>526.4</v>
      </c>
      <c r="D10" s="30">
        <f t="shared" si="0"/>
        <v>113.6</v>
      </c>
      <c r="E10" s="30">
        <v>5.9</v>
      </c>
      <c r="F10" s="30">
        <v>14.7</v>
      </c>
      <c r="G10" s="30">
        <v>93</v>
      </c>
      <c r="I10" s="135">
        <v>3281658</v>
      </c>
      <c r="J10" s="135">
        <v>526430</v>
      </c>
      <c r="K10" s="135">
        <f t="shared" si="1"/>
        <v>113665</v>
      </c>
      <c r="L10" s="135">
        <v>5940</v>
      </c>
      <c r="M10" s="135">
        <v>14740</v>
      </c>
      <c r="N10" s="135">
        <v>92985</v>
      </c>
    </row>
    <row r="11" spans="1:14" hidden="1" outlineLevel="1">
      <c r="A11" s="66">
        <v>1968</v>
      </c>
      <c r="B11" s="30">
        <v>3172.1</v>
      </c>
      <c r="C11" s="30">
        <v>432.6</v>
      </c>
      <c r="D11" s="30">
        <f t="shared" si="0"/>
        <v>74.900000000000006</v>
      </c>
      <c r="E11" s="30">
        <v>4</v>
      </c>
      <c r="F11" s="30">
        <v>16</v>
      </c>
      <c r="G11" s="30">
        <v>54.9</v>
      </c>
      <c r="I11" s="135">
        <v>3172119</v>
      </c>
      <c r="J11" s="135">
        <v>432561</v>
      </c>
      <c r="K11" s="135">
        <f t="shared" si="1"/>
        <v>74839</v>
      </c>
      <c r="L11" s="135">
        <v>3970</v>
      </c>
      <c r="M11" s="135">
        <v>15950</v>
      </c>
      <c r="N11" s="135">
        <v>54919</v>
      </c>
    </row>
    <row r="12" spans="1:14" hidden="1" outlineLevel="1">
      <c r="A12" s="66">
        <v>1969</v>
      </c>
      <c r="B12" s="30">
        <v>3286.3</v>
      </c>
      <c r="C12" s="30">
        <v>547.9</v>
      </c>
      <c r="D12" s="30">
        <f t="shared" si="0"/>
        <v>139.69999999999999</v>
      </c>
      <c r="E12" s="30">
        <v>6.1</v>
      </c>
      <c r="F12" s="30">
        <v>44.8</v>
      </c>
      <c r="G12" s="30">
        <v>88.8</v>
      </c>
      <c r="I12" s="135">
        <v>3286316</v>
      </c>
      <c r="J12" s="135">
        <v>547947</v>
      </c>
      <c r="K12" s="135">
        <f t="shared" si="1"/>
        <v>139756</v>
      </c>
      <c r="L12" s="135">
        <v>6136</v>
      </c>
      <c r="M12" s="135">
        <v>44788</v>
      </c>
      <c r="N12" s="135">
        <v>88832</v>
      </c>
    </row>
    <row r="13" spans="1:14" hidden="1" outlineLevel="1">
      <c r="A13" s="66">
        <v>1970</v>
      </c>
      <c r="B13" s="30">
        <v>3534.3</v>
      </c>
      <c r="C13" s="30">
        <v>705.6</v>
      </c>
      <c r="D13" s="30">
        <f t="shared" si="0"/>
        <v>151.6</v>
      </c>
      <c r="E13" s="30">
        <v>4.5</v>
      </c>
      <c r="F13" s="30">
        <v>46.3</v>
      </c>
      <c r="G13" s="30">
        <v>100.8</v>
      </c>
      <c r="I13" s="135">
        <v>3534298</v>
      </c>
      <c r="J13" s="135">
        <v>705630</v>
      </c>
      <c r="K13" s="135">
        <f t="shared" si="1"/>
        <v>151691</v>
      </c>
      <c r="L13" s="135">
        <v>4533</v>
      </c>
      <c r="M13" s="135">
        <v>46321</v>
      </c>
      <c r="N13" s="135">
        <v>100837</v>
      </c>
    </row>
    <row r="14" spans="1:14" hidden="1" outlineLevel="1">
      <c r="A14" s="66">
        <v>1971</v>
      </c>
      <c r="B14" s="30">
        <v>3845</v>
      </c>
      <c r="C14" s="30">
        <v>547.9</v>
      </c>
      <c r="D14" s="30">
        <f t="shared" si="0"/>
        <v>147.9</v>
      </c>
      <c r="E14" s="30">
        <v>2.7</v>
      </c>
      <c r="F14" s="30">
        <v>35.200000000000003</v>
      </c>
      <c r="G14" s="30">
        <v>110</v>
      </c>
      <c r="I14" s="135">
        <v>3845045</v>
      </c>
      <c r="J14" s="135">
        <v>547940</v>
      </c>
      <c r="K14" s="135">
        <f t="shared" si="1"/>
        <v>147954</v>
      </c>
      <c r="L14" s="135">
        <v>2717</v>
      </c>
      <c r="M14" s="135">
        <v>35225</v>
      </c>
      <c r="N14" s="135">
        <v>110012</v>
      </c>
    </row>
    <row r="15" spans="1:14" hidden="1" outlineLevel="1">
      <c r="A15" s="66">
        <v>1972</v>
      </c>
      <c r="B15" s="30">
        <v>3861.1</v>
      </c>
      <c r="C15" s="30">
        <v>512.9</v>
      </c>
      <c r="D15" s="30">
        <f t="shared" si="0"/>
        <v>130</v>
      </c>
      <c r="E15" s="30">
        <v>4.4000000000000004</v>
      </c>
      <c r="F15" s="30">
        <v>39.5</v>
      </c>
      <c r="G15" s="30">
        <v>86.1</v>
      </c>
      <c r="I15" s="135">
        <v>3861123</v>
      </c>
      <c r="J15" s="135">
        <v>512899</v>
      </c>
      <c r="K15" s="135">
        <f t="shared" si="1"/>
        <v>129996</v>
      </c>
      <c r="L15" s="135">
        <v>4398</v>
      </c>
      <c r="M15" s="135">
        <v>39485</v>
      </c>
      <c r="N15" s="135">
        <v>86113</v>
      </c>
    </row>
    <row r="16" spans="1:14" collapsed="1">
      <c r="A16" s="66">
        <v>1973</v>
      </c>
      <c r="B16" s="30">
        <v>4598.2</v>
      </c>
      <c r="C16" s="30">
        <v>656.5</v>
      </c>
      <c r="D16" s="30">
        <f t="shared" si="0"/>
        <v>138.30000000000001</v>
      </c>
      <c r="E16" s="30">
        <v>10.199999999999999</v>
      </c>
      <c r="F16" s="30">
        <v>69</v>
      </c>
      <c r="G16" s="30">
        <v>59.1</v>
      </c>
      <c r="I16" s="135">
        <v>4598170</v>
      </c>
      <c r="J16" s="135">
        <v>656514</v>
      </c>
      <c r="K16" s="135">
        <f t="shared" si="1"/>
        <v>138305</v>
      </c>
      <c r="L16" s="135">
        <v>10187</v>
      </c>
      <c r="M16" s="135">
        <v>68973</v>
      </c>
      <c r="N16" s="135">
        <v>59145</v>
      </c>
    </row>
    <row r="17" spans="1:14" hidden="1" outlineLevel="1">
      <c r="A17" s="66">
        <v>1974</v>
      </c>
      <c r="B17" s="30">
        <v>5964.7</v>
      </c>
      <c r="C17" s="30">
        <v>943.5</v>
      </c>
      <c r="D17" s="30">
        <f t="shared" si="0"/>
        <v>190.9</v>
      </c>
      <c r="E17" s="30">
        <v>17.5</v>
      </c>
      <c r="F17" s="30">
        <v>77.900000000000006</v>
      </c>
      <c r="G17" s="30">
        <v>95.5</v>
      </c>
      <c r="I17" s="135">
        <v>5964736</v>
      </c>
      <c r="J17" s="135">
        <v>943517</v>
      </c>
      <c r="K17" s="135">
        <f t="shared" si="1"/>
        <v>190836</v>
      </c>
      <c r="L17" s="135">
        <v>17515</v>
      </c>
      <c r="M17" s="135">
        <v>77859</v>
      </c>
      <c r="N17" s="135">
        <v>95462</v>
      </c>
    </row>
    <row r="18" spans="1:14" hidden="1" outlineLevel="1">
      <c r="A18" s="66">
        <v>1975</v>
      </c>
      <c r="B18" s="30">
        <v>7124.8</v>
      </c>
      <c r="C18" s="30">
        <v>904.2</v>
      </c>
      <c r="D18" s="30">
        <f t="shared" si="0"/>
        <v>169.3</v>
      </c>
      <c r="E18" s="30">
        <v>14.2</v>
      </c>
      <c r="F18" s="30">
        <v>68.400000000000006</v>
      </c>
      <c r="G18" s="30">
        <v>86.7</v>
      </c>
      <c r="I18" s="135">
        <v>7124783</v>
      </c>
      <c r="J18" s="135">
        <v>904180</v>
      </c>
      <c r="K18" s="135">
        <f t="shared" si="1"/>
        <v>169255</v>
      </c>
      <c r="L18" s="135">
        <v>14184</v>
      </c>
      <c r="M18" s="135">
        <v>68410</v>
      </c>
      <c r="N18" s="135">
        <v>86661</v>
      </c>
    </row>
    <row r="19" spans="1:14" hidden="1" outlineLevel="1">
      <c r="A19" s="66">
        <v>1976</v>
      </c>
      <c r="B19" s="30">
        <v>6951.1</v>
      </c>
      <c r="C19" s="30">
        <v>802.3</v>
      </c>
      <c r="D19" s="30">
        <f t="shared" si="0"/>
        <v>166.9</v>
      </c>
      <c r="E19" s="30">
        <v>11.5</v>
      </c>
      <c r="F19" s="30">
        <v>48.7</v>
      </c>
      <c r="G19" s="30">
        <v>106.7</v>
      </c>
      <c r="I19" s="135">
        <v>6951136</v>
      </c>
      <c r="J19" s="135">
        <v>802265</v>
      </c>
      <c r="K19" s="135">
        <f t="shared" si="1"/>
        <v>166830</v>
      </c>
      <c r="L19" s="135">
        <v>11460</v>
      </c>
      <c r="M19" s="135">
        <v>48700</v>
      </c>
      <c r="N19" s="135">
        <v>106670</v>
      </c>
    </row>
    <row r="20" spans="1:14" hidden="1" outlineLevel="1">
      <c r="A20" s="66">
        <v>1977</v>
      </c>
      <c r="B20" s="30">
        <v>7299.2</v>
      </c>
      <c r="C20" s="30">
        <v>1034.7</v>
      </c>
      <c r="D20" s="30">
        <f t="shared" si="0"/>
        <v>225.5</v>
      </c>
      <c r="E20" s="30">
        <v>13</v>
      </c>
      <c r="F20" s="30">
        <v>57.2</v>
      </c>
      <c r="G20" s="30">
        <v>155.30000000000001</v>
      </c>
      <c r="I20" s="135">
        <v>7299238</v>
      </c>
      <c r="J20" s="135">
        <v>1034665</v>
      </c>
      <c r="K20" s="135">
        <f t="shared" si="1"/>
        <v>225538</v>
      </c>
      <c r="L20" s="135">
        <v>13023</v>
      </c>
      <c r="M20" s="135">
        <v>57207</v>
      </c>
      <c r="N20" s="135">
        <v>155308</v>
      </c>
    </row>
    <row r="21" spans="1:14" hidden="1" outlineLevel="1">
      <c r="A21" s="66">
        <v>1978</v>
      </c>
      <c r="B21" s="30">
        <v>7590.6</v>
      </c>
      <c r="C21" s="30">
        <v>913.8</v>
      </c>
      <c r="D21" s="30">
        <f t="shared" si="0"/>
        <v>152.30000000000001</v>
      </c>
      <c r="E21" s="30">
        <v>8.5</v>
      </c>
      <c r="F21" s="30">
        <v>65.3</v>
      </c>
      <c r="G21" s="30">
        <v>78.5</v>
      </c>
      <c r="I21" s="135">
        <v>7590584</v>
      </c>
      <c r="J21" s="135">
        <v>913763</v>
      </c>
      <c r="K21" s="135">
        <f t="shared" si="1"/>
        <v>152360</v>
      </c>
      <c r="L21" s="135">
        <v>8518</v>
      </c>
      <c r="M21" s="135">
        <v>65305</v>
      </c>
      <c r="N21" s="135">
        <v>78537</v>
      </c>
    </row>
    <row r="22" spans="1:14" hidden="1" outlineLevel="1">
      <c r="A22" s="66">
        <v>1979</v>
      </c>
      <c r="B22" s="30">
        <v>9382.6</v>
      </c>
      <c r="C22" s="30">
        <v>1225.5</v>
      </c>
      <c r="D22" s="30">
        <f t="shared" si="0"/>
        <v>167.8</v>
      </c>
      <c r="E22" s="30">
        <v>12.5</v>
      </c>
      <c r="F22" s="30">
        <v>87.6</v>
      </c>
      <c r="G22" s="30">
        <v>67.7</v>
      </c>
      <c r="I22" s="135">
        <v>9382578</v>
      </c>
      <c r="J22" s="135">
        <v>1225525</v>
      </c>
      <c r="K22" s="135">
        <f t="shared" si="1"/>
        <v>167855</v>
      </c>
      <c r="L22" s="135">
        <v>12544</v>
      </c>
      <c r="M22" s="135">
        <v>87613</v>
      </c>
      <c r="N22" s="135">
        <v>67698</v>
      </c>
    </row>
    <row r="23" spans="1:14" hidden="1" outlineLevel="1">
      <c r="A23" s="66">
        <v>1980</v>
      </c>
      <c r="B23" s="30">
        <v>11392.7</v>
      </c>
      <c r="C23" s="30">
        <v>1853.2</v>
      </c>
      <c r="D23" s="30">
        <f t="shared" si="0"/>
        <v>306.7</v>
      </c>
      <c r="E23" s="30">
        <v>20.399999999999999</v>
      </c>
      <c r="F23" s="30">
        <v>100.2</v>
      </c>
      <c r="G23" s="30">
        <v>186.1</v>
      </c>
      <c r="I23" s="135">
        <v>11392733</v>
      </c>
      <c r="J23" s="135">
        <v>1853170</v>
      </c>
      <c r="K23" s="135">
        <f t="shared" si="1"/>
        <v>306770</v>
      </c>
      <c r="L23" s="135">
        <v>20414</v>
      </c>
      <c r="M23" s="135">
        <v>100233</v>
      </c>
      <c r="N23" s="135">
        <v>186123</v>
      </c>
    </row>
    <row r="24" spans="1:14" collapsed="1">
      <c r="A24" s="66">
        <v>1981</v>
      </c>
      <c r="B24" s="30">
        <v>13299.2</v>
      </c>
      <c r="C24" s="30">
        <v>2172.1</v>
      </c>
      <c r="D24" s="30">
        <f t="shared" si="0"/>
        <v>448.59999999999997</v>
      </c>
      <c r="E24" s="30">
        <v>19.600000000000001</v>
      </c>
      <c r="F24" s="30">
        <v>94.6</v>
      </c>
      <c r="G24" s="30">
        <v>334.4</v>
      </c>
      <c r="I24" s="135">
        <v>13306592</v>
      </c>
      <c r="J24" s="135">
        <v>2173295</v>
      </c>
      <c r="K24" s="135">
        <f t="shared" si="1"/>
        <v>448908</v>
      </c>
      <c r="L24" s="135">
        <v>19653</v>
      </c>
      <c r="M24" s="135">
        <v>94638</v>
      </c>
      <c r="N24" s="135">
        <v>334617</v>
      </c>
    </row>
    <row r="25" spans="1:14">
      <c r="A25" s="66">
        <v>1982</v>
      </c>
      <c r="B25" s="30">
        <v>12074.7</v>
      </c>
      <c r="C25" s="30">
        <v>1808.5</v>
      </c>
      <c r="D25" s="30">
        <f t="shared" si="0"/>
        <v>386.7</v>
      </c>
      <c r="E25" s="30">
        <v>7.6</v>
      </c>
      <c r="F25" s="30">
        <v>83.8</v>
      </c>
      <c r="G25" s="30">
        <v>295.3</v>
      </c>
      <c r="I25" s="135">
        <v>12085840</v>
      </c>
      <c r="J25" s="135">
        <v>1810133</v>
      </c>
      <c r="K25" s="135">
        <f t="shared" si="1"/>
        <v>387062</v>
      </c>
      <c r="L25" s="135">
        <v>7622</v>
      </c>
      <c r="M25" s="135">
        <v>83832</v>
      </c>
      <c r="N25" s="135">
        <v>295608</v>
      </c>
    </row>
    <row r="26" spans="1:14">
      <c r="A26" s="66">
        <v>1983</v>
      </c>
      <c r="B26" s="30">
        <v>11517.8</v>
      </c>
      <c r="C26" s="30">
        <v>1095</v>
      </c>
      <c r="D26" s="30">
        <f t="shared" si="0"/>
        <v>174.5</v>
      </c>
      <c r="E26" s="30">
        <v>4.5999999999999996</v>
      </c>
      <c r="F26" s="30">
        <v>49.9</v>
      </c>
      <c r="G26" s="30">
        <v>120</v>
      </c>
      <c r="I26" s="135">
        <v>11545231</v>
      </c>
      <c r="J26" s="135">
        <v>1097569</v>
      </c>
      <c r="K26" s="135">
        <f t="shared" si="1"/>
        <v>174872</v>
      </c>
      <c r="L26" s="135">
        <v>4611</v>
      </c>
      <c r="M26" s="135">
        <v>49984</v>
      </c>
      <c r="N26" s="135">
        <v>120277</v>
      </c>
    </row>
    <row r="27" spans="1:14">
      <c r="A27" s="66">
        <v>1984</v>
      </c>
      <c r="B27" s="30">
        <v>12293.1</v>
      </c>
      <c r="C27" s="30">
        <v>1428.5</v>
      </c>
      <c r="D27" s="30">
        <f t="shared" si="0"/>
        <v>205.79999999999998</v>
      </c>
      <c r="E27" s="30">
        <v>5.5</v>
      </c>
      <c r="F27" s="30">
        <v>52.6</v>
      </c>
      <c r="G27" s="30">
        <v>147.69999999999999</v>
      </c>
      <c r="I27" s="135">
        <v>12301496</v>
      </c>
      <c r="J27" s="135">
        <v>1429532</v>
      </c>
      <c r="K27" s="135">
        <f t="shared" si="1"/>
        <v>205970</v>
      </c>
      <c r="L27" s="135">
        <v>5530</v>
      </c>
      <c r="M27" s="135">
        <v>52681</v>
      </c>
      <c r="N27" s="135">
        <v>147759</v>
      </c>
    </row>
    <row r="28" spans="1:14">
      <c r="A28" s="66">
        <v>1985</v>
      </c>
      <c r="B28" s="30">
        <v>14470.3</v>
      </c>
      <c r="C28" s="30">
        <v>2216</v>
      </c>
      <c r="D28" s="30">
        <f t="shared" si="0"/>
        <v>276.89999999999998</v>
      </c>
      <c r="E28" s="30">
        <v>6.2</v>
      </c>
      <c r="F28" s="30">
        <v>54.1</v>
      </c>
      <c r="G28" s="30">
        <v>216.6</v>
      </c>
      <c r="I28" s="135">
        <v>14484316</v>
      </c>
      <c r="J28" s="135">
        <v>2218137</v>
      </c>
      <c r="K28" s="135">
        <f t="shared" si="1"/>
        <v>277087</v>
      </c>
      <c r="L28" s="135">
        <v>6196</v>
      </c>
      <c r="M28" s="135">
        <v>54103</v>
      </c>
      <c r="N28" s="135">
        <v>216788</v>
      </c>
    </row>
    <row r="29" spans="1:14">
      <c r="A29" s="66">
        <v>1986</v>
      </c>
      <c r="B29" s="30">
        <v>15824.5</v>
      </c>
      <c r="C29" s="30">
        <v>2143.8000000000002</v>
      </c>
      <c r="D29" s="30">
        <f t="shared" si="0"/>
        <v>304.20000000000005</v>
      </c>
      <c r="E29" s="30">
        <v>2.4</v>
      </c>
      <c r="F29" s="30">
        <v>84.5</v>
      </c>
      <c r="G29" s="30">
        <v>217.3</v>
      </c>
      <c r="I29" s="135">
        <v>15832456</v>
      </c>
      <c r="J29" s="135">
        <v>2144891</v>
      </c>
      <c r="K29" s="135">
        <f t="shared" si="1"/>
        <v>304458</v>
      </c>
      <c r="L29" s="135">
        <v>2440</v>
      </c>
      <c r="M29" s="135">
        <v>84575</v>
      </c>
      <c r="N29" s="135">
        <v>217443</v>
      </c>
    </row>
    <row r="30" spans="1:14">
      <c r="A30" s="66">
        <v>1987</v>
      </c>
      <c r="B30" s="30">
        <v>18437</v>
      </c>
      <c r="C30" s="30">
        <v>2239.1</v>
      </c>
      <c r="D30" s="30">
        <f t="shared" si="0"/>
        <v>339.1</v>
      </c>
      <c r="E30" s="30">
        <v>4.9000000000000004</v>
      </c>
      <c r="F30" s="30">
        <v>135.69999999999999</v>
      </c>
      <c r="G30" s="30">
        <v>198.5</v>
      </c>
      <c r="I30" s="135">
        <v>18428552</v>
      </c>
      <c r="J30" s="135">
        <v>2238091</v>
      </c>
      <c r="K30" s="135">
        <f t="shared" si="1"/>
        <v>338926</v>
      </c>
      <c r="L30" s="135">
        <v>4884</v>
      </c>
      <c r="M30" s="135">
        <v>135603</v>
      </c>
      <c r="N30" s="135">
        <v>198439</v>
      </c>
    </row>
    <row r="31" spans="1:14">
      <c r="A31" s="66">
        <v>1988</v>
      </c>
      <c r="B31" s="30">
        <v>20787.099999999999</v>
      </c>
      <c r="C31" s="30">
        <v>2603.5</v>
      </c>
      <c r="D31" s="30">
        <f t="shared" si="0"/>
        <v>698.09999999999991</v>
      </c>
      <c r="E31" s="30">
        <v>7.7</v>
      </c>
      <c r="F31" s="30">
        <v>180.7</v>
      </c>
      <c r="G31" s="30">
        <v>509.7</v>
      </c>
      <c r="I31" s="135">
        <v>20784408</v>
      </c>
      <c r="J31" s="135">
        <v>2603139</v>
      </c>
      <c r="K31" s="135">
        <f t="shared" si="1"/>
        <v>698067</v>
      </c>
      <c r="L31" s="135">
        <v>7692</v>
      </c>
      <c r="M31" s="135">
        <v>180698</v>
      </c>
      <c r="N31" s="135">
        <v>509677</v>
      </c>
    </row>
    <row r="32" spans="1:14">
      <c r="A32" s="66">
        <v>1989</v>
      </c>
      <c r="B32" s="30">
        <v>23480.2</v>
      </c>
      <c r="C32" s="30">
        <v>3328.9</v>
      </c>
      <c r="D32" s="30">
        <f t="shared" si="0"/>
        <v>1073</v>
      </c>
      <c r="E32" s="30">
        <v>4.3</v>
      </c>
      <c r="F32" s="30">
        <v>225.7</v>
      </c>
      <c r="G32" s="30">
        <v>843</v>
      </c>
      <c r="I32" s="135">
        <v>23476780</v>
      </c>
      <c r="J32" s="135">
        <v>3328432</v>
      </c>
      <c r="K32" s="135">
        <f t="shared" si="1"/>
        <v>1072793</v>
      </c>
      <c r="L32" s="135">
        <v>4254</v>
      </c>
      <c r="M32" s="135">
        <v>225700</v>
      </c>
      <c r="N32" s="135">
        <v>842839</v>
      </c>
    </row>
    <row r="33" spans="1:14">
      <c r="A33" s="66">
        <v>1990</v>
      </c>
      <c r="B33" s="30">
        <v>23765.9</v>
      </c>
      <c r="C33" s="30">
        <v>3205.8</v>
      </c>
      <c r="D33" s="30">
        <f t="shared" si="0"/>
        <v>604.29999999999995</v>
      </c>
      <c r="E33" s="30">
        <v>7.4</v>
      </c>
      <c r="F33" s="30">
        <v>139.5</v>
      </c>
      <c r="G33" s="30">
        <v>457.4</v>
      </c>
      <c r="I33" s="135">
        <v>23766872</v>
      </c>
      <c r="J33" s="135">
        <v>3205967</v>
      </c>
      <c r="K33" s="135">
        <f t="shared" si="1"/>
        <v>604367</v>
      </c>
      <c r="L33" s="135">
        <v>7399</v>
      </c>
      <c r="M33" s="135">
        <v>139549</v>
      </c>
      <c r="N33" s="135">
        <v>457419</v>
      </c>
    </row>
    <row r="34" spans="1:14">
      <c r="A34" s="66">
        <v>1991</v>
      </c>
      <c r="B34" s="30">
        <v>20264.900000000001</v>
      </c>
      <c r="C34" s="30">
        <v>2435.4</v>
      </c>
      <c r="D34" s="30">
        <f t="shared" si="0"/>
        <v>675.2</v>
      </c>
      <c r="E34" s="30">
        <v>4.4000000000000004</v>
      </c>
      <c r="F34" s="30">
        <v>118.7</v>
      </c>
      <c r="G34" s="30">
        <v>552.1</v>
      </c>
      <c r="I34" s="135">
        <v>20265810</v>
      </c>
      <c r="J34" s="135">
        <v>2435489</v>
      </c>
      <c r="K34" s="135">
        <f t="shared" si="1"/>
        <v>675220</v>
      </c>
      <c r="L34" s="135">
        <v>4370</v>
      </c>
      <c r="M34" s="135">
        <v>118687</v>
      </c>
      <c r="N34" s="135">
        <v>552163</v>
      </c>
    </row>
    <row r="35" spans="1:14">
      <c r="A35" s="66">
        <v>1992</v>
      </c>
      <c r="B35" s="30">
        <v>17530.7</v>
      </c>
      <c r="C35" s="30">
        <v>1791.5</v>
      </c>
      <c r="D35" s="30">
        <f t="shared" si="0"/>
        <v>692.7</v>
      </c>
      <c r="E35" s="30">
        <v>4.4000000000000004</v>
      </c>
      <c r="F35" s="30">
        <v>137.69999999999999</v>
      </c>
      <c r="G35" s="30">
        <v>550.6</v>
      </c>
      <c r="I35" s="135">
        <v>17523737</v>
      </c>
      <c r="J35" s="135">
        <v>1790841</v>
      </c>
      <c r="K35" s="135">
        <f t="shared" si="1"/>
        <v>692440</v>
      </c>
      <c r="L35" s="135">
        <v>4366</v>
      </c>
      <c r="M35" s="135">
        <v>137672</v>
      </c>
      <c r="N35" s="135">
        <v>550402</v>
      </c>
    </row>
    <row r="36" spans="1:14">
      <c r="A36" s="66">
        <v>1993</v>
      </c>
      <c r="B36" s="30">
        <v>17057.400000000001</v>
      </c>
      <c r="C36" s="30">
        <v>1534.8</v>
      </c>
      <c r="D36" s="30">
        <f t="shared" si="0"/>
        <v>457.59999999999997</v>
      </c>
      <c r="E36" s="30">
        <v>2.2000000000000002</v>
      </c>
      <c r="F36" s="30">
        <v>133.19999999999999</v>
      </c>
      <c r="G36" s="30">
        <v>322.2</v>
      </c>
      <c r="I36" s="135">
        <v>17053441</v>
      </c>
      <c r="J36" s="135">
        <v>1534460</v>
      </c>
      <c r="K36" s="135">
        <f t="shared" si="1"/>
        <v>457470</v>
      </c>
      <c r="L36" s="135">
        <v>2162</v>
      </c>
      <c r="M36" s="135">
        <v>133175</v>
      </c>
      <c r="N36" s="135">
        <v>322133</v>
      </c>
    </row>
    <row r="37" spans="1:14">
      <c r="A37" s="66">
        <v>1994</v>
      </c>
      <c r="B37" s="30">
        <v>18059.7</v>
      </c>
      <c r="C37" s="30">
        <v>2153.9</v>
      </c>
      <c r="D37" s="30">
        <f t="shared" si="0"/>
        <v>445.8</v>
      </c>
      <c r="E37" s="30">
        <v>5.3</v>
      </c>
      <c r="F37" s="30">
        <v>203.3</v>
      </c>
      <c r="G37" s="30">
        <v>237.2</v>
      </c>
      <c r="I37" s="135">
        <v>18054030</v>
      </c>
      <c r="J37" s="135">
        <v>2153196</v>
      </c>
      <c r="K37" s="135">
        <f t="shared" si="1"/>
        <v>445786</v>
      </c>
      <c r="L37" s="135">
        <v>5348</v>
      </c>
      <c r="M37" s="135">
        <v>203273</v>
      </c>
      <c r="N37" s="135">
        <v>237165</v>
      </c>
    </row>
    <row r="38" spans="1:14">
      <c r="A38" s="66">
        <v>1995</v>
      </c>
      <c r="B38" s="30">
        <v>18062.7</v>
      </c>
      <c r="C38" s="30">
        <v>2495.5</v>
      </c>
      <c r="D38" s="30">
        <f t="shared" si="0"/>
        <v>978.2</v>
      </c>
      <c r="E38" s="30">
        <v>3</v>
      </c>
      <c r="F38" s="30">
        <v>246.2</v>
      </c>
      <c r="G38" s="30">
        <v>729</v>
      </c>
      <c r="I38" s="135">
        <v>18056519</v>
      </c>
      <c r="J38" s="135">
        <v>2494623</v>
      </c>
      <c r="K38" s="135">
        <f t="shared" si="1"/>
        <v>977937</v>
      </c>
      <c r="L38" s="135">
        <v>3011</v>
      </c>
      <c r="M38" s="135">
        <v>246162</v>
      </c>
      <c r="N38" s="135">
        <v>728764</v>
      </c>
    </row>
    <row r="39" spans="1:14">
      <c r="A39" s="66">
        <v>1996</v>
      </c>
      <c r="B39" s="30">
        <v>19567.8</v>
      </c>
      <c r="C39" s="30">
        <v>3243.3</v>
      </c>
      <c r="D39" s="30">
        <f t="shared" si="0"/>
        <v>724.80000000000007</v>
      </c>
      <c r="E39" s="30">
        <v>1.3</v>
      </c>
      <c r="F39" s="30">
        <v>209.8</v>
      </c>
      <c r="G39" s="30">
        <v>513.70000000000005</v>
      </c>
      <c r="I39" s="135">
        <v>19557304</v>
      </c>
      <c r="J39" s="135">
        <v>3241551</v>
      </c>
      <c r="K39" s="135">
        <f t="shared" si="1"/>
        <v>724508</v>
      </c>
      <c r="L39" s="135">
        <v>1328</v>
      </c>
      <c r="M39" s="135">
        <v>209722</v>
      </c>
      <c r="N39" s="135">
        <v>513458</v>
      </c>
    </row>
    <row r="40" spans="1:14">
      <c r="A40" s="66">
        <v>1997</v>
      </c>
      <c r="B40" s="30">
        <v>22850.799999999999</v>
      </c>
      <c r="C40" s="30">
        <v>3402.8</v>
      </c>
      <c r="D40" s="30">
        <f t="shared" si="0"/>
        <v>593.90000000000009</v>
      </c>
      <c r="E40" s="30">
        <v>1.6</v>
      </c>
      <c r="F40" s="30">
        <v>275.8</v>
      </c>
      <c r="G40" s="30">
        <v>316.5</v>
      </c>
      <c r="I40" s="135">
        <v>22850833</v>
      </c>
      <c r="J40" s="135">
        <v>3402782</v>
      </c>
      <c r="K40" s="135">
        <f t="shared" si="1"/>
        <v>593943</v>
      </c>
      <c r="L40" s="135">
        <v>1583</v>
      </c>
      <c r="M40" s="135">
        <v>275829</v>
      </c>
      <c r="N40" s="135">
        <v>316531</v>
      </c>
    </row>
    <row r="41" spans="1:14">
      <c r="A41" s="66">
        <v>1998</v>
      </c>
      <c r="B41" s="30">
        <v>22645.7</v>
      </c>
      <c r="C41" s="30">
        <v>2907.2</v>
      </c>
      <c r="D41" s="30">
        <f t="shared" si="0"/>
        <v>372.7</v>
      </c>
      <c r="E41" s="30">
        <v>4.2</v>
      </c>
      <c r="F41" s="30">
        <v>205.1</v>
      </c>
      <c r="G41" s="30">
        <v>163.4</v>
      </c>
      <c r="I41" s="135">
        <v>22645701</v>
      </c>
      <c r="J41" s="135">
        <v>2907219</v>
      </c>
      <c r="K41" s="135">
        <f t="shared" si="1"/>
        <v>372666</v>
      </c>
      <c r="L41" s="135">
        <v>4160</v>
      </c>
      <c r="M41" s="135">
        <v>205119</v>
      </c>
      <c r="N41" s="135">
        <v>163387</v>
      </c>
    </row>
    <row r="42" spans="1:14">
      <c r="A42" s="66">
        <v>1999</v>
      </c>
      <c r="B42" s="30">
        <v>25283.599999999999</v>
      </c>
      <c r="C42" s="30">
        <v>3203.1</v>
      </c>
      <c r="D42" s="30">
        <f t="shared" si="0"/>
        <v>444.5</v>
      </c>
      <c r="E42" s="30">
        <v>5.9</v>
      </c>
      <c r="F42" s="30">
        <v>246.4</v>
      </c>
      <c r="G42" s="30">
        <v>192.2</v>
      </c>
      <c r="I42" s="135">
        <v>25283552</v>
      </c>
      <c r="J42" s="135">
        <v>3203141</v>
      </c>
      <c r="K42" s="135">
        <f t="shared" si="1"/>
        <v>444558</v>
      </c>
      <c r="L42" s="135">
        <v>5870</v>
      </c>
      <c r="M42" s="135">
        <v>246440</v>
      </c>
      <c r="N42" s="135">
        <v>192248</v>
      </c>
    </row>
    <row r="43" spans="1:14">
      <c r="A43" s="66">
        <v>2000</v>
      </c>
      <c r="B43" s="30">
        <v>23917.200000000001</v>
      </c>
      <c r="C43" s="30">
        <v>3554.2</v>
      </c>
      <c r="D43" s="30">
        <f t="shared" si="0"/>
        <v>663.9</v>
      </c>
      <c r="E43" s="30">
        <v>5.7</v>
      </c>
      <c r="F43" s="30">
        <v>280.7</v>
      </c>
      <c r="G43" s="30">
        <v>377.5</v>
      </c>
      <c r="I43" s="135">
        <v>23917169</v>
      </c>
      <c r="J43" s="135">
        <v>3554217</v>
      </c>
      <c r="K43" s="135">
        <f t="shared" si="1"/>
        <v>663841</v>
      </c>
      <c r="L43" s="135">
        <v>5689</v>
      </c>
      <c r="M43" s="135">
        <v>280656</v>
      </c>
      <c r="N43" s="135">
        <v>377496</v>
      </c>
    </row>
    <row r="44" spans="1:14">
      <c r="A44" s="66">
        <v>2001</v>
      </c>
      <c r="B44" s="30">
        <v>26294.799999999999</v>
      </c>
      <c r="C44" s="30">
        <v>2860.3</v>
      </c>
      <c r="D44" s="30">
        <f t="shared" si="0"/>
        <v>287.89999999999998</v>
      </c>
      <c r="E44" s="30">
        <v>3.3</v>
      </c>
      <c r="F44" s="30">
        <v>115.1</v>
      </c>
      <c r="G44" s="30">
        <v>169.5</v>
      </c>
      <c r="I44" s="135">
        <v>26294840</v>
      </c>
      <c r="J44" s="135">
        <v>2860348</v>
      </c>
      <c r="K44" s="135">
        <f t="shared" si="1"/>
        <v>287862</v>
      </c>
      <c r="L44" s="135">
        <v>3283</v>
      </c>
      <c r="M44" s="135">
        <v>115120</v>
      </c>
      <c r="N44" s="135">
        <v>169459</v>
      </c>
    </row>
    <row r="45" spans="1:14">
      <c r="A45" s="66">
        <v>2002</v>
      </c>
      <c r="B45" s="30">
        <v>27101.599999999999</v>
      </c>
      <c r="C45" s="30">
        <v>2412.4</v>
      </c>
      <c r="D45" s="30">
        <f t="shared" si="0"/>
        <v>219.89999999999998</v>
      </c>
      <c r="E45" s="30">
        <v>18.600000000000001</v>
      </c>
      <c r="F45" s="30">
        <v>91.6</v>
      </c>
      <c r="G45" s="30">
        <v>109.7</v>
      </c>
      <c r="I45" s="135">
        <v>27101623</v>
      </c>
      <c r="J45" s="135">
        <v>2412405</v>
      </c>
      <c r="K45" s="135">
        <f t="shared" si="1"/>
        <v>219846</v>
      </c>
      <c r="L45" s="135">
        <v>18597</v>
      </c>
      <c r="M45" s="135">
        <v>91555</v>
      </c>
      <c r="N45" s="135">
        <v>109694</v>
      </c>
    </row>
    <row r="46" spans="1:14">
      <c r="A46" s="66">
        <v>2003</v>
      </c>
      <c r="B46" s="30">
        <v>27091.9</v>
      </c>
      <c r="C46" s="30">
        <v>2292</v>
      </c>
      <c r="D46" s="30">
        <f t="shared" si="0"/>
        <v>256.5</v>
      </c>
      <c r="E46" s="30">
        <v>8.6</v>
      </c>
      <c r="F46" s="30">
        <v>126.3</v>
      </c>
      <c r="G46" s="30">
        <v>121.6</v>
      </c>
      <c r="I46" s="135">
        <v>27016454</v>
      </c>
      <c r="J46" s="135">
        <v>2291998</v>
      </c>
      <c r="K46" s="135">
        <f t="shared" si="1"/>
        <v>256537</v>
      </c>
      <c r="L46" s="135">
        <v>8621</v>
      </c>
      <c r="M46" s="135">
        <v>126334</v>
      </c>
      <c r="N46" s="135">
        <v>121582</v>
      </c>
    </row>
    <row r="47" spans="1:14">
      <c r="A47" s="66">
        <v>2004</v>
      </c>
      <c r="B47" s="30">
        <v>30096.7</v>
      </c>
      <c r="C47" s="30">
        <v>2125.8000000000002</v>
      </c>
      <c r="D47" s="30">
        <f t="shared" si="0"/>
        <v>412.3</v>
      </c>
      <c r="E47" s="30">
        <v>29.3</v>
      </c>
      <c r="F47" s="30">
        <v>178.4</v>
      </c>
      <c r="G47" s="30">
        <v>204.6</v>
      </c>
      <c r="I47" s="135">
        <v>29873939</v>
      </c>
      <c r="J47" s="135">
        <v>2125802</v>
      </c>
      <c r="K47" s="135">
        <f t="shared" si="1"/>
        <v>412265</v>
      </c>
      <c r="L47" s="135">
        <v>29269</v>
      </c>
      <c r="M47" s="135">
        <v>178405</v>
      </c>
      <c r="N47" s="135">
        <v>204591</v>
      </c>
    </row>
    <row r="48" spans="1:14">
      <c r="A48" s="66">
        <v>2005</v>
      </c>
      <c r="B48" s="30">
        <v>31211.7</v>
      </c>
      <c r="C48" s="30">
        <v>1846.9</v>
      </c>
      <c r="D48" s="30">
        <f t="shared" si="0"/>
        <v>314</v>
      </c>
      <c r="E48" s="30">
        <v>13.8</v>
      </c>
      <c r="F48" s="30">
        <v>241.6</v>
      </c>
      <c r="G48" s="30">
        <v>58.6</v>
      </c>
      <c r="I48" s="135">
        <v>31265204</v>
      </c>
      <c r="J48" s="135">
        <v>1846902</v>
      </c>
      <c r="K48" s="135">
        <f t="shared" si="1"/>
        <v>314000</v>
      </c>
      <c r="L48" s="135">
        <v>13805</v>
      </c>
      <c r="M48" s="135">
        <v>241589</v>
      </c>
      <c r="N48" s="135">
        <v>58606</v>
      </c>
    </row>
    <row r="49" spans="1:14">
      <c r="A49" s="66">
        <v>2006</v>
      </c>
      <c r="B49" s="30">
        <v>37204.699999999997</v>
      </c>
      <c r="C49" s="30">
        <v>2239.5</v>
      </c>
      <c r="D49" s="30">
        <f t="shared" si="0"/>
        <v>225.8</v>
      </c>
      <c r="E49" s="30">
        <v>9.6</v>
      </c>
      <c r="F49" s="30">
        <v>176.4</v>
      </c>
      <c r="G49" s="30">
        <v>39.799999999999997</v>
      </c>
      <c r="I49" s="135">
        <v>34757569</v>
      </c>
      <c r="J49" s="135">
        <v>1928465</v>
      </c>
      <c r="K49" s="135">
        <f t="shared" si="1"/>
        <v>221746</v>
      </c>
      <c r="L49" s="135">
        <v>13583</v>
      </c>
      <c r="M49" s="135">
        <v>171599</v>
      </c>
      <c r="N49" s="135">
        <v>36564</v>
      </c>
    </row>
    <row r="50" spans="1:14">
      <c r="A50" s="66">
        <v>2007</v>
      </c>
      <c r="B50" s="30">
        <v>38685.199999999997</v>
      </c>
      <c r="C50" s="30">
        <v>2716.5</v>
      </c>
      <c r="D50" s="30">
        <f t="shared" si="0"/>
        <v>198.4</v>
      </c>
      <c r="E50" s="30">
        <v>5.0999999999999996</v>
      </c>
      <c r="F50" s="30">
        <v>131.30000000000001</v>
      </c>
      <c r="G50" s="30">
        <v>62</v>
      </c>
      <c r="I50" s="135">
        <v>39856402</v>
      </c>
      <c r="J50" s="135">
        <v>2019552</v>
      </c>
      <c r="K50" s="135">
        <f t="shared" si="1"/>
        <v>192961</v>
      </c>
      <c r="L50" s="135">
        <v>15498</v>
      </c>
      <c r="M50" s="135">
        <v>142375</v>
      </c>
      <c r="N50" s="135">
        <v>35088</v>
      </c>
    </row>
    <row r="51" spans="1:14">
      <c r="A51" s="66">
        <v>2008</v>
      </c>
      <c r="B51" s="30">
        <v>44064.9</v>
      </c>
      <c r="C51" s="30">
        <v>2320.8000000000002</v>
      </c>
      <c r="D51" s="30">
        <f>SUM(E51:G51)</f>
        <v>191.2</v>
      </c>
      <c r="E51" s="30">
        <v>2.5</v>
      </c>
      <c r="F51" s="30">
        <v>107.9</v>
      </c>
      <c r="G51" s="30">
        <v>80.8</v>
      </c>
    </row>
    <row r="52" spans="1:14">
      <c r="A52" s="66">
        <v>2009</v>
      </c>
      <c r="B52" s="30">
        <v>43125.2</v>
      </c>
      <c r="C52" s="30">
        <v>1570.5</v>
      </c>
      <c r="D52" s="30">
        <f t="shared" si="0"/>
        <v>109.29999999999998</v>
      </c>
      <c r="E52" s="30">
        <v>2.1</v>
      </c>
      <c r="F52" s="30">
        <v>88.6</v>
      </c>
      <c r="G52" s="30">
        <v>18.600000000000001</v>
      </c>
    </row>
    <row r="53" spans="1:14">
      <c r="A53" s="66">
        <v>2010</v>
      </c>
      <c r="B53" s="30">
        <v>45050.9</v>
      </c>
      <c r="C53" s="30">
        <v>1983.9</v>
      </c>
      <c r="D53" s="30">
        <f t="shared" si="0"/>
        <v>116</v>
      </c>
      <c r="E53" s="30">
        <v>2.9</v>
      </c>
      <c r="F53" s="30">
        <v>97.6</v>
      </c>
      <c r="G53" s="30">
        <v>15.5</v>
      </c>
    </row>
    <row r="54" spans="1:14">
      <c r="A54" s="66">
        <v>2011</v>
      </c>
      <c r="B54" s="30">
        <v>47638</v>
      </c>
      <c r="C54" s="30">
        <v>2781.6</v>
      </c>
      <c r="D54" s="30">
        <f t="shared" si="0"/>
        <v>98.6</v>
      </c>
      <c r="E54" s="30">
        <v>3</v>
      </c>
      <c r="F54" s="30">
        <v>64.599999999999994</v>
      </c>
      <c r="G54" s="30">
        <v>31</v>
      </c>
    </row>
    <row r="55" spans="1:14">
      <c r="A55" s="66">
        <v>2012</v>
      </c>
      <c r="B55" s="30">
        <v>48427.199999999997</v>
      </c>
      <c r="C55" s="30">
        <v>3494.1</v>
      </c>
      <c r="D55" s="30">
        <f t="shared" si="0"/>
        <v>103.8</v>
      </c>
      <c r="E55" s="30">
        <v>3.9</v>
      </c>
      <c r="F55" s="30">
        <v>54.8</v>
      </c>
      <c r="G55" s="30">
        <v>45.1</v>
      </c>
    </row>
    <row r="57" spans="1:14">
      <c r="A57" s="66" t="s">
        <v>23</v>
      </c>
      <c r="B57" s="56"/>
      <c r="C57" s="56"/>
    </row>
    <row r="58" spans="1:14">
      <c r="A58" s="69" t="s">
        <v>2121</v>
      </c>
      <c r="B58" s="147">
        <f>((B55/B4)^(1/51)-1)*100</f>
        <v>6.6668516286604085</v>
      </c>
      <c r="C58" s="147">
        <f t="shared" ref="C58:G58" si="2">((C55/C4)^(1/51)-1)*100</f>
        <v>5.594358100721597</v>
      </c>
      <c r="D58" s="147">
        <f t="shared" si="2"/>
        <v>1.7804601182601409</v>
      </c>
      <c r="E58" s="147">
        <f t="shared" si="2"/>
        <v>0.5157652474649721</v>
      </c>
      <c r="F58" s="147">
        <f t="shared" si="2"/>
        <v>2.9565770993183804</v>
      </c>
      <c r="G58" s="147">
        <f t="shared" si="2"/>
        <v>1.0257750929072884</v>
      </c>
    </row>
    <row r="59" spans="1:14">
      <c r="A59" s="68" t="s">
        <v>1031</v>
      </c>
      <c r="B59" s="147">
        <f t="shared" ref="B59:G59" si="3">((B16/B4)^(1/12)-1)*100</f>
        <v>8.1226838517268298</v>
      </c>
      <c r="C59" s="147">
        <f t="shared" si="3"/>
        <v>9.6388958704862979</v>
      </c>
      <c r="D59" s="147">
        <f t="shared" si="3"/>
        <v>10.397475947856982</v>
      </c>
      <c r="E59" s="147">
        <f t="shared" si="3"/>
        <v>10.736274831268155</v>
      </c>
      <c r="F59" s="147">
        <f t="shared" si="3"/>
        <v>15.376922451638219</v>
      </c>
      <c r="G59" s="147">
        <f t="shared" si="3"/>
        <v>6.8122484412162398</v>
      </c>
    </row>
    <row r="60" spans="1:14">
      <c r="A60" s="68" t="s">
        <v>1032</v>
      </c>
      <c r="B60" s="147">
        <f t="shared" ref="B60:G60" si="4">((B24/B16)^(1/8)-1)*100</f>
        <v>14.197003297196709</v>
      </c>
      <c r="C60" s="147">
        <f t="shared" si="4"/>
        <v>16.132997478971678</v>
      </c>
      <c r="D60" s="147">
        <f t="shared" si="4"/>
        <v>15.845624779913559</v>
      </c>
      <c r="E60" s="147">
        <f t="shared" si="4"/>
        <v>8.5068079105427685</v>
      </c>
      <c r="F60" s="147">
        <f t="shared" si="4"/>
        <v>4.0232110508189534</v>
      </c>
      <c r="G60" s="147">
        <f t="shared" si="4"/>
        <v>24.189491396788053</v>
      </c>
    </row>
    <row r="61" spans="1:14">
      <c r="A61" s="68" t="s">
        <v>25</v>
      </c>
      <c r="B61" s="147">
        <f t="shared" ref="B61:G61" si="5">((B32/B24)^(1/8)-1)*100</f>
        <v>7.3642103644711687</v>
      </c>
      <c r="C61" s="147">
        <f t="shared" si="5"/>
        <v>5.4818205159611111</v>
      </c>
      <c r="D61" s="147">
        <f t="shared" si="5"/>
        <v>11.517379761764079</v>
      </c>
      <c r="E61" s="147">
        <f t="shared" si="5"/>
        <v>-17.272186124281308</v>
      </c>
      <c r="F61" s="147">
        <f t="shared" si="5"/>
        <v>11.482077376141508</v>
      </c>
      <c r="G61" s="147">
        <f t="shared" si="5"/>
        <v>12.252278020645946</v>
      </c>
    </row>
    <row r="62" spans="1:14">
      <c r="A62" s="68" t="s">
        <v>26</v>
      </c>
      <c r="B62" s="147">
        <f t="shared" ref="B62:G62" si="6">((B43/B32)^(1/11)-1)*100</f>
        <v>0.16778016243557126</v>
      </c>
      <c r="C62" s="147">
        <f t="shared" si="6"/>
        <v>0.59712192295802158</v>
      </c>
      <c r="D62" s="147">
        <f t="shared" si="6"/>
        <v>-4.2705150223373511</v>
      </c>
      <c r="E62" s="147">
        <f t="shared" si="6"/>
        <v>2.5953918515986052</v>
      </c>
      <c r="F62" s="147">
        <f t="shared" si="6"/>
        <v>2.0023265471884599</v>
      </c>
      <c r="G62" s="147">
        <f t="shared" si="6"/>
        <v>-7.0432667901027308</v>
      </c>
    </row>
    <row r="63" spans="1:14">
      <c r="A63" s="69" t="s">
        <v>2028</v>
      </c>
      <c r="B63" s="147">
        <f>((B55/B43)^(1/12)-1)*100</f>
        <v>6.0551067282243132</v>
      </c>
      <c r="C63" s="147">
        <f t="shared" ref="C63:G63" si="7">((C55/C43)^(1/12)-1)*100</f>
        <v>-0.14201715151962446</v>
      </c>
      <c r="D63" s="147">
        <f t="shared" si="7"/>
        <v>-14.327542698200446</v>
      </c>
      <c r="E63" s="147">
        <f t="shared" si="7"/>
        <v>-3.1129321910769003</v>
      </c>
      <c r="F63" s="147">
        <f t="shared" si="7"/>
        <v>-12.72734689101509</v>
      </c>
      <c r="G63" s="147">
        <f t="shared" si="7"/>
        <v>-16.2268269299473</v>
      </c>
    </row>
    <row r="65" spans="1:1">
      <c r="A65" s="64" t="s">
        <v>1813</v>
      </c>
    </row>
  </sheetData>
  <mergeCells count="7">
    <mergeCell ref="A1:G1"/>
    <mergeCell ref="B2:B3"/>
    <mergeCell ref="D2:G2"/>
    <mergeCell ref="I2:I3"/>
    <mergeCell ref="K2:N2"/>
    <mergeCell ref="C2:C3"/>
    <mergeCell ref="J2:J3"/>
  </mergeCells>
  <pageMargins left="0.7" right="0.7" top="0.75" bottom="0.75" header="0.3" footer="0.3"/>
  <pageSetup scale="93" orientation="portrait" horizontalDpi="0" verticalDpi="0" r:id="rId1"/>
</worksheet>
</file>

<file path=xl/worksheets/sheet73.xml><?xml version="1.0" encoding="utf-8"?>
<worksheet xmlns="http://schemas.openxmlformats.org/spreadsheetml/2006/main" xmlns:r="http://schemas.openxmlformats.org/officeDocument/2006/relationships">
  <dimension ref="A1:O65"/>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5703125" style="64" customWidth="1"/>
    <col min="2" max="3" width="14.140625" style="135" customWidth="1"/>
    <col min="4" max="4" width="16" style="135" customWidth="1"/>
    <col min="5" max="5" width="11.28515625" style="135" customWidth="1"/>
    <col min="6" max="6" width="15.140625" style="135" customWidth="1"/>
    <col min="7" max="7" width="14.140625" style="135" customWidth="1"/>
    <col min="8" max="8" width="9.140625" style="135"/>
    <col min="9" max="14" width="27.7109375" style="135" hidden="1" customWidth="1" outlineLevel="1"/>
    <col min="15" max="15" width="9.140625" style="64" collapsed="1"/>
    <col min="16" max="16384" width="9.140625" style="64"/>
  </cols>
  <sheetData>
    <row r="1" spans="1:14" ht="30" customHeight="1">
      <c r="A1" s="93" t="s">
        <v>2060</v>
      </c>
      <c r="B1" s="93"/>
      <c r="C1" s="93"/>
      <c r="D1" s="93"/>
      <c r="E1" s="93"/>
      <c r="F1" s="93"/>
      <c r="G1" s="93"/>
    </row>
    <row r="2" spans="1:14">
      <c r="B2" s="123" t="s">
        <v>673</v>
      </c>
      <c r="C2" s="123" t="s">
        <v>938</v>
      </c>
      <c r="D2" s="159" t="s">
        <v>37</v>
      </c>
      <c r="E2" s="160"/>
      <c r="F2" s="160"/>
      <c r="G2" s="161"/>
      <c r="I2" s="123" t="s">
        <v>673</v>
      </c>
      <c r="J2" s="123" t="s">
        <v>938</v>
      </c>
      <c r="K2" s="159" t="s">
        <v>37</v>
      </c>
      <c r="L2" s="160"/>
      <c r="M2" s="160"/>
      <c r="N2" s="161"/>
    </row>
    <row r="3" spans="1:14" ht="60">
      <c r="B3" s="126"/>
      <c r="C3" s="126"/>
      <c r="D3" s="72" t="s">
        <v>78</v>
      </c>
      <c r="E3" s="72" t="s">
        <v>750</v>
      </c>
      <c r="F3" s="72" t="s">
        <v>745</v>
      </c>
      <c r="G3" s="72" t="s">
        <v>678</v>
      </c>
      <c r="I3" s="126"/>
      <c r="J3" s="126"/>
      <c r="K3" s="72" t="s">
        <v>78</v>
      </c>
      <c r="L3" s="72" t="s">
        <v>750</v>
      </c>
      <c r="M3" s="72" t="s">
        <v>745</v>
      </c>
      <c r="N3" s="72" t="s">
        <v>678</v>
      </c>
    </row>
    <row r="4" spans="1:14">
      <c r="A4" s="66">
        <v>1961</v>
      </c>
      <c r="B4" s="30">
        <v>486.9</v>
      </c>
      <c r="C4" s="30">
        <v>124.1</v>
      </c>
      <c r="D4" s="30">
        <f>SUM(E4:G4)</f>
        <v>13.600000000000001</v>
      </c>
      <c r="E4" s="30">
        <v>0.1</v>
      </c>
      <c r="F4" s="30">
        <v>0.2</v>
      </c>
      <c r="G4" s="30">
        <v>13.3</v>
      </c>
      <c r="I4" s="135">
        <v>1801292</v>
      </c>
      <c r="J4" s="135">
        <v>217625</v>
      </c>
      <c r="K4" s="135">
        <f>SUM(L4:N4)</f>
        <v>42172</v>
      </c>
      <c r="L4" s="135">
        <v>2964</v>
      </c>
      <c r="M4" s="135">
        <v>12422</v>
      </c>
      <c r="N4" s="135">
        <v>26786</v>
      </c>
    </row>
    <row r="5" spans="1:14" hidden="1" outlineLevel="1">
      <c r="A5" s="66">
        <v>1962</v>
      </c>
      <c r="B5" s="30">
        <v>512.6</v>
      </c>
      <c r="C5" s="30">
        <v>139.19999999999999</v>
      </c>
      <c r="D5" s="30">
        <f t="shared" ref="D5:D55" si="0">SUM(E5:G5)</f>
        <v>14.5</v>
      </c>
      <c r="E5" s="30">
        <v>0.1</v>
      </c>
      <c r="F5" s="30">
        <v>0.2</v>
      </c>
      <c r="G5" s="30">
        <v>14.2</v>
      </c>
      <c r="I5" s="135">
        <v>2026512</v>
      </c>
      <c r="J5" s="135">
        <v>267781</v>
      </c>
      <c r="K5" s="135">
        <f t="shared" ref="K5:K50" si="1">SUM(L5:N5)</f>
        <v>45216</v>
      </c>
      <c r="L5" s="135">
        <v>3322</v>
      </c>
      <c r="M5" s="135">
        <v>10629</v>
      </c>
      <c r="N5" s="135">
        <v>31265</v>
      </c>
    </row>
    <row r="6" spans="1:14" hidden="1" outlineLevel="1">
      <c r="A6" s="66">
        <v>1963</v>
      </c>
      <c r="B6" s="30">
        <v>545.1</v>
      </c>
      <c r="C6" s="30">
        <v>147.80000000000001</v>
      </c>
      <c r="D6" s="30">
        <f t="shared" si="0"/>
        <v>15.4</v>
      </c>
      <c r="E6" s="30">
        <v>0.1</v>
      </c>
      <c r="F6" s="30">
        <v>0.2</v>
      </c>
      <c r="G6" s="30">
        <v>15.1</v>
      </c>
      <c r="I6" s="135">
        <v>2065356</v>
      </c>
      <c r="J6" s="135">
        <v>285193</v>
      </c>
      <c r="K6" s="135">
        <f t="shared" si="1"/>
        <v>49351</v>
      </c>
      <c r="L6" s="135">
        <v>3311</v>
      </c>
      <c r="M6" s="135">
        <v>11177</v>
      </c>
      <c r="N6" s="135">
        <v>34863</v>
      </c>
    </row>
    <row r="7" spans="1:14" hidden="1" outlineLevel="1">
      <c r="A7" s="66">
        <v>1964</v>
      </c>
      <c r="B7" s="30">
        <v>630.9</v>
      </c>
      <c r="C7" s="30">
        <v>173.2</v>
      </c>
      <c r="D7" s="30">
        <f t="shared" si="0"/>
        <v>16.600000000000001</v>
      </c>
      <c r="E7" s="30">
        <v>0.1</v>
      </c>
      <c r="F7" s="30">
        <v>0.5</v>
      </c>
      <c r="G7" s="30">
        <v>16</v>
      </c>
      <c r="I7" s="135">
        <v>2209862</v>
      </c>
      <c r="J7" s="135">
        <v>386538</v>
      </c>
      <c r="K7" s="135">
        <f t="shared" si="1"/>
        <v>79185</v>
      </c>
      <c r="L7" s="135">
        <v>4845</v>
      </c>
      <c r="M7" s="135">
        <v>14410</v>
      </c>
      <c r="N7" s="135">
        <v>59930</v>
      </c>
    </row>
    <row r="8" spans="1:14" hidden="1" outlineLevel="1">
      <c r="A8" s="66">
        <v>1965</v>
      </c>
      <c r="B8" s="30">
        <v>741.3</v>
      </c>
      <c r="C8" s="30">
        <v>205.3</v>
      </c>
      <c r="D8" s="30">
        <f t="shared" si="0"/>
        <v>18.3</v>
      </c>
      <c r="E8" s="30" t="s">
        <v>1814</v>
      </c>
      <c r="F8" s="30" t="s">
        <v>1814</v>
      </c>
      <c r="G8" s="30">
        <v>18.3</v>
      </c>
      <c r="I8" s="135">
        <v>2793931</v>
      </c>
      <c r="J8" s="135">
        <v>523815</v>
      </c>
      <c r="K8" s="135">
        <f t="shared" si="1"/>
        <v>123409</v>
      </c>
      <c r="L8" s="135">
        <v>5989</v>
      </c>
      <c r="M8" s="135">
        <v>20615</v>
      </c>
      <c r="N8" s="135">
        <v>96805</v>
      </c>
    </row>
    <row r="9" spans="1:14" hidden="1" outlineLevel="1">
      <c r="A9" s="66">
        <v>1966</v>
      </c>
      <c r="B9" s="30">
        <v>846.1</v>
      </c>
      <c r="C9" s="30">
        <v>240.7</v>
      </c>
      <c r="D9" s="30">
        <f t="shared" si="0"/>
        <v>22.2</v>
      </c>
      <c r="E9" s="30">
        <v>0</v>
      </c>
      <c r="F9" s="30" t="s">
        <v>1814</v>
      </c>
      <c r="G9" s="30">
        <v>22.2</v>
      </c>
      <c r="I9" s="135">
        <v>3436271</v>
      </c>
      <c r="J9" s="135">
        <v>662980</v>
      </c>
      <c r="K9" s="135">
        <f t="shared" si="1"/>
        <v>146339</v>
      </c>
      <c r="L9" s="135">
        <v>5535</v>
      </c>
      <c r="M9" s="135">
        <v>21361</v>
      </c>
      <c r="N9" s="135">
        <v>119443</v>
      </c>
    </row>
    <row r="10" spans="1:14" hidden="1" outlineLevel="1">
      <c r="A10" s="66">
        <v>1967</v>
      </c>
      <c r="B10" s="30">
        <v>969.1</v>
      </c>
      <c r="C10" s="30">
        <v>262.3</v>
      </c>
      <c r="D10" s="30">
        <f t="shared" si="0"/>
        <v>24.7</v>
      </c>
      <c r="E10" s="30">
        <v>0.1</v>
      </c>
      <c r="F10" s="30">
        <v>1.3</v>
      </c>
      <c r="G10" s="30">
        <v>23.3</v>
      </c>
      <c r="I10" s="135">
        <v>3281658</v>
      </c>
      <c r="J10" s="135">
        <v>526430</v>
      </c>
      <c r="K10" s="135">
        <f t="shared" si="1"/>
        <v>113665</v>
      </c>
      <c r="L10" s="135">
        <v>5940</v>
      </c>
      <c r="M10" s="135">
        <v>14740</v>
      </c>
      <c r="N10" s="135">
        <v>92985</v>
      </c>
    </row>
    <row r="11" spans="1:14" hidden="1" outlineLevel="1">
      <c r="A11" s="66">
        <v>1968</v>
      </c>
      <c r="B11" s="30">
        <v>1055.0999999999999</v>
      </c>
      <c r="C11" s="30">
        <v>274.10000000000002</v>
      </c>
      <c r="D11" s="30">
        <f t="shared" si="0"/>
        <v>24</v>
      </c>
      <c r="E11" s="30">
        <v>0.1</v>
      </c>
      <c r="F11" s="30">
        <v>1.2</v>
      </c>
      <c r="G11" s="30">
        <v>22.7</v>
      </c>
      <c r="I11" s="135">
        <v>3172119</v>
      </c>
      <c r="J11" s="135">
        <v>432561</v>
      </c>
      <c r="K11" s="135">
        <f t="shared" si="1"/>
        <v>74839</v>
      </c>
      <c r="L11" s="135">
        <v>3970</v>
      </c>
      <c r="M11" s="135">
        <v>15950</v>
      </c>
      <c r="N11" s="135">
        <v>54919</v>
      </c>
    </row>
    <row r="12" spans="1:14" hidden="1" outlineLevel="1">
      <c r="A12" s="66">
        <v>1969</v>
      </c>
      <c r="B12" s="30">
        <v>1146.3</v>
      </c>
      <c r="C12" s="30">
        <v>302.7</v>
      </c>
      <c r="D12" s="30">
        <f t="shared" si="0"/>
        <v>25.5</v>
      </c>
      <c r="E12" s="30">
        <v>0.1</v>
      </c>
      <c r="F12" s="30">
        <v>1.1000000000000001</v>
      </c>
      <c r="G12" s="30">
        <v>24.3</v>
      </c>
      <c r="I12" s="135">
        <v>3286316</v>
      </c>
      <c r="J12" s="135">
        <v>547947</v>
      </c>
      <c r="K12" s="135">
        <f t="shared" si="1"/>
        <v>139756</v>
      </c>
      <c r="L12" s="135">
        <v>6136</v>
      </c>
      <c r="M12" s="135">
        <v>44788</v>
      </c>
      <c r="N12" s="135">
        <v>88832</v>
      </c>
    </row>
    <row r="13" spans="1:14" hidden="1" outlineLevel="1">
      <c r="A13" s="66">
        <v>1970</v>
      </c>
      <c r="B13" s="30">
        <v>1278</v>
      </c>
      <c r="C13" s="30">
        <v>328.2</v>
      </c>
      <c r="D13" s="30">
        <f t="shared" si="0"/>
        <v>27.8</v>
      </c>
      <c r="E13" s="30">
        <v>0.1</v>
      </c>
      <c r="F13" s="30">
        <v>1.6</v>
      </c>
      <c r="G13" s="30">
        <v>26.1</v>
      </c>
      <c r="I13" s="135">
        <v>3534298</v>
      </c>
      <c r="J13" s="135">
        <v>705630</v>
      </c>
      <c r="K13" s="135">
        <f t="shared" si="1"/>
        <v>151691</v>
      </c>
      <c r="L13" s="135">
        <v>4533</v>
      </c>
      <c r="M13" s="135">
        <v>46321</v>
      </c>
      <c r="N13" s="135">
        <v>100837</v>
      </c>
    </row>
    <row r="14" spans="1:14" hidden="1" outlineLevel="1">
      <c r="A14" s="66">
        <v>1971</v>
      </c>
      <c r="B14" s="30">
        <v>1425.1</v>
      </c>
      <c r="C14" s="30">
        <v>340.4</v>
      </c>
      <c r="D14" s="30">
        <f t="shared" si="0"/>
        <v>25.3</v>
      </c>
      <c r="E14" s="30">
        <v>0.1</v>
      </c>
      <c r="F14" s="30">
        <v>3</v>
      </c>
      <c r="G14" s="30">
        <v>22.2</v>
      </c>
      <c r="I14" s="135">
        <v>3845045</v>
      </c>
      <c r="J14" s="135">
        <v>547940</v>
      </c>
      <c r="K14" s="135">
        <f t="shared" si="1"/>
        <v>147954</v>
      </c>
      <c r="L14" s="135">
        <v>2717</v>
      </c>
      <c r="M14" s="135">
        <v>35225</v>
      </c>
      <c r="N14" s="135">
        <v>110012</v>
      </c>
    </row>
    <row r="15" spans="1:14" hidden="1" outlineLevel="1">
      <c r="A15" s="66">
        <v>1972</v>
      </c>
      <c r="B15" s="30">
        <v>1504.4</v>
      </c>
      <c r="C15" s="30">
        <v>341</v>
      </c>
      <c r="D15" s="30">
        <f t="shared" si="0"/>
        <v>21.3</v>
      </c>
      <c r="E15" s="30">
        <v>0.1</v>
      </c>
      <c r="F15" s="30">
        <v>1</v>
      </c>
      <c r="G15" s="30">
        <v>20.2</v>
      </c>
      <c r="I15" s="135">
        <v>3861123</v>
      </c>
      <c r="J15" s="135">
        <v>512899</v>
      </c>
      <c r="K15" s="135">
        <f t="shared" si="1"/>
        <v>129996</v>
      </c>
      <c r="L15" s="135">
        <v>4398</v>
      </c>
      <c r="M15" s="135">
        <v>39485</v>
      </c>
      <c r="N15" s="135">
        <v>86113</v>
      </c>
    </row>
    <row r="16" spans="1:14" collapsed="1">
      <c r="A16" s="66">
        <v>1973</v>
      </c>
      <c r="B16" s="30">
        <v>1625.2</v>
      </c>
      <c r="C16" s="30">
        <v>362.5</v>
      </c>
      <c r="D16" s="30">
        <f t="shared" si="0"/>
        <v>24.8</v>
      </c>
      <c r="E16" s="30">
        <v>0.2</v>
      </c>
      <c r="F16" s="30">
        <v>0.8</v>
      </c>
      <c r="G16" s="30">
        <v>23.8</v>
      </c>
      <c r="I16" s="135">
        <v>4598170</v>
      </c>
      <c r="J16" s="135">
        <v>656514</v>
      </c>
      <c r="K16" s="135">
        <f t="shared" si="1"/>
        <v>138305</v>
      </c>
      <c r="L16" s="135">
        <v>10187</v>
      </c>
      <c r="M16" s="135">
        <v>68973</v>
      </c>
      <c r="N16" s="135">
        <v>59145</v>
      </c>
    </row>
    <row r="17" spans="1:14" hidden="1" outlineLevel="1">
      <c r="A17" s="66">
        <v>1974</v>
      </c>
      <c r="B17" s="30">
        <v>1849.6</v>
      </c>
      <c r="C17" s="30">
        <v>413.1</v>
      </c>
      <c r="D17" s="30">
        <f t="shared" si="0"/>
        <v>25.400000000000002</v>
      </c>
      <c r="E17" s="30">
        <v>0.2</v>
      </c>
      <c r="F17" s="30">
        <v>1.4</v>
      </c>
      <c r="G17" s="30">
        <v>23.8</v>
      </c>
      <c r="I17" s="135">
        <v>5964736</v>
      </c>
      <c r="J17" s="135">
        <v>943517</v>
      </c>
      <c r="K17" s="135">
        <f t="shared" si="1"/>
        <v>190836</v>
      </c>
      <c r="L17" s="135">
        <v>17515</v>
      </c>
      <c r="M17" s="135">
        <v>77859</v>
      </c>
      <c r="N17" s="135">
        <v>95462</v>
      </c>
    </row>
    <row r="18" spans="1:14" hidden="1" outlineLevel="1">
      <c r="A18" s="66">
        <v>1975</v>
      </c>
      <c r="B18" s="30">
        <v>2161.3000000000002</v>
      </c>
      <c r="C18" s="30">
        <v>477.3</v>
      </c>
      <c r="D18" s="30">
        <f t="shared" si="0"/>
        <v>37.700000000000003</v>
      </c>
      <c r="E18" s="30">
        <v>0.3</v>
      </c>
      <c r="F18" s="30">
        <v>2.7</v>
      </c>
      <c r="G18" s="30">
        <v>34.700000000000003</v>
      </c>
      <c r="I18" s="135">
        <v>7124783</v>
      </c>
      <c r="J18" s="135">
        <v>904180</v>
      </c>
      <c r="K18" s="135">
        <f t="shared" si="1"/>
        <v>169255</v>
      </c>
      <c r="L18" s="135">
        <v>14184</v>
      </c>
      <c r="M18" s="135">
        <v>68410</v>
      </c>
      <c r="N18" s="135">
        <v>86661</v>
      </c>
    </row>
    <row r="19" spans="1:14" hidden="1" outlineLevel="1">
      <c r="A19" s="66">
        <v>1976</v>
      </c>
      <c r="B19" s="30">
        <v>2842</v>
      </c>
      <c r="C19" s="30">
        <v>607.5</v>
      </c>
      <c r="D19" s="30">
        <f t="shared" si="0"/>
        <v>51.7</v>
      </c>
      <c r="E19" s="30">
        <v>3.5</v>
      </c>
      <c r="F19" s="30">
        <v>6.8</v>
      </c>
      <c r="G19" s="30">
        <v>41.4</v>
      </c>
      <c r="I19" s="135">
        <v>6951136</v>
      </c>
      <c r="J19" s="135">
        <v>802265</v>
      </c>
      <c r="K19" s="135">
        <f t="shared" si="1"/>
        <v>166830</v>
      </c>
      <c r="L19" s="135">
        <v>11460</v>
      </c>
      <c r="M19" s="135">
        <v>48700</v>
      </c>
      <c r="N19" s="135">
        <v>106670</v>
      </c>
    </row>
    <row r="20" spans="1:14" hidden="1" outlineLevel="1">
      <c r="A20" s="66">
        <v>1977</v>
      </c>
      <c r="B20" s="30">
        <v>3290.7</v>
      </c>
      <c r="C20" s="30">
        <v>680.3</v>
      </c>
      <c r="D20" s="30">
        <f t="shared" si="0"/>
        <v>55.9</v>
      </c>
      <c r="E20" s="30">
        <v>2</v>
      </c>
      <c r="F20" s="30">
        <v>5.6</v>
      </c>
      <c r="G20" s="30">
        <v>48.3</v>
      </c>
      <c r="I20" s="135">
        <v>7299238</v>
      </c>
      <c r="J20" s="135">
        <v>1034665</v>
      </c>
      <c r="K20" s="135">
        <f t="shared" si="1"/>
        <v>225538</v>
      </c>
      <c r="L20" s="135">
        <v>13023</v>
      </c>
      <c r="M20" s="135">
        <v>57207</v>
      </c>
      <c r="N20" s="135">
        <v>155308</v>
      </c>
    </row>
    <row r="21" spans="1:14" hidden="1" outlineLevel="1">
      <c r="A21" s="66">
        <v>1978</v>
      </c>
      <c r="B21" s="30">
        <v>3764.3</v>
      </c>
      <c r="C21" s="30">
        <v>750.3</v>
      </c>
      <c r="D21" s="30">
        <f t="shared" si="0"/>
        <v>53.199999999999996</v>
      </c>
      <c r="E21" s="30">
        <v>2.2000000000000002</v>
      </c>
      <c r="F21" s="30">
        <v>5.0999999999999996</v>
      </c>
      <c r="G21" s="30">
        <v>45.9</v>
      </c>
      <c r="I21" s="135">
        <v>7590584</v>
      </c>
      <c r="J21" s="135">
        <v>913763</v>
      </c>
      <c r="K21" s="135">
        <f t="shared" si="1"/>
        <v>152360</v>
      </c>
      <c r="L21" s="135">
        <v>8518</v>
      </c>
      <c r="M21" s="135">
        <v>65305</v>
      </c>
      <c r="N21" s="135">
        <v>78537</v>
      </c>
    </row>
    <row r="22" spans="1:14" hidden="1" outlineLevel="1">
      <c r="A22" s="66">
        <v>1979</v>
      </c>
      <c r="B22" s="30">
        <v>4439.3999999999996</v>
      </c>
      <c r="C22" s="30">
        <v>911.4</v>
      </c>
      <c r="D22" s="30">
        <f t="shared" si="0"/>
        <v>76.599999999999994</v>
      </c>
      <c r="E22" s="30">
        <v>2.9</v>
      </c>
      <c r="F22" s="30">
        <v>8.1999999999999993</v>
      </c>
      <c r="G22" s="30">
        <v>65.5</v>
      </c>
      <c r="I22" s="135">
        <v>9382578</v>
      </c>
      <c r="J22" s="135">
        <v>1225525</v>
      </c>
      <c r="K22" s="135">
        <f t="shared" si="1"/>
        <v>167855</v>
      </c>
      <c r="L22" s="135">
        <v>12544</v>
      </c>
      <c r="M22" s="135">
        <v>87613</v>
      </c>
      <c r="N22" s="135">
        <v>67698</v>
      </c>
    </row>
    <row r="23" spans="1:14" hidden="1" outlineLevel="1">
      <c r="A23" s="66">
        <v>1980</v>
      </c>
      <c r="B23" s="30">
        <v>5542.8</v>
      </c>
      <c r="C23" s="30">
        <v>1152.5999999999999</v>
      </c>
      <c r="D23" s="30">
        <f t="shared" si="0"/>
        <v>95.8</v>
      </c>
      <c r="E23" s="30">
        <v>3.3</v>
      </c>
      <c r="F23" s="30">
        <v>10.9</v>
      </c>
      <c r="G23" s="30">
        <v>81.599999999999994</v>
      </c>
      <c r="I23" s="135">
        <v>11392733</v>
      </c>
      <c r="J23" s="135">
        <v>1853170</v>
      </c>
      <c r="K23" s="135">
        <f t="shared" si="1"/>
        <v>306770</v>
      </c>
      <c r="L23" s="135">
        <v>20414</v>
      </c>
      <c r="M23" s="135">
        <v>100233</v>
      </c>
      <c r="N23" s="135">
        <v>186123</v>
      </c>
    </row>
    <row r="24" spans="1:14" collapsed="1">
      <c r="A24" s="66">
        <v>1981</v>
      </c>
      <c r="B24" s="30">
        <v>6448.7</v>
      </c>
      <c r="C24" s="30">
        <v>1425.3</v>
      </c>
      <c r="D24" s="30">
        <f t="shared" si="0"/>
        <v>109.9</v>
      </c>
      <c r="E24" s="30">
        <v>3.3</v>
      </c>
      <c r="F24" s="30">
        <v>10.4</v>
      </c>
      <c r="G24" s="30">
        <v>96.2</v>
      </c>
      <c r="I24" s="135">
        <v>13306592</v>
      </c>
      <c r="J24" s="135">
        <v>2173295</v>
      </c>
      <c r="K24" s="135">
        <f t="shared" si="1"/>
        <v>448908</v>
      </c>
      <c r="L24" s="135">
        <v>19653</v>
      </c>
      <c r="M24" s="135">
        <v>94638</v>
      </c>
      <c r="N24" s="135">
        <v>334617</v>
      </c>
    </row>
    <row r="25" spans="1:14">
      <c r="A25" s="66">
        <v>1982</v>
      </c>
      <c r="B25" s="30">
        <v>7145.2</v>
      </c>
      <c r="C25" s="30">
        <v>1469.1</v>
      </c>
      <c r="D25" s="30">
        <f t="shared" si="0"/>
        <v>115.6</v>
      </c>
      <c r="E25" s="30">
        <v>3.1</v>
      </c>
      <c r="F25" s="30">
        <v>10.4</v>
      </c>
      <c r="G25" s="30">
        <v>102.1</v>
      </c>
      <c r="I25" s="135">
        <v>12085840</v>
      </c>
      <c r="J25" s="135">
        <v>1810133</v>
      </c>
      <c r="K25" s="135">
        <f t="shared" si="1"/>
        <v>387062</v>
      </c>
      <c r="L25" s="135">
        <v>7622</v>
      </c>
      <c r="M25" s="135">
        <v>83832</v>
      </c>
      <c r="N25" s="135">
        <v>295608</v>
      </c>
    </row>
    <row r="26" spans="1:14">
      <c r="A26" s="66">
        <v>1983</v>
      </c>
      <c r="B26" s="30">
        <v>7398.7</v>
      </c>
      <c r="C26" s="30">
        <v>1374.7</v>
      </c>
      <c r="D26" s="30">
        <f t="shared" si="0"/>
        <v>109.89999999999999</v>
      </c>
      <c r="E26" s="30">
        <v>3.9</v>
      </c>
      <c r="F26" s="30">
        <v>12.4</v>
      </c>
      <c r="G26" s="30">
        <v>93.6</v>
      </c>
      <c r="I26" s="135">
        <v>11545231</v>
      </c>
      <c r="J26" s="135">
        <v>1097569</v>
      </c>
      <c r="K26" s="135">
        <f t="shared" si="1"/>
        <v>174872</v>
      </c>
      <c r="L26" s="135">
        <v>4611</v>
      </c>
      <c r="M26" s="135">
        <v>49984</v>
      </c>
      <c r="N26" s="135">
        <v>120277</v>
      </c>
    </row>
    <row r="27" spans="1:14">
      <c r="A27" s="66">
        <v>1984</v>
      </c>
      <c r="B27" s="30">
        <v>8555.9</v>
      </c>
      <c r="C27" s="30">
        <v>1509.5</v>
      </c>
      <c r="D27" s="30">
        <f t="shared" si="0"/>
        <v>127.8</v>
      </c>
      <c r="E27" s="30">
        <v>4.9000000000000004</v>
      </c>
      <c r="F27" s="30">
        <v>14.8</v>
      </c>
      <c r="G27" s="30">
        <v>108.1</v>
      </c>
      <c r="I27" s="135">
        <v>12301496</v>
      </c>
      <c r="J27" s="135">
        <v>1429532</v>
      </c>
      <c r="K27" s="135">
        <f t="shared" si="1"/>
        <v>205970</v>
      </c>
      <c r="L27" s="135">
        <v>5530</v>
      </c>
      <c r="M27" s="135">
        <v>52681</v>
      </c>
      <c r="N27" s="135">
        <v>147759</v>
      </c>
    </row>
    <row r="28" spans="1:14">
      <c r="A28" s="66">
        <v>1985</v>
      </c>
      <c r="B28" s="30">
        <v>9430.7000000000007</v>
      </c>
      <c r="C28" s="30">
        <v>1737.6</v>
      </c>
      <c r="D28" s="30">
        <f t="shared" si="0"/>
        <v>151.10000000000002</v>
      </c>
      <c r="E28" s="30">
        <v>5.3</v>
      </c>
      <c r="F28" s="30">
        <v>16</v>
      </c>
      <c r="G28" s="30">
        <v>129.80000000000001</v>
      </c>
      <c r="I28" s="135">
        <v>14484316</v>
      </c>
      <c r="J28" s="135">
        <v>2218137</v>
      </c>
      <c r="K28" s="135">
        <f t="shared" si="1"/>
        <v>277087</v>
      </c>
      <c r="L28" s="135">
        <v>6196</v>
      </c>
      <c r="M28" s="135">
        <v>54103</v>
      </c>
      <c r="N28" s="135">
        <v>216788</v>
      </c>
    </row>
    <row r="29" spans="1:14">
      <c r="A29" s="66">
        <v>1986</v>
      </c>
      <c r="B29" s="30">
        <v>9871.1</v>
      </c>
      <c r="C29" s="30">
        <v>1973.1</v>
      </c>
      <c r="D29" s="30">
        <f t="shared" si="0"/>
        <v>162.19999999999999</v>
      </c>
      <c r="E29" s="30">
        <v>5.5</v>
      </c>
      <c r="F29" s="30">
        <v>21.2</v>
      </c>
      <c r="G29" s="30">
        <v>135.5</v>
      </c>
      <c r="I29" s="135">
        <v>15832456</v>
      </c>
      <c r="J29" s="135">
        <v>2144891</v>
      </c>
      <c r="K29" s="135">
        <f t="shared" si="1"/>
        <v>304458</v>
      </c>
      <c r="L29" s="135">
        <v>2440</v>
      </c>
      <c r="M29" s="135">
        <v>84575</v>
      </c>
      <c r="N29" s="135">
        <v>217443</v>
      </c>
    </row>
    <row r="30" spans="1:14">
      <c r="A30" s="66">
        <v>1987</v>
      </c>
      <c r="B30" s="30">
        <v>10531.5</v>
      </c>
      <c r="C30" s="30">
        <v>1952</v>
      </c>
      <c r="D30" s="30">
        <f t="shared" si="0"/>
        <v>190.79999999999998</v>
      </c>
      <c r="E30" s="30">
        <v>6.7</v>
      </c>
      <c r="F30" s="30">
        <v>28.9</v>
      </c>
      <c r="G30" s="30">
        <v>155.19999999999999</v>
      </c>
      <c r="I30" s="135">
        <v>18428552</v>
      </c>
      <c r="J30" s="135">
        <v>2238091</v>
      </c>
      <c r="K30" s="135">
        <f t="shared" si="1"/>
        <v>338926</v>
      </c>
      <c r="L30" s="135">
        <v>4884</v>
      </c>
      <c r="M30" s="135">
        <v>135603</v>
      </c>
      <c r="N30" s="135">
        <v>198439</v>
      </c>
    </row>
    <row r="31" spans="1:14">
      <c r="A31" s="66">
        <v>1988</v>
      </c>
      <c r="B31" s="30">
        <v>12330</v>
      </c>
      <c r="C31" s="30">
        <v>2149.3000000000002</v>
      </c>
      <c r="D31" s="30">
        <f t="shared" si="0"/>
        <v>221.70000000000002</v>
      </c>
      <c r="E31" s="30">
        <v>8</v>
      </c>
      <c r="F31" s="30">
        <v>36.4</v>
      </c>
      <c r="G31" s="30">
        <v>177.3</v>
      </c>
      <c r="I31" s="135">
        <v>20784408</v>
      </c>
      <c r="J31" s="135">
        <v>2603139</v>
      </c>
      <c r="K31" s="135">
        <f t="shared" si="1"/>
        <v>698067</v>
      </c>
      <c r="L31" s="135">
        <v>7692</v>
      </c>
      <c r="M31" s="135">
        <v>180698</v>
      </c>
      <c r="N31" s="135">
        <v>509677</v>
      </c>
    </row>
    <row r="32" spans="1:14">
      <c r="A32" s="66">
        <v>1989</v>
      </c>
      <c r="B32" s="30">
        <v>12597.2</v>
      </c>
      <c r="C32" s="30">
        <v>2363.8000000000002</v>
      </c>
      <c r="D32" s="30">
        <f t="shared" si="0"/>
        <v>271.2</v>
      </c>
      <c r="E32" s="30">
        <v>8.6</v>
      </c>
      <c r="F32" s="30">
        <v>28.1</v>
      </c>
      <c r="G32" s="30">
        <v>234.5</v>
      </c>
      <c r="I32" s="135">
        <v>23476780</v>
      </c>
      <c r="J32" s="135">
        <v>3328432</v>
      </c>
      <c r="K32" s="135">
        <f t="shared" si="1"/>
        <v>1072793</v>
      </c>
      <c r="L32" s="135">
        <v>4254</v>
      </c>
      <c r="M32" s="135">
        <v>225700</v>
      </c>
      <c r="N32" s="135">
        <v>842839</v>
      </c>
    </row>
    <row r="33" spans="1:14">
      <c r="A33" s="66">
        <v>1990</v>
      </c>
      <c r="B33" s="30">
        <v>13989.6</v>
      </c>
      <c r="C33" s="30">
        <v>2750.3</v>
      </c>
      <c r="D33" s="30">
        <f t="shared" si="0"/>
        <v>265.90000000000003</v>
      </c>
      <c r="E33" s="30">
        <v>8.1</v>
      </c>
      <c r="F33" s="30">
        <v>23</v>
      </c>
      <c r="G33" s="30">
        <v>234.8</v>
      </c>
      <c r="I33" s="135">
        <v>23766872</v>
      </c>
      <c r="J33" s="135">
        <v>3205967</v>
      </c>
      <c r="K33" s="135">
        <f t="shared" si="1"/>
        <v>604367</v>
      </c>
      <c r="L33" s="135">
        <v>7399</v>
      </c>
      <c r="M33" s="135">
        <v>139549</v>
      </c>
      <c r="N33" s="135">
        <v>457419</v>
      </c>
    </row>
    <row r="34" spans="1:14">
      <c r="A34" s="66">
        <v>1991</v>
      </c>
      <c r="B34" s="30">
        <v>14311.3</v>
      </c>
      <c r="C34" s="30">
        <v>2885.7</v>
      </c>
      <c r="D34" s="30">
        <f t="shared" si="0"/>
        <v>247.3</v>
      </c>
      <c r="E34" s="30">
        <v>6.4</v>
      </c>
      <c r="F34" s="30">
        <v>24.5</v>
      </c>
      <c r="G34" s="30">
        <v>216.4</v>
      </c>
      <c r="I34" s="135">
        <v>20265810</v>
      </c>
      <c r="J34" s="135">
        <v>2435489</v>
      </c>
      <c r="K34" s="135">
        <f t="shared" si="1"/>
        <v>675220</v>
      </c>
      <c r="L34" s="135">
        <v>4370</v>
      </c>
      <c r="M34" s="135">
        <v>118687</v>
      </c>
      <c r="N34" s="135">
        <v>552163</v>
      </c>
    </row>
    <row r="35" spans="1:14">
      <c r="A35" s="66">
        <v>1992</v>
      </c>
      <c r="B35" s="30">
        <v>14502.7</v>
      </c>
      <c r="C35" s="30">
        <v>2964.1</v>
      </c>
      <c r="D35" s="30">
        <f t="shared" si="0"/>
        <v>231.7</v>
      </c>
      <c r="E35" s="30">
        <v>8.1</v>
      </c>
      <c r="F35" s="30">
        <v>29.9</v>
      </c>
      <c r="G35" s="30">
        <v>193.7</v>
      </c>
      <c r="I35" s="135">
        <v>17523737</v>
      </c>
      <c r="J35" s="135">
        <v>1790841</v>
      </c>
      <c r="K35" s="135">
        <f t="shared" si="1"/>
        <v>692440</v>
      </c>
      <c r="L35" s="135">
        <v>4366</v>
      </c>
      <c r="M35" s="135">
        <v>137672</v>
      </c>
      <c r="N35" s="135">
        <v>550402</v>
      </c>
    </row>
    <row r="36" spans="1:14">
      <c r="A36" s="66">
        <v>1993</v>
      </c>
      <c r="B36" s="30">
        <v>16420.099999999999</v>
      </c>
      <c r="C36" s="30">
        <v>3192.3</v>
      </c>
      <c r="D36" s="30">
        <f t="shared" si="0"/>
        <v>253.6</v>
      </c>
      <c r="E36" s="30">
        <v>8.6</v>
      </c>
      <c r="F36" s="30">
        <v>51.5</v>
      </c>
      <c r="G36" s="30">
        <v>193.5</v>
      </c>
      <c r="I36" s="135">
        <v>17053441</v>
      </c>
      <c r="J36" s="135">
        <v>1534460</v>
      </c>
      <c r="K36" s="135">
        <f t="shared" si="1"/>
        <v>457470</v>
      </c>
      <c r="L36" s="135">
        <v>2162</v>
      </c>
      <c r="M36" s="135">
        <v>133175</v>
      </c>
      <c r="N36" s="135">
        <v>322133</v>
      </c>
    </row>
    <row r="37" spans="1:14">
      <c r="A37" s="66">
        <v>1994</v>
      </c>
      <c r="B37" s="30">
        <v>19201.900000000001</v>
      </c>
      <c r="C37" s="30">
        <v>3566.1</v>
      </c>
      <c r="D37" s="30">
        <f t="shared" si="0"/>
        <v>281.7</v>
      </c>
      <c r="E37" s="30">
        <v>14.6</v>
      </c>
      <c r="F37" s="30">
        <v>70.3</v>
      </c>
      <c r="G37" s="30">
        <v>196.8</v>
      </c>
      <c r="I37" s="135">
        <v>18054030</v>
      </c>
      <c r="J37" s="135">
        <v>2153196</v>
      </c>
      <c r="K37" s="135">
        <f t="shared" si="1"/>
        <v>445786</v>
      </c>
      <c r="L37" s="135">
        <v>5348</v>
      </c>
      <c r="M37" s="135">
        <v>203273</v>
      </c>
      <c r="N37" s="135">
        <v>237165</v>
      </c>
    </row>
    <row r="38" spans="1:14">
      <c r="A38" s="66">
        <v>1995</v>
      </c>
      <c r="B38" s="30">
        <v>19704.5</v>
      </c>
      <c r="C38" s="30">
        <v>3830.2</v>
      </c>
      <c r="D38" s="30">
        <f t="shared" si="0"/>
        <v>386.8</v>
      </c>
      <c r="E38" s="30">
        <v>18</v>
      </c>
      <c r="F38" s="30">
        <v>97.2</v>
      </c>
      <c r="G38" s="30">
        <v>271.60000000000002</v>
      </c>
      <c r="I38" s="135">
        <v>18056519</v>
      </c>
      <c r="J38" s="135">
        <v>2494623</v>
      </c>
      <c r="K38" s="135">
        <f t="shared" si="1"/>
        <v>977937</v>
      </c>
      <c r="L38" s="135">
        <v>3011</v>
      </c>
      <c r="M38" s="135">
        <v>246162</v>
      </c>
      <c r="N38" s="135">
        <v>728764</v>
      </c>
    </row>
    <row r="39" spans="1:14">
      <c r="A39" s="66">
        <v>1996</v>
      </c>
      <c r="B39" s="30">
        <v>21069.1</v>
      </c>
      <c r="C39" s="30">
        <v>4048</v>
      </c>
      <c r="D39" s="30">
        <f t="shared" si="0"/>
        <v>373.3</v>
      </c>
      <c r="E39" s="30">
        <v>16.899999999999999</v>
      </c>
      <c r="F39" s="30">
        <v>80.099999999999994</v>
      </c>
      <c r="G39" s="30">
        <v>276.3</v>
      </c>
      <c r="I39" s="135">
        <v>19557304</v>
      </c>
      <c r="J39" s="135">
        <v>3241551</v>
      </c>
      <c r="K39" s="135">
        <f t="shared" si="1"/>
        <v>724508</v>
      </c>
      <c r="L39" s="135">
        <v>1328</v>
      </c>
      <c r="M39" s="135">
        <v>209722</v>
      </c>
      <c r="N39" s="135">
        <v>513458</v>
      </c>
    </row>
    <row r="40" spans="1:14">
      <c r="A40" s="66">
        <v>1997</v>
      </c>
      <c r="B40" s="30">
        <v>22639.599999999999</v>
      </c>
      <c r="C40" s="30">
        <v>3836.9</v>
      </c>
      <c r="D40" s="30">
        <f t="shared" si="0"/>
        <v>302.79999999999995</v>
      </c>
      <c r="E40" s="30">
        <v>13.3</v>
      </c>
      <c r="F40" s="30">
        <v>75.8</v>
      </c>
      <c r="G40" s="30">
        <v>213.7</v>
      </c>
      <c r="I40" s="135">
        <v>22850833</v>
      </c>
      <c r="J40" s="135">
        <v>3402782</v>
      </c>
      <c r="K40" s="135">
        <f t="shared" si="1"/>
        <v>593943</v>
      </c>
      <c r="L40" s="135">
        <v>1583</v>
      </c>
      <c r="M40" s="135">
        <v>275829</v>
      </c>
      <c r="N40" s="135">
        <v>316531</v>
      </c>
    </row>
    <row r="41" spans="1:14">
      <c r="A41" s="66">
        <v>1998</v>
      </c>
      <c r="B41" s="30">
        <v>25819.7</v>
      </c>
      <c r="C41" s="30">
        <v>4260.2</v>
      </c>
      <c r="D41" s="30">
        <f t="shared" si="0"/>
        <v>335.1</v>
      </c>
      <c r="E41" s="30">
        <v>15.4</v>
      </c>
      <c r="F41" s="30">
        <v>81.8</v>
      </c>
      <c r="G41" s="30">
        <v>237.9</v>
      </c>
      <c r="I41" s="135">
        <v>22645701</v>
      </c>
      <c r="J41" s="135">
        <v>2907219</v>
      </c>
      <c r="K41" s="135">
        <f t="shared" si="1"/>
        <v>372666</v>
      </c>
      <c r="L41" s="135">
        <v>4160</v>
      </c>
      <c r="M41" s="135">
        <v>205119</v>
      </c>
      <c r="N41" s="135">
        <v>163387</v>
      </c>
    </row>
    <row r="42" spans="1:14">
      <c r="A42" s="66">
        <v>1999</v>
      </c>
      <c r="B42" s="30">
        <v>27210.1</v>
      </c>
      <c r="C42" s="30">
        <v>4523.8</v>
      </c>
      <c r="D42" s="30">
        <f t="shared" si="0"/>
        <v>337.8</v>
      </c>
      <c r="E42" s="30">
        <v>29.5</v>
      </c>
      <c r="F42" s="30">
        <v>82.9</v>
      </c>
      <c r="G42" s="30">
        <v>225.4</v>
      </c>
      <c r="I42" s="135">
        <v>25283552</v>
      </c>
      <c r="J42" s="135">
        <v>3203141</v>
      </c>
      <c r="K42" s="135">
        <f t="shared" si="1"/>
        <v>444558</v>
      </c>
      <c r="L42" s="135">
        <v>5870</v>
      </c>
      <c r="M42" s="135">
        <v>246440</v>
      </c>
      <c r="N42" s="135">
        <v>192248</v>
      </c>
    </row>
    <row r="43" spans="1:14">
      <c r="A43" s="66">
        <v>2000</v>
      </c>
      <c r="B43" s="30">
        <v>31644.799999999999</v>
      </c>
      <c r="C43" s="30">
        <v>5500.2</v>
      </c>
      <c r="D43" s="30">
        <f t="shared" si="0"/>
        <v>490.4</v>
      </c>
      <c r="E43" s="30">
        <v>19.5</v>
      </c>
      <c r="F43" s="30">
        <v>82.1</v>
      </c>
      <c r="G43" s="30">
        <v>388.8</v>
      </c>
      <c r="I43" s="135">
        <v>23917169</v>
      </c>
      <c r="J43" s="135">
        <v>3554217</v>
      </c>
      <c r="K43" s="135">
        <f t="shared" si="1"/>
        <v>663841</v>
      </c>
      <c r="L43" s="135">
        <v>5689</v>
      </c>
      <c r="M43" s="135">
        <v>280656</v>
      </c>
      <c r="N43" s="135">
        <v>377496</v>
      </c>
    </row>
    <row r="44" spans="1:14">
      <c r="A44" s="66">
        <v>2001</v>
      </c>
      <c r="B44" s="30">
        <v>35854</v>
      </c>
      <c r="C44" s="30">
        <v>6759</v>
      </c>
      <c r="D44" s="30">
        <f t="shared" si="0"/>
        <v>660.9</v>
      </c>
      <c r="E44" s="30">
        <v>20.8</v>
      </c>
      <c r="F44" s="30">
        <v>91.6</v>
      </c>
      <c r="G44" s="30">
        <v>548.5</v>
      </c>
      <c r="I44" s="135">
        <v>26294840</v>
      </c>
      <c r="J44" s="135">
        <v>2860348</v>
      </c>
      <c r="K44" s="135">
        <f t="shared" si="1"/>
        <v>287862</v>
      </c>
      <c r="L44" s="135">
        <v>3283</v>
      </c>
      <c r="M44" s="135">
        <v>115120</v>
      </c>
      <c r="N44" s="135">
        <v>169459</v>
      </c>
    </row>
    <row r="45" spans="1:14">
      <c r="A45" s="66">
        <v>2002</v>
      </c>
      <c r="B45" s="30">
        <v>35546.6</v>
      </c>
      <c r="C45" s="30">
        <v>7168</v>
      </c>
      <c r="D45" s="30">
        <f t="shared" si="0"/>
        <v>660.3</v>
      </c>
      <c r="E45" s="30">
        <v>25.4</v>
      </c>
      <c r="F45" s="30">
        <v>107</v>
      </c>
      <c r="G45" s="30">
        <v>527.9</v>
      </c>
      <c r="I45" s="135">
        <v>27101623</v>
      </c>
      <c r="J45" s="135">
        <v>2412405</v>
      </c>
      <c r="K45" s="135">
        <f t="shared" si="1"/>
        <v>219846</v>
      </c>
      <c r="L45" s="135">
        <v>18597</v>
      </c>
      <c r="M45" s="135">
        <v>91555</v>
      </c>
      <c r="N45" s="135">
        <v>109694</v>
      </c>
    </row>
    <row r="46" spans="1:14">
      <c r="A46" s="66">
        <v>2003</v>
      </c>
      <c r="B46" s="30">
        <v>38155.5</v>
      </c>
      <c r="C46" s="30">
        <v>7380.3</v>
      </c>
      <c r="D46" s="30">
        <f t="shared" si="0"/>
        <v>683.3</v>
      </c>
      <c r="E46" s="30">
        <v>26.1</v>
      </c>
      <c r="F46" s="30">
        <v>111.1</v>
      </c>
      <c r="G46" s="30">
        <v>546.1</v>
      </c>
      <c r="I46" s="135">
        <v>27016454</v>
      </c>
      <c r="J46" s="135">
        <v>2291998</v>
      </c>
      <c r="K46" s="135">
        <f t="shared" si="1"/>
        <v>256537</v>
      </c>
      <c r="L46" s="135">
        <v>8621</v>
      </c>
      <c r="M46" s="135">
        <v>126334</v>
      </c>
      <c r="N46" s="135">
        <v>121582</v>
      </c>
    </row>
    <row r="47" spans="1:14">
      <c r="A47" s="66">
        <v>2004</v>
      </c>
      <c r="B47" s="30">
        <v>41802.1</v>
      </c>
      <c r="C47" s="30">
        <v>7548.2</v>
      </c>
      <c r="D47" s="30">
        <f t="shared" si="0"/>
        <v>708.09999999999991</v>
      </c>
      <c r="E47" s="30">
        <v>19.7</v>
      </c>
      <c r="F47" s="30">
        <v>137.5</v>
      </c>
      <c r="G47" s="30">
        <v>550.9</v>
      </c>
      <c r="I47" s="135">
        <v>29873939</v>
      </c>
      <c r="J47" s="135">
        <v>2125802</v>
      </c>
      <c r="K47" s="135">
        <f t="shared" si="1"/>
        <v>412265</v>
      </c>
      <c r="L47" s="135">
        <v>29269</v>
      </c>
      <c r="M47" s="135">
        <v>178405</v>
      </c>
      <c r="N47" s="135">
        <v>204591</v>
      </c>
    </row>
    <row r="48" spans="1:14">
      <c r="A48" s="66">
        <v>2005</v>
      </c>
      <c r="B48" s="30">
        <v>46582.6</v>
      </c>
      <c r="C48" s="30">
        <v>7637.5</v>
      </c>
      <c r="D48" s="30">
        <f t="shared" si="0"/>
        <v>713</v>
      </c>
      <c r="E48" s="30">
        <v>16.3</v>
      </c>
      <c r="F48" s="30">
        <v>212.3</v>
      </c>
      <c r="G48" s="30">
        <v>484.4</v>
      </c>
      <c r="I48" s="135">
        <v>31265204</v>
      </c>
      <c r="J48" s="135">
        <v>1846902</v>
      </c>
      <c r="K48" s="135">
        <f t="shared" si="1"/>
        <v>314000</v>
      </c>
      <c r="L48" s="135">
        <v>13805</v>
      </c>
      <c r="M48" s="135">
        <v>241589</v>
      </c>
      <c r="N48" s="135">
        <v>58606</v>
      </c>
    </row>
    <row r="49" spans="1:14">
      <c r="A49" s="66">
        <v>2006</v>
      </c>
      <c r="B49" s="30">
        <v>48153.1</v>
      </c>
      <c r="C49" s="30">
        <v>7473.5</v>
      </c>
      <c r="D49" s="30">
        <f t="shared" si="0"/>
        <v>679.9</v>
      </c>
      <c r="E49" s="30">
        <v>17</v>
      </c>
      <c r="F49" s="30">
        <v>172.6</v>
      </c>
      <c r="G49" s="30">
        <v>490.3</v>
      </c>
      <c r="I49" s="135">
        <v>34757569</v>
      </c>
      <c r="J49" s="135">
        <v>1928465</v>
      </c>
      <c r="K49" s="135">
        <f t="shared" si="1"/>
        <v>221746</v>
      </c>
      <c r="L49" s="135">
        <v>13583</v>
      </c>
      <c r="M49" s="135">
        <v>171599</v>
      </c>
      <c r="N49" s="135">
        <v>36564</v>
      </c>
    </row>
    <row r="50" spans="1:14">
      <c r="A50" s="66">
        <v>2007</v>
      </c>
      <c r="B50" s="30">
        <v>51054.8</v>
      </c>
      <c r="C50" s="30">
        <v>6967</v>
      </c>
      <c r="D50" s="30">
        <f t="shared" si="0"/>
        <v>626.5</v>
      </c>
      <c r="E50" s="30">
        <v>40.1</v>
      </c>
      <c r="F50" s="30">
        <v>183.5</v>
      </c>
      <c r="G50" s="30">
        <v>402.9</v>
      </c>
      <c r="I50" s="135">
        <v>39856402</v>
      </c>
      <c r="J50" s="135">
        <v>2019552</v>
      </c>
      <c r="K50" s="135">
        <f t="shared" si="1"/>
        <v>192961</v>
      </c>
      <c r="L50" s="135">
        <v>15498</v>
      </c>
      <c r="M50" s="135">
        <v>142375</v>
      </c>
      <c r="N50" s="135">
        <v>35088</v>
      </c>
    </row>
    <row r="51" spans="1:14">
      <c r="A51" s="66">
        <v>2008</v>
      </c>
      <c r="B51" s="30">
        <v>53301.8</v>
      </c>
      <c r="C51" s="30">
        <v>6945.1</v>
      </c>
      <c r="D51" s="30">
        <f>SUM(E51:G51)</f>
        <v>615.79999999999995</v>
      </c>
      <c r="E51" s="30">
        <v>35.1</v>
      </c>
      <c r="F51" s="30">
        <v>241.5</v>
      </c>
      <c r="G51" s="30">
        <v>339.2</v>
      </c>
    </row>
    <row r="52" spans="1:14">
      <c r="A52" s="66">
        <v>2009</v>
      </c>
      <c r="B52" s="30">
        <v>47607.7</v>
      </c>
      <c r="C52" s="30">
        <v>6388</v>
      </c>
      <c r="D52" s="30">
        <f t="shared" si="0"/>
        <v>430.6</v>
      </c>
      <c r="E52" s="30">
        <v>15.6</v>
      </c>
      <c r="F52" s="30">
        <v>191.6</v>
      </c>
      <c r="G52" s="30">
        <v>223.4</v>
      </c>
    </row>
    <row r="53" spans="1:14">
      <c r="A53" s="66">
        <v>2010</v>
      </c>
      <c r="B53" s="30">
        <v>50472.6</v>
      </c>
      <c r="C53" s="30">
        <v>6322</v>
      </c>
      <c r="D53" s="30">
        <f t="shared" si="0"/>
        <v>411.2</v>
      </c>
      <c r="E53" s="30">
        <v>21.6</v>
      </c>
      <c r="F53" s="30">
        <v>175.1</v>
      </c>
      <c r="G53" s="30">
        <v>214.5</v>
      </c>
    </row>
    <row r="54" spans="1:14">
      <c r="A54" s="66">
        <v>2011</v>
      </c>
      <c r="B54" s="30">
        <v>53933.9</v>
      </c>
      <c r="C54" s="30">
        <v>6927.4</v>
      </c>
      <c r="D54" s="30">
        <f t="shared" si="0"/>
        <v>504.8</v>
      </c>
      <c r="E54" s="30">
        <v>20.5</v>
      </c>
      <c r="F54" s="30">
        <v>203.3</v>
      </c>
      <c r="G54" s="30">
        <v>281</v>
      </c>
    </row>
    <row r="55" spans="1:14">
      <c r="A55" s="66">
        <v>2012</v>
      </c>
      <c r="B55" s="30">
        <v>55996.9</v>
      </c>
      <c r="C55" s="30">
        <v>7067.1</v>
      </c>
      <c r="D55" s="30">
        <f t="shared" si="0"/>
        <v>555.5</v>
      </c>
      <c r="E55" s="30">
        <v>18.899999999999999</v>
      </c>
      <c r="F55" s="30">
        <v>236.3</v>
      </c>
      <c r="G55" s="30">
        <v>300.3</v>
      </c>
    </row>
    <row r="57" spans="1:14">
      <c r="A57" s="66" t="s">
        <v>23</v>
      </c>
      <c r="B57" s="56"/>
      <c r="C57" s="56"/>
    </row>
    <row r="58" spans="1:14">
      <c r="A58" s="69" t="s">
        <v>2121</v>
      </c>
      <c r="B58" s="147">
        <f>((B55/B4)^(1/51)-1)*100</f>
        <v>9.7504619915032009</v>
      </c>
      <c r="C58" s="147">
        <f t="shared" ref="C58:G58" si="2">((C55/C4)^(1/51)-1)*100</f>
        <v>8.2482713526490272</v>
      </c>
      <c r="D58" s="147">
        <f t="shared" si="2"/>
        <v>7.5452123608485744</v>
      </c>
      <c r="E58" s="147">
        <f t="shared" si="2"/>
        <v>10.824685101565112</v>
      </c>
      <c r="F58" s="147">
        <f t="shared" si="2"/>
        <v>14.879833788411489</v>
      </c>
      <c r="G58" s="147">
        <f t="shared" si="2"/>
        <v>6.302434240367627</v>
      </c>
    </row>
    <row r="59" spans="1:14">
      <c r="A59" s="68" t="s">
        <v>1031</v>
      </c>
      <c r="B59" s="147">
        <f t="shared" ref="B59:G59" si="3">((B16/B4)^(1/12)-1)*100</f>
        <v>10.566166771602003</v>
      </c>
      <c r="C59" s="147">
        <f t="shared" si="3"/>
        <v>9.3439316850491672</v>
      </c>
      <c r="D59" s="147">
        <f t="shared" si="3"/>
        <v>5.1338893320521439</v>
      </c>
      <c r="E59" s="147">
        <f t="shared" si="3"/>
        <v>5.946309435929531</v>
      </c>
      <c r="F59" s="147">
        <f t="shared" si="3"/>
        <v>12.246204830937302</v>
      </c>
      <c r="G59" s="147">
        <f t="shared" si="3"/>
        <v>4.9688509061232011</v>
      </c>
    </row>
    <row r="60" spans="1:14">
      <c r="A60" s="68" t="s">
        <v>1032</v>
      </c>
      <c r="B60" s="147">
        <f t="shared" ref="B60:G60" si="4">((B24/B16)^(1/8)-1)*100</f>
        <v>18.801156931280904</v>
      </c>
      <c r="C60" s="147">
        <f t="shared" si="4"/>
        <v>18.665584921091583</v>
      </c>
      <c r="D60" s="147">
        <f t="shared" si="4"/>
        <v>20.453174857766765</v>
      </c>
      <c r="E60" s="147">
        <f t="shared" si="4"/>
        <v>41.966374973784703</v>
      </c>
      <c r="F60" s="147">
        <f t="shared" si="4"/>
        <v>37.798001513662818</v>
      </c>
      <c r="G60" s="147">
        <f t="shared" si="4"/>
        <v>19.076144485985068</v>
      </c>
    </row>
    <row r="61" spans="1:14">
      <c r="A61" s="68" t="s">
        <v>25</v>
      </c>
      <c r="B61" s="147">
        <f t="shared" ref="B61:G61" si="5">((B32/B24)^(1/8)-1)*100</f>
        <v>8.7302111370333826</v>
      </c>
      <c r="C61" s="147">
        <f t="shared" si="5"/>
        <v>6.5278238625022134</v>
      </c>
      <c r="D61" s="147">
        <f t="shared" si="5"/>
        <v>11.953196752748285</v>
      </c>
      <c r="E61" s="147">
        <f t="shared" si="5"/>
        <v>12.719243115475344</v>
      </c>
      <c r="F61" s="147">
        <f t="shared" si="5"/>
        <v>13.229378248551814</v>
      </c>
      <c r="G61" s="147">
        <f t="shared" si="5"/>
        <v>11.781767358986439</v>
      </c>
    </row>
    <row r="62" spans="1:14">
      <c r="A62" s="68" t="s">
        <v>26</v>
      </c>
      <c r="B62" s="147">
        <f t="shared" ref="B62:G62" si="6">((B43/B32)^(1/11)-1)*100</f>
        <v>8.7342121020448804</v>
      </c>
      <c r="C62" s="147">
        <f t="shared" si="6"/>
        <v>7.9798010695627752</v>
      </c>
      <c r="D62" s="147">
        <f t="shared" si="6"/>
        <v>5.5327713972483483</v>
      </c>
      <c r="E62" s="147">
        <f t="shared" si="6"/>
        <v>7.726231888038404</v>
      </c>
      <c r="F62" s="147">
        <f t="shared" si="6"/>
        <v>10.237821339076824</v>
      </c>
      <c r="G62" s="147">
        <f t="shared" si="6"/>
        <v>4.7037239018789867</v>
      </c>
    </row>
    <row r="63" spans="1:14">
      <c r="A63" s="69" t="s">
        <v>2028</v>
      </c>
      <c r="B63" s="147">
        <f>((B55/B43)^(1/12)-1)*100</f>
        <v>4.8709339734760437</v>
      </c>
      <c r="C63" s="147">
        <f t="shared" ref="C63:G63" si="7">((C55/C43)^(1/12)-1)*100</f>
        <v>2.1108511390580453</v>
      </c>
      <c r="D63" s="147">
        <f t="shared" si="7"/>
        <v>1.0441403656115344</v>
      </c>
      <c r="E63" s="147">
        <f t="shared" si="7"/>
        <v>-0.26009901735720709</v>
      </c>
      <c r="F63" s="147">
        <f t="shared" si="7"/>
        <v>9.2094065278610859</v>
      </c>
      <c r="G63" s="147">
        <f t="shared" si="7"/>
        <v>-2.1293611922093669</v>
      </c>
    </row>
    <row r="65" spans="1:1">
      <c r="A65" s="64" t="s">
        <v>1813</v>
      </c>
    </row>
  </sheetData>
  <mergeCells count="7">
    <mergeCell ref="K2:N2"/>
    <mergeCell ref="A1:G1"/>
    <mergeCell ref="B2:B3"/>
    <mergeCell ref="C2:C3"/>
    <mergeCell ref="D2:G2"/>
    <mergeCell ref="I2:I3"/>
    <mergeCell ref="J2:J3"/>
  </mergeCells>
  <pageMargins left="0.7" right="0.7" top="0.75" bottom="0.75" header="0.3" footer="0.3"/>
  <pageSetup scale="93" orientation="portrait" horizontalDpi="0" verticalDpi="0" r:id="rId1"/>
</worksheet>
</file>

<file path=xl/worksheets/sheet74.xml><?xml version="1.0" encoding="utf-8"?>
<worksheet xmlns="http://schemas.openxmlformats.org/spreadsheetml/2006/main" xmlns:r="http://schemas.openxmlformats.org/officeDocument/2006/relationships">
  <sheetPr codeName="Sheet69"/>
  <dimension ref="A1:O66"/>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5703125" style="64" customWidth="1"/>
    <col min="2" max="3" width="14.140625" style="135" customWidth="1"/>
    <col min="4" max="4" width="16" style="135" customWidth="1"/>
    <col min="5" max="5" width="11.28515625" style="135" customWidth="1"/>
    <col min="6" max="6" width="15.140625" style="135" customWidth="1"/>
    <col min="7" max="7" width="14.140625" style="135" customWidth="1"/>
    <col min="8" max="8" width="9.140625" style="135"/>
    <col min="9" max="14" width="25.85546875" style="135" hidden="1" customWidth="1" outlineLevel="1"/>
    <col min="15" max="15" width="9.140625" style="64" collapsed="1"/>
    <col min="16" max="16384" width="9.140625" style="64"/>
  </cols>
  <sheetData>
    <row r="1" spans="1:14" ht="30" customHeight="1">
      <c r="A1" s="93" t="s">
        <v>2061</v>
      </c>
      <c r="B1" s="93"/>
      <c r="C1" s="93"/>
      <c r="D1" s="93"/>
      <c r="E1" s="93"/>
      <c r="F1" s="93"/>
      <c r="G1" s="93"/>
    </row>
    <row r="2" spans="1:14">
      <c r="B2" s="123" t="s">
        <v>673</v>
      </c>
      <c r="C2" s="123" t="s">
        <v>938</v>
      </c>
      <c r="D2" s="159" t="s">
        <v>37</v>
      </c>
      <c r="E2" s="160"/>
      <c r="F2" s="160"/>
      <c r="G2" s="161"/>
      <c r="I2" s="123" t="s">
        <v>673</v>
      </c>
      <c r="J2" s="123" t="s">
        <v>938</v>
      </c>
      <c r="K2" s="159" t="s">
        <v>37</v>
      </c>
      <c r="L2" s="160"/>
      <c r="M2" s="160"/>
      <c r="N2" s="161"/>
    </row>
    <row r="3" spans="1:14" ht="60">
      <c r="B3" s="126"/>
      <c r="C3" s="126"/>
      <c r="D3" s="72" t="s">
        <v>78</v>
      </c>
      <c r="E3" s="72" t="s">
        <v>750</v>
      </c>
      <c r="F3" s="72" t="s">
        <v>745</v>
      </c>
      <c r="G3" s="72" t="s">
        <v>678</v>
      </c>
      <c r="I3" s="126"/>
      <c r="J3" s="126"/>
      <c r="K3" s="72" t="s">
        <v>78</v>
      </c>
      <c r="L3" s="72" t="s">
        <v>750</v>
      </c>
      <c r="M3" s="72" t="s">
        <v>745</v>
      </c>
      <c r="N3" s="72" t="s">
        <v>678</v>
      </c>
    </row>
    <row r="4" spans="1:14">
      <c r="A4" s="66">
        <v>1961</v>
      </c>
      <c r="B4" s="30">
        <v>31796.3</v>
      </c>
      <c r="C4" s="30">
        <v>6070</v>
      </c>
      <c r="D4" s="30">
        <f t="shared" ref="D4:D15" si="0">SUM(E4:G4)</f>
        <v>1536</v>
      </c>
      <c r="E4" s="30">
        <v>269.8</v>
      </c>
      <c r="F4" s="30">
        <v>281.8</v>
      </c>
      <c r="G4" s="30">
        <v>984.4</v>
      </c>
      <c r="H4" s="30"/>
      <c r="I4" s="135">
        <v>30206313.399999999</v>
      </c>
      <c r="J4" s="135">
        <v>6320961.0999999996</v>
      </c>
      <c r="K4" s="135">
        <f>SUM(L4:N4)</f>
        <v>845239.3</v>
      </c>
      <c r="L4" s="135">
        <v>266761.3</v>
      </c>
      <c r="M4" s="135">
        <v>289239</v>
      </c>
      <c r="N4" s="135">
        <v>289239</v>
      </c>
    </row>
    <row r="5" spans="1:14" hidden="1" outlineLevel="1">
      <c r="A5" s="66">
        <v>1962</v>
      </c>
      <c r="B5" s="30">
        <v>33546.400000000001</v>
      </c>
      <c r="C5" s="30">
        <v>6348.8</v>
      </c>
      <c r="D5" s="30">
        <f t="shared" si="0"/>
        <v>1576.7</v>
      </c>
      <c r="E5" s="30">
        <v>274.10000000000002</v>
      </c>
      <c r="F5" s="30">
        <v>284.60000000000002</v>
      </c>
      <c r="G5" s="30">
        <v>1018</v>
      </c>
      <c r="I5" s="135">
        <v>31136734.800000001</v>
      </c>
      <c r="J5" s="135">
        <v>6427971.2999999998</v>
      </c>
      <c r="K5" s="135">
        <f t="shared" ref="K5:K50" si="1">SUM(L5:N5)</f>
        <v>853312.10000000009</v>
      </c>
      <c r="L5" s="135">
        <v>269114.5</v>
      </c>
      <c r="M5" s="135">
        <v>292098.8</v>
      </c>
      <c r="N5" s="135">
        <v>292098.8</v>
      </c>
    </row>
    <row r="6" spans="1:14" hidden="1" outlineLevel="1">
      <c r="A6" s="66">
        <v>1963</v>
      </c>
      <c r="B6" s="30">
        <v>35328</v>
      </c>
      <c r="C6" s="30">
        <v>6670.9</v>
      </c>
      <c r="D6" s="30">
        <f t="shared" si="0"/>
        <v>1638</v>
      </c>
      <c r="E6" s="30">
        <v>282.8</v>
      </c>
      <c r="F6" s="30">
        <v>289.39999999999998</v>
      </c>
      <c r="G6" s="30">
        <v>1065.8</v>
      </c>
      <c r="I6" s="135">
        <v>32234912.5</v>
      </c>
      <c r="J6" s="135">
        <v>6611980.0999999996</v>
      </c>
      <c r="K6" s="135">
        <f t="shared" si="1"/>
        <v>871422.5</v>
      </c>
      <c r="L6" s="135">
        <v>276757.09999999998</v>
      </c>
      <c r="M6" s="135">
        <v>297332.7</v>
      </c>
      <c r="N6" s="135">
        <v>297332.7</v>
      </c>
    </row>
    <row r="7" spans="1:14" hidden="1" outlineLevel="1">
      <c r="A7" s="66">
        <v>1964</v>
      </c>
      <c r="B7" s="30">
        <v>37419</v>
      </c>
      <c r="C7" s="30">
        <v>7119.1</v>
      </c>
      <c r="D7" s="30">
        <f t="shared" si="0"/>
        <v>1762.9</v>
      </c>
      <c r="E7" s="30">
        <v>303.5</v>
      </c>
      <c r="F7" s="30">
        <v>301</v>
      </c>
      <c r="G7" s="30">
        <v>1158.4000000000001</v>
      </c>
      <c r="I7" s="135">
        <v>33753646.100000001</v>
      </c>
      <c r="J7" s="135">
        <v>6962095.4000000004</v>
      </c>
      <c r="K7" s="135">
        <f t="shared" si="1"/>
        <v>919036.6</v>
      </c>
      <c r="L7" s="135">
        <v>298072.59999999998</v>
      </c>
      <c r="M7" s="135">
        <v>310482</v>
      </c>
      <c r="N7" s="135">
        <v>310482</v>
      </c>
    </row>
    <row r="8" spans="1:14" hidden="1" outlineLevel="1">
      <c r="A8" s="66">
        <v>1965</v>
      </c>
      <c r="B8" s="30">
        <v>40093.199999999997</v>
      </c>
      <c r="C8" s="30">
        <v>7807.7</v>
      </c>
      <c r="D8" s="30">
        <f t="shared" si="0"/>
        <v>1955.8</v>
      </c>
      <c r="E8" s="30">
        <v>332.8</v>
      </c>
      <c r="F8" s="30">
        <v>319</v>
      </c>
      <c r="G8" s="30">
        <v>1304</v>
      </c>
      <c r="I8" s="135">
        <v>35935738.899999999</v>
      </c>
      <c r="J8" s="135">
        <v>7588194.7000000002</v>
      </c>
      <c r="K8" s="135">
        <f t="shared" si="1"/>
        <v>990666.5</v>
      </c>
      <c r="L8" s="135">
        <v>329032.90000000002</v>
      </c>
      <c r="M8" s="135">
        <v>330816.8</v>
      </c>
      <c r="N8" s="135">
        <v>330816.8</v>
      </c>
    </row>
    <row r="9" spans="1:14" hidden="1" outlineLevel="1">
      <c r="A9" s="66">
        <v>1966</v>
      </c>
      <c r="B9" s="30">
        <v>43388</v>
      </c>
      <c r="C9" s="30">
        <v>8718.4</v>
      </c>
      <c r="D9" s="30">
        <f t="shared" si="0"/>
        <v>2194.8000000000002</v>
      </c>
      <c r="E9" s="30">
        <v>355.6</v>
      </c>
      <c r="F9" s="30">
        <v>336.6</v>
      </c>
      <c r="G9" s="30">
        <v>1502.6</v>
      </c>
      <c r="I9" s="135">
        <v>38781462.600000001</v>
      </c>
      <c r="J9" s="135">
        <v>8459211.8000000007</v>
      </c>
      <c r="K9" s="135">
        <f t="shared" si="1"/>
        <v>1054260.7999999998</v>
      </c>
      <c r="L9" s="135">
        <v>352978.6</v>
      </c>
      <c r="M9" s="135">
        <v>350641.1</v>
      </c>
      <c r="N9" s="135">
        <v>350641.1</v>
      </c>
    </row>
    <row r="10" spans="1:14" hidden="1" outlineLevel="1">
      <c r="A10" s="66">
        <v>1967</v>
      </c>
      <c r="B10" s="30">
        <v>46757.1</v>
      </c>
      <c r="C10" s="30">
        <v>9550.4</v>
      </c>
      <c r="D10" s="30">
        <f t="shared" si="0"/>
        <v>2408.3000000000002</v>
      </c>
      <c r="E10" s="30">
        <v>370</v>
      </c>
      <c r="F10" s="30">
        <v>347.5</v>
      </c>
      <c r="G10" s="30">
        <v>1690.8</v>
      </c>
      <c r="I10" s="135">
        <v>41668187.299999997</v>
      </c>
      <c r="J10" s="135">
        <v>9237095.5999999996</v>
      </c>
      <c r="K10" s="135">
        <f t="shared" si="1"/>
        <v>1091869.5</v>
      </c>
      <c r="L10" s="135">
        <v>367587.5</v>
      </c>
      <c r="M10" s="135">
        <v>362141</v>
      </c>
      <c r="N10" s="135">
        <v>362141</v>
      </c>
    </row>
    <row r="11" spans="1:14" hidden="1" outlineLevel="1">
      <c r="A11" s="66">
        <v>1968</v>
      </c>
      <c r="B11" s="30">
        <v>49517.3</v>
      </c>
      <c r="C11" s="30">
        <v>10029.799999999999</v>
      </c>
      <c r="D11" s="30">
        <f t="shared" si="0"/>
        <v>2490.8999999999996</v>
      </c>
      <c r="E11" s="30">
        <v>374.9</v>
      </c>
      <c r="F11" s="30">
        <v>357.2</v>
      </c>
      <c r="G11" s="30">
        <v>1758.8</v>
      </c>
      <c r="I11" s="135">
        <v>43901236.5</v>
      </c>
      <c r="J11" s="135">
        <v>9617485</v>
      </c>
      <c r="K11" s="135">
        <f t="shared" si="1"/>
        <v>1115163.8999999999</v>
      </c>
      <c r="L11" s="135">
        <v>371512.9</v>
      </c>
      <c r="M11" s="135">
        <v>371825.5</v>
      </c>
      <c r="N11" s="135">
        <v>371825.5</v>
      </c>
    </row>
    <row r="12" spans="1:14" hidden="1" outlineLevel="1">
      <c r="A12" s="66">
        <v>1969</v>
      </c>
      <c r="B12" s="30">
        <v>51894.8</v>
      </c>
      <c r="C12" s="30">
        <v>10424.4</v>
      </c>
      <c r="D12" s="30">
        <f t="shared" si="0"/>
        <v>2549.3000000000002</v>
      </c>
      <c r="E12" s="30">
        <v>382</v>
      </c>
      <c r="F12" s="30">
        <v>395.4</v>
      </c>
      <c r="G12" s="30">
        <v>1771.9</v>
      </c>
      <c r="I12" s="135">
        <v>45801940.100000001</v>
      </c>
      <c r="J12" s="135">
        <v>9912746.0999999996</v>
      </c>
      <c r="K12" s="135">
        <f t="shared" si="1"/>
        <v>1205342.5</v>
      </c>
      <c r="L12" s="135">
        <v>377767.9</v>
      </c>
      <c r="M12" s="135">
        <v>413787.3</v>
      </c>
      <c r="N12" s="135">
        <v>413787.3</v>
      </c>
    </row>
    <row r="13" spans="1:14" hidden="1" outlineLevel="1">
      <c r="A13" s="66">
        <v>1970</v>
      </c>
      <c r="B13" s="30">
        <v>54258.3</v>
      </c>
      <c r="C13" s="30">
        <v>11007.8</v>
      </c>
      <c r="D13" s="30">
        <f t="shared" si="0"/>
        <v>2695.3</v>
      </c>
      <c r="E13" s="30">
        <v>389.9</v>
      </c>
      <c r="F13" s="30">
        <v>460.2</v>
      </c>
      <c r="G13" s="30">
        <v>1845.2</v>
      </c>
      <c r="I13" s="135">
        <v>47741129.299999997</v>
      </c>
      <c r="J13" s="135">
        <v>10433764.300000001</v>
      </c>
      <c r="K13" s="135">
        <f t="shared" si="1"/>
        <v>1355002.2</v>
      </c>
      <c r="L13" s="135">
        <v>384414.8</v>
      </c>
      <c r="M13" s="135">
        <v>485293.7</v>
      </c>
      <c r="N13" s="135">
        <v>485293.7</v>
      </c>
    </row>
    <row r="14" spans="1:14" hidden="1" outlineLevel="1">
      <c r="A14" s="66">
        <v>1971</v>
      </c>
      <c r="B14" s="30">
        <v>56795.4</v>
      </c>
      <c r="C14" s="30">
        <v>11571.9</v>
      </c>
      <c r="D14" s="30">
        <f t="shared" si="0"/>
        <v>2862.8999999999996</v>
      </c>
      <c r="E14" s="30">
        <v>392.2</v>
      </c>
      <c r="F14" s="30">
        <v>515.9</v>
      </c>
      <c r="G14" s="30">
        <v>1954.8</v>
      </c>
      <c r="I14" s="135">
        <v>49825293.299999997</v>
      </c>
      <c r="J14" s="135">
        <v>10946119.6</v>
      </c>
      <c r="K14" s="135">
        <f t="shared" si="1"/>
        <v>1476549.8</v>
      </c>
      <c r="L14" s="135">
        <v>384791</v>
      </c>
      <c r="M14" s="135">
        <v>545879.4</v>
      </c>
      <c r="N14" s="135">
        <v>545879.4</v>
      </c>
    </row>
    <row r="15" spans="1:14" hidden="1" outlineLevel="1">
      <c r="A15" s="66">
        <v>1972</v>
      </c>
      <c r="B15" s="30">
        <v>59552.4</v>
      </c>
      <c r="C15" s="30">
        <v>11934.5</v>
      </c>
      <c r="D15" s="30">
        <f t="shared" si="0"/>
        <v>2983.5</v>
      </c>
      <c r="E15" s="30">
        <v>404.8</v>
      </c>
      <c r="F15" s="30">
        <v>563.9</v>
      </c>
      <c r="G15" s="30">
        <v>2014.8</v>
      </c>
      <c r="I15" s="135">
        <v>52182084.600000001</v>
      </c>
      <c r="J15" s="135">
        <v>11260472.6</v>
      </c>
      <c r="K15" s="135">
        <f t="shared" si="1"/>
        <v>1595942.6</v>
      </c>
      <c r="L15" s="135">
        <v>396766.6</v>
      </c>
      <c r="M15" s="135">
        <v>599588</v>
      </c>
      <c r="N15" s="135">
        <v>599588</v>
      </c>
    </row>
    <row r="16" spans="1:14" collapsed="1">
      <c r="A16" s="66">
        <v>1973</v>
      </c>
      <c r="B16" s="30">
        <v>62731.1</v>
      </c>
      <c r="C16" s="30">
        <v>12343</v>
      </c>
      <c r="D16" s="30">
        <f t="shared" ref="D16:D54" si="2">SUM(E16:G16)</f>
        <v>3086.6</v>
      </c>
      <c r="E16" s="30">
        <v>443.5</v>
      </c>
      <c r="F16" s="30">
        <v>636.5</v>
      </c>
      <c r="G16" s="30">
        <v>2006.6</v>
      </c>
      <c r="I16" s="135">
        <v>55177295.100000001</v>
      </c>
      <c r="J16" s="135">
        <v>11669320.1</v>
      </c>
      <c r="K16" s="135">
        <f t="shared" si="1"/>
        <v>1805446.4</v>
      </c>
      <c r="L16" s="135">
        <v>437469</v>
      </c>
      <c r="M16" s="135">
        <v>683988.7</v>
      </c>
      <c r="N16" s="135">
        <v>683988.7</v>
      </c>
    </row>
    <row r="17" spans="1:14" hidden="1" outlineLevel="1">
      <c r="A17" s="66">
        <v>1974</v>
      </c>
      <c r="B17" s="30">
        <v>66370.100000000006</v>
      </c>
      <c r="C17" s="30">
        <v>12958.4</v>
      </c>
      <c r="D17" s="30">
        <f t="shared" si="2"/>
        <v>3216.1000000000004</v>
      </c>
      <c r="E17" s="30">
        <v>504</v>
      </c>
      <c r="F17" s="30">
        <v>712.4</v>
      </c>
      <c r="G17" s="30">
        <v>1999.7</v>
      </c>
      <c r="I17" s="135">
        <v>58806227.799999997</v>
      </c>
      <c r="J17" s="135">
        <v>12339199.199999999</v>
      </c>
      <c r="K17" s="135">
        <f t="shared" si="1"/>
        <v>2046508.5000000002</v>
      </c>
      <c r="L17" s="135">
        <v>503509.9</v>
      </c>
      <c r="M17" s="135">
        <v>771499.3</v>
      </c>
      <c r="N17" s="135">
        <v>771499.3</v>
      </c>
    </row>
    <row r="18" spans="1:14" hidden="1" outlineLevel="1">
      <c r="A18" s="66">
        <v>1975</v>
      </c>
      <c r="B18" s="30">
        <v>70013.600000000006</v>
      </c>
      <c r="C18" s="30">
        <v>13584.8</v>
      </c>
      <c r="D18" s="30">
        <f t="shared" si="2"/>
        <v>3294.2</v>
      </c>
      <c r="E18" s="30">
        <v>536.79999999999995</v>
      </c>
      <c r="F18" s="30">
        <v>750.9</v>
      </c>
      <c r="G18" s="30">
        <v>2006.5</v>
      </c>
      <c r="I18" s="135">
        <v>62459301.700000003</v>
      </c>
      <c r="J18" s="135">
        <v>13012981.6</v>
      </c>
      <c r="K18" s="135">
        <f t="shared" si="1"/>
        <v>2167502.6</v>
      </c>
      <c r="L18" s="135">
        <v>539291</v>
      </c>
      <c r="M18" s="135">
        <v>814105.8</v>
      </c>
      <c r="N18" s="135">
        <v>814105.8</v>
      </c>
    </row>
    <row r="19" spans="1:14" hidden="1" outlineLevel="1">
      <c r="A19" s="66">
        <v>1976</v>
      </c>
      <c r="B19" s="30">
        <v>73364.5</v>
      </c>
      <c r="C19" s="30">
        <v>14019.8</v>
      </c>
      <c r="D19" s="30">
        <f t="shared" si="2"/>
        <v>3313.1</v>
      </c>
      <c r="E19" s="30">
        <v>533</v>
      </c>
      <c r="F19" s="30">
        <v>764.3</v>
      </c>
      <c r="G19" s="30">
        <v>2015.8</v>
      </c>
      <c r="I19" s="135">
        <v>65758000.399999999</v>
      </c>
      <c r="J19" s="135">
        <v>13449916.5</v>
      </c>
      <c r="K19" s="135">
        <f t="shared" si="1"/>
        <v>2186663.2999999998</v>
      </c>
      <c r="L19" s="135">
        <v>533195.30000000005</v>
      </c>
      <c r="M19" s="135">
        <v>826734</v>
      </c>
      <c r="N19" s="135">
        <v>826734</v>
      </c>
    </row>
    <row r="20" spans="1:14" hidden="1" outlineLevel="1">
      <c r="A20" s="66">
        <v>1977</v>
      </c>
      <c r="B20" s="30">
        <v>76308.5</v>
      </c>
      <c r="C20" s="30">
        <v>14342.1</v>
      </c>
      <c r="D20" s="30">
        <f t="shared" si="2"/>
        <v>3326.1</v>
      </c>
      <c r="E20" s="30">
        <v>527.5</v>
      </c>
      <c r="F20" s="30">
        <v>763</v>
      </c>
      <c r="G20" s="30">
        <v>2035.6</v>
      </c>
      <c r="I20" s="135">
        <v>68475112.599999994</v>
      </c>
      <c r="J20" s="135">
        <v>13745021.699999999</v>
      </c>
      <c r="K20" s="135">
        <f t="shared" si="1"/>
        <v>2169315.6</v>
      </c>
      <c r="L20" s="135">
        <v>525105</v>
      </c>
      <c r="M20" s="135">
        <v>822105.3</v>
      </c>
      <c r="N20" s="135">
        <v>822105.3</v>
      </c>
    </row>
    <row r="21" spans="1:14" hidden="1" outlineLevel="1">
      <c r="A21" s="66">
        <v>1978</v>
      </c>
      <c r="B21" s="30">
        <v>78956.600000000006</v>
      </c>
      <c r="C21" s="30">
        <v>14553.1</v>
      </c>
      <c r="D21" s="30">
        <f t="shared" si="2"/>
        <v>3316.2</v>
      </c>
      <c r="E21" s="30">
        <v>528.4</v>
      </c>
      <c r="F21" s="30">
        <v>763.9</v>
      </c>
      <c r="G21" s="30">
        <v>2023.9</v>
      </c>
      <c r="I21" s="135">
        <v>70719940.799999997</v>
      </c>
      <c r="J21" s="135">
        <v>13908670.800000001</v>
      </c>
      <c r="K21" s="135">
        <f t="shared" si="1"/>
        <v>2166683.4</v>
      </c>
      <c r="L21" s="135">
        <v>525103.19999999995</v>
      </c>
      <c r="M21" s="135">
        <v>820790.1</v>
      </c>
      <c r="N21" s="135">
        <v>820790.1</v>
      </c>
    </row>
    <row r="22" spans="1:14" hidden="1" outlineLevel="1">
      <c r="A22" s="66">
        <v>1979</v>
      </c>
      <c r="B22" s="30">
        <v>82014.7</v>
      </c>
      <c r="C22" s="30">
        <v>14770.5</v>
      </c>
      <c r="D22" s="30">
        <f t="shared" si="2"/>
        <v>3326.7</v>
      </c>
      <c r="E22" s="30">
        <v>535.6</v>
      </c>
      <c r="F22" s="30">
        <v>782.6</v>
      </c>
      <c r="G22" s="30">
        <v>2008.5</v>
      </c>
      <c r="I22" s="135">
        <v>73357947.900000006</v>
      </c>
      <c r="J22" s="135">
        <v>14077270.699999999</v>
      </c>
      <c r="K22" s="135">
        <f t="shared" si="1"/>
        <v>2211740</v>
      </c>
      <c r="L22" s="135">
        <v>531482.4</v>
      </c>
      <c r="M22" s="135">
        <v>840128.8</v>
      </c>
      <c r="N22" s="135">
        <v>840128.8</v>
      </c>
    </row>
    <row r="23" spans="1:14" hidden="1" outlineLevel="1">
      <c r="A23" s="66">
        <v>1980</v>
      </c>
      <c r="B23" s="30">
        <v>85908.5</v>
      </c>
      <c r="C23" s="30">
        <v>15276.4</v>
      </c>
      <c r="D23" s="30">
        <f t="shared" si="2"/>
        <v>3424.3</v>
      </c>
      <c r="E23" s="30">
        <v>548.1</v>
      </c>
      <c r="F23" s="30">
        <v>810.4</v>
      </c>
      <c r="G23" s="30">
        <v>2065.8000000000002</v>
      </c>
      <c r="I23" s="135">
        <v>76685951.200000003</v>
      </c>
      <c r="J23" s="135">
        <v>14537874.1</v>
      </c>
      <c r="K23" s="135">
        <f t="shared" si="1"/>
        <v>2279247</v>
      </c>
      <c r="L23" s="135">
        <v>543028</v>
      </c>
      <c r="M23" s="135">
        <v>868109.5</v>
      </c>
      <c r="N23" s="135">
        <v>868109.5</v>
      </c>
    </row>
    <row r="24" spans="1:14" collapsed="1">
      <c r="A24" s="66">
        <v>1981</v>
      </c>
      <c r="B24" s="30">
        <v>90230.399999999994</v>
      </c>
      <c r="C24" s="30">
        <v>16066.3</v>
      </c>
      <c r="D24" s="30">
        <f t="shared" si="2"/>
        <v>3589.7999999999997</v>
      </c>
      <c r="E24" s="30">
        <v>543.9</v>
      </c>
      <c r="F24" s="30">
        <v>822.3</v>
      </c>
      <c r="G24" s="30">
        <v>2223.6</v>
      </c>
      <c r="I24" s="135">
        <v>80669565.099999994</v>
      </c>
      <c r="J24" s="135">
        <v>15366458</v>
      </c>
      <c r="K24" s="135">
        <f t="shared" si="1"/>
        <v>2307945.9</v>
      </c>
      <c r="L24" s="135">
        <v>539758.9</v>
      </c>
      <c r="M24" s="135">
        <v>884093.5</v>
      </c>
      <c r="N24" s="135">
        <v>884093.5</v>
      </c>
    </row>
    <row r="25" spans="1:14">
      <c r="A25" s="66">
        <v>1982</v>
      </c>
      <c r="B25" s="30">
        <v>93717.7</v>
      </c>
      <c r="C25" s="30">
        <v>16677.8</v>
      </c>
      <c r="D25" s="30">
        <f t="shared" si="2"/>
        <v>3679.3</v>
      </c>
      <c r="E25" s="30">
        <v>505.3</v>
      </c>
      <c r="F25" s="30">
        <v>801.5</v>
      </c>
      <c r="G25" s="30">
        <v>2372.5</v>
      </c>
      <c r="I25" s="135">
        <v>84004458.5</v>
      </c>
      <c r="J25" s="135">
        <v>16038984.300000001</v>
      </c>
      <c r="K25" s="135">
        <f t="shared" si="1"/>
        <v>2232940.2000000002</v>
      </c>
      <c r="L25" s="135">
        <v>499169.2</v>
      </c>
      <c r="M25" s="135">
        <v>866885.5</v>
      </c>
      <c r="N25" s="135">
        <v>866885.5</v>
      </c>
    </row>
    <row r="26" spans="1:14">
      <c r="A26" s="66">
        <v>1983</v>
      </c>
      <c r="B26" s="30">
        <v>95651.6</v>
      </c>
      <c r="C26" s="30">
        <v>16662.400000000001</v>
      </c>
      <c r="D26" s="30">
        <f t="shared" si="2"/>
        <v>3580.7</v>
      </c>
      <c r="E26" s="30">
        <v>457.3</v>
      </c>
      <c r="F26" s="30">
        <v>763.3</v>
      </c>
      <c r="G26" s="30">
        <v>2360.1</v>
      </c>
      <c r="I26" s="135">
        <v>85614118.900000006</v>
      </c>
      <c r="J26" s="135">
        <v>16015320.6</v>
      </c>
      <c r="K26" s="135">
        <f t="shared" si="1"/>
        <v>2099736.7000000002</v>
      </c>
      <c r="L26" s="135">
        <v>445822.1</v>
      </c>
      <c r="M26" s="135">
        <v>826957.3</v>
      </c>
      <c r="N26" s="135">
        <v>826957.3</v>
      </c>
    </row>
    <row r="27" spans="1:14">
      <c r="A27" s="66">
        <v>1984</v>
      </c>
      <c r="B27" s="30">
        <v>97231.4</v>
      </c>
      <c r="C27" s="30">
        <v>16314.8</v>
      </c>
      <c r="D27" s="30">
        <f t="shared" si="2"/>
        <v>3429</v>
      </c>
      <c r="E27" s="30">
        <v>427.4</v>
      </c>
      <c r="F27" s="30">
        <v>732.8</v>
      </c>
      <c r="G27" s="30">
        <v>2268.8000000000002</v>
      </c>
      <c r="I27" s="135">
        <v>86872430.700000003</v>
      </c>
      <c r="J27" s="135">
        <v>15647775.699999999</v>
      </c>
      <c r="K27" s="135">
        <f t="shared" si="1"/>
        <v>2005150.2999999998</v>
      </c>
      <c r="L27" s="135">
        <v>413936.1</v>
      </c>
      <c r="M27" s="135">
        <v>795607.1</v>
      </c>
      <c r="N27" s="135">
        <v>795607.1</v>
      </c>
    </row>
    <row r="28" spans="1:14">
      <c r="A28" s="66">
        <v>1985</v>
      </c>
      <c r="B28" s="30">
        <v>99195.7</v>
      </c>
      <c r="C28" s="30">
        <v>16190.6</v>
      </c>
      <c r="D28" s="30">
        <f t="shared" si="2"/>
        <v>3395</v>
      </c>
      <c r="E28" s="30">
        <v>410.2</v>
      </c>
      <c r="F28" s="30">
        <v>711.5</v>
      </c>
      <c r="G28" s="30">
        <v>2273.3000000000002</v>
      </c>
      <c r="I28" s="135">
        <v>88470093.299999997</v>
      </c>
      <c r="J28" s="135">
        <v>15526055.699999999</v>
      </c>
      <c r="K28" s="135">
        <f t="shared" si="1"/>
        <v>1946226.9</v>
      </c>
      <c r="L28" s="135">
        <v>396814.5</v>
      </c>
      <c r="M28" s="135">
        <v>774706.2</v>
      </c>
      <c r="N28" s="135">
        <v>774706.2</v>
      </c>
    </row>
    <row r="29" spans="1:14">
      <c r="A29" s="66">
        <v>1986</v>
      </c>
      <c r="B29" s="30">
        <v>101121</v>
      </c>
      <c r="C29" s="30">
        <v>16507.3</v>
      </c>
      <c r="D29" s="30">
        <f t="shared" si="2"/>
        <v>3434.6</v>
      </c>
      <c r="E29" s="30">
        <v>399.7</v>
      </c>
      <c r="F29" s="30">
        <v>701.7</v>
      </c>
      <c r="G29" s="30">
        <v>2333.1999999999998</v>
      </c>
      <c r="I29" s="135">
        <v>90212767.799999997</v>
      </c>
      <c r="J29" s="135">
        <v>15930945.699999999</v>
      </c>
      <c r="K29" s="135">
        <f t="shared" si="1"/>
        <v>1923227.5</v>
      </c>
      <c r="L29" s="135">
        <v>387466.7</v>
      </c>
      <c r="M29" s="135">
        <v>767880.4</v>
      </c>
      <c r="N29" s="135">
        <v>767880.4</v>
      </c>
    </row>
    <row r="30" spans="1:14">
      <c r="A30" s="66">
        <v>1987</v>
      </c>
      <c r="B30" s="30">
        <v>103073.3</v>
      </c>
      <c r="C30" s="30">
        <v>17041.099999999999</v>
      </c>
      <c r="D30" s="30">
        <f t="shared" si="2"/>
        <v>3553.1</v>
      </c>
      <c r="E30" s="30">
        <v>398.7</v>
      </c>
      <c r="F30" s="30">
        <v>729.8</v>
      </c>
      <c r="G30" s="30">
        <v>2424.6</v>
      </c>
      <c r="I30" s="135">
        <v>92292224.400000006</v>
      </c>
      <c r="J30" s="135">
        <v>16610226.800000001</v>
      </c>
      <c r="K30" s="135">
        <f t="shared" si="1"/>
        <v>2002675.2</v>
      </c>
      <c r="L30" s="135">
        <v>388552.2</v>
      </c>
      <c r="M30" s="135">
        <v>807061.5</v>
      </c>
      <c r="N30" s="135">
        <v>807061.5</v>
      </c>
    </row>
    <row r="31" spans="1:14">
      <c r="A31" s="66">
        <v>1988</v>
      </c>
      <c r="B31" s="30">
        <v>106267.5</v>
      </c>
      <c r="C31" s="30">
        <v>17715.5</v>
      </c>
      <c r="D31" s="30">
        <f t="shared" si="2"/>
        <v>3855.3</v>
      </c>
      <c r="E31" s="30">
        <v>400.5</v>
      </c>
      <c r="F31" s="30">
        <v>812.3</v>
      </c>
      <c r="G31" s="30">
        <v>2642.5</v>
      </c>
      <c r="I31" s="135">
        <v>95827524.400000006</v>
      </c>
      <c r="J31" s="135">
        <v>17485924.199999999</v>
      </c>
      <c r="K31" s="135">
        <f t="shared" si="1"/>
        <v>2221390.1</v>
      </c>
      <c r="L31" s="135">
        <v>391654.3</v>
      </c>
      <c r="M31" s="135">
        <v>914867.9</v>
      </c>
      <c r="N31" s="135">
        <v>914867.9</v>
      </c>
    </row>
    <row r="32" spans="1:14">
      <c r="A32" s="66">
        <v>1989</v>
      </c>
      <c r="B32" s="30">
        <v>110392.7</v>
      </c>
      <c r="C32" s="30">
        <v>18700.7</v>
      </c>
      <c r="D32" s="30">
        <f t="shared" si="2"/>
        <v>4363.7</v>
      </c>
      <c r="E32" s="30">
        <v>402</v>
      </c>
      <c r="F32" s="30">
        <v>891.5</v>
      </c>
      <c r="G32" s="30">
        <v>3070.2</v>
      </c>
      <c r="I32" s="135">
        <v>100427381.3</v>
      </c>
      <c r="J32" s="135">
        <v>18750407.5</v>
      </c>
      <c r="K32" s="135">
        <f t="shared" si="1"/>
        <v>2432278.2999999998</v>
      </c>
      <c r="L32" s="135">
        <v>394998.5</v>
      </c>
      <c r="M32" s="135">
        <v>1018639.9</v>
      </c>
      <c r="N32" s="135">
        <v>1018639.9</v>
      </c>
    </row>
    <row r="33" spans="1:14">
      <c r="A33" s="66">
        <v>1990</v>
      </c>
      <c r="B33" s="30">
        <v>113684.1</v>
      </c>
      <c r="C33" s="30">
        <v>19674.3</v>
      </c>
      <c r="D33" s="30">
        <f t="shared" si="2"/>
        <v>4815.5</v>
      </c>
      <c r="E33" s="30">
        <v>397.1</v>
      </c>
      <c r="F33" s="30">
        <v>922.9</v>
      </c>
      <c r="G33" s="30">
        <v>3495.5</v>
      </c>
      <c r="I33" s="135">
        <v>103970824</v>
      </c>
      <c r="J33" s="135">
        <v>19949687.399999999</v>
      </c>
      <c r="K33" s="135">
        <f t="shared" si="1"/>
        <v>2514793</v>
      </c>
      <c r="L33" s="135">
        <v>390876.6</v>
      </c>
      <c r="M33" s="135">
        <v>1061958.2</v>
      </c>
      <c r="N33" s="135">
        <v>1061958.2</v>
      </c>
    </row>
    <row r="34" spans="1:14">
      <c r="A34" s="66">
        <v>1991</v>
      </c>
      <c r="B34" s="30">
        <v>116047</v>
      </c>
      <c r="C34" s="30">
        <v>20290.900000000001</v>
      </c>
      <c r="D34" s="30">
        <f t="shared" si="2"/>
        <v>4937.7999999999993</v>
      </c>
      <c r="E34" s="30">
        <v>370.5</v>
      </c>
      <c r="F34" s="30">
        <v>906.6</v>
      </c>
      <c r="G34" s="30">
        <v>3660.7</v>
      </c>
      <c r="I34" s="135">
        <v>106128018.3</v>
      </c>
      <c r="J34" s="135">
        <v>20625044</v>
      </c>
      <c r="K34" s="135">
        <f t="shared" si="1"/>
        <v>2444733.5</v>
      </c>
      <c r="L34" s="135">
        <v>360237.1</v>
      </c>
      <c r="M34" s="135">
        <v>1042248.2</v>
      </c>
      <c r="N34" s="135">
        <v>1042248.2</v>
      </c>
    </row>
    <row r="35" spans="1:14">
      <c r="A35" s="66">
        <v>1992</v>
      </c>
      <c r="B35" s="30">
        <v>117739.4</v>
      </c>
      <c r="C35" s="30">
        <v>20421.599999999999</v>
      </c>
      <c r="D35" s="30">
        <f t="shared" si="2"/>
        <v>4840</v>
      </c>
      <c r="E35" s="30">
        <v>350.1</v>
      </c>
      <c r="F35" s="30">
        <v>870</v>
      </c>
      <c r="G35" s="30">
        <v>3619.9</v>
      </c>
      <c r="I35" s="135">
        <v>107423557</v>
      </c>
      <c r="J35" s="135">
        <v>20644344.100000001</v>
      </c>
      <c r="K35" s="135">
        <f t="shared" si="1"/>
        <v>2320627.4</v>
      </c>
      <c r="L35" s="135">
        <v>338177.2</v>
      </c>
      <c r="M35" s="135">
        <v>991225.1</v>
      </c>
      <c r="N35" s="135">
        <v>991225.1</v>
      </c>
    </row>
    <row r="36" spans="1:14">
      <c r="A36" s="66">
        <v>1993</v>
      </c>
      <c r="B36" s="30">
        <v>119136.7</v>
      </c>
      <c r="C36" s="30">
        <v>20204.7</v>
      </c>
      <c r="D36" s="30">
        <f t="shared" si="2"/>
        <v>4695</v>
      </c>
      <c r="E36" s="30">
        <v>366.4</v>
      </c>
      <c r="F36" s="30">
        <v>861.3</v>
      </c>
      <c r="G36" s="30">
        <v>3467.3</v>
      </c>
      <c r="I36" s="135">
        <v>108360671.5</v>
      </c>
      <c r="J36" s="135">
        <v>20220119.100000001</v>
      </c>
      <c r="K36" s="135">
        <f t="shared" si="1"/>
        <v>2311045.4</v>
      </c>
      <c r="L36" s="135">
        <v>361423.6</v>
      </c>
      <c r="M36" s="135">
        <v>974810.9</v>
      </c>
      <c r="N36" s="135">
        <v>974810.9</v>
      </c>
    </row>
    <row r="37" spans="1:14">
      <c r="A37" s="66">
        <v>1994</v>
      </c>
      <c r="B37" s="30">
        <v>121585.60000000001</v>
      </c>
      <c r="C37" s="30">
        <v>20186.099999999999</v>
      </c>
      <c r="D37" s="30">
        <f t="shared" si="2"/>
        <v>4634.1000000000004</v>
      </c>
      <c r="E37" s="30">
        <v>404.6</v>
      </c>
      <c r="F37" s="30">
        <v>917</v>
      </c>
      <c r="G37" s="30">
        <v>3312.5</v>
      </c>
      <c r="I37" s="135">
        <v>110234947.90000001</v>
      </c>
      <c r="J37" s="135">
        <v>20008877</v>
      </c>
      <c r="K37" s="135">
        <f t="shared" si="1"/>
        <v>2485220.7999999998</v>
      </c>
      <c r="L37" s="135">
        <v>409198.6</v>
      </c>
      <c r="M37" s="135">
        <v>1038011.1</v>
      </c>
      <c r="N37" s="135">
        <v>1038011.1</v>
      </c>
    </row>
    <row r="38" spans="1:14">
      <c r="A38" s="66">
        <v>1995</v>
      </c>
      <c r="B38" s="30">
        <v>125027.3</v>
      </c>
      <c r="C38" s="30">
        <v>20542.099999999999</v>
      </c>
      <c r="D38" s="30">
        <f t="shared" si="2"/>
        <v>4796.5</v>
      </c>
      <c r="E38" s="30">
        <v>431.8</v>
      </c>
      <c r="F38" s="30">
        <v>1059.8</v>
      </c>
      <c r="G38" s="30">
        <v>3304.9</v>
      </c>
      <c r="I38" s="135">
        <v>113095242.2</v>
      </c>
      <c r="J38" s="135">
        <v>20237369</v>
      </c>
      <c r="K38" s="135">
        <f t="shared" si="1"/>
        <v>2860561.9</v>
      </c>
      <c r="L38" s="135">
        <v>442155.5</v>
      </c>
      <c r="M38" s="135">
        <v>1209203.2</v>
      </c>
      <c r="N38" s="135">
        <v>1209203.2</v>
      </c>
    </row>
    <row r="39" spans="1:14">
      <c r="A39" s="66">
        <v>1996</v>
      </c>
      <c r="B39" s="30">
        <v>128398</v>
      </c>
      <c r="C39" s="30">
        <v>21092.9</v>
      </c>
      <c r="D39" s="30">
        <f t="shared" si="2"/>
        <v>5005.3999999999996</v>
      </c>
      <c r="E39" s="30">
        <v>438</v>
      </c>
      <c r="F39" s="30">
        <v>1178.0999999999999</v>
      </c>
      <c r="G39" s="30">
        <v>3389.3</v>
      </c>
      <c r="I39" s="135">
        <v>115838297.7</v>
      </c>
      <c r="J39" s="135">
        <v>20655884.899999999</v>
      </c>
      <c r="K39" s="135">
        <f t="shared" si="1"/>
        <v>3140420.2</v>
      </c>
      <c r="L39" s="135">
        <v>448004.2</v>
      </c>
      <c r="M39" s="135">
        <v>1346208</v>
      </c>
      <c r="N39" s="135">
        <v>1346208</v>
      </c>
    </row>
    <row r="40" spans="1:14">
      <c r="A40" s="66">
        <v>1997</v>
      </c>
      <c r="B40" s="30">
        <v>133075.79999999999</v>
      </c>
      <c r="C40" s="30">
        <v>21791.7</v>
      </c>
      <c r="D40" s="30">
        <f t="shared" si="2"/>
        <v>5064.1000000000004</v>
      </c>
      <c r="E40" s="30">
        <v>433.2</v>
      </c>
      <c r="F40" s="30">
        <v>1233</v>
      </c>
      <c r="G40" s="30">
        <v>3397.9</v>
      </c>
      <c r="I40" s="135">
        <v>120161134.09999999</v>
      </c>
      <c r="J40" s="135">
        <v>21260778.199999999</v>
      </c>
      <c r="K40" s="135">
        <f t="shared" si="1"/>
        <v>3238909.5</v>
      </c>
      <c r="L40" s="135">
        <v>438720.9</v>
      </c>
      <c r="M40" s="135">
        <v>1400094.3</v>
      </c>
      <c r="N40" s="135">
        <v>1400094.3</v>
      </c>
    </row>
    <row r="41" spans="1:14">
      <c r="A41" s="66">
        <v>1998</v>
      </c>
      <c r="B41" s="30">
        <v>139114.6</v>
      </c>
      <c r="C41" s="30">
        <v>22599.1</v>
      </c>
      <c r="D41" s="30">
        <f t="shared" si="2"/>
        <v>5005.7999999999993</v>
      </c>
      <c r="E41" s="30">
        <v>429.9</v>
      </c>
      <c r="F41" s="30">
        <v>1258.7</v>
      </c>
      <c r="G41" s="30">
        <v>3317.2</v>
      </c>
      <c r="I41" s="135">
        <v>126201346.2</v>
      </c>
      <c r="J41" s="135">
        <v>22022815.800000001</v>
      </c>
      <c r="K41" s="135">
        <f t="shared" si="1"/>
        <v>3270446.9000000004</v>
      </c>
      <c r="L41" s="135">
        <v>433323.3</v>
      </c>
      <c r="M41" s="135">
        <v>1418561.8</v>
      </c>
      <c r="N41" s="135">
        <v>1418561.8</v>
      </c>
    </row>
    <row r="42" spans="1:14">
      <c r="A42" s="66">
        <v>1999</v>
      </c>
      <c r="B42" s="30">
        <v>145084.70000000001</v>
      </c>
      <c r="C42" s="30">
        <v>23218.9</v>
      </c>
      <c r="D42" s="30">
        <f t="shared" si="2"/>
        <v>4848.2</v>
      </c>
      <c r="E42" s="30">
        <v>433.4</v>
      </c>
      <c r="F42" s="30">
        <v>1241.5999999999999</v>
      </c>
      <c r="G42" s="30">
        <v>3173.2</v>
      </c>
      <c r="I42" s="135">
        <v>132726552.3</v>
      </c>
      <c r="J42" s="135">
        <v>22645466.699999999</v>
      </c>
      <c r="K42" s="135">
        <f t="shared" si="1"/>
        <v>3215078.9</v>
      </c>
      <c r="L42" s="135">
        <v>438074.9</v>
      </c>
      <c r="M42" s="135">
        <v>1388502</v>
      </c>
      <c r="N42" s="135">
        <v>1388502</v>
      </c>
    </row>
    <row r="43" spans="1:14">
      <c r="A43" s="66">
        <v>2000</v>
      </c>
      <c r="B43" s="30">
        <v>151211</v>
      </c>
      <c r="C43" s="30">
        <v>23686.6</v>
      </c>
      <c r="D43" s="30">
        <f t="shared" si="2"/>
        <v>4756.3999999999996</v>
      </c>
      <c r="E43" s="30">
        <v>433.2</v>
      </c>
      <c r="F43" s="30">
        <v>1267.5</v>
      </c>
      <c r="G43" s="30">
        <v>3055.7</v>
      </c>
      <c r="I43" s="135">
        <v>139639806.90000001</v>
      </c>
      <c r="J43" s="135">
        <v>23094030.699999999</v>
      </c>
      <c r="K43" s="135">
        <f t="shared" si="1"/>
        <v>3282271.8000000003</v>
      </c>
      <c r="L43" s="135">
        <v>440088.6</v>
      </c>
      <c r="M43" s="135">
        <v>1421091.6</v>
      </c>
      <c r="N43" s="135">
        <v>1421091.6</v>
      </c>
    </row>
    <row r="44" spans="1:14">
      <c r="A44" s="66">
        <v>2001</v>
      </c>
      <c r="B44" s="30">
        <v>157081.29999999999</v>
      </c>
      <c r="C44" s="30">
        <v>23934.400000000001</v>
      </c>
      <c r="D44" s="30">
        <f t="shared" si="2"/>
        <v>4657.3</v>
      </c>
      <c r="E44" s="30">
        <v>419.9</v>
      </c>
      <c r="F44" s="30">
        <v>1272.9000000000001</v>
      </c>
      <c r="G44" s="30">
        <v>2964.5</v>
      </c>
      <c r="I44" s="135">
        <v>145640379.19999999</v>
      </c>
      <c r="J44" s="135">
        <v>23033837.800000001</v>
      </c>
      <c r="K44" s="135">
        <f t="shared" si="1"/>
        <v>3290659.7</v>
      </c>
      <c r="L44" s="135">
        <v>427626.1</v>
      </c>
      <c r="M44" s="135">
        <v>1431516.8</v>
      </c>
      <c r="N44" s="135">
        <v>1431516.8</v>
      </c>
    </row>
    <row r="45" spans="1:14">
      <c r="A45" s="66">
        <v>2002</v>
      </c>
      <c r="B45" s="30">
        <v>162185.9</v>
      </c>
      <c r="C45" s="30">
        <v>23849.3</v>
      </c>
      <c r="D45" s="30">
        <f t="shared" si="2"/>
        <v>4433.9000000000005</v>
      </c>
      <c r="E45" s="30">
        <v>403.2</v>
      </c>
      <c r="F45" s="30">
        <v>1202.9000000000001</v>
      </c>
      <c r="G45" s="30">
        <v>2827.8</v>
      </c>
      <c r="I45" s="135">
        <v>149566247</v>
      </c>
      <c r="J45" s="135">
        <v>22438418.899999999</v>
      </c>
      <c r="K45" s="135">
        <f t="shared" si="1"/>
        <v>3100911.5</v>
      </c>
      <c r="L45" s="135">
        <v>410892.7</v>
      </c>
      <c r="M45" s="135">
        <v>1345009.4</v>
      </c>
      <c r="N45" s="135">
        <v>1345009.4</v>
      </c>
    </row>
    <row r="46" spans="1:14">
      <c r="A46" s="66">
        <v>2003</v>
      </c>
      <c r="B46" s="30">
        <v>166894.70000000001</v>
      </c>
      <c r="C46" s="30">
        <v>23913</v>
      </c>
      <c r="D46" s="30">
        <f t="shared" si="2"/>
        <v>4297.5</v>
      </c>
      <c r="E46" s="30">
        <v>394.4</v>
      </c>
      <c r="F46" s="30">
        <v>1163.3</v>
      </c>
      <c r="G46" s="30">
        <v>2739.8</v>
      </c>
      <c r="I46" s="135">
        <v>153087590.5</v>
      </c>
      <c r="J46" s="135">
        <v>22124261.899999999</v>
      </c>
      <c r="K46" s="135">
        <f t="shared" si="1"/>
        <v>3000219.7</v>
      </c>
      <c r="L46" s="135">
        <v>403784.3</v>
      </c>
      <c r="M46" s="135">
        <v>1298217.7</v>
      </c>
      <c r="N46" s="135">
        <v>1298217.7</v>
      </c>
    </row>
    <row r="47" spans="1:14">
      <c r="A47" s="66">
        <v>2004</v>
      </c>
      <c r="B47" s="30">
        <v>172807.8</v>
      </c>
      <c r="C47" s="30">
        <v>24167.9</v>
      </c>
      <c r="D47" s="30">
        <f t="shared" si="2"/>
        <v>4231.6000000000004</v>
      </c>
      <c r="E47" s="30">
        <v>389.3</v>
      </c>
      <c r="F47" s="30">
        <v>1181</v>
      </c>
      <c r="G47" s="30">
        <v>2661.3</v>
      </c>
      <c r="I47" s="135">
        <v>158684787.30000001</v>
      </c>
      <c r="J47" s="135">
        <v>22176456.600000001</v>
      </c>
      <c r="K47" s="135">
        <f t="shared" si="1"/>
        <v>3054989.5</v>
      </c>
      <c r="L47" s="135">
        <v>400956.9</v>
      </c>
      <c r="M47" s="135">
        <v>1327016.3</v>
      </c>
      <c r="N47" s="135">
        <v>1327016.3</v>
      </c>
    </row>
    <row r="48" spans="1:14">
      <c r="A48" s="66">
        <v>2005</v>
      </c>
      <c r="B48" s="30">
        <v>181820.2</v>
      </c>
      <c r="C48" s="30">
        <v>24544.6</v>
      </c>
      <c r="D48" s="30">
        <f t="shared" si="2"/>
        <v>4176.6000000000004</v>
      </c>
      <c r="E48" s="30">
        <v>385.7</v>
      </c>
      <c r="F48" s="30">
        <v>1253.5999999999999</v>
      </c>
      <c r="G48" s="30">
        <v>2537.3000000000002</v>
      </c>
      <c r="I48" s="135">
        <v>167115022.5</v>
      </c>
      <c r="J48" s="135">
        <v>22424661.600000001</v>
      </c>
      <c r="K48" s="135">
        <f t="shared" si="1"/>
        <v>3221129.9</v>
      </c>
      <c r="L48" s="135">
        <v>398374.9</v>
      </c>
      <c r="M48" s="135">
        <v>1411377.5</v>
      </c>
      <c r="N48" s="135">
        <v>1411377.5</v>
      </c>
    </row>
    <row r="49" spans="1:14">
      <c r="A49" s="66">
        <v>2006</v>
      </c>
      <c r="B49" s="30">
        <v>193149</v>
      </c>
      <c r="C49" s="30">
        <v>24946.9</v>
      </c>
      <c r="D49" s="30">
        <f t="shared" si="2"/>
        <v>4136.7</v>
      </c>
      <c r="E49" s="30">
        <v>380.5</v>
      </c>
      <c r="F49" s="30">
        <v>1322.8</v>
      </c>
      <c r="G49" s="30">
        <v>2433.4</v>
      </c>
      <c r="I49" s="135">
        <v>177514429.59999999</v>
      </c>
      <c r="J49" s="135">
        <v>22841115.5</v>
      </c>
      <c r="K49" s="135">
        <f t="shared" si="1"/>
        <v>3397500.8</v>
      </c>
      <c r="L49" s="135">
        <v>394839</v>
      </c>
      <c r="M49" s="135">
        <v>1501330.9</v>
      </c>
      <c r="N49" s="135">
        <v>1501330.9</v>
      </c>
    </row>
    <row r="50" spans="1:14">
      <c r="A50" s="66">
        <v>2007</v>
      </c>
      <c r="B50" s="30">
        <v>204131.6</v>
      </c>
      <c r="C50" s="30">
        <v>25228.3</v>
      </c>
      <c r="D50" s="30">
        <f t="shared" si="2"/>
        <v>4029.3</v>
      </c>
      <c r="E50" s="30">
        <v>365.5</v>
      </c>
      <c r="F50" s="30">
        <v>1332.2</v>
      </c>
      <c r="G50" s="30">
        <v>2331.6</v>
      </c>
      <c r="I50" s="135">
        <v>189017067.59999999</v>
      </c>
      <c r="J50" s="135">
        <v>23493425.800000001</v>
      </c>
      <c r="K50" s="135">
        <f t="shared" si="1"/>
        <v>3576416.5999999996</v>
      </c>
      <c r="L50" s="135">
        <v>392760.2</v>
      </c>
      <c r="M50" s="135">
        <v>1591828.2</v>
      </c>
      <c r="N50" s="135">
        <v>1591828.2</v>
      </c>
    </row>
    <row r="51" spans="1:14">
      <c r="A51" s="66">
        <v>2008</v>
      </c>
      <c r="B51" s="30">
        <v>214381.9</v>
      </c>
      <c r="C51" s="30">
        <v>25395.3</v>
      </c>
      <c r="D51" s="30">
        <f t="shared" si="2"/>
        <v>3859.8</v>
      </c>
      <c r="E51" s="30">
        <v>349.3</v>
      </c>
      <c r="F51" s="30">
        <v>1296.5999999999999</v>
      </c>
      <c r="G51" s="30">
        <v>2213.9</v>
      </c>
    </row>
    <row r="52" spans="1:14">
      <c r="A52" s="66">
        <v>2009</v>
      </c>
      <c r="B52" s="30">
        <v>218991.3</v>
      </c>
      <c r="C52" s="30">
        <v>24816.6</v>
      </c>
      <c r="D52" s="30">
        <f t="shared" si="2"/>
        <v>3577.2</v>
      </c>
      <c r="E52" s="30">
        <v>332.5</v>
      </c>
      <c r="F52" s="30">
        <v>1210.9000000000001</v>
      </c>
      <c r="G52" s="30">
        <v>2033.8</v>
      </c>
    </row>
    <row r="53" spans="1:14">
      <c r="A53" s="66">
        <v>2010</v>
      </c>
      <c r="B53" s="30">
        <v>221860.4</v>
      </c>
      <c r="C53" s="30">
        <v>23909.4</v>
      </c>
      <c r="D53" s="30">
        <f t="shared" si="2"/>
        <v>3280.8999999999996</v>
      </c>
      <c r="E53" s="30">
        <v>317</v>
      </c>
      <c r="F53" s="30">
        <v>1125.8</v>
      </c>
      <c r="G53" s="30">
        <v>1838.1</v>
      </c>
    </row>
    <row r="54" spans="1:14">
      <c r="A54" s="66">
        <v>2011</v>
      </c>
      <c r="B54" s="30">
        <v>229233.9</v>
      </c>
      <c r="C54" s="30">
        <v>23788.2</v>
      </c>
      <c r="D54" s="30">
        <f t="shared" si="2"/>
        <v>3138.8999999999996</v>
      </c>
      <c r="E54" s="30">
        <v>311.3</v>
      </c>
      <c r="F54" s="30">
        <v>1101.8</v>
      </c>
      <c r="G54" s="30">
        <v>1725.8</v>
      </c>
    </row>
    <row r="55" spans="1:14">
      <c r="A55" s="66">
        <v>2012</v>
      </c>
      <c r="B55" s="30">
        <v>237581</v>
      </c>
      <c r="C55" s="30">
        <v>24171</v>
      </c>
      <c r="D55" s="30">
        <f t="shared" ref="D55" si="3">SUM(E55:G55)</f>
        <v>3094</v>
      </c>
      <c r="E55" s="30">
        <v>300</v>
      </c>
      <c r="F55" s="30">
        <v>1119.0999999999999</v>
      </c>
      <c r="G55" s="30">
        <v>1674.9</v>
      </c>
    </row>
    <row r="57" spans="1:14">
      <c r="A57" s="66" t="s">
        <v>23</v>
      </c>
      <c r="B57" s="56"/>
      <c r="C57" s="56"/>
    </row>
    <row r="58" spans="1:14">
      <c r="A58" s="69" t="s">
        <v>2121</v>
      </c>
      <c r="B58" s="147">
        <f>((B55/B4)^(1/51)-1)*100</f>
        <v>4.0222345509387303</v>
      </c>
      <c r="C58" s="147">
        <f t="shared" ref="C58:G58" si="4">((C55/C4)^(1/51)-1)*100</f>
        <v>2.7464399264693684</v>
      </c>
      <c r="D58" s="147">
        <f t="shared" si="4"/>
        <v>1.3825745232500797</v>
      </c>
      <c r="E58" s="147">
        <f t="shared" si="4"/>
        <v>0.2082587753891918</v>
      </c>
      <c r="F58" s="147">
        <f t="shared" si="4"/>
        <v>2.7409753874825249</v>
      </c>
      <c r="G58" s="147">
        <f t="shared" si="4"/>
        <v>1.0475595164906482</v>
      </c>
    </row>
    <row r="59" spans="1:14">
      <c r="A59" s="68" t="s">
        <v>1031</v>
      </c>
      <c r="B59" s="147">
        <f t="shared" ref="B59:G59" si="5">((B16/B4)^(1/12)-1)*100</f>
        <v>5.8259542070049353</v>
      </c>
      <c r="C59" s="147">
        <f t="shared" si="5"/>
        <v>6.0928224019145549</v>
      </c>
      <c r="D59" s="147">
        <f t="shared" si="5"/>
        <v>5.9881783844806691</v>
      </c>
      <c r="E59" s="147">
        <f t="shared" si="5"/>
        <v>4.2287765278050449</v>
      </c>
      <c r="F59" s="147">
        <f t="shared" si="5"/>
        <v>7.0257101669029431</v>
      </c>
      <c r="G59" s="147">
        <f t="shared" si="5"/>
        <v>6.1143456224743264</v>
      </c>
    </row>
    <row r="60" spans="1:14">
      <c r="A60" s="68" t="s">
        <v>1032</v>
      </c>
      <c r="B60" s="147">
        <f t="shared" ref="B60:G60" si="6">((B24/B16)^(1/8)-1)*100</f>
        <v>4.6486782586525832</v>
      </c>
      <c r="C60" s="147">
        <f t="shared" si="6"/>
        <v>3.3503360000774141</v>
      </c>
      <c r="D60" s="147">
        <f t="shared" si="6"/>
        <v>1.9057612733860863</v>
      </c>
      <c r="E60" s="147">
        <f t="shared" si="6"/>
        <v>2.5836575152898167</v>
      </c>
      <c r="F60" s="147">
        <f t="shared" si="6"/>
        <v>3.2533105985432131</v>
      </c>
      <c r="G60" s="147">
        <f t="shared" si="6"/>
        <v>1.2918451015541788</v>
      </c>
    </row>
    <row r="61" spans="1:14">
      <c r="A61" s="68" t="s">
        <v>25</v>
      </c>
      <c r="B61" s="147">
        <f t="shared" ref="B61:G61" si="7">((B32/B24)^(1/8)-1)*100</f>
        <v>2.5530152849837062</v>
      </c>
      <c r="C61" s="147">
        <f t="shared" si="7"/>
        <v>1.9160888832946199</v>
      </c>
      <c r="D61" s="147">
        <f t="shared" si="7"/>
        <v>2.470316839091824</v>
      </c>
      <c r="E61" s="147">
        <f t="shared" si="7"/>
        <v>-3.7084063863825123</v>
      </c>
      <c r="F61" s="147">
        <f t="shared" si="7"/>
        <v>1.0151195501493238</v>
      </c>
      <c r="G61" s="147">
        <f t="shared" si="7"/>
        <v>4.1151071107984771</v>
      </c>
    </row>
    <row r="62" spans="1:14">
      <c r="A62" s="68" t="s">
        <v>26</v>
      </c>
      <c r="B62" s="147">
        <f t="shared" ref="B62:G62" si="8">((B43/B32)^(1/11)-1)*100</f>
        <v>2.9015919556001357</v>
      </c>
      <c r="C62" s="147">
        <f t="shared" si="8"/>
        <v>2.1718721274304853</v>
      </c>
      <c r="D62" s="147">
        <f t="shared" si="8"/>
        <v>0.78644690432139175</v>
      </c>
      <c r="E62" s="147">
        <f t="shared" si="8"/>
        <v>0.68183604869347381</v>
      </c>
      <c r="F62" s="147">
        <f t="shared" si="8"/>
        <v>3.2507771354372661</v>
      </c>
      <c r="G62" s="147">
        <f t="shared" si="8"/>
        <v>-4.302716893669345E-2</v>
      </c>
    </row>
    <row r="63" spans="1:14">
      <c r="A63" s="69" t="s">
        <v>2028</v>
      </c>
      <c r="B63" s="147">
        <f>((B55/B43)^(1/12)-1)*100</f>
        <v>3.8370544637844839</v>
      </c>
      <c r="C63" s="147">
        <f t="shared" ref="C63:G63" si="9">((C55/C43)^(1/12)-1)*100</f>
        <v>0.1688430468402613</v>
      </c>
      <c r="D63" s="147">
        <f t="shared" si="9"/>
        <v>-3.5201036461556812</v>
      </c>
      <c r="E63" s="147">
        <f t="shared" si="9"/>
        <v>-3.0154100602526324</v>
      </c>
      <c r="F63" s="147">
        <f t="shared" si="9"/>
        <v>-1.0323152167893146</v>
      </c>
      <c r="G63" s="147">
        <f t="shared" si="9"/>
        <v>-4.887007182170322</v>
      </c>
    </row>
    <row r="65" spans="1:1">
      <c r="A65" s="64" t="s">
        <v>1813</v>
      </c>
    </row>
    <row r="66" spans="1:1">
      <c r="A66" s="195" t="s">
        <v>1341</v>
      </c>
    </row>
  </sheetData>
  <mergeCells count="7">
    <mergeCell ref="A1:G1"/>
    <mergeCell ref="B2:B3"/>
    <mergeCell ref="D2:G2"/>
    <mergeCell ref="I2:I3"/>
    <mergeCell ref="K2:N2"/>
    <mergeCell ref="J2:J3"/>
    <mergeCell ref="C2:C3"/>
  </mergeCells>
  <pageMargins left="0.7" right="0.7" top="0.75" bottom="0.75" header="0.3" footer="0.3"/>
  <pageSetup scale="91" orientation="portrait" horizontalDpi="0" verticalDpi="0" r:id="rId1"/>
</worksheet>
</file>

<file path=xl/worksheets/sheet75.xml><?xml version="1.0" encoding="utf-8"?>
<worksheet xmlns="http://schemas.openxmlformats.org/spreadsheetml/2006/main" xmlns:r="http://schemas.openxmlformats.org/officeDocument/2006/relationships">
  <sheetPr codeName="Sheet70"/>
  <dimension ref="A1:O66"/>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5703125" style="64" customWidth="1"/>
    <col min="2" max="3" width="14.140625" style="135" customWidth="1"/>
    <col min="4" max="4" width="16" style="135" customWidth="1"/>
    <col min="5" max="5" width="11.28515625" style="135" customWidth="1"/>
    <col min="6" max="6" width="15.140625" style="135" customWidth="1"/>
    <col min="7" max="7" width="14.140625" style="135" customWidth="1"/>
    <col min="8" max="8" width="9.140625" style="135"/>
    <col min="9" max="14" width="25.85546875" style="135" hidden="1" customWidth="1" outlineLevel="1"/>
    <col min="15" max="15" width="9.140625" style="64" collapsed="1"/>
    <col min="16" max="16384" width="9.140625" style="64"/>
  </cols>
  <sheetData>
    <row r="1" spans="1:14" ht="30" customHeight="1">
      <c r="A1" s="93" t="s">
        <v>2062</v>
      </c>
      <c r="B1" s="93"/>
      <c r="C1" s="93"/>
      <c r="D1" s="93"/>
      <c r="E1" s="93"/>
      <c r="F1" s="93"/>
      <c r="G1" s="93"/>
    </row>
    <row r="2" spans="1:14">
      <c r="B2" s="123" t="s">
        <v>673</v>
      </c>
      <c r="C2" s="123" t="s">
        <v>938</v>
      </c>
      <c r="D2" s="159" t="s">
        <v>37</v>
      </c>
      <c r="E2" s="160"/>
      <c r="F2" s="160"/>
      <c r="G2" s="161"/>
      <c r="I2" s="123" t="s">
        <v>673</v>
      </c>
      <c r="J2" s="123" t="s">
        <v>1640</v>
      </c>
      <c r="K2" s="159" t="s">
        <v>37</v>
      </c>
      <c r="L2" s="160"/>
      <c r="M2" s="160"/>
      <c r="N2" s="161"/>
    </row>
    <row r="3" spans="1:14" ht="60">
      <c r="B3" s="126"/>
      <c r="C3" s="126"/>
      <c r="D3" s="72" t="s">
        <v>78</v>
      </c>
      <c r="E3" s="72" t="s">
        <v>750</v>
      </c>
      <c r="F3" s="72" t="s">
        <v>745</v>
      </c>
      <c r="G3" s="72" t="s">
        <v>678</v>
      </c>
      <c r="I3" s="126"/>
      <c r="J3" s="126"/>
      <c r="K3" s="72" t="s">
        <v>78</v>
      </c>
      <c r="L3" s="72" t="s">
        <v>750</v>
      </c>
      <c r="M3" s="72" t="s">
        <v>745</v>
      </c>
      <c r="N3" s="72" t="s">
        <v>678</v>
      </c>
    </row>
    <row r="4" spans="1:14">
      <c r="A4" s="66">
        <v>1961</v>
      </c>
      <c r="B4" s="30">
        <v>11868.2</v>
      </c>
      <c r="C4" s="30">
        <v>3721.5</v>
      </c>
      <c r="D4" s="30">
        <f t="shared" ref="D4:D55" si="0">SUM(E4:G4)</f>
        <v>1057</v>
      </c>
      <c r="E4" s="30">
        <v>127.7</v>
      </c>
      <c r="F4" s="30">
        <v>184.2</v>
      </c>
      <c r="G4" s="30">
        <v>745.1</v>
      </c>
      <c r="I4" s="135">
        <v>13824763</v>
      </c>
      <c r="J4" s="135">
        <v>4463768.5999999996</v>
      </c>
      <c r="K4" s="135">
        <f>SUM(L4:N4)</f>
        <v>1266109.6000000001</v>
      </c>
      <c r="L4" s="135">
        <v>149588.6</v>
      </c>
      <c r="M4" s="135">
        <v>218826.9</v>
      </c>
      <c r="N4" s="135">
        <v>897694.1</v>
      </c>
    </row>
    <row r="5" spans="1:14" hidden="1" outlineLevel="1">
      <c r="A5" s="66">
        <v>1962</v>
      </c>
      <c r="B5" s="30">
        <v>12075.5</v>
      </c>
      <c r="C5" s="30">
        <v>3796</v>
      </c>
      <c r="D5" s="30">
        <f t="shared" si="0"/>
        <v>1067.2</v>
      </c>
      <c r="E5" s="30">
        <v>125.1</v>
      </c>
      <c r="F5" s="30">
        <v>185.9</v>
      </c>
      <c r="G5" s="30">
        <v>756.2</v>
      </c>
      <c r="I5" s="135">
        <v>13946546.699999999</v>
      </c>
      <c r="J5" s="135">
        <v>4554122.9000000004</v>
      </c>
      <c r="K5" s="135">
        <f t="shared" ref="K5:K50" si="1">SUM(L5:N5)</f>
        <v>1278667.8</v>
      </c>
      <c r="L5" s="135">
        <v>146684.5</v>
      </c>
      <c r="M5" s="135">
        <v>220946.2</v>
      </c>
      <c r="N5" s="135">
        <v>911037.1</v>
      </c>
    </row>
    <row r="6" spans="1:14" hidden="1" outlineLevel="1">
      <c r="A6" s="66">
        <v>1963</v>
      </c>
      <c r="B6" s="30">
        <v>12446.1</v>
      </c>
      <c r="C6" s="30">
        <v>3920.7</v>
      </c>
      <c r="D6" s="30">
        <f t="shared" si="0"/>
        <v>1101.2</v>
      </c>
      <c r="E6" s="30">
        <v>127.6</v>
      </c>
      <c r="F6" s="30">
        <v>189.9</v>
      </c>
      <c r="G6" s="30">
        <v>783.7</v>
      </c>
      <c r="I6" s="135">
        <v>14266946.6</v>
      </c>
      <c r="J6" s="135">
        <v>4704366.4000000004</v>
      </c>
      <c r="K6" s="135">
        <f t="shared" si="1"/>
        <v>1319575.1000000001</v>
      </c>
      <c r="L6" s="135">
        <v>149594.79999999999</v>
      </c>
      <c r="M6" s="135">
        <v>225719.6</v>
      </c>
      <c r="N6" s="135">
        <v>944260.7</v>
      </c>
    </row>
    <row r="7" spans="1:14" hidden="1" outlineLevel="1">
      <c r="A7" s="66">
        <v>1964</v>
      </c>
      <c r="B7" s="30">
        <v>13094.9</v>
      </c>
      <c r="C7" s="30">
        <v>4174.7</v>
      </c>
      <c r="D7" s="30">
        <f t="shared" si="0"/>
        <v>1194.2</v>
      </c>
      <c r="E7" s="30">
        <v>141.1</v>
      </c>
      <c r="F7" s="30">
        <v>199.9</v>
      </c>
      <c r="G7" s="30">
        <v>853.2</v>
      </c>
      <c r="I7" s="135">
        <v>14943222.699999999</v>
      </c>
      <c r="J7" s="135">
        <v>5008473.8</v>
      </c>
      <c r="K7" s="135">
        <f t="shared" si="1"/>
        <v>1430834.7</v>
      </c>
      <c r="L7" s="135">
        <v>165321</v>
      </c>
      <c r="M7" s="135">
        <v>237606.2</v>
      </c>
      <c r="N7" s="135">
        <v>1027907.5</v>
      </c>
    </row>
    <row r="8" spans="1:14" hidden="1" outlineLevel="1">
      <c r="A8" s="66">
        <v>1965</v>
      </c>
      <c r="B8" s="30">
        <v>14151.8</v>
      </c>
      <c r="C8" s="30">
        <v>4622.8</v>
      </c>
      <c r="D8" s="30">
        <f t="shared" si="0"/>
        <v>1340.6</v>
      </c>
      <c r="E8" s="30">
        <v>162.19999999999999</v>
      </c>
      <c r="F8" s="30">
        <v>214.3</v>
      </c>
      <c r="G8" s="30">
        <v>964.1</v>
      </c>
      <c r="I8" s="135">
        <v>16121581.1</v>
      </c>
      <c r="J8" s="135">
        <v>5544886.5</v>
      </c>
      <c r="K8" s="135">
        <f t="shared" si="1"/>
        <v>1605582</v>
      </c>
      <c r="L8" s="135">
        <v>189671.3</v>
      </c>
      <c r="M8" s="135">
        <v>254669.1</v>
      </c>
      <c r="N8" s="135">
        <v>1161241.6000000001</v>
      </c>
    </row>
    <row r="9" spans="1:14" hidden="1" outlineLevel="1">
      <c r="A9" s="66">
        <v>1966</v>
      </c>
      <c r="B9" s="30">
        <v>15602.3</v>
      </c>
      <c r="C9" s="30">
        <v>5228.7</v>
      </c>
      <c r="D9" s="30">
        <f t="shared" si="0"/>
        <v>1522.7</v>
      </c>
      <c r="E9" s="30">
        <v>177.9</v>
      </c>
      <c r="F9" s="30">
        <v>227.3</v>
      </c>
      <c r="G9" s="30">
        <v>1117.5</v>
      </c>
      <c r="I9" s="135">
        <v>17759627.199999999</v>
      </c>
      <c r="J9" s="135">
        <v>6269578.7000000002</v>
      </c>
      <c r="K9" s="135">
        <f t="shared" si="1"/>
        <v>1823630.9</v>
      </c>
      <c r="L9" s="135">
        <v>207942.6</v>
      </c>
      <c r="M9" s="135">
        <v>270180.3</v>
      </c>
      <c r="N9" s="135">
        <v>1345508</v>
      </c>
    </row>
    <row r="10" spans="1:14" hidden="1" outlineLevel="1">
      <c r="A10" s="66">
        <v>1967</v>
      </c>
      <c r="B10" s="30">
        <v>17050.599999999999</v>
      </c>
      <c r="C10" s="30">
        <v>5762.8</v>
      </c>
      <c r="D10" s="30">
        <f t="shared" si="0"/>
        <v>1687.3</v>
      </c>
      <c r="E10" s="30">
        <v>186.5</v>
      </c>
      <c r="F10" s="30">
        <v>235.2</v>
      </c>
      <c r="G10" s="30">
        <v>1265.5999999999999</v>
      </c>
      <c r="I10" s="135">
        <v>19387778.800000001</v>
      </c>
      <c r="J10" s="135">
        <v>6907516</v>
      </c>
      <c r="K10" s="135">
        <f t="shared" si="1"/>
        <v>2020744.7999999998</v>
      </c>
      <c r="L10" s="135">
        <v>217917.2</v>
      </c>
      <c r="M10" s="135">
        <v>279566.2</v>
      </c>
      <c r="N10" s="135">
        <v>1523261.4</v>
      </c>
    </row>
    <row r="11" spans="1:14" hidden="1" outlineLevel="1">
      <c r="A11" s="66">
        <v>1968</v>
      </c>
      <c r="B11" s="30">
        <v>18014.099999999999</v>
      </c>
      <c r="C11" s="30">
        <v>5998.8</v>
      </c>
      <c r="D11" s="30">
        <f t="shared" si="0"/>
        <v>1740.8000000000002</v>
      </c>
      <c r="E11" s="30">
        <v>186.8</v>
      </c>
      <c r="F11" s="30">
        <v>242.8</v>
      </c>
      <c r="G11" s="30">
        <v>1311.2</v>
      </c>
      <c r="I11" s="135">
        <v>20464721.5</v>
      </c>
      <c r="J11" s="135">
        <v>7189258.5999999996</v>
      </c>
      <c r="K11" s="135">
        <f t="shared" si="1"/>
        <v>2085159.2</v>
      </c>
      <c r="L11" s="135">
        <v>218413.2</v>
      </c>
      <c r="M11" s="135">
        <v>288653.3</v>
      </c>
      <c r="N11" s="135">
        <v>1578092.7</v>
      </c>
    </row>
    <row r="12" spans="1:14" hidden="1" outlineLevel="1">
      <c r="A12" s="66">
        <v>1969</v>
      </c>
      <c r="B12" s="30">
        <v>18704.3</v>
      </c>
      <c r="C12" s="30">
        <v>6159.8</v>
      </c>
      <c r="D12" s="30">
        <f t="shared" si="0"/>
        <v>1769.2</v>
      </c>
      <c r="E12" s="30">
        <v>188</v>
      </c>
      <c r="F12" s="30">
        <v>272.8</v>
      </c>
      <c r="G12" s="30">
        <v>1308.4000000000001</v>
      </c>
      <c r="I12" s="135">
        <v>21265505.399999999</v>
      </c>
      <c r="J12" s="135">
        <v>7382019.0999999996</v>
      </c>
      <c r="K12" s="135">
        <f t="shared" si="1"/>
        <v>2119245.2999999998</v>
      </c>
      <c r="L12" s="135">
        <v>220131.9</v>
      </c>
      <c r="M12" s="135">
        <v>324139.5</v>
      </c>
      <c r="N12" s="135">
        <v>1574973.9</v>
      </c>
    </row>
    <row r="13" spans="1:14" hidden="1" outlineLevel="1">
      <c r="A13" s="66">
        <v>1970</v>
      </c>
      <c r="B13" s="30">
        <v>19371.599999999999</v>
      </c>
      <c r="C13" s="30">
        <v>6467.6</v>
      </c>
      <c r="D13" s="30">
        <f t="shared" si="0"/>
        <v>1872.2</v>
      </c>
      <c r="E13" s="30">
        <v>188.8</v>
      </c>
      <c r="F13" s="30">
        <v>323.5</v>
      </c>
      <c r="G13" s="30">
        <v>1359.9</v>
      </c>
      <c r="I13" s="135">
        <v>22068104.399999999</v>
      </c>
      <c r="J13" s="135">
        <v>7752267.7000000002</v>
      </c>
      <c r="K13" s="135">
        <f t="shared" si="1"/>
        <v>2242102.7000000002</v>
      </c>
      <c r="L13" s="135">
        <v>221329.5</v>
      </c>
      <c r="M13" s="135">
        <v>384028.3</v>
      </c>
      <c r="N13" s="135">
        <v>1636744.9</v>
      </c>
    </row>
    <row r="14" spans="1:14" hidden="1" outlineLevel="1">
      <c r="A14" s="66">
        <v>1971</v>
      </c>
      <c r="B14" s="30">
        <v>20041.599999999999</v>
      </c>
      <c r="C14" s="30">
        <v>6772.3</v>
      </c>
      <c r="D14" s="30">
        <f t="shared" si="0"/>
        <v>2001.2</v>
      </c>
      <c r="E14" s="30">
        <v>186</v>
      </c>
      <c r="F14" s="30">
        <v>368</v>
      </c>
      <c r="G14" s="30">
        <v>1447.2</v>
      </c>
      <c r="I14" s="135">
        <v>22892584.100000001</v>
      </c>
      <c r="J14" s="135">
        <v>8117666</v>
      </c>
      <c r="K14" s="135">
        <f t="shared" si="1"/>
        <v>2395346.9</v>
      </c>
      <c r="L14" s="135">
        <v>217877.6</v>
      </c>
      <c r="M14" s="135">
        <v>436511.6</v>
      </c>
      <c r="N14" s="135">
        <v>1740957.7</v>
      </c>
    </row>
    <row r="15" spans="1:14" hidden="1" outlineLevel="1">
      <c r="A15" s="66">
        <v>1972</v>
      </c>
      <c r="B15" s="30">
        <v>20935.099999999999</v>
      </c>
      <c r="C15" s="30">
        <v>6961.3</v>
      </c>
      <c r="D15" s="30">
        <f t="shared" si="0"/>
        <v>2094.3000000000002</v>
      </c>
      <c r="E15" s="30">
        <v>193.3</v>
      </c>
      <c r="F15" s="30">
        <v>408.1</v>
      </c>
      <c r="G15" s="30">
        <v>1492.9</v>
      </c>
      <c r="I15" s="135">
        <v>23996801</v>
      </c>
      <c r="J15" s="135">
        <v>8343150.7999999998</v>
      </c>
      <c r="K15" s="135">
        <f t="shared" si="1"/>
        <v>2506270</v>
      </c>
      <c r="L15" s="135">
        <v>225905.9</v>
      </c>
      <c r="M15" s="135">
        <v>484338.7</v>
      </c>
      <c r="N15" s="135">
        <v>1796025.4</v>
      </c>
    </row>
    <row r="16" spans="1:14" collapsed="1">
      <c r="A16" s="66">
        <v>1973</v>
      </c>
      <c r="B16" s="30">
        <v>22452.5</v>
      </c>
      <c r="C16" s="30">
        <v>7239.1</v>
      </c>
      <c r="D16" s="30">
        <f t="shared" si="0"/>
        <v>2173.9</v>
      </c>
      <c r="E16" s="30">
        <v>222.5</v>
      </c>
      <c r="F16" s="30">
        <v>470</v>
      </c>
      <c r="G16" s="30">
        <v>1481.4</v>
      </c>
      <c r="I16" s="135">
        <v>25838185</v>
      </c>
      <c r="J16" s="135">
        <v>8679847.8000000007</v>
      </c>
      <c r="K16" s="135">
        <f t="shared" si="1"/>
        <v>2601538.6</v>
      </c>
      <c r="L16" s="135">
        <v>259149.5</v>
      </c>
      <c r="M16" s="135">
        <v>558597.1</v>
      </c>
      <c r="N16" s="135">
        <v>1783792</v>
      </c>
    </row>
    <row r="17" spans="1:14" hidden="1" outlineLevel="1">
      <c r="A17" s="66">
        <v>1974</v>
      </c>
      <c r="B17" s="30">
        <v>24543.1</v>
      </c>
      <c r="C17" s="30">
        <v>7710.8</v>
      </c>
      <c r="D17" s="30">
        <f t="shared" si="0"/>
        <v>2283.6</v>
      </c>
      <c r="E17" s="30">
        <v>273.2</v>
      </c>
      <c r="F17" s="30">
        <v>533.4</v>
      </c>
      <c r="G17" s="30">
        <v>1477</v>
      </c>
      <c r="I17" s="135">
        <v>28331017.899999999</v>
      </c>
      <c r="J17" s="135">
        <v>9251589.5</v>
      </c>
      <c r="K17" s="135">
        <f t="shared" si="1"/>
        <v>2731401.6</v>
      </c>
      <c r="L17" s="135">
        <v>317146.5</v>
      </c>
      <c r="M17" s="135">
        <v>634152.1</v>
      </c>
      <c r="N17" s="135">
        <v>1780103</v>
      </c>
    </row>
    <row r="18" spans="1:14" hidden="1" outlineLevel="1">
      <c r="A18" s="66">
        <v>1975</v>
      </c>
      <c r="B18" s="30">
        <v>26575.200000000001</v>
      </c>
      <c r="C18" s="30">
        <v>8169.5</v>
      </c>
      <c r="D18" s="30">
        <f t="shared" si="0"/>
        <v>2347.6</v>
      </c>
      <c r="E18" s="30">
        <v>300.3</v>
      </c>
      <c r="F18" s="30">
        <v>562.79999999999995</v>
      </c>
      <c r="G18" s="30">
        <v>1484.5</v>
      </c>
      <c r="I18" s="135">
        <v>30768130.699999999</v>
      </c>
      <c r="J18" s="135">
        <v>9806147.4000000004</v>
      </c>
      <c r="K18" s="135">
        <f t="shared" si="1"/>
        <v>2806937.1</v>
      </c>
      <c r="L18" s="135">
        <v>348260.3</v>
      </c>
      <c r="M18" s="135">
        <v>668849</v>
      </c>
      <c r="N18" s="135">
        <v>1789827.8</v>
      </c>
    </row>
    <row r="19" spans="1:14" hidden="1" outlineLevel="1">
      <c r="A19" s="66">
        <v>1976</v>
      </c>
      <c r="B19" s="30">
        <v>28235.3</v>
      </c>
      <c r="C19" s="30">
        <v>8447.7999999999993</v>
      </c>
      <c r="D19" s="30">
        <f t="shared" si="0"/>
        <v>2353.8999999999996</v>
      </c>
      <c r="E19" s="30">
        <v>292.89999999999998</v>
      </c>
      <c r="F19" s="30">
        <v>570.4</v>
      </c>
      <c r="G19" s="30">
        <v>1490.6</v>
      </c>
      <c r="I19" s="135">
        <v>32871808</v>
      </c>
      <c r="J19" s="135">
        <v>10155786</v>
      </c>
      <c r="K19" s="135">
        <f t="shared" si="1"/>
        <v>2817530.3</v>
      </c>
      <c r="L19" s="135">
        <v>340122</v>
      </c>
      <c r="M19" s="135">
        <v>678323.6</v>
      </c>
      <c r="N19" s="135">
        <v>1799084.7</v>
      </c>
    </row>
    <row r="20" spans="1:14" hidden="1" outlineLevel="1">
      <c r="A20" s="66">
        <v>1977</v>
      </c>
      <c r="B20" s="30">
        <v>29413.599999999999</v>
      </c>
      <c r="C20" s="30">
        <v>8608.7999999999993</v>
      </c>
      <c r="D20" s="30">
        <f t="shared" si="0"/>
        <v>2348.3000000000002</v>
      </c>
      <c r="E20" s="30">
        <v>283.8</v>
      </c>
      <c r="F20" s="30">
        <v>564.29999999999995</v>
      </c>
      <c r="G20" s="30">
        <v>1500.2</v>
      </c>
      <c r="I20" s="135">
        <v>34443396.899999999</v>
      </c>
      <c r="J20" s="135">
        <v>10373304.1</v>
      </c>
      <c r="K20" s="135">
        <f t="shared" si="1"/>
        <v>2815737.3</v>
      </c>
      <c r="L20" s="135">
        <v>330206.09999999998</v>
      </c>
      <c r="M20" s="135">
        <v>671934.6</v>
      </c>
      <c r="N20" s="135">
        <v>1813596.6</v>
      </c>
    </row>
    <row r="21" spans="1:14" hidden="1" outlineLevel="1">
      <c r="A21" s="66">
        <v>1978</v>
      </c>
      <c r="B21" s="30">
        <v>30199.3</v>
      </c>
      <c r="C21" s="30">
        <v>8672</v>
      </c>
      <c r="D21" s="30">
        <f t="shared" si="0"/>
        <v>2326.8000000000002</v>
      </c>
      <c r="E21" s="30">
        <v>281.60000000000002</v>
      </c>
      <c r="F21" s="30">
        <v>560.6</v>
      </c>
      <c r="G21" s="30">
        <v>1484.6</v>
      </c>
      <c r="I21" s="135">
        <v>35497714.5</v>
      </c>
      <c r="J21" s="135">
        <v>10470784.699999999</v>
      </c>
      <c r="K21" s="135">
        <f t="shared" si="1"/>
        <v>2792902</v>
      </c>
      <c r="L21" s="135">
        <v>328100.5</v>
      </c>
      <c r="M21" s="135">
        <v>667852.80000000005</v>
      </c>
      <c r="N21" s="135">
        <v>1796948.7</v>
      </c>
    </row>
    <row r="22" spans="1:14" hidden="1" outlineLevel="1">
      <c r="A22" s="66">
        <v>1979</v>
      </c>
      <c r="B22" s="30">
        <v>31208.9</v>
      </c>
      <c r="C22" s="30">
        <v>8765.9</v>
      </c>
      <c r="D22" s="30">
        <f t="shared" si="0"/>
        <v>2329.9</v>
      </c>
      <c r="E22" s="30">
        <v>283.5</v>
      </c>
      <c r="F22" s="30">
        <v>572.70000000000005</v>
      </c>
      <c r="G22" s="30">
        <v>1473.7</v>
      </c>
      <c r="I22" s="135">
        <v>36796944.100000001</v>
      </c>
      <c r="J22" s="135">
        <v>10605773.6</v>
      </c>
      <c r="K22" s="135">
        <f t="shared" si="1"/>
        <v>2799321.7</v>
      </c>
      <c r="L22" s="135">
        <v>330726.40000000002</v>
      </c>
      <c r="M22" s="135">
        <v>682787.9</v>
      </c>
      <c r="N22" s="135">
        <v>1785807.4</v>
      </c>
    </row>
    <row r="23" spans="1:14" hidden="1" outlineLevel="1">
      <c r="A23" s="66">
        <v>1980</v>
      </c>
      <c r="B23" s="30">
        <v>32541.5</v>
      </c>
      <c r="C23" s="30">
        <v>9075.7000000000007</v>
      </c>
      <c r="D23" s="30">
        <f t="shared" si="0"/>
        <v>2402.6000000000004</v>
      </c>
      <c r="E23" s="30">
        <v>288.3</v>
      </c>
      <c r="F23" s="30">
        <v>590.9</v>
      </c>
      <c r="G23" s="30">
        <v>1523.4</v>
      </c>
      <c r="I23" s="135">
        <v>38409567.399999999</v>
      </c>
      <c r="J23" s="135">
        <v>10998878.1</v>
      </c>
      <c r="K23" s="135">
        <f t="shared" si="1"/>
        <v>2888518.3000000003</v>
      </c>
      <c r="L23" s="135">
        <v>336491.9</v>
      </c>
      <c r="M23" s="135">
        <v>704697.8</v>
      </c>
      <c r="N23" s="135">
        <v>1847328.6</v>
      </c>
    </row>
    <row r="24" spans="1:14" collapsed="1">
      <c r="A24" s="66">
        <v>1981</v>
      </c>
      <c r="B24" s="30">
        <v>33889.699999999997</v>
      </c>
      <c r="C24" s="30">
        <v>9512.1</v>
      </c>
      <c r="D24" s="30">
        <f t="shared" si="0"/>
        <v>2526</v>
      </c>
      <c r="E24" s="30">
        <v>280.39999999999998</v>
      </c>
      <c r="F24" s="30">
        <v>595.20000000000005</v>
      </c>
      <c r="G24" s="30">
        <v>1650.4</v>
      </c>
      <c r="I24" s="135">
        <v>40435915.399999999</v>
      </c>
      <c r="J24" s="135">
        <v>11675273.199999999</v>
      </c>
      <c r="K24" s="135">
        <f t="shared" si="1"/>
        <v>3075521.6</v>
      </c>
      <c r="L24" s="135">
        <v>330610.90000000002</v>
      </c>
      <c r="M24" s="135">
        <v>716196.6</v>
      </c>
      <c r="N24" s="135">
        <v>2028714.1</v>
      </c>
    </row>
    <row r="25" spans="1:14">
      <c r="A25" s="66">
        <v>1982</v>
      </c>
      <c r="B25" s="30">
        <v>34648.1</v>
      </c>
      <c r="C25" s="30">
        <v>9751.7999999999993</v>
      </c>
      <c r="D25" s="30">
        <f t="shared" si="0"/>
        <v>2582.8000000000002</v>
      </c>
      <c r="E25" s="30">
        <v>244.9</v>
      </c>
      <c r="F25" s="30">
        <v>572.20000000000005</v>
      </c>
      <c r="G25" s="30">
        <v>1765.7</v>
      </c>
      <c r="I25" s="135">
        <v>42051918.100000001</v>
      </c>
      <c r="J25" s="135">
        <v>12184761.1</v>
      </c>
      <c r="K25" s="135">
        <f t="shared" si="1"/>
        <v>3201804</v>
      </c>
      <c r="L25" s="135">
        <v>292813.5</v>
      </c>
      <c r="M25" s="135">
        <v>698487.8</v>
      </c>
      <c r="N25" s="135">
        <v>2210502.7000000002</v>
      </c>
    </row>
    <row r="26" spans="1:14">
      <c r="A26" s="66">
        <v>1983</v>
      </c>
      <c r="B26" s="30">
        <v>34620.699999999997</v>
      </c>
      <c r="C26" s="30">
        <v>9582.4</v>
      </c>
      <c r="D26" s="30">
        <f t="shared" si="0"/>
        <v>2485.4</v>
      </c>
      <c r="E26" s="30">
        <v>203</v>
      </c>
      <c r="F26" s="30">
        <v>536.9</v>
      </c>
      <c r="G26" s="30">
        <v>1745.5</v>
      </c>
      <c r="I26" s="135">
        <v>42477025</v>
      </c>
      <c r="J26" s="135">
        <v>12117925.699999999</v>
      </c>
      <c r="K26" s="135">
        <f t="shared" si="1"/>
        <v>3113760</v>
      </c>
      <c r="L26" s="135">
        <v>244852.2</v>
      </c>
      <c r="M26" s="135">
        <v>662346.9</v>
      </c>
      <c r="N26" s="135">
        <v>2206560.9</v>
      </c>
    </row>
    <row r="27" spans="1:14">
      <c r="A27" s="66">
        <v>1984</v>
      </c>
      <c r="B27" s="30">
        <v>34588.800000000003</v>
      </c>
      <c r="C27" s="30">
        <v>9233.4</v>
      </c>
      <c r="D27" s="30">
        <f t="shared" si="0"/>
        <v>2347</v>
      </c>
      <c r="E27" s="30">
        <v>178.6</v>
      </c>
      <c r="F27" s="30">
        <v>510.2</v>
      </c>
      <c r="G27" s="30">
        <v>1658.2</v>
      </c>
      <c r="I27" s="135">
        <v>42797635.399999999</v>
      </c>
      <c r="J27" s="135">
        <v>11797534</v>
      </c>
      <c r="K27" s="135">
        <f t="shared" si="1"/>
        <v>2966195.2</v>
      </c>
      <c r="L27" s="135">
        <v>218043.2</v>
      </c>
      <c r="M27" s="135">
        <v>636191.80000000005</v>
      </c>
      <c r="N27" s="135">
        <v>2111960.2000000002</v>
      </c>
    </row>
    <row r="28" spans="1:14">
      <c r="A28" s="66">
        <v>1985</v>
      </c>
      <c r="B28" s="30">
        <v>34685.1</v>
      </c>
      <c r="C28" s="30">
        <v>9046.1</v>
      </c>
      <c r="D28" s="30">
        <f t="shared" si="0"/>
        <v>2312.5</v>
      </c>
      <c r="E28" s="30">
        <v>164.9</v>
      </c>
      <c r="F28" s="30">
        <v>491.3</v>
      </c>
      <c r="G28" s="30">
        <v>1656.3</v>
      </c>
      <c r="I28" s="135">
        <v>43291565.399999999</v>
      </c>
      <c r="J28" s="135">
        <v>11680151</v>
      </c>
      <c r="K28" s="135">
        <f t="shared" si="1"/>
        <v>2955562.4</v>
      </c>
      <c r="L28" s="135">
        <v>204358.2</v>
      </c>
      <c r="M28" s="135">
        <v>619303.69999999995</v>
      </c>
      <c r="N28" s="135">
        <v>2131900.5</v>
      </c>
    </row>
    <row r="29" spans="1:14">
      <c r="A29" s="66">
        <v>1986</v>
      </c>
      <c r="B29" s="30">
        <v>34979.800000000003</v>
      </c>
      <c r="C29" s="30">
        <v>9221.9</v>
      </c>
      <c r="D29" s="30">
        <f t="shared" si="0"/>
        <v>2344.1999999999998</v>
      </c>
      <c r="E29" s="30">
        <v>156.5</v>
      </c>
      <c r="F29" s="30">
        <v>481.1</v>
      </c>
      <c r="G29" s="30">
        <v>1706.6</v>
      </c>
      <c r="I29" s="135">
        <v>44124010.899999999</v>
      </c>
      <c r="J29" s="135">
        <v>12052520.5</v>
      </c>
      <c r="K29" s="135">
        <f t="shared" si="1"/>
        <v>3034225.7</v>
      </c>
      <c r="L29" s="135">
        <v>197231.1</v>
      </c>
      <c r="M29" s="135">
        <v>614319.4</v>
      </c>
      <c r="N29" s="135">
        <v>2222675.2000000002</v>
      </c>
    </row>
    <row r="30" spans="1:14">
      <c r="A30" s="66">
        <v>1987</v>
      </c>
      <c r="B30" s="30">
        <v>35769</v>
      </c>
      <c r="C30" s="30">
        <v>9624.1</v>
      </c>
      <c r="D30" s="30">
        <f t="shared" si="0"/>
        <v>2450.8000000000002</v>
      </c>
      <c r="E30" s="30">
        <v>157</v>
      </c>
      <c r="F30" s="30">
        <v>503.1</v>
      </c>
      <c r="G30" s="30">
        <v>1790.7</v>
      </c>
      <c r="I30" s="135">
        <v>45611601.600000001</v>
      </c>
      <c r="J30" s="135">
        <v>12700704.199999999</v>
      </c>
      <c r="K30" s="135">
        <f t="shared" si="1"/>
        <v>3205151</v>
      </c>
      <c r="L30" s="135">
        <v>200097.1</v>
      </c>
      <c r="M30" s="135">
        <v>650913.1</v>
      </c>
      <c r="N30" s="135">
        <v>2354140.7999999998</v>
      </c>
    </row>
    <row r="31" spans="1:14">
      <c r="A31" s="66">
        <v>1988</v>
      </c>
      <c r="B31" s="30">
        <v>37483.1</v>
      </c>
      <c r="C31" s="30">
        <v>10160.9</v>
      </c>
      <c r="D31" s="30">
        <f t="shared" si="0"/>
        <v>2710.5</v>
      </c>
      <c r="E31" s="30">
        <v>158.4</v>
      </c>
      <c r="F31" s="30">
        <v>572.1</v>
      </c>
      <c r="G31" s="30">
        <v>1980</v>
      </c>
      <c r="I31" s="135">
        <v>48345064.600000001</v>
      </c>
      <c r="J31" s="135">
        <v>13522875</v>
      </c>
      <c r="K31" s="135">
        <f t="shared" si="1"/>
        <v>3582704.4</v>
      </c>
      <c r="L31" s="135">
        <v>203684.8</v>
      </c>
      <c r="M31" s="135">
        <v>750586.3</v>
      </c>
      <c r="N31" s="135">
        <v>2628433.2999999998</v>
      </c>
    </row>
    <row r="32" spans="1:14">
      <c r="A32" s="66">
        <v>1989</v>
      </c>
      <c r="B32" s="30">
        <v>39786.400000000001</v>
      </c>
      <c r="C32" s="30">
        <v>10936.6</v>
      </c>
      <c r="D32" s="30">
        <f t="shared" si="0"/>
        <v>3130.7</v>
      </c>
      <c r="E32" s="30">
        <v>160</v>
      </c>
      <c r="F32" s="30">
        <v>634.6</v>
      </c>
      <c r="G32" s="30">
        <v>2336.1</v>
      </c>
      <c r="I32" s="135">
        <v>51934978.799999997</v>
      </c>
      <c r="J32" s="135">
        <v>14683202.9</v>
      </c>
      <c r="K32" s="135">
        <f t="shared" si="1"/>
        <v>4182801</v>
      </c>
      <c r="L32" s="135">
        <v>207916.9</v>
      </c>
      <c r="M32" s="135">
        <v>842036.7</v>
      </c>
      <c r="N32" s="135">
        <v>3132847.4</v>
      </c>
    </row>
    <row r="33" spans="1:14">
      <c r="A33" s="66">
        <v>1990</v>
      </c>
      <c r="B33" s="30">
        <v>41155.1</v>
      </c>
      <c r="C33" s="30">
        <v>11630.5</v>
      </c>
      <c r="D33" s="30">
        <f t="shared" si="0"/>
        <v>3503.3</v>
      </c>
      <c r="E33" s="30">
        <v>157.30000000000001</v>
      </c>
      <c r="F33" s="30">
        <v>656</v>
      </c>
      <c r="G33" s="30">
        <v>2690</v>
      </c>
      <c r="I33" s="135">
        <v>54434565.799999997</v>
      </c>
      <c r="J33" s="135">
        <v>15753361.4</v>
      </c>
      <c r="K33" s="135">
        <f t="shared" si="1"/>
        <v>4721916.2</v>
      </c>
      <c r="L33" s="135">
        <v>206314.7</v>
      </c>
      <c r="M33" s="135">
        <v>877252.1</v>
      </c>
      <c r="N33" s="135">
        <v>3638349.4</v>
      </c>
    </row>
    <row r="34" spans="1:14">
      <c r="A34" s="66">
        <v>1991</v>
      </c>
      <c r="B34" s="30">
        <v>41579.599999999999</v>
      </c>
      <c r="C34" s="30">
        <v>11991.6</v>
      </c>
      <c r="D34" s="30">
        <f t="shared" si="0"/>
        <v>3585</v>
      </c>
      <c r="E34" s="30">
        <v>136.69999999999999</v>
      </c>
      <c r="F34" s="30">
        <v>637.70000000000005</v>
      </c>
      <c r="G34" s="30">
        <v>2810.6</v>
      </c>
      <c r="I34" s="135">
        <v>55606518.5</v>
      </c>
      <c r="J34" s="135">
        <v>16358199.800000001</v>
      </c>
      <c r="K34" s="135">
        <f t="shared" si="1"/>
        <v>4856379.7</v>
      </c>
      <c r="L34" s="135">
        <v>180749</v>
      </c>
      <c r="M34" s="135">
        <v>856671.1</v>
      </c>
      <c r="N34" s="135">
        <v>3818959.6</v>
      </c>
    </row>
    <row r="35" spans="1:14">
      <c r="A35" s="66">
        <v>1992</v>
      </c>
      <c r="B35" s="30">
        <v>41831.699999999997</v>
      </c>
      <c r="C35" s="30">
        <v>11977.1</v>
      </c>
      <c r="D35" s="30">
        <f t="shared" si="0"/>
        <v>3453.7</v>
      </c>
      <c r="E35" s="30">
        <v>124.3</v>
      </c>
      <c r="F35" s="30">
        <v>598.20000000000005</v>
      </c>
      <c r="G35" s="30">
        <v>2731.2</v>
      </c>
      <c r="I35" s="135">
        <v>56333262.399999999</v>
      </c>
      <c r="J35" s="135">
        <v>16406629.6</v>
      </c>
      <c r="K35" s="135">
        <f t="shared" si="1"/>
        <v>4686198.8</v>
      </c>
      <c r="L35" s="135">
        <v>165333.29999999999</v>
      </c>
      <c r="M35" s="135">
        <v>805220.2</v>
      </c>
      <c r="N35" s="135">
        <v>3715645.3</v>
      </c>
    </row>
    <row r="36" spans="1:14">
      <c r="A36" s="66">
        <v>1993</v>
      </c>
      <c r="B36" s="30">
        <v>41913.300000000003</v>
      </c>
      <c r="C36" s="30">
        <v>11703.5</v>
      </c>
      <c r="D36" s="30">
        <f t="shared" si="0"/>
        <v>3288.1000000000004</v>
      </c>
      <c r="E36" s="30">
        <v>145.1</v>
      </c>
      <c r="F36" s="30">
        <v>581.6</v>
      </c>
      <c r="G36" s="30">
        <v>2561.4</v>
      </c>
      <c r="I36" s="135">
        <v>56911194</v>
      </c>
      <c r="J36" s="135">
        <v>16092823.5</v>
      </c>
      <c r="K36" s="135">
        <f t="shared" si="1"/>
        <v>4471032.7</v>
      </c>
      <c r="L36" s="135">
        <v>192789.8</v>
      </c>
      <c r="M36" s="135">
        <v>787328.9</v>
      </c>
      <c r="N36" s="135">
        <v>3490914</v>
      </c>
    </row>
    <row r="37" spans="1:14">
      <c r="A37" s="66">
        <v>1994</v>
      </c>
      <c r="B37" s="30">
        <v>42194.400000000001</v>
      </c>
      <c r="C37" s="30">
        <v>11587.2</v>
      </c>
      <c r="D37" s="30">
        <f t="shared" si="0"/>
        <v>3219.2</v>
      </c>
      <c r="E37" s="30">
        <v>184.6</v>
      </c>
      <c r="F37" s="30">
        <v>621.1</v>
      </c>
      <c r="G37" s="30">
        <v>2413.5</v>
      </c>
      <c r="I37" s="135">
        <v>57940905.5</v>
      </c>
      <c r="J37" s="135">
        <v>15976959.5</v>
      </c>
      <c r="K37" s="135">
        <f t="shared" si="1"/>
        <v>4380663.9000000004</v>
      </c>
      <c r="L37" s="135">
        <v>242729.1</v>
      </c>
      <c r="M37" s="135">
        <v>844897.2</v>
      </c>
      <c r="N37" s="135">
        <v>3293037.6</v>
      </c>
    </row>
    <row r="38" spans="1:14">
      <c r="A38" s="66">
        <v>1995</v>
      </c>
      <c r="B38" s="30">
        <v>43059</v>
      </c>
      <c r="C38" s="30">
        <v>11765.8</v>
      </c>
      <c r="D38" s="30">
        <f t="shared" si="0"/>
        <v>3331.2</v>
      </c>
      <c r="E38" s="30">
        <v>213.4</v>
      </c>
      <c r="F38" s="30">
        <v>736.1</v>
      </c>
      <c r="G38" s="30">
        <v>2381.6999999999998</v>
      </c>
      <c r="I38" s="135">
        <v>59661066.899999999</v>
      </c>
      <c r="J38" s="135">
        <v>16247364.699999999</v>
      </c>
      <c r="K38" s="135">
        <f t="shared" si="1"/>
        <v>4534225.9000000004</v>
      </c>
      <c r="L38" s="135">
        <v>278901.59999999998</v>
      </c>
      <c r="M38" s="135">
        <v>1003383.3</v>
      </c>
      <c r="N38" s="135">
        <v>3251941</v>
      </c>
    </row>
    <row r="39" spans="1:14">
      <c r="A39" s="66">
        <v>1996</v>
      </c>
      <c r="B39" s="30">
        <v>44103.7</v>
      </c>
      <c r="C39" s="30">
        <v>12067.3</v>
      </c>
      <c r="D39" s="30">
        <f t="shared" si="0"/>
        <v>3466.8</v>
      </c>
      <c r="E39" s="30">
        <v>222.2</v>
      </c>
      <c r="F39" s="30">
        <v>830.5</v>
      </c>
      <c r="G39" s="30">
        <v>2414.1</v>
      </c>
      <c r="I39" s="135">
        <v>61386294.200000003</v>
      </c>
      <c r="J39" s="135">
        <v>16637224.4</v>
      </c>
      <c r="K39" s="135">
        <f t="shared" si="1"/>
        <v>4708856.0999999996</v>
      </c>
      <c r="L39" s="135">
        <v>288562.8</v>
      </c>
      <c r="M39" s="135">
        <v>1129143.5</v>
      </c>
      <c r="N39" s="135">
        <v>3291149.8</v>
      </c>
    </row>
    <row r="40" spans="1:14">
      <c r="A40" s="66">
        <v>1997</v>
      </c>
      <c r="B40" s="30">
        <v>46053.2</v>
      </c>
      <c r="C40" s="30">
        <v>12522</v>
      </c>
      <c r="D40" s="30">
        <f t="shared" si="0"/>
        <v>3497.2</v>
      </c>
      <c r="E40" s="30">
        <v>218.3</v>
      </c>
      <c r="F40" s="30">
        <v>869.7</v>
      </c>
      <c r="G40" s="30">
        <v>2409.1999999999998</v>
      </c>
      <c r="I40" s="135">
        <v>64402074.399999999</v>
      </c>
      <c r="J40" s="135">
        <v>17163787</v>
      </c>
      <c r="K40" s="135">
        <f t="shared" si="1"/>
        <v>4719963.0999999996</v>
      </c>
      <c r="L40" s="135">
        <v>280722.90000000002</v>
      </c>
      <c r="M40" s="135">
        <v>1172993.1000000001</v>
      </c>
      <c r="N40" s="135">
        <v>3266247.1</v>
      </c>
    </row>
    <row r="41" spans="1:14">
      <c r="A41" s="66">
        <v>1998</v>
      </c>
      <c r="B41" s="30">
        <v>49062.400000000001</v>
      </c>
      <c r="C41" s="30">
        <v>13138</v>
      </c>
      <c r="D41" s="30">
        <f t="shared" si="0"/>
        <v>3444.5</v>
      </c>
      <c r="E41" s="30">
        <v>214.8</v>
      </c>
      <c r="F41" s="30">
        <v>882.1</v>
      </c>
      <c r="G41" s="30">
        <v>2347.6</v>
      </c>
      <c r="I41" s="135">
        <v>69037152.5</v>
      </c>
      <c r="J41" s="135">
        <v>17895146.899999999</v>
      </c>
      <c r="K41" s="135">
        <f t="shared" si="1"/>
        <v>4623422.7</v>
      </c>
      <c r="L41" s="135">
        <v>275574.3</v>
      </c>
      <c r="M41" s="135">
        <v>1183290.2</v>
      </c>
      <c r="N41" s="135">
        <v>3164558.2</v>
      </c>
    </row>
    <row r="42" spans="1:14">
      <c r="A42" s="66">
        <v>1999</v>
      </c>
      <c r="B42" s="30">
        <v>52138.6</v>
      </c>
      <c r="C42" s="30">
        <v>13533.5</v>
      </c>
      <c r="D42" s="30">
        <f t="shared" si="0"/>
        <v>3298.9</v>
      </c>
      <c r="E42" s="30">
        <v>214.6</v>
      </c>
      <c r="F42" s="30">
        <v>855</v>
      </c>
      <c r="G42" s="30">
        <v>2229.3000000000002</v>
      </c>
      <c r="I42" s="135">
        <v>74412314.700000003</v>
      </c>
      <c r="J42" s="135">
        <v>18500608.300000001</v>
      </c>
      <c r="K42" s="135">
        <f t="shared" si="1"/>
        <v>4435333.5</v>
      </c>
      <c r="L42" s="135">
        <v>279507.90000000002</v>
      </c>
      <c r="M42" s="135">
        <v>1147950.3999999999</v>
      </c>
      <c r="N42" s="135">
        <v>3007875.2</v>
      </c>
    </row>
    <row r="43" spans="1:14">
      <c r="A43" s="66">
        <v>2000</v>
      </c>
      <c r="B43" s="30">
        <v>55014.1</v>
      </c>
      <c r="C43" s="30">
        <v>13644.2</v>
      </c>
      <c r="D43" s="30">
        <f t="shared" si="0"/>
        <v>3183</v>
      </c>
      <c r="E43" s="30">
        <v>209.3</v>
      </c>
      <c r="F43" s="30">
        <v>868.2</v>
      </c>
      <c r="G43" s="30">
        <v>2105.5</v>
      </c>
      <c r="I43" s="135">
        <v>80024835.200000003</v>
      </c>
      <c r="J43" s="135">
        <v>18882257.899999999</v>
      </c>
      <c r="K43" s="135">
        <f t="shared" si="1"/>
        <v>4317937.9000000004</v>
      </c>
      <c r="L43" s="135">
        <v>279275.3</v>
      </c>
      <c r="M43" s="135">
        <v>1172213</v>
      </c>
      <c r="N43" s="135">
        <v>2866449.6</v>
      </c>
    </row>
    <row r="44" spans="1:14">
      <c r="A44" s="66">
        <v>2001</v>
      </c>
      <c r="B44" s="30">
        <v>57013.4</v>
      </c>
      <c r="C44" s="30">
        <v>13391</v>
      </c>
      <c r="D44" s="30">
        <f t="shared" si="0"/>
        <v>3040.1000000000004</v>
      </c>
      <c r="E44" s="30">
        <v>196.3</v>
      </c>
      <c r="F44" s="30">
        <v>867.9</v>
      </c>
      <c r="G44" s="30">
        <v>1975.9</v>
      </c>
      <c r="I44" s="135">
        <v>84454113.900000006</v>
      </c>
      <c r="J44" s="135">
        <v>18797729.300000001</v>
      </c>
      <c r="K44" s="135">
        <f t="shared" si="1"/>
        <v>4166310.1</v>
      </c>
      <c r="L44" s="135">
        <v>267224.59999999998</v>
      </c>
      <c r="M44" s="135">
        <v>1182011.3999999999</v>
      </c>
      <c r="N44" s="135">
        <v>2717074.1</v>
      </c>
    </row>
    <row r="45" spans="1:14">
      <c r="A45" s="66">
        <v>2002</v>
      </c>
      <c r="B45" s="30">
        <v>57773.8</v>
      </c>
      <c r="C45" s="30">
        <v>12806.6</v>
      </c>
      <c r="D45" s="30">
        <f t="shared" si="0"/>
        <v>2795.8</v>
      </c>
      <c r="E45" s="30">
        <v>181.8</v>
      </c>
      <c r="F45" s="30">
        <v>801.1</v>
      </c>
      <c r="G45" s="30">
        <v>1812.9</v>
      </c>
      <c r="I45" s="135">
        <v>86992570.400000006</v>
      </c>
      <c r="J45" s="135">
        <v>18255570.5</v>
      </c>
      <c r="K45" s="135">
        <f t="shared" si="1"/>
        <v>3871837.4</v>
      </c>
      <c r="L45" s="135">
        <v>252891</v>
      </c>
      <c r="M45" s="135">
        <v>1104880.6000000001</v>
      </c>
      <c r="N45" s="135">
        <v>2514065.7999999998</v>
      </c>
    </row>
    <row r="46" spans="1:14">
      <c r="A46" s="66">
        <v>2003</v>
      </c>
      <c r="B46" s="30">
        <v>58522.2</v>
      </c>
      <c r="C46" s="30">
        <v>12481.6</v>
      </c>
      <c r="D46" s="30">
        <f t="shared" si="0"/>
        <v>2648.2</v>
      </c>
      <c r="E46" s="30">
        <v>174</v>
      </c>
      <c r="F46" s="30">
        <v>762.7</v>
      </c>
      <c r="G46" s="30">
        <v>1711.5</v>
      </c>
      <c r="I46" s="135">
        <v>89302273.599999994</v>
      </c>
      <c r="J46" s="135">
        <v>18029950.899999999</v>
      </c>
      <c r="K46" s="135">
        <f t="shared" si="1"/>
        <v>3709746.2</v>
      </c>
      <c r="L46" s="135">
        <v>247430.8</v>
      </c>
      <c r="M46" s="135">
        <v>1066682.5</v>
      </c>
      <c r="N46" s="135">
        <v>2395632.9</v>
      </c>
    </row>
    <row r="47" spans="1:14">
      <c r="A47" s="66">
        <v>2004</v>
      </c>
      <c r="B47" s="30">
        <v>60498.1</v>
      </c>
      <c r="C47" s="30">
        <v>12458.9</v>
      </c>
      <c r="D47" s="30">
        <f t="shared" si="0"/>
        <v>2559</v>
      </c>
      <c r="E47" s="30">
        <v>170.9</v>
      </c>
      <c r="F47" s="30">
        <v>772.1</v>
      </c>
      <c r="G47" s="30">
        <v>1616</v>
      </c>
      <c r="I47" s="135">
        <v>93362057.599999994</v>
      </c>
      <c r="J47" s="135">
        <v>18208670.399999999</v>
      </c>
      <c r="K47" s="135">
        <f t="shared" si="1"/>
        <v>3637258.4</v>
      </c>
      <c r="L47" s="135">
        <v>246104.3</v>
      </c>
      <c r="M47" s="135">
        <v>1098583.8</v>
      </c>
      <c r="N47" s="135">
        <v>2292570.2999999998</v>
      </c>
    </row>
    <row r="48" spans="1:14">
      <c r="A48" s="66">
        <v>2005</v>
      </c>
      <c r="B48" s="30">
        <v>64239.3</v>
      </c>
      <c r="C48" s="30">
        <v>12644.8</v>
      </c>
      <c r="D48" s="30">
        <f t="shared" si="0"/>
        <v>2481</v>
      </c>
      <c r="E48" s="30">
        <v>171.2</v>
      </c>
      <c r="F48" s="30">
        <v>820.8</v>
      </c>
      <c r="G48" s="30">
        <v>1489</v>
      </c>
      <c r="I48" s="135">
        <v>99708770.400000006</v>
      </c>
      <c r="J48" s="135">
        <v>18614254.300000001</v>
      </c>
      <c r="K48" s="135">
        <f t="shared" si="1"/>
        <v>3572883.8</v>
      </c>
      <c r="L48" s="135">
        <v>245451.1</v>
      </c>
      <c r="M48" s="135">
        <v>1181241.3</v>
      </c>
      <c r="N48" s="135">
        <v>2146191.4</v>
      </c>
    </row>
    <row r="49" spans="1:14">
      <c r="A49" s="66">
        <v>2006</v>
      </c>
      <c r="B49" s="30">
        <v>69558.8</v>
      </c>
      <c r="C49" s="30">
        <v>12962.7</v>
      </c>
      <c r="D49" s="30">
        <f t="shared" si="0"/>
        <v>2449.3999999999996</v>
      </c>
      <c r="E49" s="30">
        <v>173</v>
      </c>
      <c r="F49" s="30">
        <v>870.1</v>
      </c>
      <c r="G49" s="30">
        <v>1406.3</v>
      </c>
      <c r="I49" s="135">
        <v>107452081.2</v>
      </c>
      <c r="J49" s="135">
        <v>19197901.899999999</v>
      </c>
      <c r="K49" s="135">
        <f t="shared" si="1"/>
        <v>3558623.7</v>
      </c>
      <c r="L49" s="135">
        <v>245925.2</v>
      </c>
      <c r="M49" s="135">
        <v>1272096.7</v>
      </c>
      <c r="N49" s="135">
        <v>2040601.8</v>
      </c>
    </row>
    <row r="50" spans="1:14">
      <c r="A50" s="66">
        <v>2007</v>
      </c>
      <c r="B50" s="30">
        <v>74935.5</v>
      </c>
      <c r="C50" s="30">
        <v>13252.2</v>
      </c>
      <c r="D50" s="30">
        <f t="shared" si="0"/>
        <v>2376.3000000000002</v>
      </c>
      <c r="E50" s="30">
        <v>165</v>
      </c>
      <c r="F50" s="30">
        <v>876.4</v>
      </c>
      <c r="G50" s="30">
        <v>1334.9</v>
      </c>
      <c r="I50" s="135">
        <v>116403866.5</v>
      </c>
      <c r="J50" s="135">
        <v>20006337.600000001</v>
      </c>
      <c r="K50" s="135">
        <f t="shared" si="1"/>
        <v>3572429.7</v>
      </c>
      <c r="L50" s="135">
        <v>249092.9</v>
      </c>
      <c r="M50" s="135">
        <v>1368789.3</v>
      </c>
      <c r="N50" s="135">
        <v>1954547.5</v>
      </c>
    </row>
    <row r="51" spans="1:14">
      <c r="A51" s="66">
        <v>2008</v>
      </c>
      <c r="B51" s="30">
        <v>79469.5</v>
      </c>
      <c r="C51" s="30">
        <v>13527.6</v>
      </c>
      <c r="D51" s="30">
        <f t="shared" si="0"/>
        <v>2254.4</v>
      </c>
      <c r="E51" s="30">
        <v>154.6</v>
      </c>
      <c r="F51" s="30">
        <v>839.9</v>
      </c>
      <c r="G51" s="30">
        <v>1259.9000000000001</v>
      </c>
    </row>
    <row r="52" spans="1:14">
      <c r="A52" s="66">
        <v>2009</v>
      </c>
      <c r="B52" s="30">
        <v>80906.7</v>
      </c>
      <c r="C52" s="30">
        <v>13240</v>
      </c>
      <c r="D52" s="30">
        <f t="shared" si="0"/>
        <v>2054</v>
      </c>
      <c r="E52" s="30">
        <v>148.69999999999999</v>
      </c>
      <c r="F52" s="30">
        <v>757.6</v>
      </c>
      <c r="G52" s="30">
        <v>1147.7</v>
      </c>
    </row>
    <row r="53" spans="1:14">
      <c r="A53" s="66">
        <v>2010</v>
      </c>
      <c r="B53" s="30">
        <v>81139.199999999997</v>
      </c>
      <c r="C53" s="30">
        <v>12667.6</v>
      </c>
      <c r="D53" s="30">
        <f t="shared" si="0"/>
        <v>1856.9</v>
      </c>
      <c r="E53" s="30">
        <v>144.80000000000001</v>
      </c>
      <c r="F53" s="30">
        <v>684.4</v>
      </c>
      <c r="G53" s="30">
        <v>1027.7</v>
      </c>
    </row>
    <row r="54" spans="1:14">
      <c r="A54" s="66">
        <v>2011</v>
      </c>
      <c r="B54" s="30">
        <v>83856.800000000003</v>
      </c>
      <c r="C54" s="30">
        <v>12655.4</v>
      </c>
      <c r="D54" s="30">
        <f t="shared" si="0"/>
        <v>1778.8</v>
      </c>
      <c r="E54" s="30">
        <v>147.69999999999999</v>
      </c>
      <c r="F54" s="30">
        <v>670.9</v>
      </c>
      <c r="G54" s="30">
        <v>960.2</v>
      </c>
    </row>
    <row r="55" spans="1:14">
      <c r="A55" s="66">
        <v>2012</v>
      </c>
      <c r="B55" s="30">
        <v>87129.5</v>
      </c>
      <c r="C55" s="30">
        <v>12969.5</v>
      </c>
      <c r="D55" s="30">
        <f t="shared" si="0"/>
        <v>1764.9</v>
      </c>
      <c r="E55" s="30">
        <v>145.1</v>
      </c>
      <c r="F55" s="30">
        <v>690.4</v>
      </c>
      <c r="G55" s="30">
        <v>929.4</v>
      </c>
    </row>
    <row r="57" spans="1:14">
      <c r="A57" s="66" t="s">
        <v>23</v>
      </c>
      <c r="B57" s="56"/>
      <c r="C57" s="56"/>
    </row>
    <row r="58" spans="1:14">
      <c r="A58" s="69" t="s">
        <v>2121</v>
      </c>
      <c r="B58" s="147">
        <f>((B55/B4)^(1/51)-1)*100</f>
        <v>3.986290425723138</v>
      </c>
      <c r="C58" s="147">
        <f t="shared" ref="C58:G58" si="2">((C55/C4)^(1/51)-1)*100</f>
        <v>2.4781967348776135</v>
      </c>
      <c r="D58" s="147">
        <f t="shared" si="2"/>
        <v>1.0102836130383208</v>
      </c>
      <c r="E58" s="147">
        <f t="shared" si="2"/>
        <v>0.2507833422575434</v>
      </c>
      <c r="F58" s="147">
        <f t="shared" si="2"/>
        <v>2.6245342544746864</v>
      </c>
      <c r="G58" s="147">
        <f t="shared" si="2"/>
        <v>0.43431450012738626</v>
      </c>
    </row>
    <row r="59" spans="1:14">
      <c r="A59" s="68" t="s">
        <v>1031</v>
      </c>
      <c r="B59" s="147">
        <f t="shared" ref="B59:G59" si="3">((B16/B4)^(1/12)-1)*100</f>
        <v>5.4564920620956858</v>
      </c>
      <c r="C59" s="147">
        <f t="shared" si="3"/>
        <v>5.7013529140754304</v>
      </c>
      <c r="D59" s="147">
        <f t="shared" si="3"/>
        <v>6.1932831399104771</v>
      </c>
      <c r="E59" s="147">
        <f t="shared" si="3"/>
        <v>4.7357450606640983</v>
      </c>
      <c r="F59" s="147">
        <f t="shared" si="3"/>
        <v>8.1186678422345828</v>
      </c>
      <c r="G59" s="147">
        <f t="shared" si="3"/>
        <v>5.894031190506932</v>
      </c>
    </row>
    <row r="60" spans="1:14">
      <c r="A60" s="68" t="s">
        <v>1032</v>
      </c>
      <c r="B60" s="147">
        <f t="shared" ref="B60:G60" si="4">((B24/B16)^(1/8)-1)*100</f>
        <v>5.2810911556935292</v>
      </c>
      <c r="C60" s="147">
        <f t="shared" si="4"/>
        <v>3.4722704937765414</v>
      </c>
      <c r="D60" s="147">
        <f t="shared" si="4"/>
        <v>1.8941434724600192</v>
      </c>
      <c r="E60" s="147">
        <f t="shared" si="4"/>
        <v>2.9333243987046842</v>
      </c>
      <c r="F60" s="147">
        <f t="shared" si="4"/>
        <v>2.9960651002754135</v>
      </c>
      <c r="G60" s="147">
        <f t="shared" si="4"/>
        <v>1.3595349611272622</v>
      </c>
    </row>
    <row r="61" spans="1:14">
      <c r="A61" s="68" t="s">
        <v>25</v>
      </c>
      <c r="B61" s="147">
        <f t="shared" ref="B61:G61" si="5">((B32/B24)^(1/8)-1)*100</f>
        <v>2.0254138335065841</v>
      </c>
      <c r="C61" s="147">
        <f t="shared" si="5"/>
        <v>1.7596817637102635</v>
      </c>
      <c r="D61" s="147">
        <f t="shared" si="5"/>
        <v>2.7190545458920523</v>
      </c>
      <c r="E61" s="147">
        <f t="shared" si="5"/>
        <v>-6.7727772627436682</v>
      </c>
      <c r="F61" s="147">
        <f t="shared" si="5"/>
        <v>0.8044357819007919</v>
      </c>
      <c r="G61" s="147">
        <f t="shared" si="5"/>
        <v>4.4390173123615373</v>
      </c>
    </row>
    <row r="62" spans="1:14">
      <c r="A62" s="68" t="s">
        <v>26</v>
      </c>
      <c r="B62" s="147">
        <f t="shared" ref="B62:G62" si="6">((B43/B32)^(1/11)-1)*100</f>
        <v>2.9898647930890698</v>
      </c>
      <c r="C62" s="147">
        <f t="shared" si="6"/>
        <v>2.031260000670021</v>
      </c>
      <c r="D62" s="147">
        <f t="shared" si="6"/>
        <v>0.15072735766203937</v>
      </c>
      <c r="E62" s="147">
        <f t="shared" si="6"/>
        <v>2.4718263964625065</v>
      </c>
      <c r="F62" s="147">
        <f t="shared" si="6"/>
        <v>2.8903203561883473</v>
      </c>
      <c r="G62" s="147">
        <f t="shared" si="6"/>
        <v>-0.9403679310402091</v>
      </c>
    </row>
    <row r="63" spans="1:14">
      <c r="A63" s="69" t="s">
        <v>2028</v>
      </c>
      <c r="B63" s="147">
        <f>((B55/B43)^(1/12)-1)*100</f>
        <v>3.9060736196038448</v>
      </c>
      <c r="C63" s="147">
        <f t="shared" ref="C63:G63" si="7">((C55/C43)^(1/12)-1)*100</f>
        <v>-0.42172552831887256</v>
      </c>
      <c r="D63" s="147">
        <f t="shared" si="7"/>
        <v>-4.7956142448506096</v>
      </c>
      <c r="E63" s="147">
        <f t="shared" si="7"/>
        <v>-3.0067491847954986</v>
      </c>
      <c r="F63" s="147">
        <f t="shared" si="7"/>
        <v>-1.8914741680596592</v>
      </c>
      <c r="G63" s="147">
        <f t="shared" si="7"/>
        <v>-6.5877244245920892</v>
      </c>
    </row>
    <row r="65" spans="1:1">
      <c r="A65" s="64" t="s">
        <v>1813</v>
      </c>
    </row>
    <row r="66" spans="1:1">
      <c r="A66" s="195" t="s">
        <v>1341</v>
      </c>
    </row>
  </sheetData>
  <mergeCells count="7">
    <mergeCell ref="A1:G1"/>
    <mergeCell ref="B2:B3"/>
    <mergeCell ref="D2:G2"/>
    <mergeCell ref="I2:I3"/>
    <mergeCell ref="K2:N2"/>
    <mergeCell ref="C2:C3"/>
    <mergeCell ref="J2:J3"/>
  </mergeCells>
  <pageMargins left="0.7" right="0.7" top="0.75" bottom="0.75" header="0.3" footer="0.3"/>
  <pageSetup scale="91" orientation="portrait" horizontalDpi="0" verticalDpi="0" r:id="rId1"/>
</worksheet>
</file>

<file path=xl/worksheets/sheet76.xml><?xml version="1.0" encoding="utf-8"?>
<worksheet xmlns="http://schemas.openxmlformats.org/spreadsheetml/2006/main" xmlns:r="http://schemas.openxmlformats.org/officeDocument/2006/relationships">
  <sheetPr codeName="Sheet71"/>
  <dimension ref="A1:O66"/>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5703125" style="64" customWidth="1"/>
    <col min="2" max="3" width="14.140625" style="135" customWidth="1"/>
    <col min="4" max="4" width="16" style="135" customWidth="1"/>
    <col min="5" max="5" width="11.28515625" style="135" customWidth="1"/>
    <col min="6" max="6" width="15.140625" style="135" customWidth="1"/>
    <col min="7" max="7" width="14.140625" style="135" customWidth="1"/>
    <col min="8" max="8" width="9.140625" style="135"/>
    <col min="9" max="14" width="25.85546875" style="135" hidden="1" customWidth="1" outlineLevel="1"/>
    <col min="15" max="15" width="9.140625" style="64" collapsed="1"/>
    <col min="16" max="16384" width="9.140625" style="64"/>
  </cols>
  <sheetData>
    <row r="1" spans="1:14" ht="30" customHeight="1">
      <c r="A1" s="93" t="s">
        <v>2063</v>
      </c>
      <c r="B1" s="93"/>
      <c r="C1" s="93"/>
      <c r="D1" s="93"/>
      <c r="E1" s="93"/>
      <c r="F1" s="93"/>
      <c r="G1" s="93"/>
    </row>
    <row r="2" spans="1:14">
      <c r="B2" s="123" t="s">
        <v>673</v>
      </c>
      <c r="C2" s="123" t="s">
        <v>938</v>
      </c>
      <c r="D2" s="159" t="s">
        <v>37</v>
      </c>
      <c r="E2" s="160"/>
      <c r="F2" s="160"/>
      <c r="G2" s="161"/>
      <c r="I2" s="123" t="s">
        <v>673</v>
      </c>
      <c r="J2" s="123" t="s">
        <v>938</v>
      </c>
      <c r="K2" s="159" t="s">
        <v>37</v>
      </c>
      <c r="L2" s="160"/>
      <c r="M2" s="160"/>
      <c r="N2" s="161"/>
    </row>
    <row r="3" spans="1:14" ht="60">
      <c r="B3" s="126"/>
      <c r="C3" s="126"/>
      <c r="D3" s="72" t="s">
        <v>78</v>
      </c>
      <c r="E3" s="72" t="s">
        <v>750</v>
      </c>
      <c r="F3" s="72" t="s">
        <v>745</v>
      </c>
      <c r="G3" s="72" t="s">
        <v>678</v>
      </c>
      <c r="I3" s="126"/>
      <c r="J3" s="126"/>
      <c r="K3" s="72" t="s">
        <v>78</v>
      </c>
      <c r="L3" s="72" t="s">
        <v>750</v>
      </c>
      <c r="M3" s="72" t="s">
        <v>745</v>
      </c>
      <c r="N3" s="72" t="s">
        <v>678</v>
      </c>
    </row>
    <row r="4" spans="1:14">
      <c r="A4" s="66">
        <v>1961</v>
      </c>
      <c r="B4" s="30">
        <v>12368</v>
      </c>
      <c r="C4" s="30">
        <v>615.9</v>
      </c>
      <c r="D4" s="30">
        <f t="shared" ref="D4:D55" si="0">SUM(E4:G4)</f>
        <v>167.8</v>
      </c>
      <c r="E4" s="30">
        <v>117</v>
      </c>
      <c r="F4" s="30">
        <v>15.5</v>
      </c>
      <c r="G4" s="30">
        <v>35.299999999999997</v>
      </c>
      <c r="I4" s="135">
        <v>10331312.1</v>
      </c>
      <c r="J4" s="135">
        <v>509743.1</v>
      </c>
      <c r="K4" s="135">
        <f>SUM(L4:N4)</f>
        <v>135284.29999999999</v>
      </c>
      <c r="L4" s="135">
        <v>94181</v>
      </c>
      <c r="M4" s="135">
        <v>12318</v>
      </c>
      <c r="N4" s="135">
        <v>28785.3</v>
      </c>
    </row>
    <row r="5" spans="1:14" hidden="1" outlineLevel="1">
      <c r="A5" s="66">
        <v>1962</v>
      </c>
      <c r="B5" s="30">
        <v>12964.1</v>
      </c>
      <c r="C5" s="30">
        <v>615.6</v>
      </c>
      <c r="D5" s="30">
        <f t="shared" si="0"/>
        <v>176</v>
      </c>
      <c r="E5" s="30">
        <v>123.7</v>
      </c>
      <c r="F5" s="30">
        <v>15.3</v>
      </c>
      <c r="G5" s="30">
        <v>37</v>
      </c>
      <c r="I5" s="135">
        <v>10838335.9</v>
      </c>
      <c r="J5" s="135">
        <v>510466.6</v>
      </c>
      <c r="K5" s="135">
        <f t="shared" ref="K5:K50" si="1">SUM(L5:N5)</f>
        <v>142009.90000000002</v>
      </c>
      <c r="L5" s="135">
        <v>99627.6</v>
      </c>
      <c r="M5" s="135">
        <v>12176.3</v>
      </c>
      <c r="N5" s="135">
        <v>30206</v>
      </c>
    </row>
    <row r="6" spans="1:14" hidden="1" outlineLevel="1">
      <c r="A6" s="66">
        <v>1963</v>
      </c>
      <c r="B6" s="30">
        <v>13490.4</v>
      </c>
      <c r="C6" s="30">
        <v>617</v>
      </c>
      <c r="D6" s="30">
        <f t="shared" si="0"/>
        <v>182.09999999999997</v>
      </c>
      <c r="E6" s="30">
        <v>129.69999999999999</v>
      </c>
      <c r="F6" s="30">
        <v>15.1</v>
      </c>
      <c r="G6" s="30">
        <v>37.299999999999997</v>
      </c>
      <c r="I6" s="135">
        <v>11286168.800000001</v>
      </c>
      <c r="J6" s="135">
        <v>512591.6</v>
      </c>
      <c r="K6" s="135">
        <f t="shared" si="1"/>
        <v>146978.1</v>
      </c>
      <c r="L6" s="135">
        <v>104490.8</v>
      </c>
      <c r="M6" s="135">
        <v>12013.1</v>
      </c>
      <c r="N6" s="135">
        <v>30474.2</v>
      </c>
    </row>
    <row r="7" spans="1:14" hidden="1" outlineLevel="1">
      <c r="A7" s="66">
        <v>1964</v>
      </c>
      <c r="B7" s="30">
        <v>14077.4</v>
      </c>
      <c r="C7" s="30">
        <v>604.4</v>
      </c>
      <c r="D7" s="30">
        <f t="shared" si="0"/>
        <v>189.2</v>
      </c>
      <c r="E7" s="30">
        <v>136.5</v>
      </c>
      <c r="F7" s="30">
        <v>15</v>
      </c>
      <c r="G7" s="30">
        <v>37.700000000000003</v>
      </c>
      <c r="I7" s="135">
        <v>11786192.699999999</v>
      </c>
      <c r="J7" s="135">
        <v>502607.5</v>
      </c>
      <c r="K7" s="135">
        <f t="shared" si="1"/>
        <v>152634.5</v>
      </c>
      <c r="L7" s="135">
        <v>109962.3</v>
      </c>
      <c r="M7" s="135">
        <v>11905.4</v>
      </c>
      <c r="N7" s="135">
        <v>30766.799999999999</v>
      </c>
    </row>
    <row r="8" spans="1:14" hidden="1" outlineLevel="1">
      <c r="A8" s="66">
        <v>1965</v>
      </c>
      <c r="B8" s="30">
        <v>14749.7</v>
      </c>
      <c r="C8" s="30">
        <v>592.70000000000005</v>
      </c>
      <c r="D8" s="30">
        <f t="shared" si="0"/>
        <v>198.7</v>
      </c>
      <c r="E8" s="30">
        <v>144.1</v>
      </c>
      <c r="F8" s="30">
        <v>15.2</v>
      </c>
      <c r="G8" s="30">
        <v>39.4</v>
      </c>
      <c r="I8" s="135">
        <v>12363514.5</v>
      </c>
      <c r="J8" s="135">
        <v>493175.9</v>
      </c>
      <c r="K8" s="135">
        <f t="shared" si="1"/>
        <v>160267.20000000001</v>
      </c>
      <c r="L8" s="135">
        <v>116031.9</v>
      </c>
      <c r="M8" s="135">
        <v>12097.8</v>
      </c>
      <c r="N8" s="135">
        <v>32137.5</v>
      </c>
    </row>
    <row r="9" spans="1:14" hidden="1" outlineLevel="1">
      <c r="A9" s="66">
        <v>1966</v>
      </c>
      <c r="B9" s="30">
        <v>15513.5</v>
      </c>
      <c r="C9" s="30">
        <v>600.9</v>
      </c>
      <c r="D9" s="30">
        <f t="shared" si="0"/>
        <v>208.40000000000003</v>
      </c>
      <c r="E9" s="30">
        <v>150.4</v>
      </c>
      <c r="F9" s="30">
        <v>15.8</v>
      </c>
      <c r="G9" s="30">
        <v>42.2</v>
      </c>
      <c r="I9" s="135">
        <v>13016087.699999999</v>
      </c>
      <c r="J9" s="135">
        <v>500640.8</v>
      </c>
      <c r="K9" s="135">
        <f t="shared" si="1"/>
        <v>168137.7</v>
      </c>
      <c r="L9" s="135">
        <v>121159.3</v>
      </c>
      <c r="M9" s="135">
        <v>12570.7</v>
      </c>
      <c r="N9" s="135">
        <v>34407.699999999997</v>
      </c>
    </row>
    <row r="10" spans="1:14" hidden="1" outlineLevel="1">
      <c r="A10" s="66">
        <v>1967</v>
      </c>
      <c r="B10" s="30">
        <v>16351.8</v>
      </c>
      <c r="C10" s="30">
        <v>628.29999999999995</v>
      </c>
      <c r="D10" s="30">
        <f t="shared" si="0"/>
        <v>217</v>
      </c>
      <c r="E10" s="30">
        <v>155.69999999999999</v>
      </c>
      <c r="F10" s="30">
        <v>15.9</v>
      </c>
      <c r="G10" s="30">
        <v>45.4</v>
      </c>
      <c r="I10" s="135">
        <v>13728002.800000001</v>
      </c>
      <c r="J10" s="135">
        <v>524147.5</v>
      </c>
      <c r="K10" s="135">
        <f t="shared" si="1"/>
        <v>175127.9</v>
      </c>
      <c r="L10" s="135">
        <v>125381.5</v>
      </c>
      <c r="M10" s="135">
        <v>12699.9</v>
      </c>
      <c r="N10" s="135">
        <v>37046.5</v>
      </c>
    </row>
    <row r="11" spans="1:14" hidden="1" outlineLevel="1">
      <c r="A11" s="66">
        <v>1968</v>
      </c>
      <c r="B11" s="30">
        <v>17180.400000000001</v>
      </c>
      <c r="C11" s="30">
        <v>680.6</v>
      </c>
      <c r="D11" s="30">
        <f t="shared" si="0"/>
        <v>223.5</v>
      </c>
      <c r="E11" s="30">
        <v>159.80000000000001</v>
      </c>
      <c r="F11" s="30">
        <v>15.9</v>
      </c>
      <c r="G11" s="30">
        <v>47.8</v>
      </c>
      <c r="I11" s="135">
        <v>14442594.5</v>
      </c>
      <c r="J11" s="135">
        <v>568097.6</v>
      </c>
      <c r="K11" s="135">
        <f t="shared" si="1"/>
        <v>180437.5</v>
      </c>
      <c r="L11" s="135">
        <v>128677.9</v>
      </c>
      <c r="M11" s="135">
        <v>12720.4</v>
      </c>
      <c r="N11" s="135">
        <v>39039.199999999997</v>
      </c>
    </row>
    <row r="12" spans="1:14" hidden="1" outlineLevel="1">
      <c r="A12" s="66">
        <v>1969</v>
      </c>
      <c r="B12" s="30">
        <v>17984.900000000001</v>
      </c>
      <c r="C12" s="30">
        <v>744.2</v>
      </c>
      <c r="D12" s="30">
        <f t="shared" si="0"/>
        <v>230.90000000000003</v>
      </c>
      <c r="E12" s="30">
        <v>165.3</v>
      </c>
      <c r="F12" s="30">
        <v>17.3</v>
      </c>
      <c r="G12" s="30">
        <v>48.3</v>
      </c>
      <c r="I12" s="135">
        <v>15147177.6</v>
      </c>
      <c r="J12" s="135">
        <v>621151.6</v>
      </c>
      <c r="K12" s="135">
        <f t="shared" si="1"/>
        <v>186275.5</v>
      </c>
      <c r="L12" s="135">
        <v>133049</v>
      </c>
      <c r="M12" s="135">
        <v>13785.9</v>
      </c>
      <c r="N12" s="135">
        <v>39440.6</v>
      </c>
    </row>
    <row r="13" spans="1:14" hidden="1" outlineLevel="1">
      <c r="A13" s="66">
        <v>1970</v>
      </c>
      <c r="B13" s="30">
        <v>18816.400000000001</v>
      </c>
      <c r="C13" s="30">
        <v>815.4</v>
      </c>
      <c r="D13" s="30">
        <f t="shared" si="0"/>
        <v>241.1</v>
      </c>
      <c r="E13" s="30">
        <v>171.9</v>
      </c>
      <c r="F13" s="30">
        <v>19.7</v>
      </c>
      <c r="G13" s="30">
        <v>49.5</v>
      </c>
      <c r="I13" s="135">
        <v>15884548.6</v>
      </c>
      <c r="J13" s="135">
        <v>680125.2</v>
      </c>
      <c r="K13" s="135">
        <f t="shared" si="1"/>
        <v>194432.80000000002</v>
      </c>
      <c r="L13" s="135">
        <v>138315.1</v>
      </c>
      <c r="M13" s="135">
        <v>15732.7</v>
      </c>
      <c r="N13" s="135">
        <v>40385</v>
      </c>
    </row>
    <row r="14" spans="1:14" hidden="1" outlineLevel="1">
      <c r="A14" s="66">
        <v>1971</v>
      </c>
      <c r="B14" s="30">
        <v>19784.8</v>
      </c>
      <c r="C14" s="30">
        <v>901.2</v>
      </c>
      <c r="D14" s="30">
        <f t="shared" si="0"/>
        <v>251.89999999999998</v>
      </c>
      <c r="E14" s="30">
        <v>177.2</v>
      </c>
      <c r="F14" s="30">
        <v>21.4</v>
      </c>
      <c r="G14" s="30">
        <v>53.3</v>
      </c>
      <c r="I14" s="135">
        <v>16732975.4</v>
      </c>
      <c r="J14" s="135">
        <v>752068.5</v>
      </c>
      <c r="K14" s="135">
        <f t="shared" si="1"/>
        <v>202994.69999999998</v>
      </c>
      <c r="L14" s="135">
        <v>142581.5</v>
      </c>
      <c r="M14" s="135">
        <v>17016.8</v>
      </c>
      <c r="N14" s="135">
        <v>43396.4</v>
      </c>
    </row>
    <row r="15" spans="1:14" hidden="1" outlineLevel="1">
      <c r="A15" s="66">
        <v>1972</v>
      </c>
      <c r="B15" s="30">
        <v>20812.5</v>
      </c>
      <c r="C15" s="30">
        <v>977.9</v>
      </c>
      <c r="D15" s="30">
        <f t="shared" si="0"/>
        <v>263.3</v>
      </c>
      <c r="E15" s="30">
        <v>182.8</v>
      </c>
      <c r="F15" s="30">
        <v>22.5</v>
      </c>
      <c r="G15" s="30">
        <v>58</v>
      </c>
      <c r="I15" s="135">
        <v>17618600.199999999</v>
      </c>
      <c r="J15" s="135">
        <v>816209.8</v>
      </c>
      <c r="K15" s="135">
        <f t="shared" si="1"/>
        <v>212034.19999999998</v>
      </c>
      <c r="L15" s="135">
        <v>147039.79999999999</v>
      </c>
      <c r="M15" s="135">
        <v>17900.8</v>
      </c>
      <c r="N15" s="135">
        <v>47093.599999999999</v>
      </c>
    </row>
    <row r="16" spans="1:14" collapsed="1">
      <c r="A16" s="66">
        <v>1973</v>
      </c>
      <c r="B16" s="30">
        <v>21753.1</v>
      </c>
      <c r="C16" s="30">
        <v>1040.0999999999999</v>
      </c>
      <c r="D16" s="30">
        <f t="shared" si="0"/>
        <v>278</v>
      </c>
      <c r="E16" s="30">
        <v>191.6</v>
      </c>
      <c r="F16" s="30">
        <v>24.6</v>
      </c>
      <c r="G16" s="30">
        <v>61.8</v>
      </c>
      <c r="I16" s="135">
        <v>18430324.699999999</v>
      </c>
      <c r="J16" s="135">
        <v>865260.9</v>
      </c>
      <c r="K16" s="135">
        <f t="shared" si="1"/>
        <v>223912.7</v>
      </c>
      <c r="L16" s="135">
        <v>154125.1</v>
      </c>
      <c r="M16" s="135">
        <v>19543.5</v>
      </c>
      <c r="N16" s="135">
        <v>50244.1</v>
      </c>
    </row>
    <row r="17" spans="1:14" hidden="1" outlineLevel="1">
      <c r="A17" s="66">
        <v>1974</v>
      </c>
      <c r="B17" s="30">
        <v>22622</v>
      </c>
      <c r="C17" s="30">
        <v>1107.5</v>
      </c>
      <c r="D17" s="30">
        <f t="shared" si="0"/>
        <v>289.90000000000003</v>
      </c>
      <c r="E17" s="30">
        <v>199.8</v>
      </c>
      <c r="F17" s="30">
        <v>26.8</v>
      </c>
      <c r="G17" s="30">
        <v>63.3</v>
      </c>
      <c r="I17" s="135">
        <v>19179953.399999999</v>
      </c>
      <c r="J17" s="135">
        <v>918465.2</v>
      </c>
      <c r="K17" s="135">
        <f t="shared" si="1"/>
        <v>233521.40000000002</v>
      </c>
      <c r="L17" s="135">
        <v>160689.1</v>
      </c>
      <c r="M17" s="135">
        <v>21306.5</v>
      </c>
      <c r="N17" s="135">
        <v>51525.8</v>
      </c>
    </row>
    <row r="18" spans="1:14" hidden="1" outlineLevel="1">
      <c r="A18" s="66">
        <v>1975</v>
      </c>
      <c r="B18" s="30">
        <v>23522.1</v>
      </c>
      <c r="C18" s="30">
        <v>1191.5999999999999</v>
      </c>
      <c r="D18" s="30">
        <f t="shared" si="0"/>
        <v>294.39999999999998</v>
      </c>
      <c r="E18" s="30">
        <v>203.9</v>
      </c>
      <c r="F18" s="30">
        <v>27.6</v>
      </c>
      <c r="G18" s="30">
        <v>62.9</v>
      </c>
      <c r="I18" s="135">
        <v>19955809.600000001</v>
      </c>
      <c r="J18" s="135">
        <v>988467.5</v>
      </c>
      <c r="K18" s="135">
        <f t="shared" si="1"/>
        <v>237232.8</v>
      </c>
      <c r="L18" s="135">
        <v>163971.29999999999</v>
      </c>
      <c r="M18" s="135">
        <v>22015.5</v>
      </c>
      <c r="N18" s="135">
        <v>51246</v>
      </c>
    </row>
    <row r="19" spans="1:14" hidden="1" outlineLevel="1">
      <c r="A19" s="66">
        <v>1976</v>
      </c>
      <c r="B19" s="30">
        <v>24424.5</v>
      </c>
      <c r="C19" s="30">
        <v>1267.7</v>
      </c>
      <c r="D19" s="30">
        <f t="shared" si="0"/>
        <v>296.2</v>
      </c>
      <c r="E19" s="30">
        <v>205.9</v>
      </c>
      <c r="F19" s="30">
        <v>28.2</v>
      </c>
      <c r="G19" s="30">
        <v>62.1</v>
      </c>
      <c r="I19" s="135">
        <v>20730855.100000001</v>
      </c>
      <c r="J19" s="135">
        <v>1053495</v>
      </c>
      <c r="K19" s="135">
        <f t="shared" si="1"/>
        <v>238574.40000000002</v>
      </c>
      <c r="L19" s="135">
        <v>165494.20000000001</v>
      </c>
      <c r="M19" s="135">
        <v>22483.5</v>
      </c>
      <c r="N19" s="135">
        <v>50596.7</v>
      </c>
    </row>
    <row r="20" spans="1:14" hidden="1" outlineLevel="1">
      <c r="A20" s="66">
        <v>1977</v>
      </c>
      <c r="B20" s="30">
        <v>25325.5</v>
      </c>
      <c r="C20" s="30">
        <v>1320.8</v>
      </c>
      <c r="D20" s="30">
        <f t="shared" si="0"/>
        <v>298.39999999999998</v>
      </c>
      <c r="E20" s="30">
        <v>207.8</v>
      </c>
      <c r="F20" s="30">
        <v>29.2</v>
      </c>
      <c r="G20" s="30">
        <v>61.4</v>
      </c>
      <c r="I20" s="135">
        <v>21498186.5</v>
      </c>
      <c r="J20" s="135">
        <v>1099711.7</v>
      </c>
      <c r="K20" s="135">
        <f t="shared" si="1"/>
        <v>240164.39999999997</v>
      </c>
      <c r="L20" s="135">
        <v>167006.79999999999</v>
      </c>
      <c r="M20" s="135">
        <v>23295.9</v>
      </c>
      <c r="N20" s="135">
        <v>49861.7</v>
      </c>
    </row>
    <row r="21" spans="1:14" hidden="1" outlineLevel="1">
      <c r="A21" s="66">
        <v>1978</v>
      </c>
      <c r="B21" s="30">
        <v>26297.3</v>
      </c>
      <c r="C21" s="30">
        <v>1356.1</v>
      </c>
      <c r="D21" s="30">
        <f t="shared" si="0"/>
        <v>300.8</v>
      </c>
      <c r="E21" s="30">
        <v>210.5</v>
      </c>
      <c r="F21" s="30">
        <v>29.9</v>
      </c>
      <c r="G21" s="30">
        <v>60.4</v>
      </c>
      <c r="I21" s="135">
        <v>22336476.300000001</v>
      </c>
      <c r="J21" s="135">
        <v>1131229.2</v>
      </c>
      <c r="K21" s="135">
        <f t="shared" si="1"/>
        <v>241949.5</v>
      </c>
      <c r="L21" s="135">
        <v>169131.7</v>
      </c>
      <c r="M21" s="135">
        <v>23832.9</v>
      </c>
      <c r="N21" s="135">
        <v>48984.9</v>
      </c>
    </row>
    <row r="22" spans="1:14" hidden="1" outlineLevel="1">
      <c r="A22" s="66">
        <v>1979</v>
      </c>
      <c r="B22" s="30">
        <v>27375.599999999999</v>
      </c>
      <c r="C22" s="30">
        <v>1351.6</v>
      </c>
      <c r="D22" s="30">
        <f t="shared" si="0"/>
        <v>305.20000000000005</v>
      </c>
      <c r="E22" s="30">
        <v>215.4</v>
      </c>
      <c r="F22" s="30">
        <v>30.8</v>
      </c>
      <c r="G22" s="30">
        <v>59</v>
      </c>
      <c r="I22" s="135">
        <v>23281970.399999999</v>
      </c>
      <c r="J22" s="135">
        <v>1128510.6000000001</v>
      </c>
      <c r="K22" s="135">
        <f t="shared" si="1"/>
        <v>245413.1</v>
      </c>
      <c r="L22" s="135">
        <v>173079.6</v>
      </c>
      <c r="M22" s="135">
        <v>24543.9</v>
      </c>
      <c r="N22" s="135">
        <v>47789.599999999999</v>
      </c>
    </row>
    <row r="23" spans="1:14" hidden="1" outlineLevel="1">
      <c r="A23" s="66">
        <v>1980</v>
      </c>
      <c r="B23" s="30">
        <v>28730</v>
      </c>
      <c r="C23" s="30">
        <v>1320.1</v>
      </c>
      <c r="D23" s="30">
        <f t="shared" si="0"/>
        <v>311.7</v>
      </c>
      <c r="E23" s="30">
        <v>222</v>
      </c>
      <c r="F23" s="30">
        <v>32.6</v>
      </c>
      <c r="G23" s="30">
        <v>57.1</v>
      </c>
      <c r="I23" s="135">
        <v>24473376.399999999</v>
      </c>
      <c r="J23" s="135">
        <v>1101682.1000000001</v>
      </c>
      <c r="K23" s="135">
        <f t="shared" si="1"/>
        <v>250568.10000000003</v>
      </c>
      <c r="L23" s="135">
        <v>178397.7</v>
      </c>
      <c r="M23" s="135">
        <v>25956.1</v>
      </c>
      <c r="N23" s="135">
        <v>46214.3</v>
      </c>
    </row>
    <row r="24" spans="1:14" collapsed="1">
      <c r="A24" s="66">
        <v>1981</v>
      </c>
      <c r="B24" s="30">
        <v>30309.8</v>
      </c>
      <c r="C24" s="30">
        <v>1353</v>
      </c>
      <c r="D24" s="30">
        <f t="shared" si="0"/>
        <v>316.3</v>
      </c>
      <c r="E24" s="30">
        <v>224.5</v>
      </c>
      <c r="F24" s="30">
        <v>34</v>
      </c>
      <c r="G24" s="30">
        <v>57.8</v>
      </c>
      <c r="I24" s="135">
        <v>25840262.5</v>
      </c>
      <c r="J24" s="135">
        <v>1122126.6000000001</v>
      </c>
      <c r="K24" s="135">
        <f t="shared" si="1"/>
        <v>254275.3</v>
      </c>
      <c r="L24" s="135">
        <v>180368.5</v>
      </c>
      <c r="M24" s="135">
        <v>27089.599999999999</v>
      </c>
      <c r="N24" s="135">
        <v>46817.2</v>
      </c>
    </row>
    <row r="25" spans="1:14">
      <c r="A25" s="66">
        <v>1982</v>
      </c>
      <c r="B25" s="30">
        <v>31793</v>
      </c>
      <c r="C25" s="30">
        <v>1457.3</v>
      </c>
      <c r="D25" s="30">
        <f t="shared" si="0"/>
        <v>314.3</v>
      </c>
      <c r="E25" s="30">
        <v>221.4</v>
      </c>
      <c r="F25" s="30">
        <v>33.4</v>
      </c>
      <c r="G25" s="30">
        <v>59.5</v>
      </c>
      <c r="I25" s="135">
        <v>27100292.600000001</v>
      </c>
      <c r="J25" s="135">
        <v>1195450.5</v>
      </c>
      <c r="K25" s="135">
        <f t="shared" si="1"/>
        <v>252722.90000000002</v>
      </c>
      <c r="L25" s="135">
        <v>177912.7</v>
      </c>
      <c r="M25" s="135">
        <v>26586.5</v>
      </c>
      <c r="N25" s="135">
        <v>48223.7</v>
      </c>
    </row>
    <row r="26" spans="1:14">
      <c r="A26" s="66">
        <v>1983</v>
      </c>
      <c r="B26" s="30">
        <v>32847.599999999999</v>
      </c>
      <c r="C26" s="30">
        <v>1525.9</v>
      </c>
      <c r="D26" s="30">
        <f t="shared" si="0"/>
        <v>306.8</v>
      </c>
      <c r="E26" s="30">
        <v>216.3</v>
      </c>
      <c r="F26" s="30">
        <v>31.7</v>
      </c>
      <c r="G26" s="30">
        <v>58.8</v>
      </c>
      <c r="I26" s="135">
        <v>28015005.600000001</v>
      </c>
      <c r="J26" s="135">
        <v>1243756.7</v>
      </c>
      <c r="K26" s="135">
        <f t="shared" si="1"/>
        <v>246719.7</v>
      </c>
      <c r="L26" s="135">
        <v>173751.1</v>
      </c>
      <c r="M26" s="135">
        <v>25215.7</v>
      </c>
      <c r="N26" s="135">
        <v>47752.9</v>
      </c>
    </row>
    <row r="27" spans="1:14">
      <c r="A27" s="66">
        <v>1984</v>
      </c>
      <c r="B27" s="30">
        <v>33571.199999999997</v>
      </c>
      <c r="C27" s="30">
        <v>1505.1</v>
      </c>
      <c r="D27" s="30">
        <f t="shared" si="0"/>
        <v>299</v>
      </c>
      <c r="E27" s="30">
        <v>211.5</v>
      </c>
      <c r="F27" s="30">
        <v>30.3</v>
      </c>
      <c r="G27" s="30">
        <v>57.2</v>
      </c>
      <c r="I27" s="135">
        <v>28692153.199999999</v>
      </c>
      <c r="J27" s="135">
        <v>1225039.8</v>
      </c>
      <c r="K27" s="135">
        <f t="shared" si="1"/>
        <v>240532.7</v>
      </c>
      <c r="L27" s="135">
        <v>169910.2</v>
      </c>
      <c r="M27" s="135">
        <v>24087.200000000001</v>
      </c>
      <c r="N27" s="135">
        <v>46535.3</v>
      </c>
    </row>
    <row r="28" spans="1:14">
      <c r="A28" s="66">
        <v>1985</v>
      </c>
      <c r="B28" s="30">
        <v>34311.9</v>
      </c>
      <c r="C28" s="30">
        <v>1438.5</v>
      </c>
      <c r="D28" s="30">
        <f t="shared" si="0"/>
        <v>293.89999999999998</v>
      </c>
      <c r="E28" s="30">
        <v>208.5</v>
      </c>
      <c r="F28" s="30">
        <v>29.6</v>
      </c>
      <c r="G28" s="30">
        <v>55.8</v>
      </c>
      <c r="I28" s="135">
        <v>29397458.600000001</v>
      </c>
      <c r="J28" s="135">
        <v>1171053.5</v>
      </c>
      <c r="K28" s="135">
        <f t="shared" si="1"/>
        <v>236567.6</v>
      </c>
      <c r="L28" s="135">
        <v>167542</v>
      </c>
      <c r="M28" s="135">
        <v>23545.599999999999</v>
      </c>
      <c r="N28" s="135">
        <v>45480</v>
      </c>
    </row>
    <row r="29" spans="1:14">
      <c r="A29" s="66">
        <v>1986</v>
      </c>
      <c r="B29" s="30">
        <v>34741.800000000003</v>
      </c>
      <c r="C29" s="30">
        <v>1374</v>
      </c>
      <c r="D29" s="30">
        <f t="shared" si="0"/>
        <v>290.29999999999995</v>
      </c>
      <c r="E29" s="30">
        <v>207.2</v>
      </c>
      <c r="F29" s="30">
        <v>29.2</v>
      </c>
      <c r="G29" s="30">
        <v>53.9</v>
      </c>
      <c r="I29" s="135">
        <v>29808815.399999999</v>
      </c>
      <c r="J29" s="135">
        <v>1120068.3</v>
      </c>
      <c r="K29" s="135">
        <f t="shared" si="1"/>
        <v>233875.6</v>
      </c>
      <c r="L29" s="135">
        <v>166501.6</v>
      </c>
      <c r="M29" s="135">
        <v>23297.9</v>
      </c>
      <c r="N29" s="135">
        <v>44076.1</v>
      </c>
    </row>
    <row r="30" spans="1:14">
      <c r="A30" s="66">
        <v>1987</v>
      </c>
      <c r="B30" s="30">
        <v>34720.400000000001</v>
      </c>
      <c r="C30" s="30">
        <v>1335.9</v>
      </c>
      <c r="D30" s="30">
        <f t="shared" si="0"/>
        <v>287.7</v>
      </c>
      <c r="E30" s="30">
        <v>206.4</v>
      </c>
      <c r="F30" s="30">
        <v>28.6</v>
      </c>
      <c r="G30" s="30">
        <v>52.7</v>
      </c>
      <c r="I30" s="135">
        <v>29841727.899999999</v>
      </c>
      <c r="J30" s="135">
        <v>1090816.3999999999</v>
      </c>
      <c r="K30" s="135">
        <f t="shared" si="1"/>
        <v>231864.10000000003</v>
      </c>
      <c r="L30" s="135">
        <v>165901.6</v>
      </c>
      <c r="M30" s="135">
        <v>22811.200000000001</v>
      </c>
      <c r="N30" s="135">
        <v>43151.3</v>
      </c>
    </row>
    <row r="31" spans="1:14">
      <c r="A31" s="66">
        <v>1988</v>
      </c>
      <c r="B31" s="30">
        <v>34782.5</v>
      </c>
      <c r="C31" s="30">
        <v>1317</v>
      </c>
      <c r="D31" s="30">
        <f t="shared" si="0"/>
        <v>288</v>
      </c>
      <c r="E31" s="30">
        <v>206.9</v>
      </c>
      <c r="F31" s="30">
        <v>28.2</v>
      </c>
      <c r="G31" s="30">
        <v>52.9</v>
      </c>
      <c r="I31" s="135">
        <v>29972634.399999999</v>
      </c>
      <c r="J31" s="135">
        <v>1076889.1000000001</v>
      </c>
      <c r="K31" s="135">
        <f t="shared" si="1"/>
        <v>232187.7</v>
      </c>
      <c r="L31" s="135">
        <v>166292.6</v>
      </c>
      <c r="M31" s="135">
        <v>22502.5</v>
      </c>
      <c r="N31" s="135">
        <v>43392.6</v>
      </c>
    </row>
    <row r="32" spans="1:14">
      <c r="A32" s="66">
        <v>1989</v>
      </c>
      <c r="B32" s="30">
        <v>35032.9</v>
      </c>
      <c r="C32" s="30">
        <v>1311.8</v>
      </c>
      <c r="D32" s="30">
        <f t="shared" si="0"/>
        <v>290.2</v>
      </c>
      <c r="E32" s="30">
        <v>206.9</v>
      </c>
      <c r="F32" s="30">
        <v>28.4</v>
      </c>
      <c r="G32" s="30">
        <v>54.9</v>
      </c>
      <c r="I32" s="135">
        <v>30215068</v>
      </c>
      <c r="J32" s="135">
        <v>1074393.1000000001</v>
      </c>
      <c r="K32" s="135">
        <f t="shared" si="1"/>
        <v>233900.80000000002</v>
      </c>
      <c r="L32" s="135">
        <v>166284.70000000001</v>
      </c>
      <c r="M32" s="135">
        <v>22684.6</v>
      </c>
      <c r="N32" s="135">
        <v>44931.5</v>
      </c>
    </row>
    <row r="33" spans="1:14">
      <c r="A33" s="66">
        <v>1990</v>
      </c>
      <c r="B33" s="30">
        <v>35383.4</v>
      </c>
      <c r="C33" s="30">
        <v>1322.6</v>
      </c>
      <c r="D33" s="30">
        <f t="shared" si="0"/>
        <v>295.70000000000005</v>
      </c>
      <c r="E33" s="30">
        <v>204.9</v>
      </c>
      <c r="F33" s="30">
        <v>28.8</v>
      </c>
      <c r="G33" s="30">
        <v>62</v>
      </c>
      <c r="I33" s="135">
        <v>30489029</v>
      </c>
      <c r="J33" s="135">
        <v>1084373.7</v>
      </c>
      <c r="K33" s="135">
        <f t="shared" si="1"/>
        <v>237992</v>
      </c>
      <c r="L33" s="135">
        <v>164618.4</v>
      </c>
      <c r="M33" s="135">
        <v>23005.3</v>
      </c>
      <c r="N33" s="135">
        <v>50368.3</v>
      </c>
    </row>
    <row r="34" spans="1:14">
      <c r="A34" s="66">
        <v>1991</v>
      </c>
      <c r="B34" s="30">
        <v>35883.199999999997</v>
      </c>
      <c r="C34" s="30">
        <v>1333.8</v>
      </c>
      <c r="D34" s="30">
        <f t="shared" si="0"/>
        <v>296.3</v>
      </c>
      <c r="E34" s="30">
        <v>199.6</v>
      </c>
      <c r="F34" s="30">
        <v>28.4</v>
      </c>
      <c r="G34" s="30">
        <v>68.3</v>
      </c>
      <c r="I34" s="135">
        <v>30877747.399999999</v>
      </c>
      <c r="J34" s="135">
        <v>1093310.3999999999</v>
      </c>
      <c r="K34" s="135">
        <f t="shared" si="1"/>
        <v>238180.90000000002</v>
      </c>
      <c r="L34" s="135">
        <v>160336.20000000001</v>
      </c>
      <c r="M34" s="135">
        <v>22697.7</v>
      </c>
      <c r="N34" s="135">
        <v>55147</v>
      </c>
    </row>
    <row r="35" spans="1:14">
      <c r="A35" s="66">
        <v>1992</v>
      </c>
      <c r="B35" s="30">
        <v>36215.599999999999</v>
      </c>
      <c r="C35" s="30">
        <v>1318.7</v>
      </c>
      <c r="D35" s="30">
        <f t="shared" si="0"/>
        <v>289.8</v>
      </c>
      <c r="E35" s="30">
        <v>192.4</v>
      </c>
      <c r="F35" s="30">
        <v>27.2</v>
      </c>
      <c r="G35" s="30">
        <v>70.2</v>
      </c>
      <c r="I35" s="135">
        <v>31106991.399999999</v>
      </c>
      <c r="J35" s="135">
        <v>1080540</v>
      </c>
      <c r="K35" s="135">
        <f t="shared" si="1"/>
        <v>232817.40000000002</v>
      </c>
      <c r="L35" s="135">
        <v>154559.20000000001</v>
      </c>
      <c r="M35" s="135">
        <v>21781.1</v>
      </c>
      <c r="N35" s="135">
        <v>56477.1</v>
      </c>
    </row>
    <row r="36" spans="1:14">
      <c r="A36" s="66">
        <v>1993</v>
      </c>
      <c r="B36" s="30">
        <v>36468.9</v>
      </c>
      <c r="C36" s="30">
        <v>1262.8</v>
      </c>
      <c r="D36" s="30">
        <f t="shared" si="0"/>
        <v>284.39999999999998</v>
      </c>
      <c r="E36" s="30">
        <v>188.3</v>
      </c>
      <c r="F36" s="30">
        <v>26.5</v>
      </c>
      <c r="G36" s="30">
        <v>69.599999999999994</v>
      </c>
      <c r="I36" s="135">
        <v>31286938.399999999</v>
      </c>
      <c r="J36" s="135">
        <v>1034832.8</v>
      </c>
      <c r="K36" s="135">
        <f t="shared" si="1"/>
        <v>228446.1</v>
      </c>
      <c r="L36" s="135">
        <v>151262.79999999999</v>
      </c>
      <c r="M36" s="135">
        <v>21205.200000000001</v>
      </c>
      <c r="N36" s="135">
        <v>55978.1</v>
      </c>
    </row>
    <row r="37" spans="1:14">
      <c r="A37" s="66">
        <v>1994</v>
      </c>
      <c r="B37" s="30">
        <v>37213.199999999997</v>
      </c>
      <c r="C37" s="30">
        <v>1192.3</v>
      </c>
      <c r="D37" s="30">
        <f t="shared" si="0"/>
        <v>280.3</v>
      </c>
      <c r="E37" s="30">
        <v>186.6</v>
      </c>
      <c r="F37" s="30">
        <v>26.4</v>
      </c>
      <c r="G37" s="30">
        <v>67.3</v>
      </c>
      <c r="I37" s="135">
        <v>31938612.100000001</v>
      </c>
      <c r="J37" s="135">
        <v>977719.5</v>
      </c>
      <c r="K37" s="135">
        <f t="shared" si="1"/>
        <v>225306.8</v>
      </c>
      <c r="L37" s="135">
        <v>149914.9</v>
      </c>
      <c r="M37" s="135">
        <v>21165.9</v>
      </c>
      <c r="N37" s="135">
        <v>54226</v>
      </c>
    </row>
    <row r="38" spans="1:14">
      <c r="A38" s="66">
        <v>1995</v>
      </c>
      <c r="B38" s="30">
        <v>38230.800000000003</v>
      </c>
      <c r="C38" s="30">
        <v>1120.8</v>
      </c>
      <c r="D38" s="30">
        <f t="shared" si="0"/>
        <v>277.7</v>
      </c>
      <c r="E38" s="30">
        <v>183.5</v>
      </c>
      <c r="F38" s="30">
        <v>28.2</v>
      </c>
      <c r="G38" s="30">
        <v>66</v>
      </c>
      <c r="I38" s="135">
        <v>32848736.399999999</v>
      </c>
      <c r="J38" s="135">
        <v>919579.4</v>
      </c>
      <c r="K38" s="135">
        <f t="shared" si="1"/>
        <v>223328.7</v>
      </c>
      <c r="L38" s="135">
        <v>147421.1</v>
      </c>
      <c r="M38" s="135">
        <v>22627.599999999999</v>
      </c>
      <c r="N38" s="135">
        <v>53280</v>
      </c>
    </row>
    <row r="39" spans="1:14">
      <c r="A39" s="66">
        <v>1996</v>
      </c>
      <c r="B39" s="30">
        <v>39055.599999999999</v>
      </c>
      <c r="C39" s="30">
        <v>1064.3</v>
      </c>
      <c r="D39" s="30">
        <f t="shared" si="0"/>
        <v>281.8</v>
      </c>
      <c r="E39" s="30">
        <v>179.9</v>
      </c>
      <c r="F39" s="30">
        <v>29.6</v>
      </c>
      <c r="G39" s="30">
        <v>72.3</v>
      </c>
      <c r="I39" s="135">
        <v>33591220.600000001</v>
      </c>
      <c r="J39" s="135">
        <v>873820.9</v>
      </c>
      <c r="K39" s="135">
        <f t="shared" si="1"/>
        <v>226828.59999999998</v>
      </c>
      <c r="L39" s="135">
        <v>144462.79999999999</v>
      </c>
      <c r="M39" s="135">
        <v>23701.4</v>
      </c>
      <c r="N39" s="135">
        <v>58664.4</v>
      </c>
    </row>
    <row r="40" spans="1:14">
      <c r="A40" s="66">
        <v>1997</v>
      </c>
      <c r="B40" s="30">
        <v>40002</v>
      </c>
      <c r="C40" s="30">
        <v>1017.7</v>
      </c>
      <c r="D40" s="30">
        <f t="shared" si="0"/>
        <v>285.7</v>
      </c>
      <c r="E40" s="30">
        <v>179.2</v>
      </c>
      <c r="F40" s="30">
        <v>28.8</v>
      </c>
      <c r="G40" s="30">
        <v>77.7</v>
      </c>
      <c r="I40" s="135">
        <v>34435861.299999997</v>
      </c>
      <c r="J40" s="135">
        <v>836283.2</v>
      </c>
      <c r="K40" s="135">
        <f t="shared" si="1"/>
        <v>230252.90000000002</v>
      </c>
      <c r="L40" s="135">
        <v>143891.1</v>
      </c>
      <c r="M40" s="135">
        <v>23137</v>
      </c>
      <c r="N40" s="135">
        <v>63224.800000000003</v>
      </c>
    </row>
    <row r="41" spans="1:14">
      <c r="A41" s="66">
        <v>1998</v>
      </c>
      <c r="B41" s="30">
        <v>40887.1</v>
      </c>
      <c r="C41" s="30">
        <v>968.6</v>
      </c>
      <c r="D41" s="30">
        <f t="shared" si="0"/>
        <v>284.5</v>
      </c>
      <c r="E41" s="30">
        <v>179.8</v>
      </c>
      <c r="F41" s="30">
        <v>28.4</v>
      </c>
      <c r="G41" s="30">
        <v>76.3</v>
      </c>
      <c r="I41" s="135">
        <v>35335394.399999999</v>
      </c>
      <c r="J41" s="135">
        <v>796211.4</v>
      </c>
      <c r="K41" s="135">
        <f t="shared" si="1"/>
        <v>229361</v>
      </c>
      <c r="L41" s="135">
        <v>144358.9</v>
      </c>
      <c r="M41" s="135">
        <v>22823</v>
      </c>
      <c r="N41" s="135">
        <v>62179.1</v>
      </c>
    </row>
    <row r="42" spans="1:14">
      <c r="A42" s="66">
        <v>1999</v>
      </c>
      <c r="B42" s="30">
        <v>41461.9</v>
      </c>
      <c r="C42" s="30">
        <v>938.9</v>
      </c>
      <c r="D42" s="30">
        <f t="shared" si="0"/>
        <v>283.3</v>
      </c>
      <c r="E42" s="30">
        <v>181.3</v>
      </c>
      <c r="F42" s="30">
        <v>28.4</v>
      </c>
      <c r="G42" s="30">
        <v>73.599999999999994</v>
      </c>
      <c r="I42" s="135">
        <v>36005125.399999999</v>
      </c>
      <c r="J42" s="135">
        <v>772033</v>
      </c>
      <c r="K42" s="135">
        <f t="shared" si="1"/>
        <v>228511.39999999997</v>
      </c>
      <c r="L42" s="135">
        <v>145674.9</v>
      </c>
      <c r="M42" s="135">
        <v>22842.799999999999</v>
      </c>
      <c r="N42" s="135">
        <v>59993.7</v>
      </c>
    </row>
    <row r="43" spans="1:14">
      <c r="A43" s="66">
        <v>2000</v>
      </c>
      <c r="B43" s="30">
        <v>42306.2</v>
      </c>
      <c r="C43" s="30">
        <v>948.6</v>
      </c>
      <c r="D43" s="30">
        <f t="shared" si="0"/>
        <v>286.7</v>
      </c>
      <c r="E43" s="30">
        <v>184.6</v>
      </c>
      <c r="F43" s="30">
        <v>28.8</v>
      </c>
      <c r="G43" s="30">
        <v>73.3</v>
      </c>
      <c r="I43" s="135">
        <v>36874806.200000003</v>
      </c>
      <c r="J43" s="135">
        <v>780150.1</v>
      </c>
      <c r="K43" s="135">
        <f t="shared" si="1"/>
        <v>231388.5</v>
      </c>
      <c r="L43" s="135">
        <v>148317.9</v>
      </c>
      <c r="M43" s="135">
        <v>23165.1</v>
      </c>
      <c r="N43" s="135">
        <v>59905.5</v>
      </c>
    </row>
    <row r="44" spans="1:14">
      <c r="A44" s="66">
        <v>2001</v>
      </c>
      <c r="B44" s="30">
        <v>43493.3</v>
      </c>
      <c r="C44" s="30">
        <v>960</v>
      </c>
      <c r="D44" s="30">
        <f t="shared" si="0"/>
        <v>288.09999999999997</v>
      </c>
      <c r="E44" s="30">
        <v>184.6</v>
      </c>
      <c r="F44" s="30">
        <v>30.2</v>
      </c>
      <c r="G44" s="30">
        <v>73.3</v>
      </c>
      <c r="I44" s="135">
        <v>38090363.700000003</v>
      </c>
      <c r="J44" s="135">
        <v>787939.1</v>
      </c>
      <c r="K44" s="135">
        <f t="shared" si="1"/>
        <v>232794.8</v>
      </c>
      <c r="L44" s="135">
        <v>148391.1</v>
      </c>
      <c r="M44" s="135">
        <v>24251</v>
      </c>
      <c r="N44" s="135">
        <v>60152.7</v>
      </c>
    </row>
    <row r="45" spans="1:14">
      <c r="A45" s="66">
        <v>2002</v>
      </c>
      <c r="B45" s="30">
        <v>44531.4</v>
      </c>
      <c r="C45" s="30">
        <v>964.2</v>
      </c>
      <c r="D45" s="30">
        <f t="shared" si="0"/>
        <v>286</v>
      </c>
      <c r="E45" s="30">
        <v>181.5</v>
      </c>
      <c r="F45" s="30">
        <v>31.8</v>
      </c>
      <c r="G45" s="30">
        <v>72.7</v>
      </c>
      <c r="I45" s="135">
        <v>39115729.899999999</v>
      </c>
      <c r="J45" s="135">
        <v>788306.4</v>
      </c>
      <c r="K45" s="135">
        <f t="shared" si="1"/>
        <v>231108.3</v>
      </c>
      <c r="L45" s="135">
        <v>145934.79999999999</v>
      </c>
      <c r="M45" s="135">
        <v>25570.5</v>
      </c>
      <c r="N45" s="135">
        <v>59603</v>
      </c>
    </row>
    <row r="46" spans="1:14">
      <c r="A46" s="66">
        <v>2003</v>
      </c>
      <c r="B46" s="30">
        <v>45537.4</v>
      </c>
      <c r="C46" s="30">
        <v>960.6</v>
      </c>
      <c r="D46" s="30">
        <f t="shared" si="0"/>
        <v>285.2</v>
      </c>
      <c r="E46" s="30">
        <v>179.2</v>
      </c>
      <c r="F46" s="30">
        <v>33.200000000000003</v>
      </c>
      <c r="G46" s="30">
        <v>72.8</v>
      </c>
      <c r="I46" s="135">
        <v>40036486</v>
      </c>
      <c r="J46" s="135">
        <v>784000.8</v>
      </c>
      <c r="K46" s="135">
        <f t="shared" si="1"/>
        <v>230437.6</v>
      </c>
      <c r="L46" s="135">
        <v>144037.1</v>
      </c>
      <c r="M46" s="135">
        <v>26644.5</v>
      </c>
      <c r="N46" s="135">
        <v>59756</v>
      </c>
    </row>
    <row r="47" spans="1:14">
      <c r="A47" s="66">
        <v>2004</v>
      </c>
      <c r="B47" s="30">
        <v>46985.3</v>
      </c>
      <c r="C47" s="30">
        <v>930.9</v>
      </c>
      <c r="D47" s="30">
        <f t="shared" si="0"/>
        <v>285.8</v>
      </c>
      <c r="E47" s="30">
        <v>176.6</v>
      </c>
      <c r="F47" s="30">
        <v>36.4</v>
      </c>
      <c r="G47" s="30">
        <v>72.8</v>
      </c>
      <c r="I47" s="135">
        <v>41304058.799999997</v>
      </c>
      <c r="J47" s="135">
        <v>760326.7</v>
      </c>
      <c r="K47" s="135">
        <f t="shared" si="1"/>
        <v>231224.4</v>
      </c>
      <c r="L47" s="135">
        <v>142037.9</v>
      </c>
      <c r="M47" s="135">
        <v>29242.1</v>
      </c>
      <c r="N47" s="135">
        <v>59944.4</v>
      </c>
    </row>
    <row r="48" spans="1:14">
      <c r="A48" s="66">
        <v>2005</v>
      </c>
      <c r="B48" s="30">
        <v>49126.8</v>
      </c>
      <c r="C48" s="30">
        <v>890.8</v>
      </c>
      <c r="D48" s="30">
        <f t="shared" si="0"/>
        <v>286.10000000000002</v>
      </c>
      <c r="E48" s="30">
        <v>173.4</v>
      </c>
      <c r="F48" s="30">
        <v>40.4</v>
      </c>
      <c r="G48" s="30">
        <v>72.3</v>
      </c>
      <c r="I48" s="135">
        <v>43118510.600000001</v>
      </c>
      <c r="J48" s="135">
        <v>727591.8</v>
      </c>
      <c r="K48" s="135">
        <f t="shared" si="1"/>
        <v>231480</v>
      </c>
      <c r="L48" s="135">
        <v>139515.20000000001</v>
      </c>
      <c r="M48" s="135">
        <v>32353.3</v>
      </c>
      <c r="N48" s="135">
        <v>59611.5</v>
      </c>
    </row>
    <row r="49" spans="1:14">
      <c r="A49" s="66">
        <v>2006</v>
      </c>
      <c r="B49" s="30">
        <v>51794.400000000001</v>
      </c>
      <c r="C49" s="30">
        <v>849.3</v>
      </c>
      <c r="D49" s="30">
        <f t="shared" si="0"/>
        <v>280.59999999999997</v>
      </c>
      <c r="E49" s="30">
        <v>168.2</v>
      </c>
      <c r="F49" s="30">
        <v>43.2</v>
      </c>
      <c r="G49" s="30">
        <v>69.2</v>
      </c>
      <c r="I49" s="135">
        <v>45507653.399999999</v>
      </c>
      <c r="J49" s="135">
        <v>692856.2</v>
      </c>
      <c r="K49" s="135">
        <f t="shared" si="1"/>
        <v>226585.80000000002</v>
      </c>
      <c r="L49" s="135">
        <v>135563.20000000001</v>
      </c>
      <c r="M49" s="135">
        <v>34095.199999999997</v>
      </c>
      <c r="N49" s="135">
        <v>56927.4</v>
      </c>
    </row>
    <row r="50" spans="1:14">
      <c r="A50" s="66">
        <v>2007</v>
      </c>
      <c r="B50" s="30">
        <v>54529.1</v>
      </c>
      <c r="C50" s="30">
        <v>814.3</v>
      </c>
      <c r="D50" s="30">
        <f t="shared" si="0"/>
        <v>269</v>
      </c>
      <c r="E50" s="30">
        <v>160.30000000000001</v>
      </c>
      <c r="F50" s="30">
        <v>43.6</v>
      </c>
      <c r="G50" s="30">
        <v>65.099999999999994</v>
      </c>
      <c r="I50" s="135">
        <v>47733595.200000003</v>
      </c>
      <c r="J50" s="135">
        <v>664324.19999999995</v>
      </c>
      <c r="K50" s="135">
        <f t="shared" si="1"/>
        <v>218614.3</v>
      </c>
      <c r="L50" s="135">
        <v>130432.4</v>
      </c>
      <c r="M50" s="135">
        <v>35080.1</v>
      </c>
      <c r="N50" s="135">
        <v>53101.8</v>
      </c>
    </row>
    <row r="51" spans="1:14">
      <c r="A51" s="66">
        <v>2008</v>
      </c>
      <c r="B51" s="30">
        <v>57479.3</v>
      </c>
      <c r="C51" s="30">
        <v>780.3</v>
      </c>
      <c r="D51" s="30">
        <f t="shared" si="0"/>
        <v>254.59999999999997</v>
      </c>
      <c r="E51" s="30">
        <v>151.19999999999999</v>
      </c>
      <c r="F51" s="30">
        <v>41.1</v>
      </c>
      <c r="G51" s="30">
        <v>62.3</v>
      </c>
    </row>
    <row r="52" spans="1:14">
      <c r="A52" s="66">
        <v>2009</v>
      </c>
      <c r="B52" s="30">
        <v>59444.2</v>
      </c>
      <c r="C52" s="30">
        <v>762.5</v>
      </c>
      <c r="D52" s="30">
        <f t="shared" si="0"/>
        <v>238.8</v>
      </c>
      <c r="E52" s="30">
        <v>141.19999999999999</v>
      </c>
      <c r="F52" s="30">
        <v>38.799999999999997</v>
      </c>
      <c r="G52" s="30">
        <v>58.8</v>
      </c>
    </row>
    <row r="53" spans="1:14">
      <c r="A53" s="66">
        <v>2010</v>
      </c>
      <c r="B53" s="30">
        <v>61186.1</v>
      </c>
      <c r="C53" s="30">
        <v>781.1</v>
      </c>
      <c r="D53" s="30">
        <f t="shared" si="0"/>
        <v>224.9</v>
      </c>
      <c r="E53" s="30">
        <v>131.4</v>
      </c>
      <c r="F53" s="30">
        <v>38.1</v>
      </c>
      <c r="G53" s="30">
        <v>55.4</v>
      </c>
    </row>
    <row r="54" spans="1:14">
      <c r="A54" s="66">
        <v>2011</v>
      </c>
      <c r="B54" s="30">
        <v>64098.9</v>
      </c>
      <c r="C54" s="30">
        <v>821.3</v>
      </c>
      <c r="D54" s="30">
        <f t="shared" si="0"/>
        <v>214.8</v>
      </c>
      <c r="E54" s="30">
        <v>122.6</v>
      </c>
      <c r="F54" s="30">
        <v>37.700000000000003</v>
      </c>
      <c r="G54" s="30">
        <v>54.5</v>
      </c>
    </row>
    <row r="55" spans="1:14">
      <c r="A55" s="66">
        <v>2012</v>
      </c>
      <c r="B55" s="30">
        <v>67546.3</v>
      </c>
      <c r="C55" s="30">
        <v>849.6</v>
      </c>
      <c r="D55" s="30">
        <f t="shared" si="0"/>
        <v>206.6</v>
      </c>
      <c r="E55" s="30">
        <v>115.1</v>
      </c>
      <c r="F55" s="30">
        <v>36.4</v>
      </c>
      <c r="G55" s="30">
        <v>55.1</v>
      </c>
    </row>
    <row r="57" spans="1:14">
      <c r="A57" s="66" t="s">
        <v>23</v>
      </c>
      <c r="B57" s="56"/>
      <c r="C57" s="56"/>
    </row>
    <row r="58" spans="1:14">
      <c r="A58" s="69" t="s">
        <v>2121</v>
      </c>
      <c r="B58" s="147">
        <f>((B55/B4)^(1/51)-1)*100</f>
        <v>3.3848504075330466</v>
      </c>
      <c r="C58" s="147">
        <f t="shared" ref="C58:G58" si="2">((C55/C4)^(1/51)-1)*100</f>
        <v>0.63274053155693011</v>
      </c>
      <c r="D58" s="147">
        <f t="shared" si="2"/>
        <v>0.40869910746597071</v>
      </c>
      <c r="E58" s="147">
        <f t="shared" si="2"/>
        <v>-3.2098022129178894E-2</v>
      </c>
      <c r="F58" s="147">
        <f t="shared" si="2"/>
        <v>1.6880674620336489</v>
      </c>
      <c r="G58" s="147">
        <f t="shared" si="2"/>
        <v>0.87689445328846816</v>
      </c>
    </row>
    <row r="59" spans="1:14">
      <c r="A59" s="68" t="s">
        <v>1031</v>
      </c>
      <c r="B59" s="147">
        <f t="shared" ref="B59:G59" si="3">((B16/B4)^(1/12)-1)*100</f>
        <v>4.817824095981238</v>
      </c>
      <c r="C59" s="147">
        <f t="shared" si="3"/>
        <v>4.4632999820462649</v>
      </c>
      <c r="D59" s="147">
        <f t="shared" si="3"/>
        <v>4.2968207014034476</v>
      </c>
      <c r="E59" s="147">
        <f t="shared" si="3"/>
        <v>4.1959415825115975</v>
      </c>
      <c r="F59" s="147">
        <f t="shared" si="3"/>
        <v>3.9242623880520133</v>
      </c>
      <c r="G59" s="147">
        <f t="shared" si="3"/>
        <v>4.7774474560040137</v>
      </c>
    </row>
    <row r="60" spans="1:14">
      <c r="A60" s="68" t="s">
        <v>1032</v>
      </c>
      <c r="B60" s="147">
        <f t="shared" ref="B60:G60" si="4">((B24/B16)^(1/8)-1)*100</f>
        <v>4.2336004054135179</v>
      </c>
      <c r="C60" s="147">
        <f t="shared" si="4"/>
        <v>3.3422320627515045</v>
      </c>
      <c r="D60" s="147">
        <f t="shared" si="4"/>
        <v>1.6264603818380241</v>
      </c>
      <c r="E60" s="147">
        <f t="shared" si="4"/>
        <v>2.0005714983714507</v>
      </c>
      <c r="F60" s="147">
        <f t="shared" si="4"/>
        <v>4.1281077310146186</v>
      </c>
      <c r="G60" s="147">
        <f t="shared" si="4"/>
        <v>-0.83294399706076439</v>
      </c>
    </row>
    <row r="61" spans="1:14">
      <c r="A61" s="68" t="s">
        <v>25</v>
      </c>
      <c r="B61" s="147">
        <f t="shared" ref="B61:G61" si="5">((B32/B24)^(1/8)-1)*100</f>
        <v>1.826690143935461</v>
      </c>
      <c r="C61" s="147">
        <f t="shared" si="5"/>
        <v>-0.38580521831992343</v>
      </c>
      <c r="D61" s="147">
        <f t="shared" si="5"/>
        <v>-1.0707362422080258</v>
      </c>
      <c r="E61" s="147">
        <f t="shared" si="5"/>
        <v>-1.0153120813219618</v>
      </c>
      <c r="F61" s="147">
        <f t="shared" si="5"/>
        <v>-2.2245264828012923</v>
      </c>
      <c r="G61" s="147">
        <f t="shared" si="5"/>
        <v>-0.64137717891987744</v>
      </c>
    </row>
    <row r="62" spans="1:14">
      <c r="A62" s="68" t="s">
        <v>26</v>
      </c>
      <c r="B62" s="147">
        <f t="shared" ref="B62:G62" si="6">((B43/B32)^(1/11)-1)*100</f>
        <v>1.7297538179178895</v>
      </c>
      <c r="C62" s="147">
        <f t="shared" si="6"/>
        <v>-2.903984441616525</v>
      </c>
      <c r="D62" s="147">
        <f t="shared" si="6"/>
        <v>-0.11024797821906906</v>
      </c>
      <c r="E62" s="147">
        <f t="shared" si="6"/>
        <v>-1.0314101307841939</v>
      </c>
      <c r="F62" s="147">
        <f t="shared" si="6"/>
        <v>0.12722852121562767</v>
      </c>
      <c r="G62" s="147">
        <f t="shared" si="6"/>
        <v>2.6625308595747743</v>
      </c>
    </row>
    <row r="63" spans="1:14">
      <c r="A63" s="69" t="s">
        <v>2028</v>
      </c>
      <c r="B63" s="147">
        <f>((B55/B43)^(1/12)-1)*100</f>
        <v>3.9760054912740594</v>
      </c>
      <c r="C63" s="147">
        <f t="shared" ref="C63:G63" si="7">((C55/C43)^(1/12)-1)*100</f>
        <v>-0.91430757945303309</v>
      </c>
      <c r="D63" s="147">
        <f t="shared" si="7"/>
        <v>-2.6934924771835567</v>
      </c>
      <c r="E63" s="147">
        <f t="shared" si="7"/>
        <v>-3.8601067479770101</v>
      </c>
      <c r="F63" s="147">
        <f t="shared" si="7"/>
        <v>1.9707799956824479</v>
      </c>
      <c r="G63" s="147">
        <f t="shared" si="7"/>
        <v>-2.3503625147712426</v>
      </c>
    </row>
    <row r="65" spans="1:1">
      <c r="A65" s="64" t="s">
        <v>1813</v>
      </c>
    </row>
    <row r="66" spans="1:1">
      <c r="A66" s="195" t="s">
        <v>1341</v>
      </c>
    </row>
  </sheetData>
  <mergeCells count="7">
    <mergeCell ref="A1:G1"/>
    <mergeCell ref="B2:B3"/>
    <mergeCell ref="D2:G2"/>
    <mergeCell ref="I2:I3"/>
    <mergeCell ref="K2:N2"/>
    <mergeCell ref="J2:J3"/>
    <mergeCell ref="C2:C3"/>
  </mergeCells>
  <pageMargins left="0.7" right="0.7" top="0.75" bottom="0.75" header="0.3" footer="0.3"/>
  <pageSetup scale="91" orientation="portrait" horizontalDpi="0" verticalDpi="0" r:id="rId1"/>
</worksheet>
</file>

<file path=xl/worksheets/sheet77.xml><?xml version="1.0" encoding="utf-8"?>
<worksheet xmlns="http://schemas.openxmlformats.org/spreadsheetml/2006/main" xmlns:r="http://schemas.openxmlformats.org/officeDocument/2006/relationships">
  <sheetPr codeName="Sheet72"/>
  <dimension ref="A1:O66"/>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5703125" style="64" customWidth="1"/>
    <col min="2" max="3" width="14.140625" style="135" customWidth="1"/>
    <col min="4" max="4" width="16" style="135" customWidth="1"/>
    <col min="5" max="5" width="11.28515625" style="135" customWidth="1"/>
    <col min="6" max="6" width="15.140625" style="135" customWidth="1"/>
    <col min="7" max="7" width="14.140625" style="135" customWidth="1"/>
    <col min="8" max="8" width="9.140625" style="135"/>
    <col min="9" max="14" width="25.85546875" style="135" hidden="1" customWidth="1" outlineLevel="1"/>
    <col min="15" max="15" width="9.140625" style="64" collapsed="1"/>
    <col min="16" max="16384" width="9.140625" style="64"/>
  </cols>
  <sheetData>
    <row r="1" spans="1:14" ht="30" customHeight="1">
      <c r="A1" s="93" t="s">
        <v>2064</v>
      </c>
      <c r="B1" s="93"/>
      <c r="C1" s="93"/>
      <c r="D1" s="93"/>
      <c r="E1" s="93"/>
      <c r="F1" s="93"/>
      <c r="G1" s="93"/>
    </row>
    <row r="2" spans="1:14">
      <c r="B2" s="123" t="s">
        <v>673</v>
      </c>
      <c r="C2" s="123" t="s">
        <v>938</v>
      </c>
      <c r="D2" s="159" t="s">
        <v>37</v>
      </c>
      <c r="E2" s="160"/>
      <c r="F2" s="160"/>
      <c r="G2" s="161"/>
      <c r="I2" s="123" t="s">
        <v>673</v>
      </c>
      <c r="J2" s="123" t="s">
        <v>1641</v>
      </c>
      <c r="K2" s="159" t="s">
        <v>37</v>
      </c>
      <c r="L2" s="160"/>
      <c r="M2" s="160"/>
      <c r="N2" s="161"/>
    </row>
    <row r="3" spans="1:14" ht="60">
      <c r="B3" s="126"/>
      <c r="C3" s="126"/>
      <c r="D3" s="72" t="s">
        <v>78</v>
      </c>
      <c r="E3" s="72" t="s">
        <v>750</v>
      </c>
      <c r="F3" s="72" t="s">
        <v>745</v>
      </c>
      <c r="G3" s="72" t="s">
        <v>678</v>
      </c>
      <c r="I3" s="126"/>
      <c r="J3" s="126"/>
      <c r="K3" s="72" t="s">
        <v>78</v>
      </c>
      <c r="L3" s="72" t="s">
        <v>750</v>
      </c>
      <c r="M3" s="72" t="s">
        <v>745</v>
      </c>
      <c r="N3" s="72" t="s">
        <v>678</v>
      </c>
    </row>
    <row r="4" spans="1:14">
      <c r="A4" s="66">
        <v>1961</v>
      </c>
      <c r="B4" s="30">
        <v>6808</v>
      </c>
      <c r="C4" s="30">
        <v>1637.9</v>
      </c>
      <c r="D4" s="30">
        <f t="shared" ref="D4:D55" si="0">SUM(E4:G4)</f>
        <v>300.89999999999998</v>
      </c>
      <c r="E4" s="30">
        <v>25.1</v>
      </c>
      <c r="F4" s="30">
        <v>82</v>
      </c>
      <c r="G4" s="30">
        <v>193.8</v>
      </c>
      <c r="I4" s="135">
        <v>6050238.2999999998</v>
      </c>
      <c r="J4" s="135">
        <v>1347449.4</v>
      </c>
      <c r="K4" s="135">
        <f>SUM(L4:N4)</f>
        <v>235589.2</v>
      </c>
      <c r="L4" s="135">
        <v>22991.7</v>
      </c>
      <c r="M4" s="135">
        <v>58094.1</v>
      </c>
      <c r="N4" s="135">
        <v>154503.4</v>
      </c>
    </row>
    <row r="5" spans="1:14" hidden="1" outlineLevel="1">
      <c r="A5" s="66">
        <v>1962</v>
      </c>
      <c r="B5" s="30">
        <v>7143</v>
      </c>
      <c r="C5" s="30">
        <v>1663.1</v>
      </c>
      <c r="D5" s="30">
        <f t="shared" si="0"/>
        <v>304.10000000000002</v>
      </c>
      <c r="E5" s="30">
        <v>25.1</v>
      </c>
      <c r="F5" s="30">
        <v>83</v>
      </c>
      <c r="G5" s="30">
        <v>196</v>
      </c>
      <c r="I5" s="135">
        <v>6351852.2000000002</v>
      </c>
      <c r="J5" s="135">
        <v>1363381.8</v>
      </c>
      <c r="K5" s="135">
        <f t="shared" ref="K5:K50" si="1">SUM(L5:N5)</f>
        <v>237570.2</v>
      </c>
      <c r="L5" s="135">
        <v>22802.400000000001</v>
      </c>
      <c r="M5" s="135">
        <v>58976.3</v>
      </c>
      <c r="N5" s="135">
        <v>155791.5</v>
      </c>
    </row>
    <row r="6" spans="1:14" hidden="1" outlineLevel="1">
      <c r="A6" s="66">
        <v>1963</v>
      </c>
      <c r="B6" s="30">
        <v>7507.4</v>
      </c>
      <c r="C6" s="30">
        <v>1703.3</v>
      </c>
      <c r="D6" s="30">
        <f t="shared" si="0"/>
        <v>309.2</v>
      </c>
      <c r="E6" s="30">
        <v>25.2</v>
      </c>
      <c r="F6" s="30">
        <v>83.8</v>
      </c>
      <c r="G6" s="30">
        <v>200.2</v>
      </c>
      <c r="I6" s="135">
        <v>6681797.0999999996</v>
      </c>
      <c r="J6" s="135">
        <v>1395022.1</v>
      </c>
      <c r="K6" s="135">
        <f t="shared" si="1"/>
        <v>241238.1</v>
      </c>
      <c r="L6" s="135">
        <v>22671.5</v>
      </c>
      <c r="M6" s="135">
        <v>59600</v>
      </c>
      <c r="N6" s="135">
        <v>158966.6</v>
      </c>
    </row>
    <row r="7" spans="1:14" hidden="1" outlineLevel="1">
      <c r="A7" s="66">
        <v>1964</v>
      </c>
      <c r="B7" s="30">
        <v>7887.5</v>
      </c>
      <c r="C7" s="30">
        <v>1767.3</v>
      </c>
      <c r="D7" s="30">
        <f t="shared" si="0"/>
        <v>320.8</v>
      </c>
      <c r="E7" s="30">
        <v>25.6</v>
      </c>
      <c r="F7" s="30">
        <v>85.3</v>
      </c>
      <c r="G7" s="30">
        <v>209.9</v>
      </c>
      <c r="I7" s="135">
        <v>7024230.7000000002</v>
      </c>
      <c r="J7" s="135">
        <v>1451014.1</v>
      </c>
      <c r="K7" s="135">
        <f t="shared" si="1"/>
        <v>251514.2</v>
      </c>
      <c r="L7" s="135">
        <v>22789.3</v>
      </c>
      <c r="M7" s="135">
        <v>60970.400000000001</v>
      </c>
      <c r="N7" s="135">
        <v>167754.5</v>
      </c>
    </row>
    <row r="8" spans="1:14" hidden="1" outlineLevel="1">
      <c r="A8" s="66">
        <v>1965</v>
      </c>
      <c r="B8" s="30">
        <v>8350.2999999999993</v>
      </c>
      <c r="C8" s="30">
        <v>1873.8</v>
      </c>
      <c r="D8" s="30">
        <f t="shared" si="0"/>
        <v>345.7</v>
      </c>
      <c r="E8" s="30">
        <v>26.3</v>
      </c>
      <c r="F8" s="30">
        <v>88.5</v>
      </c>
      <c r="G8" s="30">
        <v>230.9</v>
      </c>
      <c r="I8" s="135">
        <v>7450643.2999999998</v>
      </c>
      <c r="J8" s="135">
        <v>1550132.3</v>
      </c>
      <c r="K8" s="135">
        <f t="shared" si="1"/>
        <v>275443.20000000001</v>
      </c>
      <c r="L8" s="135">
        <v>23329.7</v>
      </c>
      <c r="M8" s="135">
        <v>64049.9</v>
      </c>
      <c r="N8" s="135">
        <v>188063.6</v>
      </c>
    </row>
    <row r="9" spans="1:14" hidden="1" outlineLevel="1">
      <c r="A9" s="66">
        <v>1966</v>
      </c>
      <c r="B9" s="30">
        <v>8941.6</v>
      </c>
      <c r="C9" s="30">
        <v>2020</v>
      </c>
      <c r="D9" s="30">
        <f t="shared" si="0"/>
        <v>380.20000000000005</v>
      </c>
      <c r="E9" s="30">
        <v>27</v>
      </c>
      <c r="F9" s="30">
        <v>92.6</v>
      </c>
      <c r="G9" s="30">
        <v>260.60000000000002</v>
      </c>
      <c r="I9" s="135">
        <v>8005747.7000000002</v>
      </c>
      <c r="J9" s="135">
        <v>1688992.3</v>
      </c>
      <c r="K9" s="135">
        <f t="shared" si="1"/>
        <v>308451.09999999998</v>
      </c>
      <c r="L9" s="135">
        <v>23876.7</v>
      </c>
      <c r="M9" s="135">
        <v>67890.100000000006</v>
      </c>
      <c r="N9" s="135">
        <v>216684.3</v>
      </c>
    </row>
    <row r="10" spans="1:14" hidden="1" outlineLevel="1">
      <c r="A10" s="66">
        <v>1967</v>
      </c>
      <c r="B10" s="30">
        <v>9535.7000000000007</v>
      </c>
      <c r="C10" s="30">
        <v>2147.4</v>
      </c>
      <c r="D10" s="30">
        <f t="shared" si="0"/>
        <v>408</v>
      </c>
      <c r="E10" s="30">
        <v>27.6</v>
      </c>
      <c r="F10" s="30">
        <v>94.9</v>
      </c>
      <c r="G10" s="30">
        <v>285.5</v>
      </c>
      <c r="I10" s="135">
        <v>8552405.6999999993</v>
      </c>
      <c r="J10" s="135">
        <v>1805432.1</v>
      </c>
      <c r="K10" s="135">
        <f t="shared" si="1"/>
        <v>333984</v>
      </c>
      <c r="L10" s="135">
        <v>24288.799999999999</v>
      </c>
      <c r="M10" s="135">
        <v>69874.899999999994</v>
      </c>
      <c r="N10" s="135">
        <v>239820.3</v>
      </c>
    </row>
    <row r="11" spans="1:14" hidden="1" outlineLevel="1">
      <c r="A11" s="66">
        <v>1968</v>
      </c>
      <c r="B11" s="30">
        <v>10036.9</v>
      </c>
      <c r="C11" s="30">
        <v>2217.9</v>
      </c>
      <c r="D11" s="30">
        <f t="shared" si="0"/>
        <v>420.7</v>
      </c>
      <c r="E11" s="30">
        <v>28</v>
      </c>
      <c r="F11" s="30">
        <v>95.8</v>
      </c>
      <c r="G11" s="30">
        <v>296.89999999999998</v>
      </c>
      <c r="I11" s="135">
        <v>8993920.5</v>
      </c>
      <c r="J11" s="135">
        <v>1860128.8</v>
      </c>
      <c r="K11" s="135">
        <f t="shared" si="1"/>
        <v>343542.1</v>
      </c>
      <c r="L11" s="135">
        <v>24421.8</v>
      </c>
      <c r="M11" s="135">
        <v>70451.8</v>
      </c>
      <c r="N11" s="135">
        <v>248668.5</v>
      </c>
    </row>
    <row r="12" spans="1:14" hidden="1" outlineLevel="1">
      <c r="A12" s="66">
        <v>1969</v>
      </c>
      <c r="B12" s="30">
        <v>10499.2</v>
      </c>
      <c r="C12" s="30">
        <v>2283.5</v>
      </c>
      <c r="D12" s="30">
        <f t="shared" si="0"/>
        <v>436.3</v>
      </c>
      <c r="E12" s="30">
        <v>28.4</v>
      </c>
      <c r="F12" s="30">
        <v>101.8</v>
      </c>
      <c r="G12" s="30">
        <v>306.10000000000002</v>
      </c>
      <c r="I12" s="135">
        <v>9389257.0999999996</v>
      </c>
      <c r="J12" s="135">
        <v>1909575.4</v>
      </c>
      <c r="K12" s="135">
        <f t="shared" si="1"/>
        <v>355835.19999999995</v>
      </c>
      <c r="L12" s="135">
        <v>24587</v>
      </c>
      <c r="M12" s="135">
        <v>75861.899999999994</v>
      </c>
      <c r="N12" s="135">
        <v>255386.3</v>
      </c>
    </row>
    <row r="13" spans="1:14" hidden="1" outlineLevel="1">
      <c r="A13" s="66">
        <v>1970</v>
      </c>
      <c r="B13" s="30">
        <v>10969.1</v>
      </c>
      <c r="C13" s="30">
        <v>2390.4</v>
      </c>
      <c r="D13" s="30">
        <f t="shared" si="0"/>
        <v>462.70000000000005</v>
      </c>
      <c r="E13" s="30">
        <v>28.8</v>
      </c>
      <c r="F13" s="30">
        <v>112.6</v>
      </c>
      <c r="G13" s="30">
        <v>321.3</v>
      </c>
      <c r="I13" s="135">
        <v>9788476.3000000007</v>
      </c>
      <c r="J13" s="135">
        <v>2001371.4</v>
      </c>
      <c r="K13" s="135">
        <f t="shared" si="1"/>
        <v>378508.6</v>
      </c>
      <c r="L13" s="135">
        <v>24770.2</v>
      </c>
      <c r="M13" s="135">
        <v>85532.7</v>
      </c>
      <c r="N13" s="135">
        <v>268205.7</v>
      </c>
    </row>
    <row r="14" spans="1:14" hidden="1" outlineLevel="1">
      <c r="A14" s="66">
        <v>1971</v>
      </c>
      <c r="B14" s="30">
        <v>11452.5</v>
      </c>
      <c r="C14" s="30">
        <v>2482.4</v>
      </c>
      <c r="D14" s="30">
        <f t="shared" si="0"/>
        <v>487</v>
      </c>
      <c r="E14" s="30">
        <v>28.6</v>
      </c>
      <c r="F14" s="30">
        <v>120.7</v>
      </c>
      <c r="G14" s="30">
        <v>337.7</v>
      </c>
      <c r="I14" s="135">
        <v>10199733.800000001</v>
      </c>
      <c r="J14" s="135">
        <v>2076385.1</v>
      </c>
      <c r="K14" s="135">
        <f t="shared" si="1"/>
        <v>398597.9</v>
      </c>
      <c r="L14" s="135">
        <v>24331.9</v>
      </c>
      <c r="M14" s="135">
        <v>92351</v>
      </c>
      <c r="N14" s="135">
        <v>281915</v>
      </c>
    </row>
    <row r="15" spans="1:14" hidden="1" outlineLevel="1">
      <c r="A15" s="66">
        <v>1972</v>
      </c>
      <c r="B15" s="30">
        <v>11894.4</v>
      </c>
      <c r="C15" s="30">
        <v>2525.6999999999998</v>
      </c>
      <c r="D15" s="30">
        <f t="shared" si="0"/>
        <v>505</v>
      </c>
      <c r="E15" s="30">
        <v>28.4</v>
      </c>
      <c r="F15" s="30">
        <v>126.6</v>
      </c>
      <c r="G15" s="30">
        <v>350</v>
      </c>
      <c r="I15" s="135">
        <v>10566683.4</v>
      </c>
      <c r="J15" s="135">
        <v>2101112</v>
      </c>
      <c r="K15" s="135">
        <f t="shared" si="1"/>
        <v>412353.6</v>
      </c>
      <c r="L15" s="135">
        <v>23820.9</v>
      </c>
      <c r="M15" s="135">
        <v>97348.5</v>
      </c>
      <c r="N15" s="135">
        <v>291184.2</v>
      </c>
    </row>
    <row r="16" spans="1:14" collapsed="1">
      <c r="A16" s="66">
        <v>1973</v>
      </c>
      <c r="B16" s="30">
        <v>12312.1</v>
      </c>
      <c r="C16" s="30">
        <v>2566.3000000000002</v>
      </c>
      <c r="D16" s="30">
        <f t="shared" si="0"/>
        <v>517</v>
      </c>
      <c r="E16" s="30">
        <v>28.9</v>
      </c>
      <c r="F16" s="30">
        <v>135.69999999999999</v>
      </c>
      <c r="G16" s="30">
        <v>352.4</v>
      </c>
      <c r="I16" s="135">
        <v>10908785.4</v>
      </c>
      <c r="J16" s="135">
        <v>2124211.4</v>
      </c>
      <c r="K16" s="135">
        <f t="shared" si="1"/>
        <v>420806</v>
      </c>
      <c r="L16" s="135">
        <v>24194.400000000001</v>
      </c>
      <c r="M16" s="135">
        <v>105848.1</v>
      </c>
      <c r="N16" s="135">
        <v>290763.5</v>
      </c>
    </row>
    <row r="17" spans="1:14" hidden="1" outlineLevel="1">
      <c r="A17" s="66">
        <v>1974</v>
      </c>
      <c r="B17" s="30">
        <v>12772.7</v>
      </c>
      <c r="C17" s="30">
        <v>2627.4</v>
      </c>
      <c r="D17" s="30">
        <f t="shared" si="0"/>
        <v>528.6</v>
      </c>
      <c r="E17" s="30">
        <v>30.5</v>
      </c>
      <c r="F17" s="30">
        <v>146.5</v>
      </c>
      <c r="G17" s="30">
        <v>351.6</v>
      </c>
      <c r="I17" s="135">
        <v>11295256.5</v>
      </c>
      <c r="J17" s="135">
        <v>2169144.5</v>
      </c>
      <c r="K17" s="135">
        <f t="shared" si="1"/>
        <v>429378</v>
      </c>
      <c r="L17" s="135">
        <v>25674.3</v>
      </c>
      <c r="M17" s="135">
        <v>116040.7</v>
      </c>
      <c r="N17" s="135">
        <v>287663</v>
      </c>
    </row>
    <row r="18" spans="1:14" hidden="1" outlineLevel="1">
      <c r="A18" s="66">
        <v>1975</v>
      </c>
      <c r="B18" s="30">
        <v>13285.4</v>
      </c>
      <c r="C18" s="30">
        <v>2692.6</v>
      </c>
      <c r="D18" s="30">
        <f t="shared" si="0"/>
        <v>538.5</v>
      </c>
      <c r="E18" s="30">
        <v>32</v>
      </c>
      <c r="F18" s="30">
        <v>154.4</v>
      </c>
      <c r="G18" s="30">
        <v>352.1</v>
      </c>
      <c r="I18" s="135">
        <v>11735361.4</v>
      </c>
      <c r="J18" s="135">
        <v>2218366.7000000002</v>
      </c>
      <c r="K18" s="135">
        <f t="shared" si="1"/>
        <v>436360.8</v>
      </c>
      <c r="L18" s="135">
        <v>27059.4</v>
      </c>
      <c r="M18" s="135">
        <v>123241.3</v>
      </c>
      <c r="N18" s="135">
        <v>286060.09999999998</v>
      </c>
    </row>
    <row r="19" spans="1:14" hidden="1" outlineLevel="1">
      <c r="A19" s="66">
        <v>1976</v>
      </c>
      <c r="B19" s="30">
        <v>13783.8</v>
      </c>
      <c r="C19" s="30">
        <v>2732.4</v>
      </c>
      <c r="D19" s="30">
        <f t="shared" si="0"/>
        <v>545</v>
      </c>
      <c r="E19" s="30">
        <v>32.700000000000003</v>
      </c>
      <c r="F19" s="30">
        <v>158.30000000000001</v>
      </c>
      <c r="G19" s="30">
        <v>354</v>
      </c>
      <c r="I19" s="135">
        <v>12155337.300000001</v>
      </c>
      <c r="J19" s="135">
        <v>2240635.5</v>
      </c>
      <c r="K19" s="135">
        <f t="shared" si="1"/>
        <v>439196.4</v>
      </c>
      <c r="L19" s="135">
        <v>27579.1</v>
      </c>
      <c r="M19" s="135">
        <v>125926.9</v>
      </c>
      <c r="N19" s="135">
        <v>285690.40000000002</v>
      </c>
    </row>
    <row r="20" spans="1:14" hidden="1" outlineLevel="1">
      <c r="A20" s="66">
        <v>1977</v>
      </c>
      <c r="B20" s="30">
        <v>14252</v>
      </c>
      <c r="C20" s="30">
        <v>2781.3</v>
      </c>
      <c r="D20" s="30">
        <f t="shared" si="0"/>
        <v>555.9</v>
      </c>
      <c r="E20" s="30">
        <v>33.200000000000003</v>
      </c>
      <c r="F20" s="30">
        <v>160.5</v>
      </c>
      <c r="G20" s="30">
        <v>362.2</v>
      </c>
      <c r="I20" s="135">
        <v>12533529.199999999</v>
      </c>
      <c r="J20" s="135">
        <v>2272005.9</v>
      </c>
      <c r="K20" s="135">
        <f t="shared" si="1"/>
        <v>446833.4</v>
      </c>
      <c r="L20" s="135">
        <v>27892.1</v>
      </c>
      <c r="M20" s="135">
        <v>126874.8</v>
      </c>
      <c r="N20" s="135">
        <v>292066.5</v>
      </c>
    </row>
    <row r="21" spans="1:14" hidden="1" outlineLevel="1">
      <c r="A21" s="66">
        <v>1978</v>
      </c>
      <c r="B21" s="30">
        <v>14705.7</v>
      </c>
      <c r="C21" s="30">
        <v>2834</v>
      </c>
      <c r="D21" s="30">
        <f t="shared" si="0"/>
        <v>562.79999999999995</v>
      </c>
      <c r="E21" s="30">
        <v>33.4</v>
      </c>
      <c r="F21" s="30">
        <v>164</v>
      </c>
      <c r="G21" s="30">
        <v>365.4</v>
      </c>
      <c r="I21" s="135">
        <v>12885750</v>
      </c>
      <c r="J21" s="135">
        <v>2306656.9</v>
      </c>
      <c r="K21" s="135">
        <f t="shared" si="1"/>
        <v>450487.4</v>
      </c>
      <c r="L21" s="135">
        <v>27871</v>
      </c>
      <c r="M21" s="135">
        <v>129104.4</v>
      </c>
      <c r="N21" s="135">
        <v>293512</v>
      </c>
    </row>
    <row r="22" spans="1:14" hidden="1" outlineLevel="1">
      <c r="A22" s="66">
        <v>1979</v>
      </c>
      <c r="B22" s="30">
        <v>15210.4</v>
      </c>
      <c r="C22" s="30">
        <v>2888.8</v>
      </c>
      <c r="D22" s="30">
        <f t="shared" si="0"/>
        <v>561.29999999999995</v>
      </c>
      <c r="E22" s="30">
        <v>33.4</v>
      </c>
      <c r="F22" s="30">
        <v>169.2</v>
      </c>
      <c r="G22" s="30">
        <v>358.7</v>
      </c>
      <c r="I22" s="135">
        <v>13279033.4</v>
      </c>
      <c r="J22" s="135">
        <v>2342986.5</v>
      </c>
      <c r="K22" s="135">
        <f t="shared" si="1"/>
        <v>445024.69999999995</v>
      </c>
      <c r="L22" s="135">
        <v>27676.400000000001</v>
      </c>
      <c r="M22" s="135">
        <v>132797</v>
      </c>
      <c r="N22" s="135">
        <v>284551.3</v>
      </c>
    </row>
    <row r="23" spans="1:14" hidden="1" outlineLevel="1">
      <c r="A23" s="66">
        <v>1980</v>
      </c>
      <c r="B23" s="30">
        <v>15851.5</v>
      </c>
      <c r="C23" s="30">
        <v>2999.8</v>
      </c>
      <c r="D23" s="30">
        <f t="shared" si="0"/>
        <v>569</v>
      </c>
      <c r="E23" s="30">
        <v>34.1</v>
      </c>
      <c r="F23" s="30">
        <v>175.3</v>
      </c>
      <c r="G23" s="30">
        <v>359.6</v>
      </c>
      <c r="I23" s="135">
        <v>13803007.4</v>
      </c>
      <c r="J23" s="135">
        <v>2437313.9</v>
      </c>
      <c r="K23" s="135">
        <f t="shared" si="1"/>
        <v>448865.5</v>
      </c>
      <c r="L23" s="135">
        <v>28138.400000000001</v>
      </c>
      <c r="M23" s="135">
        <v>137455.6</v>
      </c>
      <c r="N23" s="135">
        <v>283271.5</v>
      </c>
    </row>
    <row r="24" spans="1:14" collapsed="1">
      <c r="A24" s="66">
        <v>1981</v>
      </c>
      <c r="B24" s="30">
        <v>16566</v>
      </c>
      <c r="C24" s="30">
        <v>3149.1</v>
      </c>
      <c r="D24" s="30">
        <f t="shared" si="0"/>
        <v>593.79999999999995</v>
      </c>
      <c r="E24" s="30">
        <v>34.9</v>
      </c>
      <c r="F24" s="30">
        <v>180</v>
      </c>
      <c r="G24" s="30">
        <v>378.9</v>
      </c>
      <c r="I24" s="135">
        <v>14393387.199999999</v>
      </c>
      <c r="J24" s="135">
        <v>2569058.2000000002</v>
      </c>
      <c r="K24" s="135">
        <f t="shared" si="1"/>
        <v>470524.2</v>
      </c>
      <c r="L24" s="135">
        <v>28779.5</v>
      </c>
      <c r="M24" s="135">
        <v>140807.29999999999</v>
      </c>
      <c r="N24" s="135">
        <v>300937.40000000002</v>
      </c>
    </row>
    <row r="25" spans="1:14">
      <c r="A25" s="66">
        <v>1982</v>
      </c>
      <c r="B25" s="30">
        <v>17157.099999999999</v>
      </c>
      <c r="C25" s="30">
        <v>3259.4</v>
      </c>
      <c r="D25" s="30">
        <f t="shared" si="0"/>
        <v>618.5</v>
      </c>
      <c r="E25" s="30">
        <v>34.799999999999997</v>
      </c>
      <c r="F25" s="30">
        <v>182.2</v>
      </c>
      <c r="G25" s="30">
        <v>401.5</v>
      </c>
      <c r="I25" s="135">
        <v>14852247.800000001</v>
      </c>
      <c r="J25" s="135">
        <v>2658772.7000000002</v>
      </c>
      <c r="K25" s="135">
        <f t="shared" si="1"/>
        <v>492812.2</v>
      </c>
      <c r="L25" s="135">
        <v>28443</v>
      </c>
      <c r="M25" s="135">
        <v>141811.20000000001</v>
      </c>
      <c r="N25" s="135">
        <v>322558</v>
      </c>
    </row>
    <row r="26" spans="1:14">
      <c r="A26" s="66">
        <v>1983</v>
      </c>
      <c r="B26" s="30">
        <v>17561.3</v>
      </c>
      <c r="C26" s="30">
        <v>3276.3</v>
      </c>
      <c r="D26" s="30">
        <f t="shared" si="0"/>
        <v>620.4</v>
      </c>
      <c r="E26" s="30">
        <v>33.799999999999997</v>
      </c>
      <c r="F26" s="30">
        <v>180.6</v>
      </c>
      <c r="G26" s="30">
        <v>406</v>
      </c>
      <c r="I26" s="135">
        <v>15122088.300000001</v>
      </c>
      <c r="J26" s="135">
        <v>2653638.2000000002</v>
      </c>
      <c r="K26" s="135">
        <f t="shared" si="1"/>
        <v>492167.3</v>
      </c>
      <c r="L26" s="135">
        <v>27218.799999999999</v>
      </c>
      <c r="M26" s="135">
        <v>139394.70000000001</v>
      </c>
      <c r="N26" s="135">
        <v>325553.8</v>
      </c>
    </row>
    <row r="27" spans="1:14">
      <c r="A27" s="66">
        <v>1984</v>
      </c>
      <c r="B27" s="30">
        <v>17947.599999999999</v>
      </c>
      <c r="C27" s="30">
        <v>3266.7</v>
      </c>
      <c r="D27" s="30">
        <f t="shared" si="0"/>
        <v>610.79999999999995</v>
      </c>
      <c r="E27" s="30">
        <v>32.700000000000003</v>
      </c>
      <c r="F27" s="30">
        <v>177.3</v>
      </c>
      <c r="G27" s="30">
        <v>400.8</v>
      </c>
      <c r="I27" s="135">
        <v>15382642.1</v>
      </c>
      <c r="J27" s="135">
        <v>2625201.9</v>
      </c>
      <c r="K27" s="135">
        <f t="shared" si="1"/>
        <v>479647.30000000005</v>
      </c>
      <c r="L27" s="135">
        <v>25982.7</v>
      </c>
      <c r="M27" s="135">
        <v>135328.1</v>
      </c>
      <c r="N27" s="135">
        <v>318336.5</v>
      </c>
    </row>
    <row r="28" spans="1:14">
      <c r="A28" s="66">
        <v>1985</v>
      </c>
      <c r="B28" s="30">
        <v>18457.900000000001</v>
      </c>
      <c r="C28" s="30">
        <v>3328</v>
      </c>
      <c r="D28" s="30">
        <f t="shared" si="0"/>
        <v>608.29999999999995</v>
      </c>
      <c r="E28" s="30">
        <v>31.8</v>
      </c>
      <c r="F28" s="30">
        <v>174.5</v>
      </c>
      <c r="G28" s="30">
        <v>402</v>
      </c>
      <c r="I28" s="135">
        <v>15781069.300000001</v>
      </c>
      <c r="J28" s="135">
        <v>2674851.2000000002</v>
      </c>
      <c r="K28" s="135">
        <f t="shared" si="1"/>
        <v>474686.79999999993</v>
      </c>
      <c r="L28" s="135">
        <v>24914.3</v>
      </c>
      <c r="M28" s="135">
        <v>131856.9</v>
      </c>
      <c r="N28" s="135">
        <v>317915.59999999998</v>
      </c>
    </row>
    <row r="29" spans="1:14">
      <c r="A29" s="66">
        <v>1986</v>
      </c>
      <c r="B29" s="30">
        <v>19063.099999999999</v>
      </c>
      <c r="C29" s="30">
        <v>3422.7</v>
      </c>
      <c r="D29" s="30">
        <f t="shared" si="0"/>
        <v>610</v>
      </c>
      <c r="E29" s="30">
        <v>30.8</v>
      </c>
      <c r="F29" s="30">
        <v>173.6</v>
      </c>
      <c r="G29" s="30">
        <v>405.6</v>
      </c>
      <c r="I29" s="135">
        <v>16279941.5</v>
      </c>
      <c r="J29" s="135">
        <v>2758356.9</v>
      </c>
      <c r="K29" s="135">
        <f t="shared" si="1"/>
        <v>474668.1</v>
      </c>
      <c r="L29" s="135">
        <v>23734</v>
      </c>
      <c r="M29" s="135">
        <v>130263.1</v>
      </c>
      <c r="N29" s="135">
        <v>320671</v>
      </c>
    </row>
    <row r="30" spans="1:14">
      <c r="A30" s="66">
        <v>1987</v>
      </c>
      <c r="B30" s="30">
        <v>19725.8</v>
      </c>
      <c r="C30" s="30">
        <v>3499.3</v>
      </c>
      <c r="D30" s="30">
        <f t="shared" si="0"/>
        <v>614</v>
      </c>
      <c r="E30" s="30">
        <v>29.7</v>
      </c>
      <c r="F30" s="30">
        <v>177.6</v>
      </c>
      <c r="G30" s="30">
        <v>406.7</v>
      </c>
      <c r="I30" s="135">
        <v>16838894.899999999</v>
      </c>
      <c r="J30" s="135">
        <v>2818706.2</v>
      </c>
      <c r="K30" s="135">
        <f t="shared" si="1"/>
        <v>476224.9</v>
      </c>
      <c r="L30" s="135">
        <v>22553.5</v>
      </c>
      <c r="M30" s="135">
        <v>133337.20000000001</v>
      </c>
      <c r="N30" s="135">
        <v>320334.2</v>
      </c>
    </row>
    <row r="31" spans="1:14">
      <c r="A31" s="66">
        <v>1988</v>
      </c>
      <c r="B31" s="30">
        <v>20496.8</v>
      </c>
      <c r="C31" s="30">
        <v>3584.9</v>
      </c>
      <c r="D31" s="30">
        <f t="shared" si="0"/>
        <v>641.5</v>
      </c>
      <c r="E31" s="30">
        <v>28.9</v>
      </c>
      <c r="F31" s="30">
        <v>187.3</v>
      </c>
      <c r="G31" s="30">
        <v>425.3</v>
      </c>
      <c r="I31" s="135">
        <v>17509825.399999999</v>
      </c>
      <c r="J31" s="135">
        <v>2886160.1</v>
      </c>
      <c r="K31" s="135">
        <f t="shared" si="1"/>
        <v>499768.6</v>
      </c>
      <c r="L31" s="135">
        <v>21676.9</v>
      </c>
      <c r="M31" s="135">
        <v>141779.1</v>
      </c>
      <c r="N31" s="135">
        <v>336312.6</v>
      </c>
    </row>
    <row r="32" spans="1:14">
      <c r="A32" s="66">
        <v>1989</v>
      </c>
      <c r="B32" s="30">
        <v>21363.1</v>
      </c>
      <c r="C32" s="30">
        <v>3710.8</v>
      </c>
      <c r="D32" s="30">
        <f t="shared" si="0"/>
        <v>707.4</v>
      </c>
      <c r="E32" s="30">
        <v>28.1</v>
      </c>
      <c r="F32" s="30">
        <v>201.1</v>
      </c>
      <c r="G32" s="30">
        <v>478.2</v>
      </c>
      <c r="I32" s="135">
        <v>18277334.5</v>
      </c>
      <c r="J32" s="135">
        <v>2992811.5</v>
      </c>
      <c r="K32" s="135">
        <f t="shared" si="1"/>
        <v>560035.4</v>
      </c>
      <c r="L32" s="135">
        <v>20796.900000000001</v>
      </c>
      <c r="M32" s="135">
        <v>153918.6</v>
      </c>
      <c r="N32" s="135">
        <v>385319.9</v>
      </c>
    </row>
    <row r="33" spans="1:14">
      <c r="A33" s="66">
        <v>1990</v>
      </c>
      <c r="B33" s="30">
        <v>22235.200000000001</v>
      </c>
      <c r="C33" s="30">
        <v>3848</v>
      </c>
      <c r="D33" s="30">
        <f t="shared" si="0"/>
        <v>760.9</v>
      </c>
      <c r="E33" s="30">
        <v>27.3</v>
      </c>
      <c r="F33" s="30">
        <v>210.7</v>
      </c>
      <c r="G33" s="30">
        <v>522.9</v>
      </c>
      <c r="I33" s="135">
        <v>19047229.199999999</v>
      </c>
      <c r="J33" s="135">
        <v>3111952.3</v>
      </c>
      <c r="K33" s="135">
        <f t="shared" si="1"/>
        <v>606938.5</v>
      </c>
      <c r="L33" s="135">
        <v>19943.5</v>
      </c>
      <c r="M33" s="135">
        <v>161700.79999999999</v>
      </c>
      <c r="N33" s="135">
        <v>425294.2</v>
      </c>
    </row>
    <row r="34" spans="1:14">
      <c r="A34" s="66">
        <v>1991</v>
      </c>
      <c r="B34" s="30">
        <v>22954.2</v>
      </c>
      <c r="C34" s="30">
        <v>3931.8</v>
      </c>
      <c r="D34" s="30">
        <f t="shared" si="0"/>
        <v>789.90000000000009</v>
      </c>
      <c r="E34" s="30">
        <v>26.6</v>
      </c>
      <c r="F34" s="30">
        <v>213.6</v>
      </c>
      <c r="G34" s="30">
        <v>549.70000000000005</v>
      </c>
      <c r="I34" s="135">
        <v>19643752.399999999</v>
      </c>
      <c r="J34" s="135">
        <v>3173533.8</v>
      </c>
      <c r="K34" s="135">
        <f t="shared" si="1"/>
        <v>628264.39999999991</v>
      </c>
      <c r="L34" s="135">
        <v>19151.900000000001</v>
      </c>
      <c r="M34" s="135">
        <v>162879.4</v>
      </c>
      <c r="N34" s="135">
        <v>446233.1</v>
      </c>
    </row>
    <row r="35" spans="1:14">
      <c r="A35" s="66">
        <v>1992</v>
      </c>
      <c r="B35" s="30">
        <v>23444.3</v>
      </c>
      <c r="C35" s="30">
        <v>3947.6</v>
      </c>
      <c r="D35" s="30">
        <f t="shared" si="0"/>
        <v>826.59999999999991</v>
      </c>
      <c r="E35" s="30">
        <v>25.7</v>
      </c>
      <c r="F35" s="30">
        <v>217</v>
      </c>
      <c r="G35" s="30">
        <v>583.9</v>
      </c>
      <c r="I35" s="135">
        <v>19983303.199999999</v>
      </c>
      <c r="J35" s="135">
        <v>3157174.5</v>
      </c>
      <c r="K35" s="135">
        <f t="shared" si="1"/>
        <v>654599.1</v>
      </c>
      <c r="L35" s="135">
        <v>18284.7</v>
      </c>
      <c r="M35" s="135">
        <v>164223.79999999999</v>
      </c>
      <c r="N35" s="135">
        <v>472090.6</v>
      </c>
    </row>
    <row r="36" spans="1:14">
      <c r="A36" s="66">
        <v>1993</v>
      </c>
      <c r="B36" s="30">
        <v>23779.4</v>
      </c>
      <c r="C36" s="30">
        <v>3915.9</v>
      </c>
      <c r="D36" s="30">
        <f t="shared" si="0"/>
        <v>849.80000000000007</v>
      </c>
      <c r="E36" s="30">
        <v>24.8</v>
      </c>
      <c r="F36" s="30">
        <v>221.3</v>
      </c>
      <c r="G36" s="30">
        <v>603.70000000000005</v>
      </c>
      <c r="I36" s="135">
        <v>20162539.100000001</v>
      </c>
      <c r="J36" s="135">
        <v>3092462.8</v>
      </c>
      <c r="K36" s="135">
        <f t="shared" si="1"/>
        <v>666744.80000000005</v>
      </c>
      <c r="L36" s="135">
        <v>17371</v>
      </c>
      <c r="M36" s="135">
        <v>166276.79999999999</v>
      </c>
      <c r="N36" s="135">
        <v>483097</v>
      </c>
    </row>
    <row r="37" spans="1:14">
      <c r="A37" s="66">
        <v>1994</v>
      </c>
      <c r="B37" s="30">
        <v>24117.3</v>
      </c>
      <c r="C37" s="30">
        <v>3902.8</v>
      </c>
      <c r="D37" s="30">
        <f t="shared" si="0"/>
        <v>853.90000000000009</v>
      </c>
      <c r="E37" s="30">
        <v>24</v>
      </c>
      <c r="F37" s="30">
        <v>228.7</v>
      </c>
      <c r="G37" s="30">
        <v>601.20000000000005</v>
      </c>
      <c r="I37" s="135">
        <v>20355430.300000001</v>
      </c>
      <c r="J37" s="135">
        <v>3054198</v>
      </c>
      <c r="K37" s="135">
        <f t="shared" si="1"/>
        <v>663092.30000000005</v>
      </c>
      <c r="L37" s="135">
        <v>16554.599999999999</v>
      </c>
      <c r="M37" s="135">
        <v>171948</v>
      </c>
      <c r="N37" s="135">
        <v>474589.7</v>
      </c>
    </row>
    <row r="38" spans="1:14">
      <c r="A38" s="66">
        <v>1995</v>
      </c>
      <c r="B38" s="30">
        <v>24492.6</v>
      </c>
      <c r="C38" s="30">
        <v>3938.7</v>
      </c>
      <c r="D38" s="30">
        <f t="shared" si="0"/>
        <v>882.9</v>
      </c>
      <c r="E38" s="30">
        <v>23.2</v>
      </c>
      <c r="F38" s="30">
        <v>241.8</v>
      </c>
      <c r="G38" s="30">
        <v>617.9</v>
      </c>
      <c r="I38" s="135">
        <v>20585438.899999999</v>
      </c>
      <c r="J38" s="135">
        <v>3070424.9</v>
      </c>
      <c r="K38" s="135">
        <f t="shared" si="1"/>
        <v>687847.3</v>
      </c>
      <c r="L38" s="135">
        <v>15832.8</v>
      </c>
      <c r="M38" s="135">
        <v>183192.3</v>
      </c>
      <c r="N38" s="135">
        <v>488822.2</v>
      </c>
    </row>
    <row r="39" spans="1:14">
      <c r="A39" s="66">
        <v>1996</v>
      </c>
      <c r="B39" s="30">
        <v>24914.9</v>
      </c>
      <c r="C39" s="30">
        <v>4031.7</v>
      </c>
      <c r="D39" s="30">
        <f t="shared" si="0"/>
        <v>922.8</v>
      </c>
      <c r="E39" s="30">
        <v>22.3</v>
      </c>
      <c r="F39" s="30">
        <v>253.9</v>
      </c>
      <c r="G39" s="30">
        <v>646.6</v>
      </c>
      <c r="I39" s="135">
        <v>20860782.899999999</v>
      </c>
      <c r="J39" s="135">
        <v>3144839.6</v>
      </c>
      <c r="K39" s="135">
        <f t="shared" si="1"/>
        <v>724673.8</v>
      </c>
      <c r="L39" s="135">
        <v>14978.6</v>
      </c>
      <c r="M39" s="135">
        <v>193363.1</v>
      </c>
      <c r="N39" s="135">
        <v>516332.1</v>
      </c>
    </row>
    <row r="40" spans="1:14">
      <c r="A40" s="66">
        <v>1997</v>
      </c>
      <c r="B40" s="30">
        <v>25524.3</v>
      </c>
      <c r="C40" s="30">
        <v>4168.7</v>
      </c>
      <c r="D40" s="30">
        <f t="shared" si="0"/>
        <v>938.40000000000009</v>
      </c>
      <c r="E40" s="30">
        <v>21.4</v>
      </c>
      <c r="F40" s="30">
        <v>265.8</v>
      </c>
      <c r="G40" s="30">
        <v>651.20000000000005</v>
      </c>
      <c r="I40" s="135">
        <v>21323198.399999999</v>
      </c>
      <c r="J40" s="135">
        <v>3260708</v>
      </c>
      <c r="K40" s="135">
        <f t="shared" si="1"/>
        <v>735843.9</v>
      </c>
      <c r="L40" s="135">
        <v>14106.9</v>
      </c>
      <c r="M40" s="135">
        <v>203964.2</v>
      </c>
      <c r="N40" s="135">
        <v>517772.79999999999</v>
      </c>
    </row>
    <row r="41" spans="1:14">
      <c r="A41" s="66">
        <v>1998</v>
      </c>
      <c r="B41" s="30">
        <v>26180.2</v>
      </c>
      <c r="C41" s="30">
        <v>4265.7</v>
      </c>
      <c r="D41" s="30">
        <f t="shared" si="0"/>
        <v>933</v>
      </c>
      <c r="E41" s="30">
        <v>20.7</v>
      </c>
      <c r="F41" s="30">
        <v>275.8</v>
      </c>
      <c r="G41" s="30">
        <v>636.5</v>
      </c>
      <c r="I41" s="135">
        <v>21828799.300000001</v>
      </c>
      <c r="J41" s="135">
        <v>3331457.5</v>
      </c>
      <c r="K41" s="135">
        <f t="shared" si="1"/>
        <v>724386.2</v>
      </c>
      <c r="L41" s="135">
        <v>13390.1</v>
      </c>
      <c r="M41" s="135">
        <v>212448.6</v>
      </c>
      <c r="N41" s="135">
        <v>498547.5</v>
      </c>
    </row>
    <row r="42" spans="1:14">
      <c r="A42" s="66">
        <v>1999</v>
      </c>
      <c r="B42" s="30">
        <v>26814.1</v>
      </c>
      <c r="C42" s="30">
        <v>4333.7</v>
      </c>
      <c r="D42" s="30">
        <f t="shared" si="0"/>
        <v>916.7</v>
      </c>
      <c r="E42" s="30">
        <v>20.100000000000001</v>
      </c>
      <c r="F42" s="30">
        <v>282.39999999999998</v>
      </c>
      <c r="G42" s="30">
        <v>614.20000000000005</v>
      </c>
      <c r="I42" s="135">
        <v>22309112.199999999</v>
      </c>
      <c r="J42" s="135">
        <v>3372825.4</v>
      </c>
      <c r="K42" s="135">
        <f t="shared" si="1"/>
        <v>703053.3</v>
      </c>
      <c r="L42" s="135">
        <v>12892.1</v>
      </c>
      <c r="M42" s="135">
        <v>217708.79999999999</v>
      </c>
      <c r="N42" s="135">
        <v>472452.4</v>
      </c>
    </row>
    <row r="43" spans="1:14">
      <c r="A43" s="66">
        <v>2000</v>
      </c>
      <c r="B43" s="30">
        <v>27403.5</v>
      </c>
      <c r="C43" s="30">
        <v>4415.3999999999996</v>
      </c>
      <c r="D43" s="30">
        <f t="shared" si="0"/>
        <v>915.4</v>
      </c>
      <c r="E43" s="30">
        <v>19.600000000000001</v>
      </c>
      <c r="F43" s="30">
        <v>292.39999999999998</v>
      </c>
      <c r="G43" s="30">
        <v>603.4</v>
      </c>
      <c r="I43" s="135">
        <v>22740165.5</v>
      </c>
      <c r="J43" s="135">
        <v>3431622.7</v>
      </c>
      <c r="K43" s="135">
        <f t="shared" si="1"/>
        <v>697953.7</v>
      </c>
      <c r="L43" s="135">
        <v>12495.4</v>
      </c>
      <c r="M43" s="135">
        <v>225713.5</v>
      </c>
      <c r="N43" s="135">
        <v>459744.8</v>
      </c>
    </row>
    <row r="44" spans="1:14">
      <c r="A44" s="66">
        <v>2001</v>
      </c>
      <c r="B44" s="30">
        <v>27913.5</v>
      </c>
      <c r="C44" s="30">
        <v>4452</v>
      </c>
      <c r="D44" s="30">
        <f t="shared" si="0"/>
        <v>905.90000000000009</v>
      </c>
      <c r="E44" s="30">
        <v>19</v>
      </c>
      <c r="F44" s="30">
        <v>294.8</v>
      </c>
      <c r="G44" s="30">
        <v>592.1</v>
      </c>
      <c r="I44" s="135">
        <v>23095901.600000001</v>
      </c>
      <c r="J44" s="135">
        <v>3448169.4</v>
      </c>
      <c r="K44" s="135">
        <f t="shared" si="1"/>
        <v>683948.8</v>
      </c>
      <c r="L44" s="135">
        <v>12010.4</v>
      </c>
      <c r="M44" s="135">
        <v>225254.39999999999</v>
      </c>
      <c r="N44" s="135">
        <v>446684</v>
      </c>
    </row>
    <row r="45" spans="1:14">
      <c r="A45" s="66">
        <v>2002</v>
      </c>
      <c r="B45" s="30">
        <v>29228.1</v>
      </c>
      <c r="C45" s="30">
        <v>4419.3999999999996</v>
      </c>
      <c r="D45" s="30">
        <f t="shared" si="0"/>
        <v>872.89999999999986</v>
      </c>
      <c r="E45" s="30">
        <v>18.899999999999999</v>
      </c>
      <c r="F45" s="30">
        <v>286.2</v>
      </c>
      <c r="G45" s="30">
        <v>567.79999999999995</v>
      </c>
      <c r="I45" s="135">
        <v>23457946.699999999</v>
      </c>
      <c r="J45" s="135">
        <v>3394542</v>
      </c>
      <c r="K45" s="135">
        <f t="shared" si="1"/>
        <v>646709.79999999993</v>
      </c>
      <c r="L45" s="135">
        <v>12066.9</v>
      </c>
      <c r="M45" s="135">
        <v>214558.3</v>
      </c>
      <c r="N45" s="135">
        <v>420084.6</v>
      </c>
    </row>
    <row r="46" spans="1:14">
      <c r="A46" s="66">
        <v>2003</v>
      </c>
      <c r="B46" s="30">
        <v>30391.1</v>
      </c>
      <c r="C46" s="30">
        <v>4355</v>
      </c>
      <c r="D46" s="30">
        <f t="shared" si="0"/>
        <v>839.5</v>
      </c>
      <c r="E46" s="30">
        <v>19.100000000000001</v>
      </c>
      <c r="F46" s="30">
        <v>278.2</v>
      </c>
      <c r="G46" s="30">
        <v>542.20000000000005</v>
      </c>
      <c r="I46" s="135">
        <v>23748830.899999999</v>
      </c>
      <c r="J46" s="135">
        <v>3310310.2</v>
      </c>
      <c r="K46" s="135">
        <f t="shared" si="1"/>
        <v>610230.30000000005</v>
      </c>
      <c r="L46" s="135">
        <v>12316.4</v>
      </c>
      <c r="M46" s="135">
        <v>204890.7</v>
      </c>
      <c r="N46" s="135">
        <v>393023.2</v>
      </c>
    </row>
    <row r="47" spans="1:14">
      <c r="A47" s="66">
        <v>2004</v>
      </c>
      <c r="B47" s="30">
        <v>30724.5</v>
      </c>
      <c r="C47" s="30">
        <v>4269.3</v>
      </c>
      <c r="D47" s="30">
        <f t="shared" si="0"/>
        <v>815</v>
      </c>
      <c r="E47" s="30">
        <v>19.5</v>
      </c>
      <c r="F47" s="30">
        <v>273.7</v>
      </c>
      <c r="G47" s="30">
        <v>521.79999999999995</v>
      </c>
      <c r="I47" s="135">
        <v>24018670.899999999</v>
      </c>
      <c r="J47" s="135">
        <v>3207459.5</v>
      </c>
      <c r="K47" s="135">
        <f t="shared" si="1"/>
        <v>584257</v>
      </c>
      <c r="L47" s="135">
        <v>12814.7</v>
      </c>
      <c r="M47" s="135">
        <v>199190.39999999999</v>
      </c>
      <c r="N47" s="135">
        <v>372251.9</v>
      </c>
    </row>
    <row r="48" spans="1:14">
      <c r="A48" s="66">
        <v>2005</v>
      </c>
      <c r="B48" s="30">
        <v>31163.599999999999</v>
      </c>
      <c r="C48" s="30">
        <v>4160.8999999999996</v>
      </c>
      <c r="D48" s="30">
        <f t="shared" si="0"/>
        <v>792.8</v>
      </c>
      <c r="E48" s="30">
        <v>20.100000000000001</v>
      </c>
      <c r="F48" s="30">
        <v>272.8</v>
      </c>
      <c r="G48" s="30">
        <v>499.9</v>
      </c>
      <c r="I48" s="135">
        <v>24287741.5</v>
      </c>
      <c r="J48" s="135">
        <v>3082815.5</v>
      </c>
      <c r="K48" s="135">
        <f t="shared" si="1"/>
        <v>561648.6</v>
      </c>
      <c r="L48" s="135">
        <v>13408.6</v>
      </c>
      <c r="M48" s="135">
        <v>197782.9</v>
      </c>
      <c r="N48" s="135">
        <v>350457.1</v>
      </c>
    </row>
    <row r="49" spans="1:14">
      <c r="A49" s="66">
        <v>2006</v>
      </c>
      <c r="B49" s="30">
        <v>31741.9</v>
      </c>
      <c r="C49" s="30">
        <v>4055.2</v>
      </c>
      <c r="D49" s="30">
        <f t="shared" si="0"/>
        <v>763.2</v>
      </c>
      <c r="E49" s="30">
        <v>19.899999999999999</v>
      </c>
      <c r="F49" s="30">
        <v>271</v>
      </c>
      <c r="G49" s="30">
        <v>472.3</v>
      </c>
      <c r="I49" s="135">
        <v>24554695</v>
      </c>
      <c r="J49" s="135">
        <v>2950357.4</v>
      </c>
      <c r="K49" s="135">
        <f t="shared" si="1"/>
        <v>531258.69999999995</v>
      </c>
      <c r="L49" s="135">
        <v>13350.6</v>
      </c>
      <c r="M49" s="135">
        <v>195139</v>
      </c>
      <c r="N49" s="135">
        <v>322769.09999999998</v>
      </c>
    </row>
    <row r="50" spans="1:14">
      <c r="A50" s="66">
        <v>2007</v>
      </c>
      <c r="B50" s="30">
        <v>32367.3</v>
      </c>
      <c r="C50" s="30">
        <v>3973.3</v>
      </c>
      <c r="D50" s="30">
        <f t="shared" si="0"/>
        <v>730.19999999999993</v>
      </c>
      <c r="E50" s="30">
        <v>19.399999999999999</v>
      </c>
      <c r="F50" s="30">
        <v>264.39999999999998</v>
      </c>
      <c r="G50" s="30">
        <v>446.4</v>
      </c>
      <c r="I50" s="135">
        <v>24879605.899999999</v>
      </c>
      <c r="J50" s="135">
        <v>2822764</v>
      </c>
      <c r="K50" s="135">
        <f t="shared" si="1"/>
        <v>497477.69999999995</v>
      </c>
      <c r="L50" s="135">
        <v>13234.9</v>
      </c>
      <c r="M50" s="135">
        <v>187958.8</v>
      </c>
      <c r="N50" s="135">
        <v>296284</v>
      </c>
    </row>
    <row r="51" spans="1:14">
      <c r="A51" s="66">
        <v>2008</v>
      </c>
      <c r="B51" s="30">
        <v>32777.1</v>
      </c>
      <c r="C51" s="30">
        <v>3882.4</v>
      </c>
      <c r="D51" s="30">
        <f t="shared" si="0"/>
        <v>696.7</v>
      </c>
      <c r="E51" s="30">
        <v>18.600000000000001</v>
      </c>
      <c r="F51" s="30">
        <v>255</v>
      </c>
      <c r="G51" s="30">
        <v>423.1</v>
      </c>
    </row>
    <row r="52" spans="1:14">
      <c r="A52" s="66">
        <v>2009</v>
      </c>
      <c r="B52" s="30">
        <v>32933.4</v>
      </c>
      <c r="C52" s="30">
        <v>3754.1</v>
      </c>
      <c r="D52" s="30">
        <f t="shared" si="0"/>
        <v>661.9</v>
      </c>
      <c r="E52" s="30">
        <v>17.8</v>
      </c>
      <c r="F52" s="30">
        <v>244.4</v>
      </c>
      <c r="G52" s="30">
        <v>399.7</v>
      </c>
    </row>
    <row r="53" spans="1:14">
      <c r="A53" s="66">
        <v>2010</v>
      </c>
      <c r="B53" s="30">
        <v>33475.599999999999</v>
      </c>
      <c r="C53" s="30">
        <v>3627.5</v>
      </c>
      <c r="D53" s="30">
        <f t="shared" si="0"/>
        <v>627.29999999999995</v>
      </c>
      <c r="E53" s="30">
        <v>17.100000000000001</v>
      </c>
      <c r="F53" s="30">
        <v>234.5</v>
      </c>
      <c r="G53" s="30">
        <v>375.7</v>
      </c>
    </row>
    <row r="54" spans="1:14">
      <c r="A54" s="66">
        <v>2011</v>
      </c>
      <c r="B54" s="30">
        <v>34276.400000000001</v>
      </c>
      <c r="C54" s="30">
        <v>3545.4</v>
      </c>
      <c r="D54" s="30">
        <f t="shared" si="0"/>
        <v>594.40000000000009</v>
      </c>
      <c r="E54" s="30">
        <v>16.399999999999999</v>
      </c>
      <c r="F54" s="30">
        <v>224.4</v>
      </c>
      <c r="G54" s="30">
        <v>353.6</v>
      </c>
    </row>
    <row r="55" spans="1:14">
      <c r="A55" s="66">
        <v>2012</v>
      </c>
      <c r="B55" s="30">
        <v>34780.9</v>
      </c>
      <c r="C55" s="30">
        <v>3514.6</v>
      </c>
      <c r="D55" s="30">
        <f t="shared" si="0"/>
        <v>563</v>
      </c>
      <c r="E55" s="30">
        <v>15.8</v>
      </c>
      <c r="F55" s="30">
        <v>213.4</v>
      </c>
      <c r="G55" s="30">
        <v>333.8</v>
      </c>
    </row>
    <row r="57" spans="1:14">
      <c r="A57" s="66" t="s">
        <v>23</v>
      </c>
      <c r="B57" s="56"/>
      <c r="C57" s="56"/>
    </row>
    <row r="58" spans="1:14">
      <c r="A58" s="69" t="s">
        <v>2121</v>
      </c>
      <c r="B58" s="147">
        <f>((B55/B4)^(1/51)-1)*100</f>
        <v>3.249665259498502</v>
      </c>
      <c r="C58" s="147">
        <f t="shared" ref="C58:G58" si="2">((C55/C4)^(1/51)-1)*100</f>
        <v>1.5083423493666315</v>
      </c>
      <c r="D58" s="147">
        <f t="shared" si="2"/>
        <v>1.236010846166602</v>
      </c>
      <c r="E58" s="147">
        <f t="shared" si="2"/>
        <v>-0.90345858569655935</v>
      </c>
      <c r="F58" s="147">
        <f t="shared" si="2"/>
        <v>1.8930862702678297</v>
      </c>
      <c r="G58" s="147">
        <f t="shared" si="2"/>
        <v>1.0718116399986322</v>
      </c>
    </row>
    <row r="59" spans="1:14">
      <c r="A59" s="68" t="s">
        <v>1031</v>
      </c>
      <c r="B59" s="147">
        <f t="shared" ref="B59:G59" si="3">((B16/B4)^(1/12)-1)*100</f>
        <v>5.0612867559440167</v>
      </c>
      <c r="C59" s="147">
        <f t="shared" si="3"/>
        <v>3.8129829257337766</v>
      </c>
      <c r="D59" s="147">
        <f t="shared" si="3"/>
        <v>4.613812497769354</v>
      </c>
      <c r="E59" s="147">
        <f t="shared" si="3"/>
        <v>1.1817088980231816</v>
      </c>
      <c r="F59" s="147">
        <f t="shared" si="3"/>
        <v>4.2870780944339826</v>
      </c>
      <c r="G59" s="147">
        <f t="shared" si="3"/>
        <v>5.1090660706103463</v>
      </c>
    </row>
    <row r="60" spans="1:14">
      <c r="A60" s="68" t="s">
        <v>1032</v>
      </c>
      <c r="B60" s="147">
        <f t="shared" ref="B60:G60" si="4">((B24/B16)^(1/8)-1)*100</f>
        <v>3.7792888487310661</v>
      </c>
      <c r="C60" s="147">
        <f t="shared" si="4"/>
        <v>2.5911453723444389</v>
      </c>
      <c r="D60" s="147">
        <f t="shared" si="4"/>
        <v>1.7463190205138535</v>
      </c>
      <c r="E60" s="147">
        <f t="shared" si="4"/>
        <v>2.3860876159143896</v>
      </c>
      <c r="F60" s="147">
        <f t="shared" si="4"/>
        <v>3.5944722243739236</v>
      </c>
      <c r="G60" s="147">
        <f t="shared" si="4"/>
        <v>0.91043729513589078</v>
      </c>
    </row>
    <row r="61" spans="1:14">
      <c r="A61" s="68" t="s">
        <v>25</v>
      </c>
      <c r="B61" s="147">
        <f t="shared" ref="B61:G61" si="5">((B32/B24)^(1/8)-1)*100</f>
        <v>3.2299761610512068</v>
      </c>
      <c r="C61" s="147">
        <f t="shared" si="5"/>
        <v>2.0728255619099523</v>
      </c>
      <c r="D61" s="147">
        <f t="shared" si="5"/>
        <v>2.2122874805235559</v>
      </c>
      <c r="E61" s="147">
        <f t="shared" si="5"/>
        <v>-2.6726022831535023</v>
      </c>
      <c r="F61" s="147">
        <f t="shared" si="5"/>
        <v>1.3952115555663669</v>
      </c>
      <c r="G61" s="147">
        <f t="shared" si="5"/>
        <v>2.9521974540627882</v>
      </c>
    </row>
    <row r="62" spans="1:14">
      <c r="A62" s="68" t="s">
        <v>26</v>
      </c>
      <c r="B62" s="147">
        <f t="shared" ref="B62:G62" si="6">((B43/B32)^(1/11)-1)*100</f>
        <v>2.2895031742677263</v>
      </c>
      <c r="C62" s="147">
        <f t="shared" si="6"/>
        <v>1.5930184971972405</v>
      </c>
      <c r="D62" s="147">
        <f t="shared" si="6"/>
        <v>2.370988220244552</v>
      </c>
      <c r="E62" s="147">
        <f t="shared" si="6"/>
        <v>-3.2218646621023028</v>
      </c>
      <c r="F62" s="147">
        <f t="shared" si="6"/>
        <v>3.4614744719849044</v>
      </c>
      <c r="G62" s="147">
        <f t="shared" si="6"/>
        <v>2.1366079326554654</v>
      </c>
    </row>
    <row r="63" spans="1:14">
      <c r="A63" s="69" t="s">
        <v>2028</v>
      </c>
      <c r="B63" s="147">
        <f>((B55/B43)^(1/12)-1)*100</f>
        <v>2.0065121897570037</v>
      </c>
      <c r="C63" s="147">
        <f t="shared" ref="C63:G63" si="7">((C55/C43)^(1/12)-1)*100</f>
        <v>-1.8834759230473286</v>
      </c>
      <c r="D63" s="147">
        <f t="shared" si="7"/>
        <v>-3.9697357572571534</v>
      </c>
      <c r="E63" s="147">
        <f t="shared" si="7"/>
        <v>-1.7799649819415841</v>
      </c>
      <c r="F63" s="147">
        <f t="shared" si="7"/>
        <v>-2.5904761271073995</v>
      </c>
      <c r="G63" s="147">
        <f t="shared" si="7"/>
        <v>-4.8139250374664933</v>
      </c>
    </row>
    <row r="65" spans="1:1">
      <c r="A65" s="64" t="s">
        <v>1813</v>
      </c>
    </row>
    <row r="66" spans="1:1">
      <c r="A66" s="195" t="s">
        <v>1341</v>
      </c>
    </row>
  </sheetData>
  <mergeCells count="7">
    <mergeCell ref="A1:G1"/>
    <mergeCell ref="B2:B3"/>
    <mergeCell ref="D2:G2"/>
    <mergeCell ref="I2:I3"/>
    <mergeCell ref="K2:N2"/>
    <mergeCell ref="J2:J3"/>
    <mergeCell ref="C2:C3"/>
  </mergeCells>
  <pageMargins left="0.7" right="0.7" top="0.75" bottom="0.75" header="0.3" footer="0.3"/>
  <pageSetup scale="91" orientation="portrait" horizontalDpi="0" verticalDpi="0" r:id="rId1"/>
</worksheet>
</file>

<file path=xl/worksheets/sheet78.xml><?xml version="1.0" encoding="utf-8"?>
<worksheet xmlns="http://schemas.openxmlformats.org/spreadsheetml/2006/main" xmlns:r="http://schemas.openxmlformats.org/officeDocument/2006/relationships">
  <dimension ref="A1:O66"/>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5703125" style="64" customWidth="1"/>
    <col min="2" max="3" width="14.140625" style="135" customWidth="1"/>
    <col min="4" max="4" width="16" style="135" customWidth="1"/>
    <col min="5" max="5" width="11.28515625" style="135" customWidth="1"/>
    <col min="6" max="6" width="15.140625" style="135" customWidth="1"/>
    <col min="7" max="7" width="14.140625" style="135" customWidth="1"/>
    <col min="8" max="8" width="9.140625" style="135"/>
    <col min="9" max="14" width="25.85546875" style="135" hidden="1" customWidth="1" outlineLevel="1"/>
    <col min="15" max="15" width="9.140625" style="64" collapsed="1"/>
    <col min="16" max="16384" width="9.140625" style="64"/>
  </cols>
  <sheetData>
    <row r="1" spans="1:14" ht="30" customHeight="1">
      <c r="A1" s="93" t="s">
        <v>2065</v>
      </c>
      <c r="B1" s="93"/>
      <c r="C1" s="93"/>
      <c r="D1" s="93"/>
      <c r="E1" s="93"/>
      <c r="F1" s="93"/>
      <c r="G1" s="93"/>
    </row>
    <row r="2" spans="1:14">
      <c r="B2" s="123" t="s">
        <v>673</v>
      </c>
      <c r="C2" s="123" t="s">
        <v>938</v>
      </c>
      <c r="D2" s="159" t="s">
        <v>37</v>
      </c>
      <c r="E2" s="160"/>
      <c r="F2" s="160"/>
      <c r="G2" s="161"/>
      <c r="I2" s="123" t="s">
        <v>673</v>
      </c>
      <c r="J2" s="123" t="s">
        <v>1641</v>
      </c>
      <c r="K2" s="159" t="s">
        <v>37</v>
      </c>
      <c r="L2" s="160"/>
      <c r="M2" s="160"/>
      <c r="N2" s="161"/>
    </row>
    <row r="3" spans="1:14" ht="60">
      <c r="B3" s="126"/>
      <c r="C3" s="126"/>
      <c r="D3" s="72" t="s">
        <v>78</v>
      </c>
      <c r="E3" s="72" t="s">
        <v>750</v>
      </c>
      <c r="F3" s="72" t="s">
        <v>745</v>
      </c>
      <c r="G3" s="72" t="s">
        <v>678</v>
      </c>
      <c r="I3" s="126"/>
      <c r="J3" s="126"/>
      <c r="K3" s="72" t="s">
        <v>78</v>
      </c>
      <c r="L3" s="72" t="s">
        <v>750</v>
      </c>
      <c r="M3" s="72" t="s">
        <v>745</v>
      </c>
      <c r="N3" s="72" t="s">
        <v>678</v>
      </c>
    </row>
    <row r="4" spans="1:14">
      <c r="A4" s="66">
        <v>1961</v>
      </c>
      <c r="B4" s="30">
        <v>752.1</v>
      </c>
      <c r="C4" s="30">
        <v>94.8</v>
      </c>
      <c r="D4" s="30">
        <f t="shared" ref="D4:D55" si="0">SUM(E4:G4)</f>
        <v>10.299999999999999</v>
      </c>
      <c r="E4" s="30" t="s">
        <v>1814</v>
      </c>
      <c r="F4" s="30">
        <v>0.1</v>
      </c>
      <c r="G4" s="30">
        <v>10.199999999999999</v>
      </c>
      <c r="I4" s="135">
        <v>6050238.2999999998</v>
      </c>
      <c r="J4" s="135">
        <v>1347449.4</v>
      </c>
      <c r="K4" s="135">
        <f>SUM(L4:N4)</f>
        <v>235589.2</v>
      </c>
      <c r="L4" s="135">
        <v>22991.7</v>
      </c>
      <c r="M4" s="135">
        <v>58094.1</v>
      </c>
      <c r="N4" s="135">
        <v>154503.4</v>
      </c>
    </row>
    <row r="5" spans="1:14" hidden="1" outlineLevel="1">
      <c r="A5" s="66">
        <v>1962</v>
      </c>
      <c r="B5" s="30">
        <v>1363.9</v>
      </c>
      <c r="C5" s="30">
        <v>274</v>
      </c>
      <c r="D5" s="30">
        <f t="shared" si="0"/>
        <v>29.2</v>
      </c>
      <c r="E5" s="30">
        <v>0.1</v>
      </c>
      <c r="F5" s="30">
        <v>0.3</v>
      </c>
      <c r="G5" s="30">
        <v>28.8</v>
      </c>
      <c r="I5" s="135">
        <v>6351852.2000000002</v>
      </c>
      <c r="J5" s="135">
        <v>1363381.8</v>
      </c>
      <c r="K5" s="135">
        <f t="shared" ref="K5:K50" si="1">SUM(L5:N5)</f>
        <v>237570.2</v>
      </c>
      <c r="L5" s="135">
        <v>22802.400000000001</v>
      </c>
      <c r="M5" s="135">
        <v>58976.3</v>
      </c>
      <c r="N5" s="135">
        <v>155791.5</v>
      </c>
    </row>
    <row r="6" spans="1:14" hidden="1" outlineLevel="1">
      <c r="A6" s="66">
        <v>1963</v>
      </c>
      <c r="B6" s="30">
        <v>1884</v>
      </c>
      <c r="C6" s="30">
        <v>429.9</v>
      </c>
      <c r="D6" s="30">
        <f t="shared" si="0"/>
        <v>45.2</v>
      </c>
      <c r="E6" s="30">
        <v>0.2</v>
      </c>
      <c r="F6" s="30">
        <v>0.5</v>
      </c>
      <c r="G6" s="30">
        <v>44.5</v>
      </c>
      <c r="I6" s="135">
        <v>6681797.0999999996</v>
      </c>
      <c r="J6" s="135">
        <v>1395022.1</v>
      </c>
      <c r="K6" s="135">
        <f t="shared" si="1"/>
        <v>241238.1</v>
      </c>
      <c r="L6" s="135">
        <v>22671.5</v>
      </c>
      <c r="M6" s="135">
        <v>59600</v>
      </c>
      <c r="N6" s="135">
        <v>158966.6</v>
      </c>
    </row>
    <row r="7" spans="1:14" hidden="1" outlineLevel="1">
      <c r="A7" s="66">
        <v>1964</v>
      </c>
      <c r="B7" s="30">
        <v>2359.3000000000002</v>
      </c>
      <c r="C7" s="30">
        <v>572.70000000000005</v>
      </c>
      <c r="D7" s="30">
        <f t="shared" si="0"/>
        <v>58.900000000000006</v>
      </c>
      <c r="E7" s="30">
        <v>0.3</v>
      </c>
      <c r="F7" s="30">
        <v>0.9</v>
      </c>
      <c r="G7" s="30">
        <v>57.7</v>
      </c>
      <c r="I7" s="135">
        <v>7024230.7000000002</v>
      </c>
      <c r="J7" s="135">
        <v>1451014.1</v>
      </c>
      <c r="K7" s="135">
        <f t="shared" si="1"/>
        <v>251514.2</v>
      </c>
      <c r="L7" s="135">
        <v>22789.3</v>
      </c>
      <c r="M7" s="135">
        <v>60970.400000000001</v>
      </c>
      <c r="N7" s="135">
        <v>167754.5</v>
      </c>
    </row>
    <row r="8" spans="1:14" hidden="1" outlineLevel="1">
      <c r="A8" s="66">
        <v>1965</v>
      </c>
      <c r="B8" s="30">
        <v>2841.4</v>
      </c>
      <c r="C8" s="30">
        <v>718.4</v>
      </c>
      <c r="D8" s="30">
        <f t="shared" si="0"/>
        <v>71</v>
      </c>
      <c r="E8" s="30">
        <v>0.3</v>
      </c>
      <c r="F8" s="30">
        <v>1</v>
      </c>
      <c r="G8" s="30">
        <v>69.7</v>
      </c>
      <c r="I8" s="135">
        <v>7450643.2999999998</v>
      </c>
      <c r="J8" s="135">
        <v>1550132.3</v>
      </c>
      <c r="K8" s="135">
        <f t="shared" si="1"/>
        <v>275443.20000000001</v>
      </c>
      <c r="L8" s="135">
        <v>23329.7</v>
      </c>
      <c r="M8" s="135">
        <v>64049.9</v>
      </c>
      <c r="N8" s="135">
        <v>188063.6</v>
      </c>
    </row>
    <row r="9" spans="1:14" hidden="1" outlineLevel="1">
      <c r="A9" s="66">
        <v>1966</v>
      </c>
      <c r="B9" s="30">
        <v>3330.5</v>
      </c>
      <c r="C9" s="30">
        <v>868.7</v>
      </c>
      <c r="D9" s="30">
        <f t="shared" si="0"/>
        <v>83.3</v>
      </c>
      <c r="E9" s="30">
        <v>0.2</v>
      </c>
      <c r="F9" s="30">
        <v>0.8</v>
      </c>
      <c r="G9" s="30">
        <v>82.3</v>
      </c>
      <c r="I9" s="135">
        <v>8005747.7000000002</v>
      </c>
      <c r="J9" s="135">
        <v>1688992.3</v>
      </c>
      <c r="K9" s="135">
        <f t="shared" si="1"/>
        <v>308451.09999999998</v>
      </c>
      <c r="L9" s="135">
        <v>23876.7</v>
      </c>
      <c r="M9" s="135">
        <v>67890.100000000006</v>
      </c>
      <c r="N9" s="135">
        <v>216684.3</v>
      </c>
    </row>
    <row r="10" spans="1:14" hidden="1" outlineLevel="1">
      <c r="A10" s="66">
        <v>1967</v>
      </c>
      <c r="B10" s="30">
        <v>3819</v>
      </c>
      <c r="C10" s="30">
        <v>1011.9</v>
      </c>
      <c r="D10" s="30">
        <f t="shared" si="0"/>
        <v>96.1</v>
      </c>
      <c r="E10" s="30">
        <v>0.3</v>
      </c>
      <c r="F10" s="30">
        <v>1.5</v>
      </c>
      <c r="G10" s="30">
        <v>94.3</v>
      </c>
      <c r="I10" s="135">
        <v>8552405.6999999993</v>
      </c>
      <c r="J10" s="135">
        <v>1805432.1</v>
      </c>
      <c r="K10" s="135">
        <f t="shared" si="1"/>
        <v>333984</v>
      </c>
      <c r="L10" s="135">
        <v>24288.799999999999</v>
      </c>
      <c r="M10" s="135">
        <v>69874.899999999994</v>
      </c>
      <c r="N10" s="135">
        <v>239820.3</v>
      </c>
    </row>
    <row r="11" spans="1:14" hidden="1" outlineLevel="1">
      <c r="A11" s="66">
        <v>1968</v>
      </c>
      <c r="B11" s="30">
        <v>4286</v>
      </c>
      <c r="C11" s="30">
        <v>1132.5</v>
      </c>
      <c r="D11" s="30">
        <f t="shared" si="0"/>
        <v>105.9</v>
      </c>
      <c r="E11" s="30">
        <v>0.3</v>
      </c>
      <c r="F11" s="30">
        <v>2.7</v>
      </c>
      <c r="G11" s="30">
        <v>102.9</v>
      </c>
      <c r="I11" s="135">
        <v>8993920.5</v>
      </c>
      <c r="J11" s="135">
        <v>1860128.8</v>
      </c>
      <c r="K11" s="135">
        <f t="shared" si="1"/>
        <v>343542.1</v>
      </c>
      <c r="L11" s="135">
        <v>24421.8</v>
      </c>
      <c r="M11" s="135">
        <v>70451.8</v>
      </c>
      <c r="N11" s="135">
        <v>248668.5</v>
      </c>
    </row>
    <row r="12" spans="1:14" hidden="1" outlineLevel="1">
      <c r="A12" s="66">
        <v>1969</v>
      </c>
      <c r="B12" s="30">
        <v>4706.3999999999996</v>
      </c>
      <c r="C12" s="30">
        <v>1237</v>
      </c>
      <c r="D12" s="30">
        <f t="shared" si="0"/>
        <v>112.9</v>
      </c>
      <c r="E12" s="30">
        <v>0.4</v>
      </c>
      <c r="F12" s="30">
        <v>3.5</v>
      </c>
      <c r="G12" s="30">
        <v>109</v>
      </c>
      <c r="I12" s="135">
        <v>9389257.0999999996</v>
      </c>
      <c r="J12" s="135">
        <v>1909575.4</v>
      </c>
      <c r="K12" s="135">
        <f t="shared" si="1"/>
        <v>355835.19999999995</v>
      </c>
      <c r="L12" s="135">
        <v>24587</v>
      </c>
      <c r="M12" s="135">
        <v>75861.899999999994</v>
      </c>
      <c r="N12" s="135">
        <v>255386.3</v>
      </c>
    </row>
    <row r="13" spans="1:14" hidden="1" outlineLevel="1">
      <c r="A13" s="66">
        <v>1970</v>
      </c>
      <c r="B13" s="30">
        <v>5101.2</v>
      </c>
      <c r="C13" s="30">
        <v>1334.4</v>
      </c>
      <c r="D13" s="30">
        <f t="shared" si="0"/>
        <v>119.3</v>
      </c>
      <c r="E13" s="30">
        <v>0.4</v>
      </c>
      <c r="F13" s="30">
        <v>4.3</v>
      </c>
      <c r="G13" s="30">
        <v>114.6</v>
      </c>
      <c r="I13" s="135">
        <v>9788476.3000000007</v>
      </c>
      <c r="J13" s="135">
        <v>2001371.4</v>
      </c>
      <c r="K13" s="135">
        <f t="shared" si="1"/>
        <v>378508.6</v>
      </c>
      <c r="L13" s="135">
        <v>24770.2</v>
      </c>
      <c r="M13" s="135">
        <v>85532.7</v>
      </c>
      <c r="N13" s="135">
        <v>268205.7</v>
      </c>
    </row>
    <row r="14" spans="1:14" hidden="1" outlineLevel="1">
      <c r="A14" s="66">
        <v>1971</v>
      </c>
      <c r="B14" s="30">
        <v>5516.6</v>
      </c>
      <c r="C14" s="30">
        <v>1416</v>
      </c>
      <c r="D14" s="30">
        <f t="shared" si="0"/>
        <v>122.89999999999999</v>
      </c>
      <c r="E14" s="30">
        <v>0.4</v>
      </c>
      <c r="F14" s="30">
        <v>5.9</v>
      </c>
      <c r="G14" s="30">
        <v>116.6</v>
      </c>
      <c r="I14" s="135">
        <v>10199733.800000001</v>
      </c>
      <c r="J14" s="135">
        <v>2076385.1</v>
      </c>
      <c r="K14" s="135">
        <f t="shared" si="1"/>
        <v>398597.9</v>
      </c>
      <c r="L14" s="135">
        <v>24331.9</v>
      </c>
      <c r="M14" s="135">
        <v>92351</v>
      </c>
      <c r="N14" s="135">
        <v>281915</v>
      </c>
    </row>
    <row r="15" spans="1:14" hidden="1" outlineLevel="1">
      <c r="A15" s="66">
        <v>1972</v>
      </c>
      <c r="B15" s="30">
        <v>5910.3</v>
      </c>
      <c r="C15" s="30">
        <v>1469.5</v>
      </c>
      <c r="D15" s="30">
        <f t="shared" si="0"/>
        <v>121</v>
      </c>
      <c r="E15" s="30">
        <v>0.4</v>
      </c>
      <c r="F15" s="30">
        <v>6.7</v>
      </c>
      <c r="G15" s="30">
        <v>113.9</v>
      </c>
      <c r="I15" s="135">
        <v>10566683.4</v>
      </c>
      <c r="J15" s="135">
        <v>2101112</v>
      </c>
      <c r="K15" s="135">
        <f t="shared" si="1"/>
        <v>412353.6</v>
      </c>
      <c r="L15" s="135">
        <v>23820.9</v>
      </c>
      <c r="M15" s="135">
        <v>97348.5</v>
      </c>
      <c r="N15" s="135">
        <v>291184.2</v>
      </c>
    </row>
    <row r="16" spans="1:14" collapsed="1">
      <c r="A16" s="66">
        <v>1973</v>
      </c>
      <c r="B16" s="30">
        <v>6213.4</v>
      </c>
      <c r="C16" s="30">
        <v>1497.5</v>
      </c>
      <c r="D16" s="30">
        <f t="shared" si="0"/>
        <v>117.4</v>
      </c>
      <c r="E16" s="30">
        <v>0.4</v>
      </c>
      <c r="F16" s="30">
        <v>6.1</v>
      </c>
      <c r="G16" s="30">
        <v>110.9</v>
      </c>
      <c r="I16" s="135">
        <v>10908785.4</v>
      </c>
      <c r="J16" s="135">
        <v>2124211.4</v>
      </c>
      <c r="K16" s="135">
        <f t="shared" si="1"/>
        <v>420806</v>
      </c>
      <c r="L16" s="135">
        <v>24194.400000000001</v>
      </c>
      <c r="M16" s="135">
        <v>105848.1</v>
      </c>
      <c r="N16" s="135">
        <v>290763.5</v>
      </c>
    </row>
    <row r="17" spans="1:14" hidden="1" outlineLevel="1">
      <c r="A17" s="66">
        <v>1974</v>
      </c>
      <c r="B17" s="30">
        <v>6432.3</v>
      </c>
      <c r="C17" s="30">
        <v>1512.8</v>
      </c>
      <c r="D17" s="30">
        <f t="shared" si="0"/>
        <v>114.1</v>
      </c>
      <c r="E17" s="30">
        <v>0.5</v>
      </c>
      <c r="F17" s="30">
        <v>5.8</v>
      </c>
      <c r="G17" s="30">
        <v>107.8</v>
      </c>
      <c r="I17" s="135">
        <v>11295256.5</v>
      </c>
      <c r="J17" s="135">
        <v>2169144.5</v>
      </c>
      <c r="K17" s="135">
        <f t="shared" si="1"/>
        <v>429378</v>
      </c>
      <c r="L17" s="135">
        <v>25674.3</v>
      </c>
      <c r="M17" s="135">
        <v>116040.7</v>
      </c>
      <c r="N17" s="135">
        <v>287663</v>
      </c>
    </row>
    <row r="18" spans="1:14" hidden="1" outlineLevel="1">
      <c r="A18" s="66">
        <v>1975</v>
      </c>
      <c r="B18" s="30">
        <v>6630.8</v>
      </c>
      <c r="C18" s="30">
        <v>1531</v>
      </c>
      <c r="D18" s="30">
        <f t="shared" si="0"/>
        <v>113.7</v>
      </c>
      <c r="E18" s="30">
        <v>0.6</v>
      </c>
      <c r="F18" s="30">
        <v>6.1</v>
      </c>
      <c r="G18" s="30">
        <v>107</v>
      </c>
      <c r="I18" s="135">
        <v>11735361.4</v>
      </c>
      <c r="J18" s="135">
        <v>2218366.7000000002</v>
      </c>
      <c r="K18" s="135">
        <f t="shared" si="1"/>
        <v>436360.8</v>
      </c>
      <c r="L18" s="135">
        <v>27059.4</v>
      </c>
      <c r="M18" s="135">
        <v>123241.3</v>
      </c>
      <c r="N18" s="135">
        <v>286060.09999999998</v>
      </c>
    </row>
    <row r="19" spans="1:14" hidden="1" outlineLevel="1">
      <c r="A19" s="66">
        <v>1976</v>
      </c>
      <c r="B19" s="30">
        <v>6920.9</v>
      </c>
      <c r="C19" s="30">
        <v>1571.9</v>
      </c>
      <c r="D19" s="30">
        <f t="shared" si="0"/>
        <v>118.1</v>
      </c>
      <c r="E19" s="30">
        <v>1.5</v>
      </c>
      <c r="F19" s="30">
        <v>7.5</v>
      </c>
      <c r="G19" s="30">
        <v>109.1</v>
      </c>
      <c r="I19" s="135">
        <v>12155337.300000001</v>
      </c>
      <c r="J19" s="135">
        <v>2240635.5</v>
      </c>
      <c r="K19" s="135">
        <f t="shared" si="1"/>
        <v>439196.4</v>
      </c>
      <c r="L19" s="135">
        <v>27579.1</v>
      </c>
      <c r="M19" s="135">
        <v>125926.9</v>
      </c>
      <c r="N19" s="135">
        <v>285690.40000000002</v>
      </c>
    </row>
    <row r="20" spans="1:14" hidden="1" outlineLevel="1">
      <c r="A20" s="66">
        <v>1977</v>
      </c>
      <c r="B20" s="30">
        <v>7317.4</v>
      </c>
      <c r="C20" s="30">
        <v>1631.2</v>
      </c>
      <c r="D20" s="30">
        <f t="shared" si="0"/>
        <v>123.39999999999999</v>
      </c>
      <c r="E20" s="30">
        <v>2.6</v>
      </c>
      <c r="F20" s="30">
        <v>9</v>
      </c>
      <c r="G20" s="30">
        <v>111.8</v>
      </c>
      <c r="I20" s="135">
        <v>12533529.199999999</v>
      </c>
      <c r="J20" s="135">
        <v>2272005.9</v>
      </c>
      <c r="K20" s="135">
        <f t="shared" si="1"/>
        <v>446833.4</v>
      </c>
      <c r="L20" s="135">
        <v>27892.1</v>
      </c>
      <c r="M20" s="135">
        <v>126874.8</v>
      </c>
      <c r="N20" s="135">
        <v>292066.5</v>
      </c>
    </row>
    <row r="21" spans="1:14" hidden="1" outlineLevel="1">
      <c r="A21" s="66">
        <v>1978</v>
      </c>
      <c r="B21" s="30">
        <v>7754.3</v>
      </c>
      <c r="C21" s="30">
        <v>1690.9</v>
      </c>
      <c r="D21" s="30">
        <f t="shared" si="0"/>
        <v>125.8</v>
      </c>
      <c r="E21" s="30">
        <v>2.9</v>
      </c>
      <c r="F21" s="30">
        <v>9.4</v>
      </c>
      <c r="G21" s="30">
        <v>113.5</v>
      </c>
      <c r="I21" s="135">
        <v>12885750</v>
      </c>
      <c r="J21" s="135">
        <v>2306656.9</v>
      </c>
      <c r="K21" s="135">
        <f t="shared" si="1"/>
        <v>450487.4</v>
      </c>
      <c r="L21" s="135">
        <v>27871</v>
      </c>
      <c r="M21" s="135">
        <v>129104.4</v>
      </c>
      <c r="N21" s="135">
        <v>293512</v>
      </c>
    </row>
    <row r="22" spans="1:14" hidden="1" outlineLevel="1">
      <c r="A22" s="66">
        <v>1979</v>
      </c>
      <c r="B22" s="30">
        <v>8219.7999999999993</v>
      </c>
      <c r="C22" s="30">
        <v>1764.2</v>
      </c>
      <c r="D22" s="30">
        <f t="shared" si="0"/>
        <v>130.19999999999999</v>
      </c>
      <c r="E22" s="30">
        <v>3.3</v>
      </c>
      <c r="F22" s="30">
        <v>9.9</v>
      </c>
      <c r="G22" s="30">
        <v>117</v>
      </c>
      <c r="I22" s="135">
        <v>13279033.4</v>
      </c>
      <c r="J22" s="135">
        <v>2342986.5</v>
      </c>
      <c r="K22" s="135">
        <f t="shared" si="1"/>
        <v>445024.69999999995</v>
      </c>
      <c r="L22" s="135">
        <v>27676.400000000001</v>
      </c>
      <c r="M22" s="135">
        <v>132797</v>
      </c>
      <c r="N22" s="135">
        <v>284551.3</v>
      </c>
    </row>
    <row r="23" spans="1:14" hidden="1" outlineLevel="1">
      <c r="A23" s="66">
        <v>1980</v>
      </c>
      <c r="B23" s="30">
        <v>8785.5</v>
      </c>
      <c r="C23" s="30">
        <v>1880.8</v>
      </c>
      <c r="D23" s="30">
        <f t="shared" si="0"/>
        <v>141</v>
      </c>
      <c r="E23" s="30">
        <v>3.7</v>
      </c>
      <c r="F23" s="30">
        <v>11.5</v>
      </c>
      <c r="G23" s="30">
        <v>125.8</v>
      </c>
      <c r="I23" s="135">
        <v>13803007.4</v>
      </c>
      <c r="J23" s="135">
        <v>2437313.9</v>
      </c>
      <c r="K23" s="135">
        <f t="shared" si="1"/>
        <v>448865.5</v>
      </c>
      <c r="L23" s="135">
        <v>28138.400000000001</v>
      </c>
      <c r="M23" s="135">
        <v>137455.6</v>
      </c>
      <c r="N23" s="135">
        <v>283271.5</v>
      </c>
    </row>
    <row r="24" spans="1:14" collapsed="1">
      <c r="A24" s="66">
        <v>1981</v>
      </c>
      <c r="B24" s="30">
        <v>9464.7999999999993</v>
      </c>
      <c r="C24" s="30">
        <v>2052</v>
      </c>
      <c r="D24" s="30">
        <f t="shared" si="0"/>
        <v>153.6</v>
      </c>
      <c r="E24" s="30">
        <v>4</v>
      </c>
      <c r="F24" s="30">
        <v>13.1</v>
      </c>
      <c r="G24" s="30">
        <v>136.5</v>
      </c>
      <c r="I24" s="135">
        <v>14393387.199999999</v>
      </c>
      <c r="J24" s="135">
        <v>2569058.2000000002</v>
      </c>
      <c r="K24" s="135">
        <f t="shared" si="1"/>
        <v>470524.2</v>
      </c>
      <c r="L24" s="135">
        <v>28779.5</v>
      </c>
      <c r="M24" s="135">
        <v>140807.29999999999</v>
      </c>
      <c r="N24" s="135">
        <v>300937.40000000002</v>
      </c>
    </row>
    <row r="25" spans="1:14">
      <c r="A25" s="66">
        <v>1982</v>
      </c>
      <c r="B25" s="30">
        <v>10119.4</v>
      </c>
      <c r="C25" s="30">
        <v>2209.3000000000002</v>
      </c>
      <c r="D25" s="30">
        <f t="shared" si="0"/>
        <v>163.70000000000002</v>
      </c>
      <c r="E25" s="30">
        <v>4.0999999999999996</v>
      </c>
      <c r="F25" s="30">
        <v>13.8</v>
      </c>
      <c r="G25" s="30">
        <v>145.80000000000001</v>
      </c>
      <c r="I25" s="135">
        <v>14852247.800000001</v>
      </c>
      <c r="J25" s="135">
        <v>2658772.7000000002</v>
      </c>
      <c r="K25" s="135">
        <f t="shared" si="1"/>
        <v>492812.2</v>
      </c>
      <c r="L25" s="135">
        <v>28443</v>
      </c>
      <c r="M25" s="135">
        <v>141811.20000000001</v>
      </c>
      <c r="N25" s="135">
        <v>322558</v>
      </c>
    </row>
    <row r="26" spans="1:14">
      <c r="A26" s="66">
        <v>1983</v>
      </c>
      <c r="B26" s="30">
        <v>10622</v>
      </c>
      <c r="C26" s="30">
        <v>2277.9</v>
      </c>
      <c r="D26" s="30">
        <f t="shared" si="0"/>
        <v>168.20000000000002</v>
      </c>
      <c r="E26" s="30">
        <v>4.2</v>
      </c>
      <c r="F26" s="30">
        <v>14.2</v>
      </c>
      <c r="G26" s="30">
        <v>149.80000000000001</v>
      </c>
      <c r="I26" s="135">
        <v>15122088.300000001</v>
      </c>
      <c r="J26" s="135">
        <v>2653638.2000000002</v>
      </c>
      <c r="K26" s="135">
        <f t="shared" si="1"/>
        <v>492167.3</v>
      </c>
      <c r="L26" s="135">
        <v>27218.799999999999</v>
      </c>
      <c r="M26" s="135">
        <v>139394.70000000001</v>
      </c>
      <c r="N26" s="135">
        <v>325553.8</v>
      </c>
    </row>
    <row r="27" spans="1:14">
      <c r="A27" s="66">
        <v>1984</v>
      </c>
      <c r="B27" s="30">
        <v>11123.8</v>
      </c>
      <c r="C27" s="30">
        <v>2309.6</v>
      </c>
      <c r="D27" s="30">
        <f t="shared" si="0"/>
        <v>172.1</v>
      </c>
      <c r="E27" s="30">
        <v>4.5</v>
      </c>
      <c r="F27" s="30">
        <v>15.1</v>
      </c>
      <c r="G27" s="30">
        <v>152.5</v>
      </c>
      <c r="I27" s="135">
        <v>15382642.1</v>
      </c>
      <c r="J27" s="135">
        <v>2625201.9</v>
      </c>
      <c r="K27" s="135">
        <f t="shared" si="1"/>
        <v>479647.30000000005</v>
      </c>
      <c r="L27" s="135">
        <v>25982.7</v>
      </c>
      <c r="M27" s="135">
        <v>135328.1</v>
      </c>
      <c r="N27" s="135">
        <v>318336.5</v>
      </c>
    </row>
    <row r="28" spans="1:14">
      <c r="A28" s="66">
        <v>1985</v>
      </c>
      <c r="B28" s="30">
        <v>11740.8</v>
      </c>
      <c r="C28" s="30">
        <v>2377.9</v>
      </c>
      <c r="D28" s="30">
        <f t="shared" si="0"/>
        <v>180.2</v>
      </c>
      <c r="E28" s="30">
        <v>4.9000000000000004</v>
      </c>
      <c r="F28" s="30">
        <v>16.100000000000001</v>
      </c>
      <c r="G28" s="30">
        <v>159.19999999999999</v>
      </c>
      <c r="I28" s="135">
        <v>15781069.300000001</v>
      </c>
      <c r="J28" s="135">
        <v>2674851.2000000002</v>
      </c>
      <c r="K28" s="135">
        <f t="shared" si="1"/>
        <v>474686.79999999993</v>
      </c>
      <c r="L28" s="135">
        <v>24914.3</v>
      </c>
      <c r="M28" s="135">
        <v>131856.9</v>
      </c>
      <c r="N28" s="135">
        <v>317915.59999999998</v>
      </c>
    </row>
    <row r="29" spans="1:14">
      <c r="A29" s="66">
        <v>1986</v>
      </c>
      <c r="B29" s="30">
        <v>12336.3</v>
      </c>
      <c r="C29" s="30">
        <v>2488.6</v>
      </c>
      <c r="D29" s="30">
        <f t="shared" si="0"/>
        <v>189.9</v>
      </c>
      <c r="E29" s="30">
        <v>5.2</v>
      </c>
      <c r="F29" s="30">
        <v>17.7</v>
      </c>
      <c r="G29" s="30">
        <v>167</v>
      </c>
      <c r="I29" s="135">
        <v>16279941.5</v>
      </c>
      <c r="J29" s="135">
        <v>2758356.9</v>
      </c>
      <c r="K29" s="135">
        <f t="shared" si="1"/>
        <v>474668.1</v>
      </c>
      <c r="L29" s="135">
        <v>23734</v>
      </c>
      <c r="M29" s="135">
        <v>130263.1</v>
      </c>
      <c r="N29" s="135">
        <v>320671</v>
      </c>
    </row>
    <row r="30" spans="1:14">
      <c r="A30" s="66">
        <v>1987</v>
      </c>
      <c r="B30" s="30">
        <v>12858</v>
      </c>
      <c r="C30" s="30">
        <v>2581.8000000000002</v>
      </c>
      <c r="D30" s="30">
        <f t="shared" si="0"/>
        <v>200.6</v>
      </c>
      <c r="E30" s="30">
        <v>5.6</v>
      </c>
      <c r="F30" s="30">
        <v>20.5</v>
      </c>
      <c r="G30" s="30">
        <v>174.5</v>
      </c>
      <c r="I30" s="135">
        <v>16838894.899999999</v>
      </c>
      <c r="J30" s="135">
        <v>2818706.2</v>
      </c>
      <c r="K30" s="135">
        <f t="shared" si="1"/>
        <v>476224.9</v>
      </c>
      <c r="L30" s="135">
        <v>22553.5</v>
      </c>
      <c r="M30" s="135">
        <v>133337.20000000001</v>
      </c>
      <c r="N30" s="135">
        <v>320334.2</v>
      </c>
    </row>
    <row r="31" spans="1:14">
      <c r="A31" s="66">
        <v>1988</v>
      </c>
      <c r="B31" s="30">
        <v>13505.1</v>
      </c>
      <c r="C31" s="30">
        <v>2652.7</v>
      </c>
      <c r="D31" s="30">
        <f t="shared" si="0"/>
        <v>215.3</v>
      </c>
      <c r="E31" s="30">
        <v>6.3</v>
      </c>
      <c r="F31" s="30">
        <v>24.7</v>
      </c>
      <c r="G31" s="30">
        <v>184.3</v>
      </c>
      <c r="I31" s="135">
        <v>17509825.399999999</v>
      </c>
      <c r="J31" s="135">
        <v>2886160.1</v>
      </c>
      <c r="K31" s="135">
        <f t="shared" si="1"/>
        <v>499768.6</v>
      </c>
      <c r="L31" s="135">
        <v>21676.9</v>
      </c>
      <c r="M31" s="135">
        <v>141779.1</v>
      </c>
      <c r="N31" s="135">
        <v>336312.6</v>
      </c>
    </row>
    <row r="32" spans="1:14">
      <c r="A32" s="66">
        <v>1989</v>
      </c>
      <c r="B32" s="30">
        <v>14210.3</v>
      </c>
      <c r="C32" s="30">
        <v>2741.5</v>
      </c>
      <c r="D32" s="30">
        <f t="shared" si="0"/>
        <v>235.5</v>
      </c>
      <c r="E32" s="30">
        <v>7</v>
      </c>
      <c r="F32" s="30">
        <v>27.4</v>
      </c>
      <c r="G32" s="30">
        <v>201.1</v>
      </c>
      <c r="I32" s="135">
        <v>18277334.5</v>
      </c>
      <c r="J32" s="135">
        <v>2992811.5</v>
      </c>
      <c r="K32" s="135">
        <f t="shared" si="1"/>
        <v>560035.4</v>
      </c>
      <c r="L32" s="135">
        <v>20796.900000000001</v>
      </c>
      <c r="M32" s="135">
        <v>153918.6</v>
      </c>
      <c r="N32" s="135">
        <v>385319.9</v>
      </c>
    </row>
    <row r="33" spans="1:14">
      <c r="A33" s="66">
        <v>1990</v>
      </c>
      <c r="B33" s="30">
        <v>14910.3</v>
      </c>
      <c r="C33" s="30">
        <v>2873.3</v>
      </c>
      <c r="D33" s="30">
        <f t="shared" si="0"/>
        <v>255.6</v>
      </c>
      <c r="E33" s="30">
        <v>7.6</v>
      </c>
      <c r="F33" s="30">
        <v>27.4</v>
      </c>
      <c r="G33" s="30">
        <v>220.6</v>
      </c>
      <c r="I33" s="135">
        <v>19047229.199999999</v>
      </c>
      <c r="J33" s="135">
        <v>3111952.3</v>
      </c>
      <c r="K33" s="135">
        <f t="shared" si="1"/>
        <v>606938.5</v>
      </c>
      <c r="L33" s="135">
        <v>19943.5</v>
      </c>
      <c r="M33" s="135">
        <v>161700.79999999999</v>
      </c>
      <c r="N33" s="135">
        <v>425294.2</v>
      </c>
    </row>
    <row r="34" spans="1:14">
      <c r="A34" s="66">
        <v>1991</v>
      </c>
      <c r="B34" s="30">
        <v>15630</v>
      </c>
      <c r="C34" s="30">
        <v>3033.8</v>
      </c>
      <c r="D34" s="30">
        <f t="shared" si="0"/>
        <v>266.60000000000002</v>
      </c>
      <c r="E34" s="30">
        <v>7.7</v>
      </c>
      <c r="F34" s="30">
        <v>26.9</v>
      </c>
      <c r="G34" s="30">
        <v>232</v>
      </c>
      <c r="I34" s="135">
        <v>19643752.399999999</v>
      </c>
      <c r="J34" s="135">
        <v>3173533.8</v>
      </c>
      <c r="K34" s="135">
        <f t="shared" si="1"/>
        <v>628264.39999999991</v>
      </c>
      <c r="L34" s="135">
        <v>19151.900000000001</v>
      </c>
      <c r="M34" s="135">
        <v>162879.4</v>
      </c>
      <c r="N34" s="135">
        <v>446233.1</v>
      </c>
    </row>
    <row r="35" spans="1:14">
      <c r="A35" s="66">
        <v>1992</v>
      </c>
      <c r="B35" s="30">
        <v>16247.8</v>
      </c>
      <c r="C35" s="30">
        <v>3178.2</v>
      </c>
      <c r="D35" s="30">
        <f t="shared" si="0"/>
        <v>269.89999999999998</v>
      </c>
      <c r="E35" s="30">
        <v>7.8</v>
      </c>
      <c r="F35" s="30">
        <v>27.6</v>
      </c>
      <c r="G35" s="30">
        <v>234.5</v>
      </c>
      <c r="I35" s="135">
        <v>19983303.199999999</v>
      </c>
      <c r="J35" s="135">
        <v>3157174.5</v>
      </c>
      <c r="K35" s="135">
        <f t="shared" si="1"/>
        <v>654599.1</v>
      </c>
      <c r="L35" s="135">
        <v>18284.7</v>
      </c>
      <c r="M35" s="135">
        <v>164223.79999999999</v>
      </c>
      <c r="N35" s="135">
        <v>472090.6</v>
      </c>
    </row>
    <row r="36" spans="1:14">
      <c r="A36" s="66">
        <v>1993</v>
      </c>
      <c r="B36" s="30">
        <v>16975.099999999999</v>
      </c>
      <c r="C36" s="30">
        <v>3322.6</v>
      </c>
      <c r="D36" s="30">
        <f t="shared" si="0"/>
        <v>272.7</v>
      </c>
      <c r="E36" s="30">
        <v>8.1999999999999993</v>
      </c>
      <c r="F36" s="30">
        <v>31.9</v>
      </c>
      <c r="G36" s="30">
        <v>232.6</v>
      </c>
      <c r="I36" s="135">
        <v>20162539.100000001</v>
      </c>
      <c r="J36" s="135">
        <v>3092462.8</v>
      </c>
      <c r="K36" s="135">
        <f t="shared" si="1"/>
        <v>666744.80000000005</v>
      </c>
      <c r="L36" s="135">
        <v>17371</v>
      </c>
      <c r="M36" s="135">
        <v>166276.79999999999</v>
      </c>
      <c r="N36" s="135">
        <v>483097</v>
      </c>
    </row>
    <row r="37" spans="1:14">
      <c r="A37" s="66">
        <v>1994</v>
      </c>
      <c r="B37" s="30">
        <v>18060.7</v>
      </c>
      <c r="C37" s="30">
        <v>3503.9</v>
      </c>
      <c r="D37" s="30">
        <f t="shared" si="0"/>
        <v>280.7</v>
      </c>
      <c r="E37" s="30">
        <v>9.4</v>
      </c>
      <c r="F37" s="30">
        <v>40.799999999999997</v>
      </c>
      <c r="G37" s="30">
        <v>230.5</v>
      </c>
      <c r="I37" s="135">
        <v>20355430.300000001</v>
      </c>
      <c r="J37" s="135">
        <v>3054198</v>
      </c>
      <c r="K37" s="135">
        <f t="shared" si="1"/>
        <v>663092.30000000005</v>
      </c>
      <c r="L37" s="135">
        <v>16554.599999999999</v>
      </c>
      <c r="M37" s="135">
        <v>171948</v>
      </c>
      <c r="N37" s="135">
        <v>474589.7</v>
      </c>
    </row>
    <row r="38" spans="1:14">
      <c r="A38" s="66">
        <v>1995</v>
      </c>
      <c r="B38" s="30">
        <v>19244.900000000001</v>
      </c>
      <c r="C38" s="30">
        <v>3716.8</v>
      </c>
      <c r="D38" s="30">
        <f t="shared" si="0"/>
        <v>304.60000000000002</v>
      </c>
      <c r="E38" s="30">
        <v>11.6</v>
      </c>
      <c r="F38" s="30">
        <v>53.7</v>
      </c>
      <c r="G38" s="30">
        <v>239.3</v>
      </c>
      <c r="I38" s="135">
        <v>20585438.899999999</v>
      </c>
      <c r="J38" s="135">
        <v>3070424.9</v>
      </c>
      <c r="K38" s="135">
        <f t="shared" si="1"/>
        <v>687847.3</v>
      </c>
      <c r="L38" s="135">
        <v>15832.8</v>
      </c>
      <c r="M38" s="135">
        <v>183192.3</v>
      </c>
      <c r="N38" s="135">
        <v>488822.2</v>
      </c>
    </row>
    <row r="39" spans="1:14">
      <c r="A39" s="66">
        <v>1996</v>
      </c>
      <c r="B39" s="30">
        <v>20323.8</v>
      </c>
      <c r="C39" s="30">
        <v>3929.6</v>
      </c>
      <c r="D39" s="30">
        <f t="shared" si="0"/>
        <v>334</v>
      </c>
      <c r="E39" s="30">
        <v>13.6</v>
      </c>
      <c r="F39" s="30">
        <v>64.2</v>
      </c>
      <c r="G39" s="30">
        <v>256.2</v>
      </c>
      <c r="I39" s="135">
        <v>20860782.899999999</v>
      </c>
      <c r="J39" s="135">
        <v>3144839.6</v>
      </c>
      <c r="K39" s="135">
        <f t="shared" si="1"/>
        <v>724673.8</v>
      </c>
      <c r="L39" s="135">
        <v>14978.6</v>
      </c>
      <c r="M39" s="135">
        <v>193363.1</v>
      </c>
      <c r="N39" s="135">
        <v>516332.1</v>
      </c>
    </row>
    <row r="40" spans="1:14">
      <c r="A40" s="66">
        <v>1997</v>
      </c>
      <c r="B40" s="30">
        <v>21496.3</v>
      </c>
      <c r="C40" s="30">
        <v>4083.2</v>
      </c>
      <c r="D40" s="30">
        <f t="shared" si="0"/>
        <v>342.8</v>
      </c>
      <c r="E40" s="30">
        <v>14.3</v>
      </c>
      <c r="F40" s="30">
        <v>68.7</v>
      </c>
      <c r="G40" s="30">
        <v>259.8</v>
      </c>
      <c r="I40" s="135">
        <v>21323198.399999999</v>
      </c>
      <c r="J40" s="135">
        <v>3260708</v>
      </c>
      <c r="K40" s="135">
        <f t="shared" si="1"/>
        <v>735843.9</v>
      </c>
      <c r="L40" s="135">
        <v>14106.9</v>
      </c>
      <c r="M40" s="135">
        <v>203964.2</v>
      </c>
      <c r="N40" s="135">
        <v>517772.79999999999</v>
      </c>
    </row>
    <row r="41" spans="1:14">
      <c r="A41" s="66">
        <v>1998</v>
      </c>
      <c r="B41" s="30">
        <v>22984.9</v>
      </c>
      <c r="C41" s="30">
        <v>4226.8</v>
      </c>
      <c r="D41" s="30">
        <f t="shared" si="0"/>
        <v>343.8</v>
      </c>
      <c r="E41" s="30">
        <v>14.6</v>
      </c>
      <c r="F41" s="30">
        <v>72.400000000000006</v>
      </c>
      <c r="G41" s="30">
        <v>256.8</v>
      </c>
      <c r="I41" s="135">
        <v>21828799.300000001</v>
      </c>
      <c r="J41" s="135">
        <v>3331457.5</v>
      </c>
      <c r="K41" s="135">
        <f t="shared" si="1"/>
        <v>724386.2</v>
      </c>
      <c r="L41" s="135">
        <v>13390.1</v>
      </c>
      <c r="M41" s="135">
        <v>212448.6</v>
      </c>
      <c r="N41" s="135">
        <v>498547.5</v>
      </c>
    </row>
    <row r="42" spans="1:14">
      <c r="A42" s="66">
        <v>1999</v>
      </c>
      <c r="B42" s="30">
        <v>24670.2</v>
      </c>
      <c r="C42" s="30">
        <v>4412.8</v>
      </c>
      <c r="D42" s="30">
        <f t="shared" si="0"/>
        <v>349.3</v>
      </c>
      <c r="E42" s="30">
        <v>17.399999999999999</v>
      </c>
      <c r="F42" s="30">
        <v>75.8</v>
      </c>
      <c r="G42" s="30">
        <v>256.10000000000002</v>
      </c>
      <c r="I42" s="135">
        <v>22309112.199999999</v>
      </c>
      <c r="J42" s="135">
        <v>3372825.4</v>
      </c>
      <c r="K42" s="135">
        <f t="shared" si="1"/>
        <v>703053.3</v>
      </c>
      <c r="L42" s="135">
        <v>12892.1</v>
      </c>
      <c r="M42" s="135">
        <v>217708.79999999999</v>
      </c>
      <c r="N42" s="135">
        <v>472452.4</v>
      </c>
    </row>
    <row r="43" spans="1:14">
      <c r="A43" s="66">
        <v>2000</v>
      </c>
      <c r="B43" s="30">
        <v>26487.200000000001</v>
      </c>
      <c r="C43" s="30">
        <v>4678.3999999999996</v>
      </c>
      <c r="D43" s="30">
        <f t="shared" si="0"/>
        <v>371.3</v>
      </c>
      <c r="E43" s="30">
        <v>19.8</v>
      </c>
      <c r="F43" s="30">
        <v>78</v>
      </c>
      <c r="G43" s="30">
        <v>273.5</v>
      </c>
      <c r="I43" s="135">
        <v>22740165.5</v>
      </c>
      <c r="J43" s="135">
        <v>3431622.7</v>
      </c>
      <c r="K43" s="135">
        <f t="shared" si="1"/>
        <v>697953.7</v>
      </c>
      <c r="L43" s="135">
        <v>12495.4</v>
      </c>
      <c r="M43" s="135">
        <v>225713.5</v>
      </c>
      <c r="N43" s="135">
        <v>459744.8</v>
      </c>
    </row>
    <row r="44" spans="1:14">
      <c r="A44" s="66">
        <v>2001</v>
      </c>
      <c r="B44" s="30">
        <v>28661.1</v>
      </c>
      <c r="C44" s="30">
        <v>5131.3999999999996</v>
      </c>
      <c r="D44" s="30">
        <f t="shared" si="0"/>
        <v>423</v>
      </c>
      <c r="E44" s="30">
        <v>19.899999999999999</v>
      </c>
      <c r="F44" s="30">
        <v>80</v>
      </c>
      <c r="G44" s="30">
        <v>323.10000000000002</v>
      </c>
      <c r="I44" s="135">
        <v>23095901.600000001</v>
      </c>
      <c r="J44" s="135">
        <v>3448169.4</v>
      </c>
      <c r="K44" s="135">
        <f t="shared" si="1"/>
        <v>683948.8</v>
      </c>
      <c r="L44" s="135">
        <v>12010.4</v>
      </c>
      <c r="M44" s="135">
        <v>225254.39999999999</v>
      </c>
      <c r="N44" s="135">
        <v>446684</v>
      </c>
    </row>
    <row r="45" spans="1:14">
      <c r="A45" s="66">
        <v>2002</v>
      </c>
      <c r="B45" s="30">
        <v>30652.6</v>
      </c>
      <c r="C45" s="30">
        <v>5659.1</v>
      </c>
      <c r="D45" s="30">
        <f t="shared" si="0"/>
        <v>479.09999999999997</v>
      </c>
      <c r="E45" s="30">
        <v>20.9</v>
      </c>
      <c r="F45" s="30">
        <v>83.8</v>
      </c>
      <c r="G45" s="30">
        <v>374.4</v>
      </c>
      <c r="I45" s="135">
        <v>23457946.699999999</v>
      </c>
      <c r="J45" s="135">
        <v>3394542</v>
      </c>
      <c r="K45" s="135">
        <f t="shared" si="1"/>
        <v>646709.79999999993</v>
      </c>
      <c r="L45" s="135">
        <v>12066.9</v>
      </c>
      <c r="M45" s="135">
        <v>214558.3</v>
      </c>
      <c r="N45" s="135">
        <v>420084.6</v>
      </c>
    </row>
    <row r="46" spans="1:14">
      <c r="A46" s="66">
        <v>2003</v>
      </c>
      <c r="B46" s="30">
        <v>32443.9</v>
      </c>
      <c r="C46" s="30">
        <v>6115.8</v>
      </c>
      <c r="D46" s="30">
        <f t="shared" si="0"/>
        <v>524.6</v>
      </c>
      <c r="E46" s="30">
        <v>22.1</v>
      </c>
      <c r="F46" s="30">
        <v>89.2</v>
      </c>
      <c r="G46" s="30">
        <v>413.3</v>
      </c>
      <c r="I46" s="135">
        <v>23748830.899999999</v>
      </c>
      <c r="J46" s="135">
        <v>3310310.2</v>
      </c>
      <c r="K46" s="135">
        <f t="shared" si="1"/>
        <v>610230.30000000005</v>
      </c>
      <c r="L46" s="135">
        <v>12316.4</v>
      </c>
      <c r="M46" s="135">
        <v>204890.7</v>
      </c>
      <c r="N46" s="135">
        <v>393023.2</v>
      </c>
    </row>
    <row r="47" spans="1:14">
      <c r="A47" s="66">
        <v>2004</v>
      </c>
      <c r="B47" s="30">
        <v>34599.9</v>
      </c>
      <c r="C47" s="30">
        <v>6508.8</v>
      </c>
      <c r="D47" s="30">
        <f t="shared" si="0"/>
        <v>571.79999999999995</v>
      </c>
      <c r="E47" s="30">
        <v>22.3</v>
      </c>
      <c r="F47" s="30">
        <v>98.8</v>
      </c>
      <c r="G47" s="30">
        <v>450.7</v>
      </c>
      <c r="I47" s="135">
        <v>24018670.899999999</v>
      </c>
      <c r="J47" s="135">
        <v>3207459.5</v>
      </c>
      <c r="K47" s="135">
        <f t="shared" si="1"/>
        <v>584257</v>
      </c>
      <c r="L47" s="135">
        <v>12814.7</v>
      </c>
      <c r="M47" s="135">
        <v>199190.39999999999</v>
      </c>
      <c r="N47" s="135">
        <v>372251.9</v>
      </c>
    </row>
    <row r="48" spans="1:14">
      <c r="A48" s="66">
        <v>2005</v>
      </c>
      <c r="B48" s="30">
        <v>37290.400000000001</v>
      </c>
      <c r="C48" s="30">
        <v>6848.1</v>
      </c>
      <c r="D48" s="30">
        <f t="shared" si="0"/>
        <v>616.6</v>
      </c>
      <c r="E48" s="30">
        <v>21</v>
      </c>
      <c r="F48" s="30">
        <v>119.5</v>
      </c>
      <c r="G48" s="30">
        <v>476.1</v>
      </c>
      <c r="I48" s="135">
        <v>24287741.5</v>
      </c>
      <c r="J48" s="135">
        <v>3082815.5</v>
      </c>
      <c r="K48" s="135">
        <f t="shared" si="1"/>
        <v>561648.6</v>
      </c>
      <c r="L48" s="135">
        <v>13408.6</v>
      </c>
      <c r="M48" s="135">
        <v>197782.9</v>
      </c>
      <c r="N48" s="135">
        <v>350457.1</v>
      </c>
    </row>
    <row r="49" spans="1:14">
      <c r="A49" s="66">
        <v>2006</v>
      </c>
      <c r="B49" s="30">
        <v>40053.9</v>
      </c>
      <c r="C49" s="30">
        <v>7079.7</v>
      </c>
      <c r="D49" s="30">
        <f t="shared" si="0"/>
        <v>643.40000000000009</v>
      </c>
      <c r="E49" s="30">
        <v>19.3</v>
      </c>
      <c r="F49" s="30">
        <v>138.5</v>
      </c>
      <c r="G49" s="30">
        <v>485.6</v>
      </c>
      <c r="I49" s="135">
        <v>24554695</v>
      </c>
      <c r="J49" s="135">
        <v>2950357.4</v>
      </c>
      <c r="K49" s="135">
        <f t="shared" si="1"/>
        <v>531258.69999999995</v>
      </c>
      <c r="L49" s="135">
        <v>13350.6</v>
      </c>
      <c r="M49" s="135">
        <v>195139</v>
      </c>
      <c r="N49" s="135">
        <v>322769.09999999998</v>
      </c>
    </row>
    <row r="50" spans="1:14">
      <c r="A50" s="66">
        <v>2007</v>
      </c>
      <c r="B50" s="30">
        <v>42299.6</v>
      </c>
      <c r="C50" s="30">
        <v>7188.6</v>
      </c>
      <c r="D50" s="30">
        <f t="shared" si="0"/>
        <v>654</v>
      </c>
      <c r="E50" s="30">
        <v>20.9</v>
      </c>
      <c r="F50" s="30">
        <v>147.80000000000001</v>
      </c>
      <c r="G50" s="30">
        <v>485.3</v>
      </c>
      <c r="I50" s="135">
        <v>24879605.899999999</v>
      </c>
      <c r="J50" s="135">
        <v>2822764</v>
      </c>
      <c r="K50" s="135">
        <f t="shared" si="1"/>
        <v>497477.69999999995</v>
      </c>
      <c r="L50" s="135">
        <v>13234.9</v>
      </c>
      <c r="M50" s="135">
        <v>187958.8</v>
      </c>
      <c r="N50" s="135">
        <v>296284</v>
      </c>
    </row>
    <row r="51" spans="1:14">
      <c r="A51" s="66">
        <v>2008</v>
      </c>
      <c r="B51" s="30">
        <v>44655.9</v>
      </c>
      <c r="C51" s="30">
        <v>7205</v>
      </c>
      <c r="D51" s="30">
        <f t="shared" si="0"/>
        <v>654.1</v>
      </c>
      <c r="E51" s="30">
        <v>24.9</v>
      </c>
      <c r="F51" s="30">
        <v>160.5</v>
      </c>
      <c r="G51" s="30">
        <v>468.7</v>
      </c>
    </row>
    <row r="52" spans="1:14">
      <c r="A52" s="66">
        <v>2009</v>
      </c>
      <c r="B52" s="30">
        <v>45706.9</v>
      </c>
      <c r="C52" s="30">
        <v>7060</v>
      </c>
      <c r="D52" s="30">
        <f t="shared" si="0"/>
        <v>622.70000000000005</v>
      </c>
      <c r="E52" s="30">
        <v>24.8</v>
      </c>
      <c r="F52" s="30">
        <v>170.2</v>
      </c>
      <c r="G52" s="30">
        <v>427.7</v>
      </c>
    </row>
    <row r="53" spans="1:14">
      <c r="A53" s="66">
        <v>2010</v>
      </c>
      <c r="B53" s="30">
        <v>46059.6</v>
      </c>
      <c r="C53" s="30">
        <v>6833.2</v>
      </c>
      <c r="D53" s="30">
        <f t="shared" si="0"/>
        <v>571.9</v>
      </c>
      <c r="E53" s="30">
        <v>23.7</v>
      </c>
      <c r="F53" s="30">
        <v>168.8</v>
      </c>
      <c r="G53" s="30">
        <v>379.4</v>
      </c>
    </row>
    <row r="54" spans="1:14">
      <c r="A54" s="66">
        <v>2011</v>
      </c>
      <c r="B54" s="30">
        <v>47001.8</v>
      </c>
      <c r="C54" s="30">
        <v>6766.2</v>
      </c>
      <c r="D54" s="30">
        <f t="shared" si="0"/>
        <v>550.79999999999995</v>
      </c>
      <c r="E54" s="30">
        <v>24.6</v>
      </c>
      <c r="F54" s="30">
        <v>168.8</v>
      </c>
      <c r="G54" s="30">
        <v>357.4</v>
      </c>
    </row>
    <row r="55" spans="1:14">
      <c r="A55" s="66">
        <v>2012</v>
      </c>
      <c r="B55" s="30">
        <v>48124.4</v>
      </c>
      <c r="C55" s="30">
        <v>6837.3</v>
      </c>
      <c r="D55" s="30">
        <f t="shared" si="0"/>
        <v>559.70000000000005</v>
      </c>
      <c r="E55" s="30">
        <v>24.1</v>
      </c>
      <c r="F55" s="30">
        <v>178.9</v>
      </c>
      <c r="G55" s="30">
        <v>356.7</v>
      </c>
    </row>
    <row r="57" spans="1:14">
      <c r="A57" s="66" t="s">
        <v>23</v>
      </c>
      <c r="B57" s="56"/>
      <c r="C57" s="56"/>
    </row>
    <row r="58" spans="1:14">
      <c r="A58" s="69" t="s">
        <v>2121</v>
      </c>
      <c r="B58" s="147">
        <f>((B55/B4)^(1/51)-1)*100</f>
        <v>8.4959493526417731</v>
      </c>
      <c r="C58" s="147">
        <f t="shared" ref="C58:G58" si="2">((C55/C4)^(1/51)-1)*100</f>
        <v>8.7509022098813727</v>
      </c>
      <c r="D58" s="147">
        <f t="shared" si="2"/>
        <v>8.1488543449183872</v>
      </c>
      <c r="E58" s="147" t="s">
        <v>22</v>
      </c>
      <c r="F58" s="147">
        <f t="shared" si="2"/>
        <v>15.818163284732423</v>
      </c>
      <c r="G58" s="147">
        <f t="shared" si="2"/>
        <v>7.2182427397751825</v>
      </c>
    </row>
    <row r="59" spans="1:14">
      <c r="A59" s="68" t="s">
        <v>1031</v>
      </c>
      <c r="B59" s="147">
        <f t="shared" ref="B59:G59" si="3">((B16/B4)^(1/12)-1)*100</f>
        <v>19.239773855929656</v>
      </c>
      <c r="C59" s="147">
        <f t="shared" si="3"/>
        <v>25.857724213765376</v>
      </c>
      <c r="D59" s="147">
        <f t="shared" si="3"/>
        <v>22.481145477329999</v>
      </c>
      <c r="E59" s="147" t="s">
        <v>22</v>
      </c>
      <c r="F59" s="147">
        <f t="shared" si="3"/>
        <v>40.856692460839916</v>
      </c>
      <c r="G59" s="147">
        <f t="shared" si="3"/>
        <v>22.000313836498808</v>
      </c>
    </row>
    <row r="60" spans="1:14">
      <c r="A60" s="68" t="s">
        <v>1032</v>
      </c>
      <c r="B60" s="147">
        <f t="shared" ref="B60:G60" si="4">((B24/B16)^(1/8)-1)*100</f>
        <v>5.4017365169648279</v>
      </c>
      <c r="C60" s="147">
        <f t="shared" si="4"/>
        <v>4.0162794979840211</v>
      </c>
      <c r="D60" s="147">
        <f t="shared" si="4"/>
        <v>3.4166319948317536</v>
      </c>
      <c r="E60" s="147">
        <f t="shared" si="4"/>
        <v>33.352143216332394</v>
      </c>
      <c r="F60" s="147">
        <f t="shared" si="4"/>
        <v>10.025330699274516</v>
      </c>
      <c r="G60" s="147">
        <f t="shared" si="4"/>
        <v>2.6301912372311387</v>
      </c>
    </row>
    <row r="61" spans="1:14">
      <c r="A61" s="68" t="s">
        <v>25</v>
      </c>
      <c r="B61" s="147">
        <f t="shared" ref="B61:G61" si="5">((B32/B24)^(1/8)-1)*100</f>
        <v>5.211079265037255</v>
      </c>
      <c r="C61" s="147">
        <f t="shared" si="5"/>
        <v>3.6874900570544433</v>
      </c>
      <c r="D61" s="147">
        <f t="shared" si="5"/>
        <v>5.4872478953947201</v>
      </c>
      <c r="E61" s="147">
        <f t="shared" si="5"/>
        <v>7.245667366826658</v>
      </c>
      <c r="F61" s="147">
        <f t="shared" si="5"/>
        <v>9.662945936000833</v>
      </c>
      <c r="G61" s="147">
        <f t="shared" si="5"/>
        <v>4.9626839729321137</v>
      </c>
    </row>
    <row r="62" spans="1:14">
      <c r="A62" s="68" t="s">
        <v>26</v>
      </c>
      <c r="B62" s="147">
        <f t="shared" ref="B62:G62" si="6">((B43/B32)^(1/11)-1)*100</f>
        <v>5.8241528169860501</v>
      </c>
      <c r="C62" s="147">
        <f t="shared" si="6"/>
        <v>4.9786122410902189</v>
      </c>
      <c r="D62" s="147">
        <f t="shared" si="6"/>
        <v>4.2259402289579029</v>
      </c>
      <c r="E62" s="147">
        <f t="shared" si="6"/>
        <v>9.9136320322157587</v>
      </c>
      <c r="F62" s="147">
        <f t="shared" si="6"/>
        <v>9.9775406476216624</v>
      </c>
      <c r="G62" s="147">
        <f t="shared" si="6"/>
        <v>2.8348877129989347</v>
      </c>
    </row>
    <row r="63" spans="1:14">
      <c r="A63" s="69" t="s">
        <v>2028</v>
      </c>
      <c r="B63" s="147">
        <f>((B55/B43)^(1/12)-1)*100</f>
        <v>5.101949840529274</v>
      </c>
      <c r="C63" s="147">
        <f t="shared" ref="C63:G63" si="7">((C55/C43)^(1/12)-1)*100</f>
        <v>3.2124943290282593</v>
      </c>
      <c r="D63" s="147">
        <f t="shared" si="7"/>
        <v>3.4790730713364804</v>
      </c>
      <c r="E63" s="147">
        <f t="shared" si="7"/>
        <v>1.6512338162212759</v>
      </c>
      <c r="F63" s="147">
        <f t="shared" si="7"/>
        <v>7.1625348958992863</v>
      </c>
      <c r="G63" s="147">
        <f t="shared" si="7"/>
        <v>2.2379536426539115</v>
      </c>
    </row>
    <row r="65" spans="1:1">
      <c r="A65" s="64" t="s">
        <v>1813</v>
      </c>
    </row>
    <row r="66" spans="1:1">
      <c r="A66" s="195" t="s">
        <v>1341</v>
      </c>
    </row>
  </sheetData>
  <mergeCells count="7">
    <mergeCell ref="K2:N2"/>
    <mergeCell ref="A1:G1"/>
    <mergeCell ref="B2:B3"/>
    <mergeCell ref="C2:C3"/>
    <mergeCell ref="D2:G2"/>
    <mergeCell ref="I2:I3"/>
    <mergeCell ref="J2:J3"/>
  </mergeCells>
  <pageMargins left="0.7" right="0.7" top="0.75" bottom="0.75" header="0.3" footer="0.3"/>
  <pageSetup scale="91" orientation="portrait" horizontalDpi="0" verticalDpi="0" r:id="rId1"/>
</worksheet>
</file>

<file path=xl/worksheets/sheet79.xml><?xml version="1.0" encoding="utf-8"?>
<worksheet xmlns="http://schemas.openxmlformats.org/spreadsheetml/2006/main" xmlns:r="http://schemas.openxmlformats.org/officeDocument/2006/relationships">
  <sheetPr codeName="Sheet73"/>
  <dimension ref="A1:H66"/>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1.5703125" style="64" customWidth="1"/>
    <col min="2" max="3" width="14.140625" style="135" customWidth="1"/>
    <col min="4" max="4" width="16" style="135" customWidth="1"/>
    <col min="5" max="5" width="11.28515625" style="135" customWidth="1"/>
    <col min="6" max="6" width="15.140625" style="135" customWidth="1"/>
    <col min="7" max="7" width="14.140625" style="135" customWidth="1"/>
    <col min="8" max="8" width="9.140625" style="135"/>
    <col min="9" max="16384" width="9.140625" style="64"/>
  </cols>
  <sheetData>
    <row r="1" spans="1:7" ht="30" customHeight="1">
      <c r="A1" s="93" t="s">
        <v>2066</v>
      </c>
      <c r="B1" s="93"/>
      <c r="C1" s="93"/>
      <c r="D1" s="93"/>
      <c r="E1" s="93"/>
      <c r="F1" s="93"/>
      <c r="G1" s="93"/>
    </row>
    <row r="2" spans="1:7" ht="15" customHeight="1">
      <c r="B2" s="123" t="s">
        <v>673</v>
      </c>
      <c r="C2" s="123" t="s">
        <v>938</v>
      </c>
      <c r="D2" s="159" t="s">
        <v>37</v>
      </c>
      <c r="E2" s="160"/>
      <c r="F2" s="160"/>
      <c r="G2" s="161"/>
    </row>
    <row r="3" spans="1:7" ht="60">
      <c r="B3" s="126"/>
      <c r="C3" s="126"/>
      <c r="D3" s="72" t="s">
        <v>78</v>
      </c>
      <c r="E3" s="72" t="s">
        <v>750</v>
      </c>
      <c r="F3" s="72" t="s">
        <v>745</v>
      </c>
      <c r="G3" s="72" t="s">
        <v>678</v>
      </c>
    </row>
    <row r="4" spans="1:7">
      <c r="A4" s="66">
        <v>1961</v>
      </c>
      <c r="B4" s="30">
        <f>'10'!B4-'10j'!B4</f>
        <v>19242.500000000004</v>
      </c>
      <c r="C4" s="30">
        <f>'10'!C4-'10j'!C4</f>
        <v>1008.6000000000004</v>
      </c>
      <c r="D4" s="30">
        <f>'10'!D4-'10j'!D4</f>
        <v>231.90000000000009</v>
      </c>
      <c r="E4" s="30">
        <f>'10'!E4-'10j'!E4</f>
        <v>64.399999999999977</v>
      </c>
      <c r="F4" s="30">
        <f>'10'!F4-'10j'!F4</f>
        <v>30.399999999999977</v>
      </c>
      <c r="G4" s="30">
        <f>'10'!G4-'10j'!G4</f>
        <v>137.10000000000002</v>
      </c>
    </row>
    <row r="5" spans="1:7" hidden="1" outlineLevel="1">
      <c r="A5" s="66">
        <v>1962</v>
      </c>
      <c r="B5" s="30">
        <f>'10'!B5-'10j'!B5</f>
        <v>19507.199999999997</v>
      </c>
      <c r="C5" s="30">
        <f>'10'!C5-'10j'!C5</f>
        <v>2007.9999999999991</v>
      </c>
      <c r="D5" s="30">
        <f>'10'!D5-'10j'!D5</f>
        <v>301.70000000000005</v>
      </c>
      <c r="E5" s="30">
        <f>'10'!E5-'10j'!E5</f>
        <v>80.5</v>
      </c>
      <c r="F5" s="30">
        <f>'10'!F5-'10j'!F5</f>
        <v>-3.6000000000000227</v>
      </c>
      <c r="G5" s="30">
        <f>'10'!G5-'10j'!G5</f>
        <v>224.79999999999995</v>
      </c>
    </row>
    <row r="6" spans="1:7" hidden="1" outlineLevel="1">
      <c r="A6" s="66">
        <v>1963</v>
      </c>
      <c r="B6" s="30">
        <f>'10'!B6-'10j'!B6</f>
        <v>19666.5</v>
      </c>
      <c r="C6" s="30">
        <f>'10'!C6-'10j'!C6</f>
        <v>1842.5</v>
      </c>
      <c r="D6" s="30">
        <f>'10'!D6-'10j'!D6</f>
        <v>463.09999999999991</v>
      </c>
      <c r="E6" s="30">
        <f>'10'!E6-'10j'!E6</f>
        <v>82.899999999999977</v>
      </c>
      <c r="F6" s="30">
        <f>'10'!F6-'10j'!F6</f>
        <v>42.300000000000011</v>
      </c>
      <c r="G6" s="30">
        <f>'10'!G6-'10j'!G6</f>
        <v>337.90000000000009</v>
      </c>
    </row>
    <row r="7" spans="1:7" hidden="1" outlineLevel="1">
      <c r="A7" s="66">
        <v>1964</v>
      </c>
      <c r="B7" s="30">
        <f>'10'!B7-'10j'!B7</f>
        <v>24157.300000000003</v>
      </c>
      <c r="C7" s="30">
        <f>'10'!C7-'10j'!C7</f>
        <v>3881.1999999999989</v>
      </c>
      <c r="D7" s="30">
        <f>'10'!D7-'10j'!D7</f>
        <v>1194.5999999999999</v>
      </c>
      <c r="E7" s="30">
        <f>'10'!E7-'10j'!E7</f>
        <v>201.5</v>
      </c>
      <c r="F7" s="30">
        <f>'10'!F7-'10j'!F7</f>
        <v>95.100000000000023</v>
      </c>
      <c r="G7" s="30">
        <f>'10'!G7-'10j'!G7</f>
        <v>898</v>
      </c>
    </row>
    <row r="8" spans="1:7" hidden="1" outlineLevel="1">
      <c r="A8" s="66">
        <v>1965</v>
      </c>
      <c r="B8" s="30">
        <f>'10'!B8-'10j'!B8</f>
        <v>29388.400000000009</v>
      </c>
      <c r="C8" s="30">
        <f>'10'!C8-'10j'!C8</f>
        <v>5798.3</v>
      </c>
      <c r="D8" s="30">
        <f>'10'!D8-'10j'!D8</f>
        <v>1632.5000000000002</v>
      </c>
      <c r="E8" s="30">
        <f>'10'!E8-'10j'!E8</f>
        <v>168.5</v>
      </c>
      <c r="F8" s="30">
        <f>'10'!F8-'10j'!F8</f>
        <v>166.89999999999998</v>
      </c>
      <c r="G8" s="30">
        <f>'10'!G8-'10j'!G8</f>
        <v>1297.0999999999999</v>
      </c>
    </row>
    <row r="9" spans="1:7" hidden="1" outlineLevel="1">
      <c r="A9" s="66">
        <v>1966</v>
      </c>
      <c r="B9" s="30">
        <f>'10'!B9-'10j'!B9</f>
        <v>36081.300000000003</v>
      </c>
      <c r="C9" s="30">
        <f>'10'!C9-'10j'!C9</f>
        <v>7732.3000000000011</v>
      </c>
      <c r="D9" s="30">
        <f>'10'!D9-'10j'!D9</f>
        <v>2004.9000000000005</v>
      </c>
      <c r="E9" s="30">
        <f>'10'!E9-'10j'!E9</f>
        <v>112.5</v>
      </c>
      <c r="F9" s="30">
        <f>'10'!F9-'10j'!F9</f>
        <v>115.19999999999999</v>
      </c>
      <c r="G9" s="30">
        <f>'10'!G9-'10j'!G9</f>
        <v>1777.2000000000003</v>
      </c>
    </row>
    <row r="10" spans="1:7" hidden="1" outlineLevel="1">
      <c r="A10" s="66">
        <v>1967</v>
      </c>
      <c r="B10" s="30">
        <f>'10'!B10-'10j'!B10</f>
        <v>31982.799999999996</v>
      </c>
      <c r="C10" s="30">
        <f>'10'!C10-'10j'!C10</f>
        <v>4680.8999999999996</v>
      </c>
      <c r="D10" s="30">
        <f>'10'!D10-'10j'!D10</f>
        <v>1183.5</v>
      </c>
      <c r="E10" s="30">
        <f>'10'!E10-'10j'!E10</f>
        <v>80.300000000000011</v>
      </c>
      <c r="F10" s="30">
        <f>'10'!F10-'10j'!F10</f>
        <v>35.199999999999989</v>
      </c>
      <c r="G10" s="30">
        <f>'10'!G10-'10j'!G10</f>
        <v>1068.0000000000002</v>
      </c>
    </row>
    <row r="11" spans="1:7" hidden="1" outlineLevel="1">
      <c r="A11" s="66">
        <v>1968</v>
      </c>
      <c r="B11" s="30">
        <f>'10'!B11-'10j'!B11</f>
        <v>27094.5</v>
      </c>
      <c r="C11" s="30">
        <f>'10'!C11-'10j'!C11</f>
        <v>2473</v>
      </c>
      <c r="D11" s="30">
        <f>'10'!D11-'10j'!D11</f>
        <v>52.000000000000455</v>
      </c>
      <c r="E11" s="30">
        <f>'10'!E11-'10j'!E11</f>
        <v>15.200000000000045</v>
      </c>
      <c r="F11" s="30">
        <f>'10'!F11-'10j'!F11</f>
        <v>63.800000000000011</v>
      </c>
      <c r="G11" s="30">
        <f>'10'!G11-'10j'!G11</f>
        <v>-27</v>
      </c>
    </row>
    <row r="12" spans="1:7" hidden="1" outlineLevel="1">
      <c r="A12" s="66">
        <v>1969</v>
      </c>
      <c r="B12" s="30">
        <f>'10'!B12-'10j'!B12</f>
        <v>26072</v>
      </c>
      <c r="C12" s="30">
        <f>'10'!C12-'10j'!C12</f>
        <v>3701.6000000000004</v>
      </c>
      <c r="D12" s="30">
        <f>'10'!D12-'10j'!D12</f>
        <v>973.29999999999973</v>
      </c>
      <c r="E12" s="30">
        <f>'10'!E12-'10j'!E12</f>
        <v>134.79999999999995</v>
      </c>
      <c r="F12" s="30">
        <f>'10'!F12-'10j'!F12</f>
        <v>512.80000000000007</v>
      </c>
      <c r="G12" s="30">
        <f>'10'!G12-'10j'!G12</f>
        <v>325.69999999999982</v>
      </c>
    </row>
    <row r="13" spans="1:7" hidden="1" outlineLevel="1">
      <c r="A13" s="66">
        <v>1970</v>
      </c>
      <c r="B13" s="30">
        <f>'10'!B13-'10j'!B13</f>
        <v>26834.800000000003</v>
      </c>
      <c r="C13" s="30">
        <f>'10'!C13-'10j'!C13</f>
        <v>5544.2000000000007</v>
      </c>
      <c r="D13" s="30">
        <f>'10'!D13-'10j'!D13</f>
        <v>1348.8999999999996</v>
      </c>
      <c r="E13" s="30">
        <f>'10'!E13-'10j'!E13</f>
        <v>48.700000000000045</v>
      </c>
      <c r="F13" s="30">
        <f>'10'!F13-'10j'!F13</f>
        <v>487.2</v>
      </c>
      <c r="G13" s="30">
        <f>'10'!G13-'10j'!G13</f>
        <v>812.99999999999977</v>
      </c>
    </row>
    <row r="14" spans="1:7" hidden="1" outlineLevel="1">
      <c r="A14" s="66">
        <v>1971</v>
      </c>
      <c r="B14" s="30">
        <f>'10'!B14-'10j'!B14</f>
        <v>28601.499999999993</v>
      </c>
      <c r="C14" s="30">
        <f>'10'!C14-'10j'!C14</f>
        <v>3117.8000000000011</v>
      </c>
      <c r="D14" s="30">
        <f>'10'!D14-'10j'!D14</f>
        <v>1139.6000000000004</v>
      </c>
      <c r="E14" s="30">
        <f>'10'!E14-'10j'!E14</f>
        <v>34.699999999999989</v>
      </c>
      <c r="F14" s="30">
        <f>'10'!F14-'10j'!F14</f>
        <v>310.60000000000002</v>
      </c>
      <c r="G14" s="30">
        <f>'10'!G14-'10j'!G14</f>
        <v>794.3</v>
      </c>
    </row>
    <row r="15" spans="1:7" hidden="1" outlineLevel="1">
      <c r="A15" s="66">
        <v>1972</v>
      </c>
      <c r="B15" s="30">
        <f>'10'!B15-'10j'!B15</f>
        <v>26746.499999999993</v>
      </c>
      <c r="C15" s="30">
        <f>'10'!C15-'10j'!C15</f>
        <v>1950.7999999999993</v>
      </c>
      <c r="D15" s="30">
        <f>'10'!D15-'10j'!D15</f>
        <v>599.59999999999991</v>
      </c>
      <c r="E15" s="30">
        <f>'10'!E15-'10j'!E15</f>
        <v>112.40000000000003</v>
      </c>
      <c r="F15" s="30">
        <f>'10'!F15-'10j'!F15</f>
        <v>337.5</v>
      </c>
      <c r="G15" s="30">
        <f>'10'!G15-'10j'!G15</f>
        <v>149.70000000000005</v>
      </c>
    </row>
    <row r="16" spans="1:7" collapsed="1">
      <c r="A16" s="66">
        <v>1973</v>
      </c>
      <c r="B16" s="30">
        <f>'10'!B16-'10j'!B16</f>
        <v>29936.1</v>
      </c>
      <c r="C16" s="30">
        <f>'10'!C16-'10j'!C16</f>
        <v>3347.5</v>
      </c>
      <c r="D16" s="30">
        <f>'10'!D16-'10j'!D16</f>
        <v>698.09999999999991</v>
      </c>
      <c r="E16" s="30">
        <f>'10'!E16-'10j'!E16</f>
        <v>308.10000000000002</v>
      </c>
      <c r="F16" s="30">
        <f>'10'!F16-'10j'!F16</f>
        <v>662.59999999999991</v>
      </c>
      <c r="G16" s="30">
        <f>'10'!G16-'10j'!G16</f>
        <v>-272.59999999999991</v>
      </c>
    </row>
    <row r="17" spans="1:7" hidden="1" outlineLevel="1">
      <c r="A17" s="66">
        <v>1974</v>
      </c>
      <c r="B17" s="30">
        <f>'10'!B17-'10j'!B17</f>
        <v>31550.699999999997</v>
      </c>
      <c r="C17" s="30">
        <f>'10'!C17-'10j'!C17</f>
        <v>4989.3000000000011</v>
      </c>
      <c r="D17" s="30">
        <f>'10'!D17-'10j'!D17</f>
        <v>770.99999999999909</v>
      </c>
      <c r="E17" s="30">
        <f>'10'!E17-'10j'!E17</f>
        <v>293.79999999999995</v>
      </c>
      <c r="F17" s="30">
        <f>'10'!F17-'10j'!F17</f>
        <v>410.69999999999993</v>
      </c>
      <c r="G17" s="30">
        <f>'10'!G17-'10j'!G17</f>
        <v>66.499999999999773</v>
      </c>
    </row>
    <row r="18" spans="1:7" hidden="1" outlineLevel="1">
      <c r="A18" s="66">
        <v>1975</v>
      </c>
      <c r="B18" s="30">
        <f>'10'!B18-'10j'!B18</f>
        <v>33381.699999999997</v>
      </c>
      <c r="C18" s="30">
        <f>'10'!C18-'10j'!C18</f>
        <v>4047.9000000000015</v>
      </c>
      <c r="D18" s="30">
        <f>'10'!D18-'10j'!D18</f>
        <v>112.20000000000027</v>
      </c>
      <c r="E18" s="30">
        <f>'10'!E18-'10j'!E18</f>
        <v>35.200000000000045</v>
      </c>
      <c r="F18" s="30">
        <f>'10'!F18-'10j'!F18</f>
        <v>168.60000000000002</v>
      </c>
      <c r="G18" s="30">
        <f>'10'!G18-'10j'!G18</f>
        <v>-91.599999999999909</v>
      </c>
    </row>
    <row r="19" spans="1:7" hidden="1" outlineLevel="1">
      <c r="A19" s="66">
        <v>1976</v>
      </c>
      <c r="B19" s="30">
        <f>'10'!B19-'10j'!B19</f>
        <v>28617.199999999997</v>
      </c>
      <c r="C19" s="30">
        <f>'10'!C19-'10j'!C19</f>
        <v>2197.7000000000007</v>
      </c>
      <c r="D19" s="30">
        <f>'10'!D19-'10j'!D19</f>
        <v>122.30000000000018</v>
      </c>
      <c r="E19" s="30">
        <f>'10'!E19-'10j'!E19</f>
        <v>-35.5</v>
      </c>
      <c r="F19" s="30">
        <f>'10'!F19-'10j'!F19</f>
        <v>35.800000000000068</v>
      </c>
      <c r="G19" s="30">
        <f>'10'!G19-'10j'!G19</f>
        <v>122.00000000000023</v>
      </c>
    </row>
    <row r="20" spans="1:7" hidden="1" outlineLevel="1">
      <c r="A20" s="66">
        <v>1977</v>
      </c>
      <c r="B20" s="30">
        <f>'10'!B20-'10j'!B20</f>
        <v>28002.5</v>
      </c>
      <c r="C20" s="30">
        <f>'10'!C20-'10j'!C20</f>
        <v>2488.1999999999989</v>
      </c>
      <c r="D20" s="30">
        <f>'10'!D20-'10j'!D20</f>
        <v>155.59999999999991</v>
      </c>
      <c r="E20" s="30">
        <f>'10'!E20-'10j'!E20</f>
        <v>16.5</v>
      </c>
      <c r="F20" s="30">
        <f>'10'!F20-'10j'!F20</f>
        <v>-25</v>
      </c>
      <c r="G20" s="30">
        <f>'10'!G20-'10j'!G20</f>
        <v>164.09999999999991</v>
      </c>
    </row>
    <row r="21" spans="1:7" hidden="1" outlineLevel="1">
      <c r="A21" s="66">
        <v>1978</v>
      </c>
      <c r="B21" s="30">
        <f>'10'!B21-'10j'!B21</f>
        <v>26089.599999999991</v>
      </c>
      <c r="C21" s="30">
        <f>'10'!C21-'10j'!C21</f>
        <v>683.29999999999927</v>
      </c>
      <c r="D21" s="30">
        <f>'10'!D21-'10j'!D21</f>
        <v>-268.5</v>
      </c>
      <c r="E21" s="30">
        <f>'10'!E21-'10j'!E21</f>
        <v>15.600000000000023</v>
      </c>
      <c r="F21" s="30">
        <f>'10'!F21-'10j'!F21</f>
        <v>78.600000000000023</v>
      </c>
      <c r="G21" s="30">
        <f>'10'!G21-'10j'!G21</f>
        <v>-362.70000000000005</v>
      </c>
    </row>
    <row r="22" spans="1:7" hidden="1" outlineLevel="1">
      <c r="A22" s="66">
        <v>1979</v>
      </c>
      <c r="B22" s="30">
        <f>'10'!B22-'10j'!B22</f>
        <v>33057.900000000009</v>
      </c>
      <c r="C22" s="30">
        <f>'10'!C22-'10j'!C22</f>
        <v>1900.7000000000007</v>
      </c>
      <c r="D22" s="30">
        <f>'10'!D22-'10j'!D22</f>
        <v>170.20000000000027</v>
      </c>
      <c r="E22" s="30">
        <f>'10'!E22-'10j'!E22</f>
        <v>104</v>
      </c>
      <c r="F22" s="30">
        <f>'10'!F22-'10j'!F22</f>
        <v>201.29999999999995</v>
      </c>
      <c r="G22" s="30">
        <f>'10'!G22-'10j'!G22</f>
        <v>-135.09999999999991</v>
      </c>
    </row>
    <row r="23" spans="1:7" hidden="1" outlineLevel="1">
      <c r="A23" s="66">
        <v>1980</v>
      </c>
      <c r="B23" s="30">
        <f>'10'!B23-'10j'!B23</f>
        <v>38962.800000000003</v>
      </c>
      <c r="C23" s="30">
        <f>'10'!C23-'10j'!C23</f>
        <v>4409.1000000000004</v>
      </c>
      <c r="D23" s="30">
        <f>'10'!D23-'10j'!D23</f>
        <v>903.89999999999964</v>
      </c>
      <c r="E23" s="30">
        <f>'10'!E23-'10j'!E23</f>
        <v>99.5</v>
      </c>
      <c r="F23" s="30">
        <f>'10'!F23-'10j'!F23</f>
        <v>188.5</v>
      </c>
      <c r="G23" s="30">
        <f>'10'!G23-'10j'!G23</f>
        <v>615.89999999999964</v>
      </c>
    </row>
    <row r="24" spans="1:7" collapsed="1">
      <c r="A24" s="66">
        <v>1981</v>
      </c>
      <c r="B24" s="30">
        <f>'10'!B24-'10j'!B24</f>
        <v>41941.700000000012</v>
      </c>
      <c r="C24" s="30">
        <f>'10'!C24-'10j'!C24</f>
        <v>6588.7000000000007</v>
      </c>
      <c r="D24" s="30">
        <f>'10'!D24-'10j'!D24</f>
        <v>1415.8000000000006</v>
      </c>
      <c r="E24" s="30">
        <f>'10'!E24-'10j'!E24</f>
        <v>-90.299999999999955</v>
      </c>
      <c r="F24" s="30">
        <f>'10'!F24-'10j'!F24</f>
        <v>16.700000000000045</v>
      </c>
      <c r="G24" s="30">
        <f>'10'!G24-'10j'!G24</f>
        <v>1489.4</v>
      </c>
    </row>
    <row r="25" spans="1:7">
      <c r="A25" s="66">
        <v>1982</v>
      </c>
      <c r="B25" s="30">
        <f>'10'!B25-'10j'!B25</f>
        <v>26695.900000000009</v>
      </c>
      <c r="C25" s="30">
        <f>'10'!C25-'10j'!C25</f>
        <v>2446.1000000000022</v>
      </c>
      <c r="D25" s="30">
        <f>'10'!D25-'10j'!D25</f>
        <v>84.199999999999818</v>
      </c>
      <c r="E25" s="30">
        <f>'10'!E25-'10j'!E25</f>
        <v>-273.20000000000005</v>
      </c>
      <c r="F25" s="30">
        <f>'10'!F25-'10j'!F25</f>
        <v>-226.60000000000002</v>
      </c>
      <c r="G25" s="30">
        <f>'10'!G25-'10j'!G25</f>
        <v>584</v>
      </c>
    </row>
    <row r="26" spans="1:7">
      <c r="A26" s="66">
        <v>1983</v>
      </c>
      <c r="B26" s="30">
        <f>'10'!B26-'10j'!B26</f>
        <v>14252.099999999991</v>
      </c>
      <c r="C26" s="30">
        <f>'10'!C26-'10j'!C26</f>
        <v>-2769.2000000000007</v>
      </c>
      <c r="D26" s="30">
        <f>'10'!D26-'10j'!D26</f>
        <v>-1336.1999999999998</v>
      </c>
      <c r="E26" s="30">
        <f>'10'!E26-'10j'!E26</f>
        <v>-232.4</v>
      </c>
      <c r="F26" s="30">
        <f>'10'!F26-'10j'!F26</f>
        <v>-290.59999999999997</v>
      </c>
      <c r="G26" s="30">
        <f>'10'!G26-'10j'!G26</f>
        <v>-813.19999999999982</v>
      </c>
    </row>
    <row r="27" spans="1:7">
      <c r="A27" s="66">
        <v>1984</v>
      </c>
      <c r="B27" s="30">
        <f>'10'!B27-'10j'!B27</f>
        <v>14331.300000000003</v>
      </c>
      <c r="C27" s="30">
        <f>'10'!C27-'10j'!C27</f>
        <v>-2761.5</v>
      </c>
      <c r="D27" s="30">
        <f>'10'!D27-'10j'!D27</f>
        <v>-885.5</v>
      </c>
      <c r="E27" s="30">
        <f>'10'!E27-'10j'!E27</f>
        <v>-149.89999999999998</v>
      </c>
      <c r="F27" s="30">
        <f>'10'!F27-'10j'!F27</f>
        <v>-194.69999999999993</v>
      </c>
      <c r="G27" s="30">
        <f>'10'!G27-'10j'!G27</f>
        <v>-540.90000000000009</v>
      </c>
    </row>
    <row r="28" spans="1:7">
      <c r="A28" s="66">
        <v>1985</v>
      </c>
      <c r="B28" s="30">
        <f>'10'!B28-'10j'!B28</f>
        <v>20040.699999999997</v>
      </c>
      <c r="C28" s="30">
        <f>'10'!C28-'10j'!C28</f>
        <v>673.89999999999964</v>
      </c>
      <c r="D28" s="30">
        <f>'10'!D28-'10j'!D28</f>
        <v>124.30000000000018</v>
      </c>
      <c r="E28" s="30">
        <f>'10'!E28-'10j'!E28</f>
        <v>-114.39999999999998</v>
      </c>
      <c r="F28" s="30">
        <f>'10'!F28-'10j'!F28</f>
        <v>-170.10000000000002</v>
      </c>
      <c r="G28" s="30">
        <f>'10'!G28-'10j'!G28</f>
        <v>408.79999999999973</v>
      </c>
    </row>
    <row r="29" spans="1:7">
      <c r="A29" s="66">
        <v>1986</v>
      </c>
      <c r="B29" s="30">
        <f>'10'!B29-'10j'!B29</f>
        <v>16042.399999999994</v>
      </c>
      <c r="C29" s="30">
        <f>'10'!C29-'10j'!C29</f>
        <v>2801.2999999999993</v>
      </c>
      <c r="D29" s="30">
        <f>'10'!D29-'10j'!D29</f>
        <v>54.300000000000182</v>
      </c>
      <c r="E29" s="30">
        <f>'10'!E29-'10j'!E29</f>
        <v>-83.199999999999989</v>
      </c>
      <c r="F29" s="30">
        <f>'10'!F29-'10j'!F29</f>
        <v>-14.600000000000023</v>
      </c>
      <c r="G29" s="30">
        <f>'10'!G29-'10j'!G29</f>
        <v>152.10000000000036</v>
      </c>
    </row>
    <row r="30" spans="1:7">
      <c r="A30" s="66">
        <v>1987</v>
      </c>
      <c r="B30" s="30">
        <f>'10'!B30-'10j'!B30</f>
        <v>19148.099999999991</v>
      </c>
      <c r="C30" s="30">
        <f>'10'!C30-'10j'!C30</f>
        <v>3048.8000000000029</v>
      </c>
      <c r="D30" s="30">
        <f>'10'!D30-'10j'!D30</f>
        <v>1043.2000000000003</v>
      </c>
      <c r="E30" s="30">
        <f>'10'!E30-'10j'!E30</f>
        <v>-37.699999999999989</v>
      </c>
      <c r="F30" s="30">
        <f>'10'!F30-'10j'!F30</f>
        <v>348.60000000000014</v>
      </c>
      <c r="G30" s="30">
        <f>'10'!G30-'10j'!G30</f>
        <v>732.30000000000018</v>
      </c>
    </row>
    <row r="31" spans="1:7">
      <c r="A31" s="66">
        <v>1988</v>
      </c>
      <c r="B31" s="30">
        <f>'10'!B31-'10j'!B31</f>
        <v>30424.600000000006</v>
      </c>
      <c r="C31" s="30">
        <f>'10'!C31-'10j'!C31</f>
        <v>4677</v>
      </c>
      <c r="D31" s="30">
        <f>'10'!D31-'10j'!D31</f>
        <v>2593.4999999999991</v>
      </c>
      <c r="E31" s="30">
        <f>'10'!E31-'10j'!E31</f>
        <v>-24.699999999999989</v>
      </c>
      <c r="F31" s="30">
        <f>'10'!F31-'10j'!F31</f>
        <v>682.8</v>
      </c>
      <c r="G31" s="30">
        <f>'10'!G31-'10j'!G31</f>
        <v>1935.3999999999996</v>
      </c>
    </row>
    <row r="32" spans="1:7">
      <c r="A32" s="66">
        <v>1989</v>
      </c>
      <c r="B32" s="30">
        <f>'10'!B32-'10j'!B32</f>
        <v>31524.500000000015</v>
      </c>
      <c r="C32" s="30">
        <f>'10'!C32-'10j'!C32</f>
        <v>6945</v>
      </c>
      <c r="D32" s="30">
        <f>'10'!D32-'10j'!D32</f>
        <v>4010.5999999999995</v>
      </c>
      <c r="E32" s="30">
        <f>'10'!E32-'10j'!E32</f>
        <v>-41.600000000000023</v>
      </c>
      <c r="F32" s="30">
        <f>'10'!F32-'10j'!F32</f>
        <v>401.40000000000009</v>
      </c>
      <c r="G32" s="30">
        <f>'10'!G32-'10j'!G32</f>
        <v>3650.8</v>
      </c>
    </row>
    <row r="33" spans="1:7">
      <c r="A33" s="66">
        <v>1990</v>
      </c>
      <c r="B33" s="30">
        <f>'10'!B33-'10j'!B33</f>
        <v>27477.5</v>
      </c>
      <c r="C33" s="30">
        <f>'10'!C33-'10j'!C33</f>
        <v>4432.1000000000022</v>
      </c>
      <c r="D33" s="30">
        <f>'10'!D33-'10j'!D33</f>
        <v>1577.7000000000007</v>
      </c>
      <c r="E33" s="30">
        <f>'10'!E33-'10j'!E33</f>
        <v>-88.900000000000034</v>
      </c>
      <c r="F33" s="30">
        <f>'10'!F33-'10j'!F33</f>
        <v>71.300000000000068</v>
      </c>
      <c r="G33" s="30">
        <f>'10'!G33-'10j'!G33</f>
        <v>1595.3000000000002</v>
      </c>
    </row>
    <row r="34" spans="1:7">
      <c r="A34" s="66">
        <v>1991</v>
      </c>
      <c r="B34" s="30">
        <f>'10'!B34-'10j'!B34</f>
        <v>22637.299999999988</v>
      </c>
      <c r="C34" s="30">
        <f>'10'!C34-'10j'!C34</f>
        <v>1782.7999999999993</v>
      </c>
      <c r="D34" s="30">
        <f>'10'!D34-'10j'!D34</f>
        <v>-76.499999999999091</v>
      </c>
      <c r="E34" s="30">
        <f>'10'!E34-'10j'!E34</f>
        <v>-230.5</v>
      </c>
      <c r="F34" s="30">
        <f>'10'!F34-'10j'!F34</f>
        <v>-254.10000000000002</v>
      </c>
      <c r="G34" s="30">
        <f>'10'!G34-'10j'!G34</f>
        <v>408.10000000000036</v>
      </c>
    </row>
    <row r="35" spans="1:7">
      <c r="A35" s="66">
        <v>1992</v>
      </c>
      <c r="B35" s="30">
        <f>'10'!B35-'10j'!B35</f>
        <v>9783.3000000000029</v>
      </c>
      <c r="C35" s="30">
        <f>'10'!C35-'10j'!C35</f>
        <v>-2781.1999999999971</v>
      </c>
      <c r="D35" s="30">
        <f>'10'!D35-'10j'!D35</f>
        <v>-758.69999999999982</v>
      </c>
      <c r="E35" s="30">
        <f>'10'!E35-'10j'!E35</f>
        <v>-94.900000000000034</v>
      </c>
      <c r="F35" s="30">
        <f>'10'!F35-'10j'!F35</f>
        <v>-148.20000000000005</v>
      </c>
      <c r="G35" s="30">
        <f>'10'!G35-'10j'!G35</f>
        <v>-515.59999999999991</v>
      </c>
    </row>
    <row r="36" spans="1:7">
      <c r="A36" s="66">
        <v>1993</v>
      </c>
      <c r="B36" s="30">
        <f>'10'!B36-'10j'!B36</f>
        <v>6490</v>
      </c>
      <c r="C36" s="30">
        <f>'10'!C36-'10j'!C36</f>
        <v>-3491</v>
      </c>
      <c r="D36" s="30">
        <f>'10'!D36-'10j'!D36</f>
        <v>-1059.6999999999998</v>
      </c>
      <c r="E36" s="30">
        <f>'10'!E36-'10j'!E36</f>
        <v>47.100000000000023</v>
      </c>
      <c r="F36" s="30">
        <f>'10'!F36-'10j'!F36</f>
        <v>7.7000000000000455</v>
      </c>
      <c r="G36" s="30">
        <f>'10'!G36-'10j'!G36</f>
        <v>-1114.5</v>
      </c>
    </row>
    <row r="37" spans="1:7">
      <c r="A37" s="66">
        <v>1994</v>
      </c>
      <c r="B37" s="30">
        <f>'10'!B37-'10j'!B37</f>
        <v>15152.100000000006</v>
      </c>
      <c r="C37" s="30">
        <f>'10'!C37-'10j'!C37</f>
        <v>-588.79999999999927</v>
      </c>
      <c r="D37" s="30">
        <f>'10'!D37-'10j'!D37</f>
        <v>-318.40000000000055</v>
      </c>
      <c r="E37" s="30">
        <f>'10'!E37-'10j'!E37</f>
        <v>91.199999999999989</v>
      </c>
      <c r="F37" s="30">
        <f>'10'!F37-'10j'!F37</f>
        <v>535.70000000000005</v>
      </c>
      <c r="G37" s="30">
        <f>'10'!G37-'10j'!G37</f>
        <v>-945.30000000000018</v>
      </c>
    </row>
    <row r="38" spans="1:7">
      <c r="A38" s="66">
        <v>1995</v>
      </c>
      <c r="B38" s="30">
        <f>'10'!B38-'10j'!B38</f>
        <v>13651.699999999997</v>
      </c>
      <c r="C38" s="30">
        <f>'10'!C38-'10j'!C38</f>
        <v>989.10000000000218</v>
      </c>
      <c r="D38" s="30">
        <f>'10'!D38-'10j'!D38</f>
        <v>1654.1999999999998</v>
      </c>
      <c r="E38" s="30">
        <f>'10'!E38-'10j'!E38</f>
        <v>-19.300000000000011</v>
      </c>
      <c r="F38" s="30">
        <f>'10'!F38-'10j'!F38</f>
        <v>941.90000000000009</v>
      </c>
      <c r="G38" s="30">
        <f>'10'!G38-'10j'!G38</f>
        <v>731.59999999999991</v>
      </c>
    </row>
    <row r="39" spans="1:7">
      <c r="A39" s="66">
        <v>1996</v>
      </c>
      <c r="B39" s="30">
        <f>'10'!B39-'10j'!B39</f>
        <v>12704.200000000012</v>
      </c>
      <c r="C39" s="30">
        <f>'10'!C39-'10j'!C39</f>
        <v>2233.5999999999985</v>
      </c>
      <c r="D39" s="30">
        <f>'10'!D39-'10j'!D39</f>
        <v>391</v>
      </c>
      <c r="E39" s="30">
        <f>'10'!E39-'10j'!E39</f>
        <v>-42.100000000000023</v>
      </c>
      <c r="F39" s="30">
        <f>'10'!F39-'10j'!F39</f>
        <v>235.30000000000018</v>
      </c>
      <c r="G39" s="30">
        <f>'10'!G39-'10j'!G39</f>
        <v>197.79999999999973</v>
      </c>
    </row>
    <row r="40" spans="1:7">
      <c r="A40" s="66">
        <v>1997</v>
      </c>
      <c r="B40" s="30">
        <f>'10'!B40-'10j'!B40</f>
        <v>26317.400000000023</v>
      </c>
      <c r="C40" s="30">
        <f>'10'!C40-'10j'!C40</f>
        <v>3137.8999999999978</v>
      </c>
      <c r="D40" s="30">
        <f>'10'!D40-'10j'!D40</f>
        <v>-235.80000000000018</v>
      </c>
      <c r="E40" s="30">
        <f>'10'!E40-'10j'!E40</f>
        <v>-59.099999999999966</v>
      </c>
      <c r="F40" s="30">
        <f>'10'!F40-'10j'!F40</f>
        <v>334.79999999999995</v>
      </c>
      <c r="G40" s="30">
        <f>'10'!G40-'10j'!G40</f>
        <v>-511.5</v>
      </c>
    </row>
    <row r="41" spans="1:7">
      <c r="A41" s="66">
        <v>1998</v>
      </c>
      <c r="B41" s="30">
        <f>'10'!B41-'10j'!B41</f>
        <v>24681.799999999988</v>
      </c>
      <c r="C41" s="30">
        <f>'10'!C41-'10j'!C41</f>
        <v>2338.4000000000015</v>
      </c>
      <c r="D41" s="30">
        <f>'10'!D41-'10j'!D41</f>
        <v>-1189.599999999999</v>
      </c>
      <c r="E41" s="30">
        <f>'10'!E41-'10j'!E41</f>
        <v>-23.799999999999955</v>
      </c>
      <c r="F41" s="30">
        <f>'10'!F41-'10j'!F41</f>
        <v>-82.400000000000091</v>
      </c>
      <c r="G41" s="30">
        <f>'10'!G41-'10j'!G41</f>
        <v>-1083.3999999999996</v>
      </c>
    </row>
    <row r="42" spans="1:7">
      <c r="A42" s="66">
        <v>1999</v>
      </c>
      <c r="B42" s="30">
        <f>'10'!B42-'10j'!B42</f>
        <v>25262.399999999994</v>
      </c>
      <c r="C42" s="30">
        <f>'10'!C42-'10j'!C42</f>
        <v>1052.1999999999971</v>
      </c>
      <c r="D42" s="30">
        <f>'10'!D42-'10j'!D42</f>
        <v>-1347.9999999999995</v>
      </c>
      <c r="E42" s="30">
        <f>'10'!E42-'10j'!E42</f>
        <v>1.2000000000000455</v>
      </c>
      <c r="F42" s="30">
        <f>'10'!F42-'10j'!F42</f>
        <v>-137.39999999999986</v>
      </c>
      <c r="G42" s="30">
        <f>'10'!G42-'10j'!G42</f>
        <v>-1211.7999999999997</v>
      </c>
    </row>
    <row r="43" spans="1:7">
      <c r="A43" s="66">
        <v>2000</v>
      </c>
      <c r="B43" s="30">
        <f>'10'!B43-'10j'!B43</f>
        <v>26033</v>
      </c>
      <c r="C43" s="30">
        <f>'10'!C43-'10j'!C43</f>
        <v>1967.6000000000022</v>
      </c>
      <c r="D43" s="30">
        <f>'10'!D43-'10j'!D43</f>
        <v>-168.10000000000036</v>
      </c>
      <c r="E43" s="30">
        <f>'10'!E43-'10j'!E43</f>
        <v>-23</v>
      </c>
      <c r="F43" s="30">
        <f>'10'!F43-'10j'!F43</f>
        <v>428.90000000000009</v>
      </c>
      <c r="G43" s="30">
        <f>'10'!G43-'10j'!G43</f>
        <v>-574</v>
      </c>
    </row>
    <row r="44" spans="1:7">
      <c r="A44" s="66">
        <v>2001</v>
      </c>
      <c r="B44" s="30">
        <f>'10'!B44-'10j'!B44</f>
        <v>25697.300000000017</v>
      </c>
      <c r="C44" s="30">
        <f>'10'!C44-'10j'!C44</f>
        <v>-1638.9000000000015</v>
      </c>
      <c r="D44" s="30">
        <f>'10'!D44-'10j'!D44</f>
        <v>-1513.9</v>
      </c>
      <c r="E44" s="30">
        <f>'10'!E44-'10j'!E44</f>
        <v>-130.29999999999995</v>
      </c>
      <c r="F44" s="30">
        <f>'10'!F44-'10j'!F44</f>
        <v>-451.50000000000011</v>
      </c>
      <c r="G44" s="30">
        <f>'10'!G44-'10j'!G44</f>
        <v>-932.09999999999991</v>
      </c>
    </row>
    <row r="45" spans="1:7">
      <c r="A45" s="66">
        <v>2002</v>
      </c>
      <c r="B45" s="30">
        <f>'10'!B45-'10j'!B45</f>
        <v>16787.200000000012</v>
      </c>
      <c r="C45" s="30">
        <f>'10'!C45-'10j'!C45</f>
        <v>-2225.7999999999993</v>
      </c>
      <c r="D45" s="30">
        <f>'10'!D45-'10j'!D45</f>
        <v>-1662.4000000000005</v>
      </c>
      <c r="E45" s="30">
        <f>'10'!E45-'10j'!E45</f>
        <v>-41</v>
      </c>
      <c r="F45" s="30">
        <f>'10'!F45-'10j'!F45</f>
        <v>-464.00000000000011</v>
      </c>
      <c r="G45" s="30">
        <f>'10'!G45-'10j'!G45</f>
        <v>-1157.4000000000001</v>
      </c>
    </row>
    <row r="46" spans="1:7">
      <c r="A46" s="66">
        <v>2003</v>
      </c>
      <c r="B46" s="30">
        <f>'10'!B46-'10j'!B46</f>
        <v>22921.099999999977</v>
      </c>
      <c r="C46" s="30">
        <f>'10'!C46-'10j'!C46</f>
        <v>-619.5</v>
      </c>
      <c r="D46" s="30">
        <f>'10'!D46-'10j'!D46</f>
        <v>-668.80000000000018</v>
      </c>
      <c r="E46" s="30">
        <f>'10'!E46-'10j'!E46</f>
        <v>-48.799999999999955</v>
      </c>
      <c r="F46" s="30">
        <f>'10'!F46-'10j'!F46</f>
        <v>-149.19999999999993</v>
      </c>
      <c r="G46" s="30">
        <f>'10'!G46-'10j'!G46</f>
        <v>-470.80000000000018</v>
      </c>
    </row>
    <row r="47" spans="1:7">
      <c r="A47" s="66">
        <v>2004</v>
      </c>
      <c r="B47" s="30">
        <f>'10'!B47-'10j'!B47</f>
        <v>33589.700000000012</v>
      </c>
      <c r="C47" s="30">
        <f>'10'!C47-'10j'!C47</f>
        <v>-1273.2000000000007</v>
      </c>
      <c r="D47" s="30">
        <f>'10'!D47-'10j'!D47</f>
        <v>-938.70000000000073</v>
      </c>
      <c r="E47" s="30">
        <f>'10'!E47-'10j'!E47</f>
        <v>-39.600000000000023</v>
      </c>
      <c r="F47" s="30">
        <f>'10'!F47-'10j'!F47</f>
        <v>97.099999999999909</v>
      </c>
      <c r="G47" s="30">
        <f>'10'!G47-'10j'!G47</f>
        <v>-996.20000000000027</v>
      </c>
    </row>
    <row r="48" spans="1:7">
      <c r="A48" s="66">
        <v>2005</v>
      </c>
      <c r="B48" s="30">
        <f>'10'!B48-'10j'!B48</f>
        <v>47610</v>
      </c>
      <c r="C48" s="30">
        <f>'10'!C48-'10j'!C48</f>
        <v>-687.59999999999854</v>
      </c>
      <c r="D48" s="30">
        <f>'10'!D48-'10j'!D48</f>
        <v>-595.30000000000018</v>
      </c>
      <c r="E48" s="30">
        <f>'10'!E48-'10j'!E48</f>
        <v>-41.5</v>
      </c>
      <c r="F48" s="30">
        <f>'10'!F48-'10j'!F48</f>
        <v>389.5</v>
      </c>
      <c r="G48" s="30">
        <f>'10'!G48-'10j'!G48</f>
        <v>-943.30000000000018</v>
      </c>
    </row>
    <row r="49" spans="1:7">
      <c r="A49" s="66">
        <v>2006</v>
      </c>
      <c r="B49" s="30">
        <f>'10'!B49-'10j'!B49</f>
        <v>55392.899999999994</v>
      </c>
      <c r="C49" s="30">
        <f>'10'!C49-'10j'!C49</f>
        <v>-931.5</v>
      </c>
      <c r="D49" s="30">
        <f>'10'!D49-'10j'!D49</f>
        <v>-879.19999999999982</v>
      </c>
      <c r="E49" s="30">
        <f>'10'!E49-'10j'!E49</f>
        <v>-87.699999999999989</v>
      </c>
      <c r="F49" s="30">
        <f>'10'!F49-'10j'!F49</f>
        <v>111.29999999999995</v>
      </c>
      <c r="G49" s="30">
        <f>'10'!G49-'10j'!G49</f>
        <v>-902.80000000000018</v>
      </c>
    </row>
    <row r="50" spans="1:7">
      <c r="A50" s="66">
        <v>2007</v>
      </c>
      <c r="B50" s="30">
        <f>'10'!B50-'10j'!B50</f>
        <v>51758.299999999988</v>
      </c>
      <c r="C50" s="30">
        <f>'10'!C50-'10j'!C50</f>
        <v>-1123.5999999999985</v>
      </c>
      <c r="D50" s="30">
        <f>'10'!D50-'10j'!D50</f>
        <v>-1262</v>
      </c>
      <c r="E50" s="30">
        <f>'10'!E50-'10j'!E50</f>
        <v>-158</v>
      </c>
      <c r="F50" s="30">
        <f>'10'!F50-'10j'!F50</f>
        <v>-214.60000000000014</v>
      </c>
      <c r="G50" s="30">
        <f>'10'!G50-'10j'!G50</f>
        <v>-889.39999999999986</v>
      </c>
    </row>
    <row r="51" spans="1:7">
      <c r="A51" s="66">
        <v>2008</v>
      </c>
      <c r="B51" s="30">
        <f>'10'!B51-'10j'!B51</f>
        <v>53407.100000000006</v>
      </c>
      <c r="C51" s="30">
        <f>'10'!C51-'10j'!C51</f>
        <v>-2175.5</v>
      </c>
      <c r="D51" s="30">
        <f>'10'!D51-'10j'!D51</f>
        <v>-1466.8000000000002</v>
      </c>
      <c r="E51" s="30">
        <f>'10'!E51-'10j'!E51</f>
        <v>-116.9</v>
      </c>
      <c r="F51" s="30">
        <f>'10'!F51-'10j'!F51</f>
        <v>-379.89999999999986</v>
      </c>
      <c r="G51" s="30">
        <f>'10'!G51-'10j'!G51</f>
        <v>-970</v>
      </c>
    </row>
    <row r="52" spans="1:7">
      <c r="A52" s="66">
        <v>2009</v>
      </c>
      <c r="B52" s="30">
        <f>'10'!B52-'10j'!B52</f>
        <v>13220.400000000023</v>
      </c>
      <c r="C52" s="30">
        <f>'10'!C52-'10j'!C52</f>
        <v>-6930.6999999999971</v>
      </c>
      <c r="D52" s="30">
        <f>'10'!D52-'10j'!D52</f>
        <v>-2148.2999999999997</v>
      </c>
      <c r="E52" s="30">
        <f>'10'!E52-'10j'!E52</f>
        <v>-180.4</v>
      </c>
      <c r="F52" s="30">
        <f>'10'!F52-'10j'!F52</f>
        <v>-639.00000000000011</v>
      </c>
      <c r="G52" s="30">
        <f>'10'!G52-'10j'!G52</f>
        <v>-1328.9</v>
      </c>
    </row>
    <row r="53" spans="1:7">
      <c r="A53" s="66">
        <v>2010</v>
      </c>
      <c r="B53" s="30">
        <f>'10'!B53-'10j'!B53</f>
        <v>39407.5</v>
      </c>
      <c r="C53" s="30">
        <f>'10'!C53-'10j'!C53</f>
        <v>-4155</v>
      </c>
      <c r="D53" s="30">
        <f>'10'!D53-'10j'!D53</f>
        <v>-1485.9999999999995</v>
      </c>
      <c r="E53" s="30">
        <f>'10'!E53-'10j'!E53</f>
        <v>-122</v>
      </c>
      <c r="F53" s="30">
        <f>'10'!F53-'10j'!F53</f>
        <v>-327.29999999999995</v>
      </c>
      <c r="G53" s="30">
        <f>'10'!G53-'10j'!G53</f>
        <v>-1036.6999999999998</v>
      </c>
    </row>
    <row r="54" spans="1:7">
      <c r="A54" s="66">
        <v>2011</v>
      </c>
      <c r="B54" s="30">
        <f>'10'!B54-'10j'!B54</f>
        <v>49390.800000000017</v>
      </c>
      <c r="C54" s="30">
        <f>'10'!C54-'10j'!C54</f>
        <v>5.5999999999985448</v>
      </c>
      <c r="D54" s="30">
        <f>'10'!D54-'10j'!D54</f>
        <v>-836.39999999999964</v>
      </c>
      <c r="E54" s="30">
        <f>'10'!E54-'10j'!E54</f>
        <v>-103.4</v>
      </c>
      <c r="F54" s="30">
        <f>'10'!F54-'10j'!F54</f>
        <v>-142.19999999999993</v>
      </c>
      <c r="G54" s="30">
        <f>'10'!G54-'10j'!G54</f>
        <v>-590.79999999999995</v>
      </c>
    </row>
    <row r="55" spans="1:7">
      <c r="A55" s="66">
        <v>2012</v>
      </c>
      <c r="B55" s="30">
        <f>'10'!B55-'10j'!B55</f>
        <v>52150.299999999988</v>
      </c>
      <c r="C55" s="30">
        <f>'10'!C55-'10j'!C55</f>
        <v>473.70000000000073</v>
      </c>
      <c r="D55" s="30">
        <f>'10'!D55-'10j'!D55</f>
        <v>-681.59999999999991</v>
      </c>
      <c r="E55" s="30">
        <f>'10'!E55-'10j'!E55</f>
        <v>-126.5</v>
      </c>
      <c r="F55" s="30">
        <f>'10'!F55-'10j'!F55</f>
        <v>-56.199999999999818</v>
      </c>
      <c r="G55" s="30">
        <f>'10'!G55-'10j'!G55</f>
        <v>-498.90000000000009</v>
      </c>
    </row>
    <row r="57" spans="1:7">
      <c r="A57" s="66" t="s">
        <v>1342</v>
      </c>
      <c r="B57" s="56"/>
      <c r="C57" s="56"/>
    </row>
    <row r="58" spans="1:7">
      <c r="A58" s="69" t="s">
        <v>2121</v>
      </c>
      <c r="B58" s="56">
        <f>AVERAGE(B4:B55)</f>
        <v>27901.892307692306</v>
      </c>
      <c r="C58" s="56">
        <f t="shared" ref="C58:G58" si="0">AVERAGE(C4:C55)</f>
        <v>1523.9173076923075</v>
      </c>
      <c r="D58" s="56">
        <f t="shared" si="0"/>
        <v>100.44807692307684</v>
      </c>
      <c r="E58" s="56">
        <f t="shared" si="0"/>
        <v>-13.692307692307697</v>
      </c>
      <c r="F58" s="56">
        <f t="shared" si="0"/>
        <v>80.286538461538484</v>
      </c>
      <c r="G58" s="56">
        <f t="shared" si="0"/>
        <v>33.853846153846241</v>
      </c>
    </row>
    <row r="59" spans="1:7">
      <c r="A59" s="68" t="s">
        <v>1031</v>
      </c>
      <c r="B59" s="56">
        <f t="shared" ref="B59:G59" si="1">AVERAGE(B4:B16)</f>
        <v>26562.415384615382</v>
      </c>
      <c r="C59" s="56">
        <f t="shared" si="1"/>
        <v>3622.0538461538472</v>
      </c>
      <c r="D59" s="56">
        <f t="shared" si="1"/>
        <v>909.51538461538462</v>
      </c>
      <c r="E59" s="56">
        <f t="shared" si="1"/>
        <v>111.11538461538461</v>
      </c>
      <c r="F59" s="56">
        <f t="shared" si="1"/>
        <v>219.69230769230768</v>
      </c>
      <c r="G59" s="56">
        <f t="shared" si="1"/>
        <v>578.70769230769235</v>
      </c>
    </row>
    <row r="60" spans="1:7">
      <c r="A60" s="68" t="s">
        <v>1032</v>
      </c>
      <c r="B60" s="56">
        <f t="shared" ref="B60:G60" si="2">AVERAGE(B16:B24)</f>
        <v>32393.355555555558</v>
      </c>
      <c r="C60" s="56">
        <f t="shared" si="2"/>
        <v>3405.822222222223</v>
      </c>
      <c r="D60" s="56">
        <f t="shared" si="2"/>
        <v>453.4</v>
      </c>
      <c r="E60" s="56">
        <f t="shared" si="2"/>
        <v>82.988888888888894</v>
      </c>
      <c r="F60" s="56">
        <f t="shared" si="2"/>
        <v>193.08888888888885</v>
      </c>
      <c r="G60" s="56">
        <f t="shared" si="2"/>
        <v>177.32222222222219</v>
      </c>
    </row>
    <row r="61" spans="1:7">
      <c r="A61" s="68" t="s">
        <v>25</v>
      </c>
      <c r="B61" s="56">
        <f t="shared" ref="B61:G61" si="3">AVERAGE(B24:B32)</f>
        <v>23822.366666666672</v>
      </c>
      <c r="C61" s="56">
        <f t="shared" si="3"/>
        <v>2405.5666666666675</v>
      </c>
      <c r="D61" s="56">
        <f t="shared" si="3"/>
        <v>789.3555555555555</v>
      </c>
      <c r="E61" s="56">
        <f t="shared" si="3"/>
        <v>-116.37777777777779</v>
      </c>
      <c r="F61" s="56">
        <f t="shared" si="3"/>
        <v>61.433333333333366</v>
      </c>
      <c r="G61" s="56">
        <f t="shared" si="3"/>
        <v>844.30000000000007</v>
      </c>
    </row>
    <row r="62" spans="1:7">
      <c r="A62" s="68" t="s">
        <v>26</v>
      </c>
      <c r="B62" s="56">
        <f t="shared" ref="B62:G62" si="4">AVERAGE(B32:B43)</f>
        <v>20142.933333333338</v>
      </c>
      <c r="C62" s="56">
        <f t="shared" si="4"/>
        <v>1501.4750000000004</v>
      </c>
      <c r="D62" s="56">
        <f t="shared" si="4"/>
        <v>206.55833333333348</v>
      </c>
      <c r="E62" s="56">
        <f t="shared" si="4"/>
        <v>-40.30833333333333</v>
      </c>
      <c r="F62" s="56">
        <f t="shared" si="4"/>
        <v>194.57500000000005</v>
      </c>
      <c r="G62" s="56">
        <f t="shared" si="4"/>
        <v>52.291666666666707</v>
      </c>
    </row>
    <row r="63" spans="1:7">
      <c r="A63" s="69" t="s">
        <v>2028</v>
      </c>
      <c r="B63" s="56">
        <f>AVERAGE(B43:B55)</f>
        <v>37489.661538461543</v>
      </c>
      <c r="C63" s="56">
        <f t="shared" ref="C63:G63" si="5">AVERAGE(C43:C55)</f>
        <v>-1485.7230769230764</v>
      </c>
      <c r="D63" s="56">
        <f t="shared" si="5"/>
        <v>-1100.5769230769231</v>
      </c>
      <c r="E63" s="56">
        <f t="shared" si="5"/>
        <v>-93.776923076923069</v>
      </c>
      <c r="F63" s="56">
        <f t="shared" si="5"/>
        <v>-138.23846153846154</v>
      </c>
      <c r="G63" s="56">
        <f t="shared" si="5"/>
        <v>-868.56153846153825</v>
      </c>
    </row>
    <row r="65" spans="1:1">
      <c r="A65" s="64" t="s">
        <v>1813</v>
      </c>
    </row>
    <row r="66" spans="1:1">
      <c r="A66" s="195" t="s">
        <v>1341</v>
      </c>
    </row>
  </sheetData>
  <mergeCells count="4">
    <mergeCell ref="A1:G1"/>
    <mergeCell ref="B2:B3"/>
    <mergeCell ref="D2:G2"/>
    <mergeCell ref="C2:C3"/>
  </mergeCells>
  <pageMargins left="0.7" right="0.7" top="0.75" bottom="0.75" header="0.3" footer="0.3"/>
  <pageSetup scale="91" orientation="portrait" horizontalDpi="0" verticalDpi="0" r:id="rId1"/>
</worksheet>
</file>

<file path=xl/worksheets/sheet8.xml><?xml version="1.0" encoding="utf-8"?>
<worksheet xmlns="http://schemas.openxmlformats.org/spreadsheetml/2006/main" xmlns:r="http://schemas.openxmlformats.org/officeDocument/2006/relationships">
  <sheetPr codeName="Sheet8">
    <pageSetUpPr fitToPage="1"/>
  </sheetPr>
  <dimension ref="A1:Y49"/>
  <sheetViews>
    <sheetView zoomScale="85" zoomScaleNormal="85" zoomScaleSheetLayoutView="85" workbookViewId="0">
      <selection activeCell="AC38" sqref="AC38"/>
    </sheetView>
  </sheetViews>
  <sheetFormatPr defaultRowHeight="15"/>
  <cols>
    <col min="1" max="1" width="14.85546875" style="64" customWidth="1"/>
    <col min="2" max="2" width="12.85546875" style="64" customWidth="1"/>
    <col min="3" max="3" width="13" style="64" customWidth="1"/>
    <col min="4" max="4" width="11" style="64" customWidth="1"/>
    <col min="5" max="5" width="18.28515625" style="64" customWidth="1"/>
    <col min="6" max="6" width="14.28515625" style="64" customWidth="1"/>
    <col min="7" max="7" width="14.7109375" style="64" customWidth="1"/>
    <col min="8" max="8" width="10" style="64" customWidth="1"/>
    <col min="9" max="9" width="15.28515625" style="64" customWidth="1"/>
    <col min="10" max="10" width="12.42578125" style="64" customWidth="1"/>
    <col min="11" max="11" width="15.28515625" style="64" customWidth="1"/>
    <col min="12" max="12" width="9.140625" style="64"/>
    <col min="13" max="13" width="14.7109375" style="64" customWidth="1"/>
    <col min="14" max="14" width="18" style="64" customWidth="1"/>
    <col min="15" max="15" width="12.28515625" style="64" customWidth="1"/>
    <col min="16" max="17" width="9.140625" style="64"/>
    <col min="18" max="18" width="11.85546875" style="64" customWidth="1"/>
    <col min="19" max="19" width="11" style="64" customWidth="1"/>
    <col min="20" max="20" width="12.28515625" style="64" customWidth="1"/>
    <col min="21" max="21" width="16.5703125" style="64" customWidth="1"/>
    <col min="22" max="22" width="16" style="64" customWidth="1"/>
    <col min="23" max="23" width="14.85546875" style="64" customWidth="1"/>
    <col min="24" max="24" width="15.5703125" style="64" customWidth="1"/>
    <col min="25" max="16384" width="9.140625" style="64"/>
  </cols>
  <sheetData>
    <row r="1" spans="1:25">
      <c r="A1" s="108" t="s">
        <v>2166</v>
      </c>
      <c r="B1" s="108"/>
      <c r="C1" s="108"/>
      <c r="D1" s="108"/>
      <c r="E1" s="108"/>
      <c r="F1" s="108"/>
      <c r="G1" s="108"/>
      <c r="H1" s="108"/>
      <c r="I1" s="108"/>
      <c r="J1" s="108"/>
      <c r="K1" s="108"/>
      <c r="L1" s="108"/>
      <c r="M1" s="108"/>
      <c r="N1" s="108"/>
      <c r="O1" s="108"/>
      <c r="P1" s="108"/>
      <c r="Q1" s="108"/>
      <c r="R1" s="108"/>
      <c r="S1" s="108"/>
      <c r="T1" s="108"/>
      <c r="U1" s="108"/>
      <c r="V1" s="108"/>
      <c r="W1" s="108"/>
      <c r="X1" s="108"/>
    </row>
    <row r="2" spans="1:25" ht="15" customHeight="1">
      <c r="B2" s="94" t="s">
        <v>7</v>
      </c>
      <c r="C2" s="127" t="s">
        <v>37</v>
      </c>
      <c r="D2" s="128"/>
      <c r="E2" s="128"/>
      <c r="F2" s="128"/>
      <c r="G2" s="128"/>
      <c r="H2" s="128"/>
      <c r="I2" s="128"/>
      <c r="J2" s="128"/>
      <c r="K2" s="128"/>
      <c r="L2" s="128"/>
      <c r="M2" s="128"/>
      <c r="N2" s="128"/>
      <c r="O2" s="128"/>
      <c r="P2" s="128"/>
      <c r="Q2" s="128"/>
      <c r="R2" s="128"/>
      <c r="S2" s="128"/>
      <c r="T2" s="128"/>
      <c r="U2" s="128"/>
      <c r="V2" s="128"/>
      <c r="W2" s="128"/>
      <c r="X2" s="129"/>
      <c r="Y2" s="124"/>
    </row>
    <row r="3" spans="1:25" ht="15" customHeight="1">
      <c r="B3" s="94"/>
      <c r="C3" s="123" t="s">
        <v>78</v>
      </c>
      <c r="D3" s="94" t="s">
        <v>0</v>
      </c>
      <c r="E3" s="112" t="s">
        <v>1</v>
      </c>
      <c r="F3" s="112"/>
      <c r="G3" s="112"/>
      <c r="H3" s="112"/>
      <c r="I3" s="112"/>
      <c r="J3" s="112"/>
      <c r="K3" s="112"/>
      <c r="L3" s="112"/>
      <c r="M3" s="112"/>
      <c r="N3" s="112" t="s">
        <v>2</v>
      </c>
      <c r="O3" s="112"/>
      <c r="P3" s="112"/>
      <c r="Q3" s="112"/>
      <c r="R3" s="112"/>
      <c r="S3" s="112"/>
      <c r="T3" s="112"/>
      <c r="U3" s="112"/>
      <c r="V3" s="112"/>
      <c r="W3" s="112"/>
      <c r="X3" s="112"/>
      <c r="Y3" s="124"/>
    </row>
    <row r="4" spans="1:25" ht="15" customHeight="1">
      <c r="B4" s="94"/>
      <c r="C4" s="125"/>
      <c r="D4" s="94"/>
      <c r="E4" s="94" t="s">
        <v>560</v>
      </c>
      <c r="F4" s="97" t="s">
        <v>8</v>
      </c>
      <c r="G4" s="97" t="s">
        <v>9</v>
      </c>
      <c r="H4" s="97"/>
      <c r="I4" s="97"/>
      <c r="J4" s="97"/>
      <c r="K4" s="98" t="s">
        <v>11</v>
      </c>
      <c r="L4" s="100"/>
      <c r="M4" s="99"/>
      <c r="N4" s="94" t="s">
        <v>517</v>
      </c>
      <c r="O4" s="103" t="s">
        <v>13</v>
      </c>
      <c r="P4" s="103"/>
      <c r="Q4" s="103"/>
      <c r="R4" s="103"/>
      <c r="S4" s="103"/>
      <c r="T4" s="103"/>
      <c r="U4" s="97" t="s">
        <v>19</v>
      </c>
      <c r="V4" s="97"/>
      <c r="W4" s="97"/>
      <c r="X4" s="97"/>
      <c r="Y4" s="62"/>
    </row>
    <row r="5" spans="1:25" ht="105">
      <c r="B5" s="94"/>
      <c r="C5" s="126"/>
      <c r="D5" s="94"/>
      <c r="E5" s="94"/>
      <c r="F5" s="97"/>
      <c r="G5" s="73" t="s">
        <v>558</v>
      </c>
      <c r="H5" s="73" t="s">
        <v>554</v>
      </c>
      <c r="I5" s="73" t="s">
        <v>10</v>
      </c>
      <c r="J5" s="73" t="s">
        <v>555</v>
      </c>
      <c r="K5" s="73" t="s">
        <v>559</v>
      </c>
      <c r="L5" s="73" t="s">
        <v>12</v>
      </c>
      <c r="M5" s="73" t="s">
        <v>556</v>
      </c>
      <c r="N5" s="94"/>
      <c r="O5" s="73" t="s">
        <v>561</v>
      </c>
      <c r="P5" s="73" t="s">
        <v>14</v>
      </c>
      <c r="Q5" s="73" t="s">
        <v>15</v>
      </c>
      <c r="R5" s="73" t="s">
        <v>16</v>
      </c>
      <c r="S5" s="73" t="s">
        <v>17</v>
      </c>
      <c r="T5" s="73" t="s">
        <v>18</v>
      </c>
      <c r="U5" s="73" t="s">
        <v>562</v>
      </c>
      <c r="V5" s="73" t="s">
        <v>20</v>
      </c>
      <c r="W5" s="73" t="s">
        <v>21</v>
      </c>
      <c r="X5" s="73" t="s">
        <v>557</v>
      </c>
      <c r="Y5" s="62"/>
    </row>
    <row r="6" spans="1:25">
      <c r="A6" s="66">
        <v>1981</v>
      </c>
      <c r="B6" s="58">
        <f>'1a'!B7/'1a'!B$28*100</f>
        <v>56.442651726099569</v>
      </c>
      <c r="C6" s="58" t="s">
        <v>22</v>
      </c>
      <c r="D6" s="58" t="s">
        <v>22</v>
      </c>
      <c r="E6" s="58">
        <f>'1a'!F7/'1a'!F$28*100</f>
        <v>45.422185430463571</v>
      </c>
      <c r="F6" s="58" t="s">
        <v>22</v>
      </c>
      <c r="G6" s="58" t="s">
        <v>22</v>
      </c>
      <c r="H6" s="58" t="s">
        <v>22</v>
      </c>
      <c r="I6" s="56" t="s">
        <v>22</v>
      </c>
      <c r="J6" s="56" t="s">
        <v>22</v>
      </c>
      <c r="K6" s="56" t="s">
        <v>22</v>
      </c>
      <c r="L6" s="56" t="s">
        <v>22</v>
      </c>
      <c r="M6" s="56" t="s">
        <v>22</v>
      </c>
      <c r="N6" s="58">
        <f>'1a'!O7/'1a'!O$28*100</f>
        <v>76.637168141592909</v>
      </c>
      <c r="O6" s="58">
        <f>'1a'!P7/'1a'!P$28*100</f>
        <v>79.812669460192268</v>
      </c>
      <c r="P6" s="56" t="s">
        <v>22</v>
      </c>
      <c r="Q6" s="56" t="s">
        <v>22</v>
      </c>
      <c r="R6" s="56" t="s">
        <v>22</v>
      </c>
      <c r="S6" s="56" t="s">
        <v>22</v>
      </c>
      <c r="T6" s="56" t="s">
        <v>22</v>
      </c>
      <c r="U6" s="58">
        <f>'1a'!V7/'1a'!V$28*100</f>
        <v>73.047187416688899</v>
      </c>
      <c r="V6" s="56" t="s">
        <v>22</v>
      </c>
      <c r="W6" s="56" t="s">
        <v>22</v>
      </c>
      <c r="X6" s="56" t="s">
        <v>22</v>
      </c>
    </row>
    <row r="7" spans="1:25">
      <c r="A7" s="66">
        <v>1982</v>
      </c>
      <c r="B7" s="58">
        <f>'1a'!B8/'1a'!B$28*100</f>
        <v>54.969553729153553</v>
      </c>
      <c r="C7" s="56" t="s">
        <v>22</v>
      </c>
      <c r="D7" s="56" t="s">
        <v>22</v>
      </c>
      <c r="E7" s="58">
        <f>'1a'!F8/'1a'!F$28*100</f>
        <v>38.120860927152314</v>
      </c>
      <c r="F7" s="56" t="s">
        <v>22</v>
      </c>
      <c r="G7" s="56" t="s">
        <v>22</v>
      </c>
      <c r="H7" s="56" t="s">
        <v>22</v>
      </c>
      <c r="I7" s="56" t="s">
        <v>22</v>
      </c>
      <c r="J7" s="56" t="s">
        <v>22</v>
      </c>
      <c r="K7" s="56" t="s">
        <v>22</v>
      </c>
      <c r="L7" s="56" t="s">
        <v>22</v>
      </c>
      <c r="M7" s="56" t="s">
        <v>22</v>
      </c>
      <c r="N7" s="58">
        <f>'1a'!O8/'1a'!O$28*100</f>
        <v>68.124736620311836</v>
      </c>
      <c r="O7" s="58">
        <f>'1a'!P8/'1a'!P$28*100</f>
        <v>71.962040916933717</v>
      </c>
      <c r="P7" s="56" t="s">
        <v>22</v>
      </c>
      <c r="Q7" s="56" t="s">
        <v>22</v>
      </c>
      <c r="R7" s="56" t="s">
        <v>22</v>
      </c>
      <c r="S7" s="56" t="s">
        <v>22</v>
      </c>
      <c r="T7" s="56" t="s">
        <v>22</v>
      </c>
      <c r="U7" s="58">
        <f>'1a'!V8/'1a'!V$28*100</f>
        <v>60.677152759264217</v>
      </c>
      <c r="V7" s="56" t="s">
        <v>22</v>
      </c>
      <c r="W7" s="56" t="s">
        <v>22</v>
      </c>
      <c r="X7" s="56" t="s">
        <v>22</v>
      </c>
    </row>
    <row r="8" spans="1:25">
      <c r="A8" s="66">
        <v>1983</v>
      </c>
      <c r="B8" s="58">
        <f>'1a'!B9/'1a'!B$28*100</f>
        <v>56.443119554477676</v>
      </c>
      <c r="C8" s="56" t="s">
        <v>22</v>
      </c>
      <c r="D8" s="56" t="s">
        <v>22</v>
      </c>
      <c r="E8" s="58">
        <f>'1a'!F9/'1a'!F$28*100</f>
        <v>47.086092715231779</v>
      </c>
      <c r="F8" s="56" t="s">
        <v>22</v>
      </c>
      <c r="G8" s="56" t="s">
        <v>22</v>
      </c>
      <c r="H8" s="56" t="s">
        <v>22</v>
      </c>
      <c r="I8" s="56" t="s">
        <v>22</v>
      </c>
      <c r="J8" s="56" t="s">
        <v>22</v>
      </c>
      <c r="K8" s="56" t="s">
        <v>22</v>
      </c>
      <c r="L8" s="56" t="s">
        <v>22</v>
      </c>
      <c r="M8" s="56" t="s">
        <v>22</v>
      </c>
      <c r="N8" s="58">
        <f>'1a'!O9/'1a'!O$28*100</f>
        <v>76.17361989043404</v>
      </c>
      <c r="O8" s="58">
        <f>'1a'!P9/'1a'!P$28*100</f>
        <v>80.404239585900925</v>
      </c>
      <c r="P8" s="56" t="s">
        <v>22</v>
      </c>
      <c r="Q8" s="56" t="s">
        <v>22</v>
      </c>
      <c r="R8" s="56" t="s">
        <v>22</v>
      </c>
      <c r="S8" s="56" t="s">
        <v>22</v>
      </c>
      <c r="T8" s="56" t="s">
        <v>22</v>
      </c>
      <c r="U8" s="58">
        <f>'1a'!V9/'1a'!V$28*100</f>
        <v>68.141828845641186</v>
      </c>
      <c r="V8" s="56" t="s">
        <v>22</v>
      </c>
      <c r="W8" s="56" t="s">
        <v>22</v>
      </c>
      <c r="X8" s="56" t="s">
        <v>22</v>
      </c>
    </row>
    <row r="9" spans="1:25">
      <c r="A9" s="66">
        <v>1984</v>
      </c>
      <c r="B9" s="58">
        <f>'1a'!B10/'1a'!B$28*100</f>
        <v>59.520962453965666</v>
      </c>
      <c r="C9" s="56" t="s">
        <v>22</v>
      </c>
      <c r="D9" s="56" t="s">
        <v>22</v>
      </c>
      <c r="E9" s="58">
        <f>'1a'!F10/'1a'!F$28*100</f>
        <v>52.764900662251648</v>
      </c>
      <c r="F9" s="56" t="s">
        <v>22</v>
      </c>
      <c r="G9" s="56" t="s">
        <v>22</v>
      </c>
      <c r="H9" s="56" t="s">
        <v>22</v>
      </c>
      <c r="I9" s="56" t="s">
        <v>22</v>
      </c>
      <c r="J9" s="56" t="s">
        <v>22</v>
      </c>
      <c r="K9" s="56" t="s">
        <v>22</v>
      </c>
      <c r="L9" s="56" t="s">
        <v>22</v>
      </c>
      <c r="M9" s="56" t="s">
        <v>22</v>
      </c>
      <c r="N9" s="58">
        <f>'1a'!O10/'1a'!O$28*100</f>
        <v>79.553308048883267</v>
      </c>
      <c r="O9" s="58">
        <f>'1a'!P10/'1a'!P$28*100</f>
        <v>84.545230465861479</v>
      </c>
      <c r="P9" s="56" t="s">
        <v>22</v>
      </c>
      <c r="Q9" s="56" t="s">
        <v>22</v>
      </c>
      <c r="R9" s="56" t="s">
        <v>22</v>
      </c>
      <c r="S9" s="56" t="s">
        <v>22</v>
      </c>
      <c r="T9" s="56" t="s">
        <v>22</v>
      </c>
      <c r="U9" s="58">
        <f>'1a'!V10/'1a'!V$28*100</f>
        <v>68.914956011730226</v>
      </c>
      <c r="V9" s="56" t="s">
        <v>22</v>
      </c>
      <c r="W9" s="56" t="s">
        <v>22</v>
      </c>
      <c r="X9" s="56" t="s">
        <v>22</v>
      </c>
    </row>
    <row r="10" spans="1:25">
      <c r="A10" s="66">
        <v>1985</v>
      </c>
      <c r="B10" s="58">
        <f>'1a'!B11/'1a'!B$28*100</f>
        <v>62.537145573220734</v>
      </c>
      <c r="C10" s="56" t="s">
        <v>22</v>
      </c>
      <c r="D10" s="56" t="s">
        <v>22</v>
      </c>
      <c r="E10" s="58">
        <f>'1a'!F11/'1a'!F$28*100</f>
        <v>59.850993377483441</v>
      </c>
      <c r="F10" s="56" t="s">
        <v>22</v>
      </c>
      <c r="G10" s="56" t="s">
        <v>22</v>
      </c>
      <c r="H10" s="56" t="s">
        <v>22</v>
      </c>
      <c r="I10" s="56" t="s">
        <v>22</v>
      </c>
      <c r="J10" s="56" t="s">
        <v>22</v>
      </c>
      <c r="K10" s="56" t="s">
        <v>22</v>
      </c>
      <c r="L10" s="56" t="s">
        <v>22</v>
      </c>
      <c r="M10" s="56" t="s">
        <v>22</v>
      </c>
      <c r="N10" s="58">
        <f>'1a'!O11/'1a'!O$28*100</f>
        <v>79.089759797724398</v>
      </c>
      <c r="O10" s="58">
        <f>'1a'!P11/'1a'!P$28*100</f>
        <v>84.163174759674646</v>
      </c>
      <c r="P10" s="56" t="s">
        <v>22</v>
      </c>
      <c r="Q10" s="56" t="s">
        <v>22</v>
      </c>
      <c r="R10" s="56" t="s">
        <v>22</v>
      </c>
      <c r="S10" s="56" t="s">
        <v>22</v>
      </c>
      <c r="T10" s="56" t="s">
        <v>22</v>
      </c>
      <c r="U10" s="58">
        <f>'1a'!V11/'1a'!V$28*100</f>
        <v>67.98187150093311</v>
      </c>
      <c r="V10" s="56" t="s">
        <v>22</v>
      </c>
      <c r="W10" s="56" t="s">
        <v>22</v>
      </c>
      <c r="X10" s="56" t="s">
        <v>22</v>
      </c>
    </row>
    <row r="11" spans="1:25">
      <c r="A11" s="66">
        <v>1986</v>
      </c>
      <c r="B11" s="58">
        <f>'1a'!B12/'1a'!B$28*100</f>
        <v>64.259876792718316</v>
      </c>
      <c r="C11" s="58">
        <f>'1a'!D12/'1a'!D$28*100</f>
        <v>74.649775454118924</v>
      </c>
      <c r="D11" s="58">
        <f>'1a'!E12/'1a'!E$28*100</f>
        <v>89.852367215340152</v>
      </c>
      <c r="E11" s="58">
        <f>'1a'!F12/'1a'!F$28*100</f>
        <v>60.149006622516552</v>
      </c>
      <c r="F11" s="56" t="s">
        <v>22</v>
      </c>
      <c r="G11" s="56" t="s">
        <v>22</v>
      </c>
      <c r="H11" s="56" t="s">
        <v>22</v>
      </c>
      <c r="I11" s="56" t="s">
        <v>22</v>
      </c>
      <c r="J11" s="56" t="s">
        <v>22</v>
      </c>
      <c r="K11" s="56" t="s">
        <v>22</v>
      </c>
      <c r="L11" s="56" t="s">
        <v>22</v>
      </c>
      <c r="M11" s="56" t="s">
        <v>22</v>
      </c>
      <c r="N11" s="58">
        <f>'1a'!O12/'1a'!O$28*100</f>
        <v>81.862621154656551</v>
      </c>
      <c r="O11" s="58">
        <f>'1a'!P12/'1a'!P$28*100</f>
        <v>88.35346315011094</v>
      </c>
      <c r="P11" s="56" t="s">
        <v>22</v>
      </c>
      <c r="Q11" s="56" t="s">
        <v>22</v>
      </c>
      <c r="R11" s="56" t="s">
        <v>22</v>
      </c>
      <c r="S11" s="56" t="s">
        <v>22</v>
      </c>
      <c r="T11" s="56" t="s">
        <v>22</v>
      </c>
      <c r="U11" s="58">
        <f>'1a'!V12/'1a'!V$28*100</f>
        <v>65.235937083444426</v>
      </c>
      <c r="V11" s="56" t="s">
        <v>22</v>
      </c>
      <c r="W11" s="56" t="s">
        <v>22</v>
      </c>
      <c r="X11" s="56" t="s">
        <v>22</v>
      </c>
    </row>
    <row r="12" spans="1:25">
      <c r="A12" s="66">
        <v>1987</v>
      </c>
      <c r="B12" s="58">
        <f>'1a'!B13/'1a'!B$28*100</f>
        <v>66.785869337405288</v>
      </c>
      <c r="C12" s="58">
        <f>'1a'!D13/'1a'!D$28*100</f>
        <v>82.823915812051766</v>
      </c>
      <c r="D12" s="58">
        <f>'1a'!E13/'1a'!E$28*100</f>
        <v>107.72102494484974</v>
      </c>
      <c r="E12" s="58">
        <f>'1a'!F13/'1a'!F$28*100</f>
        <v>68.990066225165563</v>
      </c>
      <c r="F12" s="56" t="s">
        <v>22</v>
      </c>
      <c r="G12" s="56" t="s">
        <v>22</v>
      </c>
      <c r="H12" s="56" t="s">
        <v>22</v>
      </c>
      <c r="I12" s="56" t="s">
        <v>22</v>
      </c>
      <c r="J12" s="56" t="s">
        <v>22</v>
      </c>
      <c r="K12" s="56" t="s">
        <v>22</v>
      </c>
      <c r="L12" s="56" t="s">
        <v>22</v>
      </c>
      <c r="M12" s="56" t="s">
        <v>22</v>
      </c>
      <c r="N12" s="58">
        <f>'1a'!O13/'1a'!O$28*100</f>
        <v>84.542772861356937</v>
      </c>
      <c r="O12" s="58">
        <f>'1a'!P13/'1a'!P$28*100</f>
        <v>91.607098841508517</v>
      </c>
      <c r="P12" s="56" t="s">
        <v>22</v>
      </c>
      <c r="Q12" s="56" t="s">
        <v>22</v>
      </c>
      <c r="R12" s="56" t="s">
        <v>22</v>
      </c>
      <c r="S12" s="56" t="s">
        <v>22</v>
      </c>
      <c r="T12" s="56" t="s">
        <v>22</v>
      </c>
      <c r="U12" s="58">
        <f>'1a'!V13/'1a'!V$28*100</f>
        <v>66.142362036790203</v>
      </c>
      <c r="V12" s="56" t="s">
        <v>22</v>
      </c>
      <c r="W12" s="56" t="s">
        <v>22</v>
      </c>
      <c r="X12" s="56" t="s">
        <v>22</v>
      </c>
    </row>
    <row r="13" spans="1:25">
      <c r="A13" s="66">
        <v>1988</v>
      </c>
      <c r="B13" s="58">
        <f>'1a'!B14/'1a'!B$28*100</f>
        <v>69.74123476750799</v>
      </c>
      <c r="C13" s="58">
        <f>'1a'!D14/'1a'!D$28*100</f>
        <v>83.809236544004307</v>
      </c>
      <c r="D13" s="58">
        <f>'1a'!E14/'1a'!E$28*100</f>
        <v>106.43135923977592</v>
      </c>
      <c r="E13" s="58">
        <f>'1a'!F14/'1a'!F$28*100</f>
        <v>71.307947019867541</v>
      </c>
      <c r="F13" s="56" t="s">
        <v>22</v>
      </c>
      <c r="G13" s="56" t="s">
        <v>22</v>
      </c>
      <c r="H13" s="56" t="s">
        <v>22</v>
      </c>
      <c r="I13" s="56" t="s">
        <v>22</v>
      </c>
      <c r="J13" s="56" t="s">
        <v>22</v>
      </c>
      <c r="K13" s="56" t="s">
        <v>22</v>
      </c>
      <c r="L13" s="56" t="s">
        <v>22</v>
      </c>
      <c r="M13" s="56" t="s">
        <v>22</v>
      </c>
      <c r="N13" s="58">
        <f>'1a'!O14/'1a'!O$28*100</f>
        <v>85.301306363253275</v>
      </c>
      <c r="O13" s="58">
        <f>'1a'!P14/'1a'!P$28*100</f>
        <v>92.124722701503586</v>
      </c>
      <c r="P13" s="56" t="s">
        <v>22</v>
      </c>
      <c r="Q13" s="56" t="s">
        <v>22</v>
      </c>
      <c r="R13" s="56" t="s">
        <v>22</v>
      </c>
      <c r="S13" s="56" t="s">
        <v>22</v>
      </c>
      <c r="T13" s="56" t="s">
        <v>22</v>
      </c>
      <c r="U13" s="58">
        <f>'1a'!V14/'1a'!V$28*100</f>
        <v>67.875233271127712</v>
      </c>
      <c r="V13" s="56" t="s">
        <v>22</v>
      </c>
      <c r="W13" s="56" t="s">
        <v>22</v>
      </c>
      <c r="X13" s="56" t="s">
        <v>22</v>
      </c>
    </row>
    <row r="14" spans="1:25">
      <c r="A14" s="66">
        <v>1989</v>
      </c>
      <c r="B14" s="58">
        <f>'1a'!B15/'1a'!B$28*100</f>
        <v>71.40324186352882</v>
      </c>
      <c r="C14" s="58">
        <f>'1a'!D15/'1a'!D$28*100</f>
        <v>81.610697767946917</v>
      </c>
      <c r="D14" s="58">
        <f>'1a'!E15/'1a'!E$28*100</f>
        <v>103.20719497709139</v>
      </c>
      <c r="E14" s="58">
        <f>'1a'!F15/'1a'!F$28*100</f>
        <v>69.602649006622514</v>
      </c>
      <c r="F14" s="56" t="s">
        <v>22</v>
      </c>
      <c r="G14" s="56" t="s">
        <v>22</v>
      </c>
      <c r="H14" s="56" t="s">
        <v>22</v>
      </c>
      <c r="I14" s="56" t="s">
        <v>22</v>
      </c>
      <c r="J14" s="56" t="s">
        <v>22</v>
      </c>
      <c r="K14" s="56" t="s">
        <v>22</v>
      </c>
      <c r="L14" s="56" t="s">
        <v>22</v>
      </c>
      <c r="M14" s="56" t="s">
        <v>22</v>
      </c>
      <c r="N14" s="58">
        <f>'1a'!O15/'1a'!O$28*100</f>
        <v>83.109987357774955</v>
      </c>
      <c r="O14" s="58">
        <f>'1a'!P15/'1a'!P$28*100</f>
        <v>88.439733793443438</v>
      </c>
      <c r="P14" s="56" t="s">
        <v>22</v>
      </c>
      <c r="Q14" s="56" t="s">
        <v>22</v>
      </c>
      <c r="R14" s="56" t="s">
        <v>22</v>
      </c>
      <c r="S14" s="56" t="s">
        <v>22</v>
      </c>
      <c r="T14" s="56" t="s">
        <v>22</v>
      </c>
      <c r="U14" s="58">
        <f>'1a'!V15/'1a'!V$28*100</f>
        <v>70.541189016262337</v>
      </c>
      <c r="V14" s="56" t="s">
        <v>22</v>
      </c>
      <c r="W14" s="56" t="s">
        <v>22</v>
      </c>
      <c r="X14" s="56" t="s">
        <v>22</v>
      </c>
    </row>
    <row r="15" spans="1:25">
      <c r="A15" s="66">
        <v>1990</v>
      </c>
      <c r="B15" s="58">
        <f>'1a'!B16/'1a'!B$28*100</f>
        <v>71.780966496002847</v>
      </c>
      <c r="C15" s="58">
        <f>'1a'!D16/'1a'!D$28*100</f>
        <v>76.302030967223004</v>
      </c>
      <c r="D15" s="58">
        <f>'1a'!E16/'1a'!E$28*100</f>
        <v>89.071780078058651</v>
      </c>
      <c r="E15" s="58">
        <f>'1a'!F16/'1a'!F$28*100</f>
        <v>64.759933774834451</v>
      </c>
      <c r="F15" s="56" t="s">
        <v>22</v>
      </c>
      <c r="G15" s="65" t="s">
        <v>22</v>
      </c>
      <c r="H15" s="56" t="s">
        <v>22</v>
      </c>
      <c r="I15" s="56" t="s">
        <v>22</v>
      </c>
      <c r="J15" s="56" t="s">
        <v>22</v>
      </c>
      <c r="K15" s="56" t="s">
        <v>22</v>
      </c>
      <c r="L15" s="56" t="s">
        <v>22</v>
      </c>
      <c r="M15" s="56" t="s">
        <v>22</v>
      </c>
      <c r="N15" s="58">
        <f>'1a'!O16/'1a'!O$28*100</f>
        <v>81.710914454277273</v>
      </c>
      <c r="O15" s="58">
        <f>'1a'!P16/'1a'!P$28*100</f>
        <v>87.268917919645062</v>
      </c>
      <c r="P15" s="56" t="s">
        <v>22</v>
      </c>
      <c r="Q15" s="56" t="s">
        <v>22</v>
      </c>
      <c r="R15" s="56" t="s">
        <v>22</v>
      </c>
      <c r="S15" s="56" t="s">
        <v>22</v>
      </c>
      <c r="T15" s="56" t="s">
        <v>22</v>
      </c>
      <c r="U15" s="58">
        <f>'1a'!V16/'1a'!V$28*100</f>
        <v>68.248467075446555</v>
      </c>
      <c r="V15" s="56" t="s">
        <v>22</v>
      </c>
      <c r="W15" s="56" t="s">
        <v>22</v>
      </c>
      <c r="X15" s="56" t="s">
        <v>22</v>
      </c>
    </row>
    <row r="16" spans="1:25">
      <c r="A16" s="66">
        <v>1991</v>
      </c>
      <c r="B16" s="58">
        <f>'1a'!B17/'1a'!B$28*100</f>
        <v>70.753521812030272</v>
      </c>
      <c r="C16" s="58">
        <f>'1a'!D17/'1a'!D$28*100</f>
        <v>69.1969971177693</v>
      </c>
      <c r="D16" s="58">
        <f>'1a'!E17/'1a'!E$28*100</f>
        <v>76.718140166298951</v>
      </c>
      <c r="E16" s="58">
        <f>'1a'!F17/'1a'!F$28*100</f>
        <v>57.375827814569547</v>
      </c>
      <c r="F16" s="56" t="s">
        <v>22</v>
      </c>
      <c r="G16" s="56" t="s">
        <v>22</v>
      </c>
      <c r="H16" s="56" t="s">
        <v>22</v>
      </c>
      <c r="I16" s="56" t="s">
        <v>22</v>
      </c>
      <c r="J16" s="56" t="s">
        <v>22</v>
      </c>
      <c r="K16" s="56" t="s">
        <v>22</v>
      </c>
      <c r="L16" s="56" t="s">
        <v>22</v>
      </c>
      <c r="M16" s="56" t="s">
        <v>22</v>
      </c>
      <c r="N16" s="58">
        <f>'1a'!O17/'1a'!O$28*100</f>
        <v>77.49683944374209</v>
      </c>
      <c r="O16" s="58">
        <f>'1a'!P17/'1a'!P$28*100</f>
        <v>81.809218634458958</v>
      </c>
      <c r="P16" s="56" t="s">
        <v>22</v>
      </c>
      <c r="Q16" s="56" t="s">
        <v>22</v>
      </c>
      <c r="R16" s="56" t="s">
        <v>22</v>
      </c>
      <c r="S16" s="56" t="s">
        <v>22</v>
      </c>
      <c r="T16" s="56" t="s">
        <v>22</v>
      </c>
      <c r="U16" s="58">
        <f>'1a'!V17/'1a'!V$28*100</f>
        <v>68.035190615835788</v>
      </c>
      <c r="V16" s="56" t="s">
        <v>22</v>
      </c>
      <c r="W16" s="56" t="s">
        <v>22</v>
      </c>
      <c r="X16" s="56" t="s">
        <v>22</v>
      </c>
    </row>
    <row r="17" spans="1:24">
      <c r="A17" s="66">
        <v>1992</v>
      </c>
      <c r="B17" s="58">
        <f>'1a'!B18/'1a'!B$28*100</f>
        <v>71.356459025719317</v>
      </c>
      <c r="C17" s="58">
        <f>'1a'!D18/'1a'!D$28*100</f>
        <v>71.486024532475369</v>
      </c>
      <c r="D17" s="58">
        <f>'1a'!E18/'1a'!E$28*100</f>
        <v>77.736297301883539</v>
      </c>
      <c r="E17" s="58">
        <f>'1a'!F18/'1a'!F$28*100</f>
        <v>60.430463576158957</v>
      </c>
      <c r="F17" s="56" t="s">
        <v>22</v>
      </c>
      <c r="G17" s="56" t="s">
        <v>22</v>
      </c>
      <c r="H17" s="56" t="s">
        <v>22</v>
      </c>
      <c r="I17" s="56" t="s">
        <v>22</v>
      </c>
      <c r="J17" s="56" t="s">
        <v>22</v>
      </c>
      <c r="K17" s="56" t="s">
        <v>22</v>
      </c>
      <c r="L17" s="56" t="s">
        <v>22</v>
      </c>
      <c r="M17" s="56" t="s">
        <v>22</v>
      </c>
      <c r="N17" s="58">
        <f>'1a'!O18/'1a'!O$28*100</f>
        <v>79.63758954909396</v>
      </c>
      <c r="O17" s="58">
        <f>'1a'!P18/'1a'!P$28*100</f>
        <v>84.680798619669716</v>
      </c>
      <c r="P17" s="56" t="s">
        <v>22</v>
      </c>
      <c r="Q17" s="56" t="s">
        <v>22</v>
      </c>
      <c r="R17" s="56" t="s">
        <v>22</v>
      </c>
      <c r="S17" s="56" t="s">
        <v>22</v>
      </c>
      <c r="T17" s="56" t="s">
        <v>22</v>
      </c>
      <c r="U17" s="58">
        <f>'1a'!V18/'1a'!V$28*100</f>
        <v>67.875233271127698</v>
      </c>
      <c r="V17" s="56" t="s">
        <v>22</v>
      </c>
      <c r="W17" s="56" t="s">
        <v>22</v>
      </c>
      <c r="X17" s="56" t="s">
        <v>22</v>
      </c>
    </row>
    <row r="18" spans="1:24">
      <c r="A18" s="66">
        <v>1993</v>
      </c>
      <c r="B18" s="58">
        <f>'1a'!B19/'1a'!B$28*100</f>
        <v>73.102862361148524</v>
      </c>
      <c r="C18" s="58">
        <f>'1a'!D19/'1a'!D$28*100</f>
        <v>76.137810845230902</v>
      </c>
      <c r="D18" s="58">
        <f>'1a'!E19/'1a'!E$28*100</f>
        <v>83.421007975564194</v>
      </c>
      <c r="E18" s="58">
        <f>'1a'!F19/'1a'!F$28*100</f>
        <v>63.402317880794712</v>
      </c>
      <c r="F18" s="56" t="s">
        <v>22</v>
      </c>
      <c r="G18" s="56" t="s">
        <v>22</v>
      </c>
      <c r="H18" s="56" t="s">
        <v>22</v>
      </c>
      <c r="I18" s="56" t="s">
        <v>22</v>
      </c>
      <c r="J18" s="56" t="s">
        <v>22</v>
      </c>
      <c r="K18" s="56" t="s">
        <v>22</v>
      </c>
      <c r="L18" s="56" t="s">
        <v>22</v>
      </c>
      <c r="M18" s="56" t="s">
        <v>22</v>
      </c>
      <c r="N18" s="58">
        <f>'1a'!O19/'1a'!O$28*100</f>
        <v>85.486725663716797</v>
      </c>
      <c r="O18" s="58">
        <f>'1a'!P19/'1a'!P$28*100</f>
        <v>90.867636184372699</v>
      </c>
      <c r="P18" s="56" t="s">
        <v>22</v>
      </c>
      <c r="Q18" s="56" t="s">
        <v>22</v>
      </c>
      <c r="R18" s="56" t="s">
        <v>22</v>
      </c>
      <c r="S18" s="56" t="s">
        <v>22</v>
      </c>
      <c r="T18" s="56" t="s">
        <v>22</v>
      </c>
      <c r="U18" s="58">
        <f>'1a'!V19/'1a'!V$28*100</f>
        <v>72.860570514529471</v>
      </c>
      <c r="V18" s="56" t="s">
        <v>22</v>
      </c>
      <c r="W18" s="56" t="s">
        <v>22</v>
      </c>
      <c r="X18" s="56" t="s">
        <v>22</v>
      </c>
    </row>
    <row r="19" spans="1:24">
      <c r="A19" s="66">
        <v>1994</v>
      </c>
      <c r="B19" s="58">
        <f>'1a'!B20/'1a'!B$28*100</f>
        <v>76.390947333752493</v>
      </c>
      <c r="C19" s="58">
        <f>'1a'!D20/'1a'!D$28*100</f>
        <v>78.963067229707079</v>
      </c>
      <c r="D19" s="58">
        <f>'1a'!E20/'1a'!E$28*100</f>
        <v>86.662141523841825</v>
      </c>
      <c r="E19" s="58">
        <f>'1a'!F20/'1a'!F$28*100</f>
        <v>64.511589403973531</v>
      </c>
      <c r="F19" s="56" t="s">
        <v>22</v>
      </c>
      <c r="G19" s="56" t="s">
        <v>22</v>
      </c>
      <c r="H19" s="56" t="s">
        <v>22</v>
      </c>
      <c r="I19" s="56" t="s">
        <v>22</v>
      </c>
      <c r="J19" s="56" t="s">
        <v>22</v>
      </c>
      <c r="K19" s="56" t="s">
        <v>22</v>
      </c>
      <c r="L19" s="56" t="s">
        <v>22</v>
      </c>
      <c r="M19" s="56" t="s">
        <v>22</v>
      </c>
      <c r="N19" s="58">
        <f>'1a'!O20/'1a'!O$28*100</f>
        <v>89.852507374631259</v>
      </c>
      <c r="O19" s="58">
        <f>'1a'!P20/'1a'!P$28*100</f>
        <v>95.131870840522566</v>
      </c>
      <c r="P19" s="56" t="s">
        <v>22</v>
      </c>
      <c r="Q19" s="56" t="s">
        <v>22</v>
      </c>
      <c r="R19" s="56" t="s">
        <v>22</v>
      </c>
      <c r="S19" s="56" t="s">
        <v>22</v>
      </c>
      <c r="T19" s="56" t="s">
        <v>22</v>
      </c>
      <c r="U19" s="58">
        <f>'1a'!V20/'1a'!V$28*100</f>
        <v>77.472673953612386</v>
      </c>
      <c r="V19" s="56" t="s">
        <v>22</v>
      </c>
      <c r="W19" s="56" t="s">
        <v>22</v>
      </c>
      <c r="X19" s="56" t="s">
        <v>22</v>
      </c>
    </row>
    <row r="20" spans="1:24">
      <c r="A20" s="66">
        <v>1995</v>
      </c>
      <c r="B20" s="58">
        <f>'1a'!B21/'1a'!B$28*100</f>
        <v>78.391662175514213</v>
      </c>
      <c r="C20" s="58">
        <f>'1a'!D21/'1a'!D$28*100</f>
        <v>78.956364367584953</v>
      </c>
      <c r="D20" s="58">
        <f>'1a'!E21/'1a'!E$28*100</f>
        <v>89.462073646699437</v>
      </c>
      <c r="E20" s="58">
        <f>'1a'!F21/'1a'!F$28*100</f>
        <v>64.014900662251677</v>
      </c>
      <c r="F20" s="56" t="s">
        <v>22</v>
      </c>
      <c r="G20" s="56" t="s">
        <v>22</v>
      </c>
      <c r="H20" s="56" t="s">
        <v>22</v>
      </c>
      <c r="I20" s="56" t="s">
        <v>22</v>
      </c>
      <c r="J20" s="56" t="s">
        <v>22</v>
      </c>
      <c r="K20" s="56" t="s">
        <v>22</v>
      </c>
      <c r="L20" s="56" t="s">
        <v>22</v>
      </c>
      <c r="M20" s="56" t="s">
        <v>22</v>
      </c>
      <c r="N20" s="58">
        <f>'1a'!O21/'1a'!O$28*100</f>
        <v>88.950695322376731</v>
      </c>
      <c r="O20" s="58">
        <f>'1a'!P21/'1a'!P$28*100</f>
        <v>90.732068030564463</v>
      </c>
      <c r="P20" s="56" t="s">
        <v>22</v>
      </c>
      <c r="Q20" s="56" t="s">
        <v>22</v>
      </c>
      <c r="R20" s="56" t="s">
        <v>22</v>
      </c>
      <c r="S20" s="56" t="s">
        <v>22</v>
      </c>
      <c r="T20" s="56" t="s">
        <v>22</v>
      </c>
      <c r="U20" s="58">
        <f>'1a'!V21/'1a'!V$28*100</f>
        <v>83.711010397227426</v>
      </c>
      <c r="V20" s="56" t="s">
        <v>22</v>
      </c>
      <c r="W20" s="56" t="s">
        <v>22</v>
      </c>
      <c r="X20" s="56" t="s">
        <v>22</v>
      </c>
    </row>
    <row r="21" spans="1:24">
      <c r="A21" s="66">
        <v>1996</v>
      </c>
      <c r="B21" s="58">
        <f>'1a'!B22/'1a'!B$28*100</f>
        <v>79.504158058624483</v>
      </c>
      <c r="C21" s="58">
        <f>'1a'!D22/'1a'!D$28*100</f>
        <v>78.845767142569869</v>
      </c>
      <c r="D21" s="58">
        <f>'1a'!E22/'1a'!E$28*100</f>
        <v>81.859833701001165</v>
      </c>
      <c r="E21" s="58">
        <f>'1a'!F22/'1a'!F$28*100</f>
        <v>65.951986754966896</v>
      </c>
      <c r="F21" s="56" t="s">
        <v>22</v>
      </c>
      <c r="G21" s="56" t="s">
        <v>22</v>
      </c>
      <c r="H21" s="56" t="s">
        <v>22</v>
      </c>
      <c r="I21" s="56" t="s">
        <v>22</v>
      </c>
      <c r="J21" s="56" t="s">
        <v>22</v>
      </c>
      <c r="K21" s="56" t="s">
        <v>22</v>
      </c>
      <c r="L21" s="56" t="s">
        <v>22</v>
      </c>
      <c r="M21" s="56" t="s">
        <v>22</v>
      </c>
      <c r="N21" s="58">
        <f>'1a'!O22/'1a'!O$28*100</f>
        <v>90.476190476190467</v>
      </c>
      <c r="O21" s="58">
        <f>'1a'!P22/'1a'!P$28*100</f>
        <v>89.314764604387477</v>
      </c>
      <c r="P21" s="56" t="s">
        <v>22</v>
      </c>
      <c r="Q21" s="56" t="s">
        <v>22</v>
      </c>
      <c r="R21" s="56" t="s">
        <v>22</v>
      </c>
      <c r="S21" s="56" t="s">
        <v>22</v>
      </c>
      <c r="T21" s="56" t="s">
        <v>22</v>
      </c>
      <c r="U21" s="58">
        <f>'1a'!V22/'1a'!V$28*100</f>
        <v>91.308984270861131</v>
      </c>
      <c r="V21" s="56" t="s">
        <v>22</v>
      </c>
      <c r="W21" s="56" t="s">
        <v>22</v>
      </c>
      <c r="X21" s="56" t="s">
        <v>22</v>
      </c>
    </row>
    <row r="22" spans="1:24">
      <c r="A22" s="66">
        <v>1997</v>
      </c>
      <c r="B22" s="58">
        <f>'1a'!B23/'1a'!B$28*100</f>
        <v>82.846698254438735</v>
      </c>
      <c r="C22" s="58">
        <f>'1a'!D23/'1a'!D$28*100</f>
        <v>84.466117031972644</v>
      </c>
      <c r="D22" s="58">
        <f>'1a'!E23/'1a'!E$28*100</f>
        <v>86.339725097573378</v>
      </c>
      <c r="E22" s="58">
        <f>'1a'!F23/'1a'!F$28*100</f>
        <v>76.77980132450331</v>
      </c>
      <c r="F22" s="58">
        <f>'1a'!G23/'1a'!G$28*100</f>
        <v>83.560617413457209</v>
      </c>
      <c r="G22" s="58">
        <f>'1a'!H23/'1a'!H$28*100</f>
        <v>67.493995196156902</v>
      </c>
      <c r="H22" s="58">
        <f>'1a'!I23/'1a'!I$28*100</f>
        <v>70.227272727272734</v>
      </c>
      <c r="I22" s="58">
        <f>'1a'!J23/'1a'!J$28*100</f>
        <v>56.497175141242941</v>
      </c>
      <c r="J22" s="58">
        <f>'1a'!K23/'1a'!K$28*100</f>
        <v>68.433544303797461</v>
      </c>
      <c r="K22" s="58">
        <f>'1a'!L23/'1a'!L$28*100</f>
        <v>63.905122035063599</v>
      </c>
      <c r="L22" s="58">
        <f>'1a'!M23/'1a'!M$28*100</f>
        <v>56.633165829145725</v>
      </c>
      <c r="M22" s="58">
        <f>'1a'!N23/'1a'!N$28*100</f>
        <v>81.501632208922743</v>
      </c>
      <c r="N22" s="58">
        <f>'1a'!O23/'1a'!O$28*100</f>
        <v>91.361146228402859</v>
      </c>
      <c r="O22" s="58">
        <f>'1a'!P23/'1a'!P$28*100</f>
        <v>93.049051022923351</v>
      </c>
      <c r="P22" s="58">
        <f>'1a'!Q23/'1a'!Q$28*100</f>
        <v>86.206896551724128</v>
      </c>
      <c r="Q22" s="58">
        <f>'1a'!R23/'1a'!R$28*100</f>
        <v>93.85899814471243</v>
      </c>
      <c r="R22" s="58">
        <f>'1a'!S23/'1a'!S$28*100</f>
        <v>93.197616683217475</v>
      </c>
      <c r="S22" s="58">
        <f>'1a'!T23/'1a'!T$28*100</f>
        <v>94.194312796208536</v>
      </c>
      <c r="T22" s="58">
        <f>'1a'!U23/'1a'!U$28*100</f>
        <v>108.63930885529159</v>
      </c>
      <c r="U22" s="58">
        <f>'1a'!V23/'1a'!V$28*100</f>
        <v>86.270327912556652</v>
      </c>
      <c r="V22" s="58">
        <f>'1a'!W23/'1a'!W$28*100</f>
        <v>110.81395348837208</v>
      </c>
      <c r="W22" s="58">
        <f>'1a'!X23/'1a'!X$28*100</f>
        <v>58.47533632286995</v>
      </c>
      <c r="X22" s="58">
        <f>'1a'!Y23/'1a'!Y$28*100</f>
        <v>84.279475982532745</v>
      </c>
    </row>
    <row r="23" spans="1:24">
      <c r="A23" s="66">
        <v>1998</v>
      </c>
      <c r="B23" s="58">
        <f>'1a'!B24/'1a'!B$28*100</f>
        <v>86.112795293272242</v>
      </c>
      <c r="C23" s="58">
        <f>'1a'!D24/'1a'!D$28*100</f>
        <v>85.109591795696758</v>
      </c>
      <c r="D23" s="58">
        <f>'1a'!E24/'1a'!E$28*100</f>
        <v>87.544544374681806</v>
      </c>
      <c r="E23" s="58">
        <f>'1a'!F24/'1a'!F$28*100</f>
        <v>80.256622516556291</v>
      </c>
      <c r="F23" s="58">
        <f>'1a'!G24/'1a'!G$28*100</f>
        <v>87.876517308556885</v>
      </c>
      <c r="G23" s="58">
        <f>'1a'!H24/'1a'!H$28*100</f>
        <v>70.416333066453134</v>
      </c>
      <c r="H23" s="58">
        <f>'1a'!I24/'1a'!I$28*100</f>
        <v>67.61363636363636</v>
      </c>
      <c r="I23" s="58">
        <f>'1a'!J24/'1a'!J$28*100</f>
        <v>62.146892655367239</v>
      </c>
      <c r="J23" s="58">
        <f>'1a'!K24/'1a'!K$28*100</f>
        <v>75.079113924050631</v>
      </c>
      <c r="K23" s="58">
        <f>'1a'!L24/'1a'!L$28*100</f>
        <v>65.280165005156405</v>
      </c>
      <c r="L23" s="58">
        <f>'1a'!M24/'1a'!M$28*100</f>
        <v>59.095477386934668</v>
      </c>
      <c r="M23" s="58">
        <f>'1a'!N24/'1a'!N$28*100</f>
        <v>80.304678998911854</v>
      </c>
      <c r="N23" s="58">
        <f>'1a'!O24/'1a'!O$28*100</f>
        <v>88.841129372102799</v>
      </c>
      <c r="O23" s="58">
        <f>'1a'!P24/'1a'!P$28*100</f>
        <v>88.439733793443423</v>
      </c>
      <c r="P23" s="58">
        <f>'1a'!Q24/'1a'!Q$28*100</f>
        <v>86.929922135706335</v>
      </c>
      <c r="Q23" s="58">
        <f>'1a'!R24/'1a'!R$28*100</f>
        <v>87.532467532467535</v>
      </c>
      <c r="R23" s="58">
        <f>'1a'!S24/'1a'!S$28*100</f>
        <v>89.721946375372397</v>
      </c>
      <c r="S23" s="58">
        <f>'1a'!T24/'1a'!T$28*100</f>
        <v>86.463270142180093</v>
      </c>
      <c r="T23" s="58">
        <f>'1a'!U24/'1a'!U$28*100</f>
        <v>102.05183585313176</v>
      </c>
      <c r="U23" s="58">
        <f>'1a'!V24/'1a'!V$28*100</f>
        <v>90.05598507064785</v>
      </c>
      <c r="V23" s="58">
        <f>'1a'!W24/'1a'!W$28*100</f>
        <v>106.9767441860465</v>
      </c>
      <c r="W23" s="58">
        <f>'1a'!X24/'1a'!X$28*100</f>
        <v>66.367713004484301</v>
      </c>
      <c r="X23" s="58">
        <f>'1a'!Y24/'1a'!Y$28*100</f>
        <v>94.432314410480345</v>
      </c>
    </row>
    <row r="24" spans="1:24">
      <c r="A24" s="66">
        <v>1999</v>
      </c>
      <c r="B24" s="58">
        <f>'1a'!B25/'1a'!B$28*100</f>
        <v>90.94031632683614</v>
      </c>
      <c r="C24" s="58">
        <f>'1a'!D25/'1a'!D$28*100</f>
        <v>91.145519136671368</v>
      </c>
      <c r="D24" s="58">
        <f>'1a'!E25/'1a'!E$28*100</f>
        <v>90.768708637366331</v>
      </c>
      <c r="E24" s="58">
        <f>'1a'!F25/'1a'!F$28*100</f>
        <v>85.413907284768214</v>
      </c>
      <c r="F24" s="58">
        <f>'1a'!G25/'1a'!G$28*100</f>
        <v>89.569908586842502</v>
      </c>
      <c r="G24" s="58">
        <f>'1a'!H25/'1a'!H$28*100</f>
        <v>81.745396317053618</v>
      </c>
      <c r="H24" s="58">
        <f>'1a'!I25/'1a'!I$28*100</f>
        <v>79.886363636363626</v>
      </c>
      <c r="I24" s="58">
        <f>'1a'!J25/'1a'!J$28*100</f>
        <v>61.016949152542374</v>
      </c>
      <c r="J24" s="58">
        <f>'1a'!K25/'1a'!K$28*100</f>
        <v>89.240506329113927</v>
      </c>
      <c r="K24" s="58">
        <f>'1a'!L25/'1a'!L$28*100</f>
        <v>75.833619800618763</v>
      </c>
      <c r="L24" s="58">
        <f>'1a'!M25/'1a'!M$28*100</f>
        <v>71.608040201005025</v>
      </c>
      <c r="M24" s="58">
        <f>'1a'!N25/'1a'!N$28*100</f>
        <v>86.071817192600648</v>
      </c>
      <c r="N24" s="58">
        <f>'1a'!O25/'1a'!O$28*100</f>
        <v>97.16814159292035</v>
      </c>
      <c r="O24" s="58">
        <f>'1a'!P25/'1a'!P$28*100</f>
        <v>99.716539314764589</v>
      </c>
      <c r="P24" s="58">
        <f>'1a'!Q25/'1a'!Q$28*100</f>
        <v>102.66963292547275</v>
      </c>
      <c r="Q24" s="58">
        <f>'1a'!R25/'1a'!R$28*100</f>
        <v>96.252319109461965</v>
      </c>
      <c r="R24" s="58">
        <f>'1a'!S25/'1a'!S$28*100</f>
        <v>91.956305858987093</v>
      </c>
      <c r="S24" s="58">
        <f>'1a'!T25/'1a'!T$28*100</f>
        <v>98.370853080568722</v>
      </c>
      <c r="T24" s="58">
        <f>'1a'!U25/'1a'!U$28*100</f>
        <v>122.57019438444925</v>
      </c>
      <c r="U24" s="58">
        <f>'1a'!V25/'1a'!V$28*100</f>
        <v>89.442815249266857</v>
      </c>
      <c r="V24" s="58">
        <f>'1a'!W25/'1a'!W$28*100</f>
        <v>99.651162790697683</v>
      </c>
      <c r="W24" s="58">
        <f>'1a'!X25/'1a'!X$28*100</f>
        <v>72.017937219730939</v>
      </c>
      <c r="X24" s="58">
        <f>'1a'!Y25/'1a'!Y$28*100</f>
        <v>95.960698689956331</v>
      </c>
    </row>
    <row r="25" spans="1:24">
      <c r="A25" s="66">
        <v>2000</v>
      </c>
      <c r="B25" s="58">
        <f>'1a'!B26/'1a'!B$28*100</f>
        <v>95.958149944609133</v>
      </c>
      <c r="C25" s="58">
        <f>'1a'!D26/'1a'!D$28*100</f>
        <v>97.560158187546079</v>
      </c>
      <c r="D25" s="58">
        <f>'1a'!E26/'1a'!E$28*100</f>
        <v>96.131002884778511</v>
      </c>
      <c r="E25" s="58">
        <f>'1a'!F26/'1a'!F$28*100</f>
        <v>94.743377483443709</v>
      </c>
      <c r="F25" s="58">
        <f>'1a'!G26/'1a'!G$28*100</f>
        <v>98.426494829911576</v>
      </c>
      <c r="G25" s="58">
        <f>'1a'!H26/'1a'!H$28*100</f>
        <v>88.190552441953557</v>
      </c>
      <c r="H25" s="58">
        <f>'1a'!I26/'1a'!I$28*100</f>
        <v>90.909090909090907</v>
      </c>
      <c r="I25" s="58">
        <f>'1a'!J26/'1a'!J$28*100</f>
        <v>64.971751412429384</v>
      </c>
      <c r="J25" s="58">
        <f>'1a'!K26/'1a'!K$28*100</f>
        <v>92.64240506329115</v>
      </c>
      <c r="K25" s="58">
        <f>'1a'!L26/'1a'!L$28*100</f>
        <v>89.068408387762105</v>
      </c>
      <c r="L25" s="58">
        <f>'1a'!M26/'1a'!M$28*100</f>
        <v>84.673366834170849</v>
      </c>
      <c r="M25" s="58">
        <f>'1a'!N26/'1a'!N$28*100</f>
        <v>99.78237214363439</v>
      </c>
      <c r="N25" s="58">
        <f>'1a'!O26/'1a'!O$28*100</f>
        <v>101.13780025284451</v>
      </c>
      <c r="O25" s="58">
        <f>'1a'!P26/'1a'!P$28*100</f>
        <v>106.18683756470297</v>
      </c>
      <c r="P25" s="58">
        <f>'1a'!Q26/'1a'!Q$28*100</f>
        <v>105.95105672969967</v>
      </c>
      <c r="Q25" s="58">
        <f>'1a'!R26/'1a'!R$28*100</f>
        <v>105.36178107606679</v>
      </c>
      <c r="R25" s="58">
        <f>'1a'!S26/'1a'!S$28*100</f>
        <v>106.7527308838133</v>
      </c>
      <c r="S25" s="58">
        <f>'1a'!T26/'1a'!T$28*100</f>
        <v>104.68009478672985</v>
      </c>
      <c r="T25" s="58">
        <f>'1a'!U26/'1a'!U$28*100</f>
        <v>114.68682505399568</v>
      </c>
      <c r="U25" s="58">
        <f>'1a'!V26/'1a'!V$28*100</f>
        <v>85.897094108237809</v>
      </c>
      <c r="V25" s="58">
        <f>'1a'!W26/'1a'!W$28*100</f>
        <v>95.406976744186039</v>
      </c>
      <c r="W25" s="58">
        <f>'1a'!X26/'1a'!X$28*100</f>
        <v>69.058295964125563</v>
      </c>
      <c r="X25" s="58">
        <f>'1a'!Y26/'1a'!Y$28*100</f>
        <v>92.685589519650662</v>
      </c>
    </row>
    <row r="26" spans="1:24">
      <c r="A26" s="66">
        <v>2001</v>
      </c>
      <c r="B26" s="58">
        <f>'1a'!B27/'1a'!B$28*100</f>
        <v>97.442288691278179</v>
      </c>
      <c r="C26" s="58">
        <f>'1a'!D27/'1a'!D$28*100</f>
        <v>93.290435015751711</v>
      </c>
      <c r="D26" s="58">
        <f>'1a'!E27/'1a'!E$28*100</f>
        <v>96.453419311046986</v>
      </c>
      <c r="E26" s="58">
        <f>'1a'!F27/'1a'!F$28*100</f>
        <v>89.975165562913901</v>
      </c>
      <c r="F26" s="58">
        <f>'1a'!G27/'1a'!G$28*100</f>
        <v>90.154353364303915</v>
      </c>
      <c r="G26" s="58">
        <f>'1a'!H27/'1a'!H$28*100</f>
        <v>88.230584467574062</v>
      </c>
      <c r="H26" s="58">
        <f>'1a'!I27/'1a'!I$28*100</f>
        <v>90</v>
      </c>
      <c r="I26" s="58">
        <f>'1a'!J27/'1a'!J$28*100</f>
        <v>74.293785310734464</v>
      </c>
      <c r="J26" s="58">
        <f>'1a'!K27/'1a'!K$28*100</f>
        <v>90.822784810126578</v>
      </c>
      <c r="K26" s="58">
        <f>'1a'!L27/'1a'!L$28*100</f>
        <v>90.9247163973874</v>
      </c>
      <c r="L26" s="58">
        <f>'1a'!M27/'1a'!M$28*100</f>
        <v>88.241206030150749</v>
      </c>
      <c r="M26" s="58">
        <f>'1a'!N27/'1a'!N$28*100</f>
        <v>97.279651795429814</v>
      </c>
      <c r="N26" s="58">
        <f>'1a'!O27/'1a'!O$28*100</f>
        <v>95.094816687737051</v>
      </c>
      <c r="O26" s="58">
        <f>'1a'!P27/'1a'!P$28*100</f>
        <v>95.242790239092926</v>
      </c>
      <c r="P26" s="58">
        <f>'1a'!Q27/'1a'!Q$28*100</f>
        <v>97.886540600667402</v>
      </c>
      <c r="Q26" s="58">
        <f>'1a'!R27/'1a'!R$28*100</f>
        <v>92.838589981447129</v>
      </c>
      <c r="R26" s="58">
        <f>'1a'!S27/'1a'!S$28*100</f>
        <v>93.843098311817272</v>
      </c>
      <c r="S26" s="58">
        <f>'1a'!T27/'1a'!T$28*100</f>
        <v>92.357819905213262</v>
      </c>
      <c r="T26" s="58">
        <f>'1a'!U27/'1a'!U$28*100</f>
        <v>109.07127429805617</v>
      </c>
      <c r="U26" s="58">
        <f>'1a'!V27/'1a'!V$28*100</f>
        <v>94.641428952279398</v>
      </c>
      <c r="V26" s="58">
        <f>'1a'!W27/'1a'!W$28*100</f>
        <v>101.04651162790699</v>
      </c>
      <c r="W26" s="58">
        <f>'1a'!X27/'1a'!X$28*100</f>
        <v>90.313901345291484</v>
      </c>
      <c r="X26" s="58">
        <f>'1a'!Y27/'1a'!Y$28*100</f>
        <v>90.502183406113531</v>
      </c>
    </row>
    <row r="27" spans="1:24">
      <c r="A27" s="66">
        <v>2002</v>
      </c>
      <c r="B27" s="58">
        <f>'1a'!B28/'1a'!B$28*100</f>
        <v>100</v>
      </c>
      <c r="C27" s="58">
        <f>'1a'!D28/'1a'!D$28*100</f>
        <v>100</v>
      </c>
      <c r="D27" s="58">
        <f>'1a'!E28/'1a'!E$28*100</f>
        <v>100</v>
      </c>
      <c r="E27" s="58">
        <f>'1a'!F28/'1a'!F$28*100</f>
        <v>100</v>
      </c>
      <c r="F27" s="58">
        <f>'1a'!G28/'1a'!G$28*100</f>
        <v>100</v>
      </c>
      <c r="G27" s="58">
        <f>'1a'!H28/'1a'!H$28*100</f>
        <v>100</v>
      </c>
      <c r="H27" s="58">
        <f>'1a'!I28/'1a'!I$28*100</f>
        <v>100</v>
      </c>
      <c r="I27" s="58">
        <f>'1a'!J28/'1a'!J$28*100</f>
        <v>100</v>
      </c>
      <c r="J27" s="58">
        <f>'1a'!K28/'1a'!K$28*100</f>
        <v>100</v>
      </c>
      <c r="K27" s="58">
        <f>'1a'!L28/'1a'!L$28*100</f>
        <v>100</v>
      </c>
      <c r="L27" s="58">
        <f>'1a'!M28/'1a'!M$28*100</f>
        <v>100</v>
      </c>
      <c r="M27" s="58">
        <f>'1a'!N28/'1a'!N$28*100</f>
        <v>100</v>
      </c>
      <c r="N27" s="58">
        <f>'1a'!O28/'1a'!O$28*100</f>
        <v>100</v>
      </c>
      <c r="O27" s="58">
        <f>'1a'!P28/'1a'!P$28*100</f>
        <v>100</v>
      </c>
      <c r="P27" s="58">
        <f>'1a'!Q28/'1a'!Q$28*100</f>
        <v>100</v>
      </c>
      <c r="Q27" s="58">
        <f>'1a'!R28/'1a'!R$28*100</f>
        <v>100</v>
      </c>
      <c r="R27" s="58">
        <f>'1a'!S28/'1a'!S$28*100</f>
        <v>100</v>
      </c>
      <c r="S27" s="58">
        <f>'1a'!T28/'1a'!T$28*100</f>
        <v>100</v>
      </c>
      <c r="T27" s="58">
        <f>'1a'!U28/'1a'!U$28*100</f>
        <v>100</v>
      </c>
      <c r="U27" s="58">
        <f>'1a'!V28/'1a'!V$28*100</f>
        <v>100</v>
      </c>
      <c r="V27" s="58">
        <f>'1a'!W28/'1a'!W$28*100</f>
        <v>100</v>
      </c>
      <c r="W27" s="58">
        <f>'1a'!X28/'1a'!X$28*100</f>
        <v>100</v>
      </c>
      <c r="X27" s="58">
        <f>'1a'!Y28/'1a'!Y$28*100</f>
        <v>100</v>
      </c>
    </row>
    <row r="28" spans="1:24">
      <c r="A28" s="66">
        <v>2003</v>
      </c>
      <c r="B28" s="58">
        <f>'1a'!B29/'1a'!B$28*100</f>
        <v>102.12487649330819</v>
      </c>
      <c r="C28" s="58">
        <f>'1a'!D29/'1a'!D$28*100</f>
        <v>99.839131309068961</v>
      </c>
      <c r="D28" s="58">
        <f>'1a'!E29/'1a'!E$28*100</f>
        <v>97.81096215849314</v>
      </c>
      <c r="E28" s="58">
        <f>'1a'!F29/'1a'!F$28*100</f>
        <v>100.46357615894037</v>
      </c>
      <c r="F28" s="58">
        <f>'1a'!G29/'1a'!G$28*100</f>
        <v>98.231679904091123</v>
      </c>
      <c r="G28" s="58">
        <f>'1a'!H29/'1a'!H$28*100</f>
        <v>104.20336269015212</v>
      </c>
      <c r="H28" s="58">
        <f>'1a'!I29/'1a'!I$28*100</f>
        <v>92.386363636363626</v>
      </c>
      <c r="I28" s="58">
        <f>'1a'!J29/'1a'!J$28*100</f>
        <v>112.42937853107344</v>
      </c>
      <c r="J28" s="58">
        <f>'1a'!K29/'1a'!K$28*100</f>
        <v>110.12658227848102</v>
      </c>
      <c r="K28" s="58">
        <f>'1a'!L29/'1a'!L$28*100</f>
        <v>102.3719491234101</v>
      </c>
      <c r="L28" s="58">
        <f>'1a'!M29/'1a'!M$28*100</f>
        <v>100.60301507537687</v>
      </c>
      <c r="M28" s="58">
        <f>'1a'!N29/'1a'!N$28*100</f>
        <v>106.20239390642001</v>
      </c>
      <c r="N28" s="58">
        <f>'1a'!O29/'1a'!O$28*100</f>
        <v>100.21070375052676</v>
      </c>
      <c r="O28" s="58">
        <f>'1a'!P29/'1a'!P$28*100</f>
        <v>99.051022923342359</v>
      </c>
      <c r="P28" s="58">
        <f>'1a'!Q29/'1a'!Q$28*100</f>
        <v>94.827586206896555</v>
      </c>
      <c r="Q28" s="58">
        <f>'1a'!R29/'1a'!R$28*100</f>
        <v>101.48423005565863</v>
      </c>
      <c r="R28" s="58">
        <f>'1a'!S29/'1a'!S$28*100</f>
        <v>127.95431976166832</v>
      </c>
      <c r="S28" s="58">
        <f>'1a'!T29/'1a'!T$28*100</f>
        <v>85.693127962085299</v>
      </c>
      <c r="T28" s="58">
        <f>'1a'!U29/'1a'!U$28*100</f>
        <v>93.088552915766741</v>
      </c>
      <c r="U28" s="58">
        <f>'1a'!V29/'1a'!V$28*100</f>
        <v>102.71927486003732</v>
      </c>
      <c r="V28" s="58">
        <f>'1a'!W29/'1a'!W$28*100</f>
        <v>103.72093023255815</v>
      </c>
      <c r="W28" s="58">
        <f>'1a'!X29/'1a'!X$28*100</f>
        <v>101.70403587443946</v>
      </c>
      <c r="X28" s="58">
        <f>'1a'!Y29/'1a'!Y$28*100</f>
        <v>102.07423580786026</v>
      </c>
    </row>
    <row r="29" spans="1:24">
      <c r="A29" s="66">
        <v>2004</v>
      </c>
      <c r="B29" s="58">
        <f>'1a'!B30/'1a'!B$28*100</f>
        <v>105.36290382945599</v>
      </c>
      <c r="C29" s="58">
        <f>'1a'!D30/'1a'!D$28*100</f>
        <v>103.1570480595214</v>
      </c>
      <c r="D29" s="58">
        <f>'1a'!E30/'1a'!E$28*100</f>
        <v>104.66655353809607</v>
      </c>
      <c r="E29" s="58">
        <f>'1a'!F30/'1a'!F$28*100</f>
        <v>104.29635761589402</v>
      </c>
      <c r="F29" s="58">
        <f>'1a'!G30/'1a'!G$28*100</f>
        <v>101.25880413607075</v>
      </c>
      <c r="G29" s="58">
        <f>'1a'!H30/'1a'!H$28*100</f>
        <v>107.72618094475581</v>
      </c>
      <c r="H29" s="58">
        <f>'1a'!I30/'1a'!I$28*100</f>
        <v>93.068181818181813</v>
      </c>
      <c r="I29" s="58">
        <f>'1a'!J30/'1a'!J$28*100</f>
        <v>118.92655367231639</v>
      </c>
      <c r="J29" s="58">
        <f>'1a'!K30/'1a'!K$28*100</f>
        <v>114.79430379746836</v>
      </c>
      <c r="K29" s="58">
        <f>'1a'!L30/'1a'!L$28*100</f>
        <v>108.31900996906153</v>
      </c>
      <c r="L29" s="58">
        <f>'1a'!M30/'1a'!M$28*100</f>
        <v>107.73869346733669</v>
      </c>
      <c r="M29" s="58">
        <f>'1a'!N30/'1a'!N$28*100</f>
        <v>109.57562568008706</v>
      </c>
      <c r="N29" s="58">
        <f>'1a'!O30/'1a'!O$28*100</f>
        <v>101.2473662031184</v>
      </c>
      <c r="O29" s="58">
        <f>'1a'!P30/'1a'!P$28*100</f>
        <v>101.65146660093664</v>
      </c>
      <c r="P29" s="58">
        <f>'1a'!Q30/'1a'!Q$28*100</f>
        <v>103.00333704115685</v>
      </c>
      <c r="Q29" s="58">
        <f>'1a'!R30/'1a'!R$28*100</f>
        <v>103.07977736549165</v>
      </c>
      <c r="R29" s="58">
        <f>'1a'!S30/'1a'!S$28*100</f>
        <v>136.64349553128105</v>
      </c>
      <c r="S29" s="58">
        <f>'1a'!T30/'1a'!T$28*100</f>
        <v>83.056872037914701</v>
      </c>
      <c r="T29" s="58">
        <f>'1a'!U30/'1a'!U$28*100</f>
        <v>90.712742980561558</v>
      </c>
      <c r="U29" s="58">
        <f>'1a'!V30/'1a'!V$28*100</f>
        <v>100.37323380431882</v>
      </c>
      <c r="V29" s="58">
        <f>'1a'!W30/'1a'!W$28*100</f>
        <v>101.56976744186046</v>
      </c>
      <c r="W29" s="58">
        <f>'1a'!X30/'1a'!X$28*100</f>
        <v>98.026905829596416</v>
      </c>
      <c r="X29" s="58">
        <f>'1a'!Y30/'1a'!Y$28*100</f>
        <v>100.9825327510917</v>
      </c>
    </row>
    <row r="30" spans="1:24">
      <c r="A30" s="66">
        <v>2005</v>
      </c>
      <c r="B30" s="58">
        <f>'1a'!B31/'1a'!B$28*100</f>
        <v>108.72490568579897</v>
      </c>
      <c r="C30" s="58">
        <f>'1a'!D31/'1a'!D$28*100</f>
        <v>106.43474763724107</v>
      </c>
      <c r="D30" s="58">
        <f>'1a'!E31/'1a'!E$28*100</f>
        <v>105.6507721024945</v>
      </c>
      <c r="E30" s="58">
        <f>'1a'!F31/'1a'!F$28*100</f>
        <v>111.11754966887415</v>
      </c>
      <c r="F30" s="58">
        <f>'1a'!G31/'1a'!G$28*100</f>
        <v>112.34826914431292</v>
      </c>
      <c r="G30" s="58">
        <f>'1a'!H31/'1a'!H$28*100</f>
        <v>118.29463570856686</v>
      </c>
      <c r="H30" s="58">
        <f>'1a'!I31/'1a'!I$28*100</f>
        <v>104.43181818181819</v>
      </c>
      <c r="I30" s="58">
        <f>'1a'!J31/'1a'!J$28*100</f>
        <v>122.31638418079096</v>
      </c>
      <c r="J30" s="58">
        <f>'1a'!K31/'1a'!K$28*100</f>
        <v>126.81962025316456</v>
      </c>
      <c r="K30" s="58">
        <f>'1a'!L31/'1a'!L$28*100</f>
        <v>102.13131660364385</v>
      </c>
      <c r="L30" s="58">
        <f>'1a'!M31/'1a'!M$28*100</f>
        <v>99.849246231155774</v>
      </c>
      <c r="M30" s="58">
        <f>'1a'!N31/'1a'!N$28*100</f>
        <v>107.07290533188247</v>
      </c>
      <c r="N30" s="58">
        <f>'1a'!O31/'1a'!O$28*100</f>
        <v>102.05646860514118</v>
      </c>
      <c r="O30" s="58">
        <f>'1a'!P31/'1a'!P$28*100</f>
        <v>104.06704461424697</v>
      </c>
      <c r="P30" s="58">
        <f>'1a'!Q31/'1a'!Q$28*100</f>
        <v>100.6674082313682</v>
      </c>
      <c r="Q30" s="58">
        <f>'1a'!R31/'1a'!R$28*100</f>
        <v>107.88497217068647</v>
      </c>
      <c r="R30" s="58">
        <f>'1a'!S31/'1a'!S$28*100</f>
        <v>137.88480635551142</v>
      </c>
      <c r="S30" s="58">
        <f>'1a'!T31/'1a'!T$28*100</f>
        <v>89.988151658767762</v>
      </c>
      <c r="T30" s="58">
        <f>'1a'!U31/'1a'!U$28*100</f>
        <v>88.444924406047519</v>
      </c>
      <c r="U30" s="58">
        <f>'1a'!V31/'1a'!V$28*100</f>
        <v>97.707278059184191</v>
      </c>
      <c r="V30" s="58">
        <f>'1a'!W31/'1a'!W$28*100</f>
        <v>95.523255813953483</v>
      </c>
      <c r="W30" s="58">
        <f>'1a'!X31/'1a'!X$28*100</f>
        <v>100.26905829596413</v>
      </c>
      <c r="X30" s="58">
        <f>'1a'!Y31/'1a'!Y$28*100</f>
        <v>98.689956331877724</v>
      </c>
    </row>
    <row r="31" spans="1:24">
      <c r="A31" s="66">
        <v>2006</v>
      </c>
      <c r="B31" s="58">
        <f>'1a'!B32/'1a'!B$28*100</f>
        <v>111.71133492020722</v>
      </c>
      <c r="C31" s="58">
        <f>'1a'!D32/'1a'!D$28*100</f>
        <v>100.7138548160064</v>
      </c>
      <c r="D31" s="58">
        <f>'1a'!E32/'1a'!E$28*100</f>
        <v>100.7296792805023</v>
      </c>
      <c r="E31" s="58">
        <f>'1a'!F32/'1a'!F$28*100</f>
        <v>109.94205298013242</v>
      </c>
      <c r="F31" s="58">
        <f>'1a'!G32/'1a'!G$28*100</f>
        <v>109.27618762175935</v>
      </c>
      <c r="G31" s="58">
        <f>'1a'!H32/'1a'!H$28*100</f>
        <v>117.49399519615693</v>
      </c>
      <c r="H31" s="58">
        <f>'1a'!I32/'1a'!I$28*100</f>
        <v>99.090909090909093</v>
      </c>
      <c r="I31" s="58">
        <f>'1a'!J32/'1a'!J$28*100</f>
        <v>125.70621468926552</v>
      </c>
      <c r="J31" s="58">
        <f>'1a'!K32/'1a'!K$28*100</f>
        <v>128.00632911392404</v>
      </c>
      <c r="K31" s="58">
        <f>'1a'!L32/'1a'!L$28*100</f>
        <v>104.98453076658643</v>
      </c>
      <c r="L31" s="58">
        <f>'1a'!M32/'1a'!M$28*100</f>
        <v>102.06030150753769</v>
      </c>
      <c r="M31" s="58">
        <f>'1a'!N32/'1a'!N$28*100</f>
        <v>111.31664853101198</v>
      </c>
      <c r="N31" s="58">
        <f>'1a'!O32/'1a'!O$28*100</f>
        <v>91.310577328276452</v>
      </c>
      <c r="O31" s="58">
        <f>'1a'!P32/'1a'!P$28*100</f>
        <v>92.346561498644292</v>
      </c>
      <c r="P31" s="58">
        <f>'1a'!Q32/'1a'!Q$28*100</f>
        <v>93.214682981090107</v>
      </c>
      <c r="Q31" s="58">
        <f>'1a'!R32/'1a'!R$28*100</f>
        <v>93.376623376623385</v>
      </c>
      <c r="R31" s="58">
        <f>'1a'!S32/'1a'!S$28*100</f>
        <v>113.4558093346574</v>
      </c>
      <c r="S31" s="58">
        <f>'1a'!T32/'1a'!T$28*100</f>
        <v>81.39810426540285</v>
      </c>
      <c r="T31" s="58">
        <f>'1a'!U32/'1a'!U$28*100</f>
        <v>84.665226781857456</v>
      </c>
      <c r="U31" s="58">
        <f>'1a'!V32/'1a'!V$28*100</f>
        <v>89.069581444947971</v>
      </c>
      <c r="V31" s="58">
        <f>'1a'!W32/'1a'!W$28*100</f>
        <v>89.593023255813947</v>
      </c>
      <c r="W31" s="58">
        <f>'1a'!X32/'1a'!X$28*100</f>
        <v>85.02242152466367</v>
      </c>
      <c r="X31" s="58">
        <f>'1a'!Y32/'1a'!Y$28*100</f>
        <v>93.013100436681214</v>
      </c>
    </row>
    <row r="32" spans="1:24">
      <c r="A32" s="66">
        <v>2007</v>
      </c>
      <c r="B32" s="58">
        <f>'1a'!B33/'1a'!B$28*100</f>
        <v>114.25473068055933</v>
      </c>
      <c r="C32" s="58">
        <f>'1a'!D33/'1a'!D$28*100</f>
        <v>94.553924525772473</v>
      </c>
      <c r="D32" s="58">
        <f>'1a'!E33/'1a'!E$28*100</f>
        <v>91.345664347530985</v>
      </c>
      <c r="E32" s="58">
        <f>'1a'!F33/'1a'!F$28*100</f>
        <v>99.188741721854257</v>
      </c>
      <c r="F32" s="58">
        <f>'1a'!G33/'1a'!G$28*100</f>
        <v>95.339427543833381</v>
      </c>
      <c r="G32" s="58">
        <f>'1a'!H33/'1a'!H$28*100</f>
        <v>103.80304243394718</v>
      </c>
      <c r="H32" s="58">
        <f>'1a'!I33/'1a'!I$28*100</f>
        <v>85.340909090909093</v>
      </c>
      <c r="I32" s="58">
        <f>'1a'!J33/'1a'!J$28*100</f>
        <v>121.46892655367232</v>
      </c>
      <c r="J32" s="58">
        <f>'1a'!K33/'1a'!K$28*100</f>
        <v>111.70886075949366</v>
      </c>
      <c r="K32" s="58">
        <f>'1a'!L33/'1a'!L$28*100</f>
        <v>104.05637676177378</v>
      </c>
      <c r="L32" s="58">
        <f>'1a'!M33/'1a'!M$28*100</f>
        <v>101.40703517587939</v>
      </c>
      <c r="M32" s="58">
        <f>'1a'!N33/'1a'!N$28*100</f>
        <v>109.79325353645267</v>
      </c>
      <c r="N32" s="58">
        <f>'1a'!O33/'1a'!O$28*100</f>
        <v>91.428571428571445</v>
      </c>
      <c r="O32" s="58">
        <f>'1a'!P33/'1a'!P$28*100</f>
        <v>94.577273847670668</v>
      </c>
      <c r="P32" s="58">
        <f>'1a'!Q33/'1a'!Q$28*100</f>
        <v>96.99666295884316</v>
      </c>
      <c r="Q32" s="58">
        <f>'1a'!R33/'1a'!R$28*100</f>
        <v>95.918367346938766</v>
      </c>
      <c r="R32" s="58">
        <f>'1a'!S33/'1a'!S$28*100</f>
        <v>122.49255213505461</v>
      </c>
      <c r="S32" s="58">
        <f>'1a'!T33/'1a'!T$28*100</f>
        <v>80.065165876777257</v>
      </c>
      <c r="T32" s="58">
        <f>'1a'!U33/'1a'!U$28*100</f>
        <v>82.073434125269983</v>
      </c>
      <c r="U32" s="58">
        <f>'1a'!V33/'1a'!V$28*100</f>
        <v>84.617435350573146</v>
      </c>
      <c r="V32" s="58">
        <f>'1a'!W33/'1a'!W$28*100</f>
        <v>86.511627906976742</v>
      </c>
      <c r="W32" s="58">
        <f>'1a'!X33/'1a'!X$28*100</f>
        <v>76.86098654708519</v>
      </c>
      <c r="X32" s="58">
        <f>'1a'!Y33/'1a'!Y$28*100</f>
        <v>90.502183406113531</v>
      </c>
    </row>
    <row r="33" spans="1:24">
      <c r="A33" s="66">
        <v>2008</v>
      </c>
      <c r="B33" s="58">
        <f>'1a'!B34/'1a'!B$28*100</f>
        <v>115.38613762105649</v>
      </c>
      <c r="C33" s="58">
        <f>'1a'!D34/'1a'!D$28*100</f>
        <v>86.394822677737579</v>
      </c>
      <c r="D33" s="58">
        <f>'1a'!E34/'1a'!E$28*100</f>
        <v>85.765479955490221</v>
      </c>
      <c r="E33" s="58">
        <f>'1a'!F34/'1a'!F$28*100</f>
        <v>88.424151930667463</v>
      </c>
      <c r="F33" s="58">
        <f>'1a'!G34/'1a'!G$28*100</f>
        <v>84.211481742187217</v>
      </c>
      <c r="G33" s="58">
        <f>'1a'!H34/'1a'!H$28*100</f>
        <v>88.946109806866218</v>
      </c>
      <c r="H33" s="58">
        <f>'1a'!I34/'1a'!I$28*100</f>
        <v>75.568181818181827</v>
      </c>
      <c r="I33" s="58">
        <f>'1a'!J34/'1a'!J$28*100</f>
        <v>111.86440677966101</v>
      </c>
      <c r="J33" s="58">
        <f>'1a'!K34/'1a'!K$28*100</f>
        <v>76.898734177215189</v>
      </c>
      <c r="K33" s="58">
        <f>'1a'!L34/'1a'!L$28*100</f>
        <v>96.061501478658769</v>
      </c>
      <c r="L33" s="58">
        <f>'1a'!M34/'1a'!M$28*100</f>
        <v>96.633165829145725</v>
      </c>
      <c r="M33" s="58">
        <f>'1a'!N34/'1a'!N$28*100</f>
        <v>101.74102285092492</v>
      </c>
      <c r="N33" s="58">
        <f>'1a'!O34/'1a'!O$28*100</f>
        <v>84.604955010477028</v>
      </c>
      <c r="O33" s="58">
        <f>'1a'!P34/'1a'!P$28*100</f>
        <v>86.304403528292028</v>
      </c>
      <c r="P33" s="58">
        <f>'1a'!Q34/'1a'!Q$28*100</f>
        <v>85.873192436040043</v>
      </c>
      <c r="Q33" s="58">
        <f>'1a'!R34/'1a'!R$28*100</f>
        <v>84.860853432281999</v>
      </c>
      <c r="R33" s="58">
        <f>'1a'!S34/'1a'!S$28*100</f>
        <v>113.80337636544191</v>
      </c>
      <c r="S33" s="58">
        <f>'1a'!T34/'1a'!T$28*100</f>
        <v>67.59478672985783</v>
      </c>
      <c r="T33" s="58">
        <f>'1a'!U34/'1a'!U$28*100</f>
        <v>84.989200863930876</v>
      </c>
      <c r="U33" s="58">
        <f>'1a'!V34/'1a'!V$28*100</f>
        <v>80.132931826346422</v>
      </c>
      <c r="V33" s="58">
        <f>'1a'!W34/'1a'!W$28*100</f>
        <v>79.302325581395351</v>
      </c>
      <c r="W33" s="58">
        <f>'1a'!X34/'1a'!X$28*100</f>
        <v>73.542600896860989</v>
      </c>
      <c r="X33" s="58">
        <f>'1a'!Y34/'1a'!Y$28*100</f>
        <v>91.048034934497807</v>
      </c>
    </row>
    <row r="34" spans="1:24">
      <c r="A34" s="66">
        <v>2009</v>
      </c>
      <c r="B34" s="58">
        <f>'1a'!B35/'1a'!B$28*100</f>
        <v>111.85466798516528</v>
      </c>
      <c r="C34" s="58">
        <f>'1a'!D35/'1a'!D$28*100</f>
        <v>70.252567517006554</v>
      </c>
      <c r="D34" s="58">
        <f>'1a'!E35/'1a'!E$28*100</f>
        <v>65.789722598768449</v>
      </c>
      <c r="E34" s="58">
        <f>'1a'!F35/'1a'!F$28*100</f>
        <v>72.436933408254149</v>
      </c>
      <c r="F34" s="58">
        <f>'1a'!G35/'1a'!G$28*100</f>
        <v>66.906484944616878</v>
      </c>
      <c r="G34" s="58">
        <f>'1a'!H35/'1a'!H$28*100</f>
        <v>78.04776778107987</v>
      </c>
      <c r="H34" s="58">
        <f>'1a'!I35/'1a'!I$28*100</f>
        <v>59.090909090909093</v>
      </c>
      <c r="I34" s="58">
        <f>'1a'!J35/'1a'!J$28*100</f>
        <v>95.480225988700568</v>
      </c>
      <c r="J34" s="58">
        <f>'1a'!K35/'1a'!K$28*100</f>
        <v>75.474683544303801</v>
      </c>
      <c r="K34" s="58">
        <f>'1a'!L35/'1a'!L$28*100</f>
        <v>78.196030172928701</v>
      </c>
      <c r="L34" s="58">
        <f>'1a'!M35/'1a'!M$28*100</f>
        <v>80.954773869346724</v>
      </c>
      <c r="M34" s="58">
        <f>'1a'!N35/'1a'!N$28*100</f>
        <v>80.848748639825899</v>
      </c>
      <c r="N34" s="58">
        <f>'1a'!O35/'1a'!O$28*100</f>
        <v>70.080118328608421</v>
      </c>
      <c r="O34" s="58">
        <f>'1a'!P35/'1a'!P$28*100</f>
        <v>66.085443454997247</v>
      </c>
      <c r="P34" s="58">
        <f>'1a'!Q35/'1a'!Q$28*100</f>
        <v>72.58064516129032</v>
      </c>
      <c r="Q34" s="58">
        <f>'1a'!R35/'1a'!R$28*100</f>
        <v>69.740259740259731</v>
      </c>
      <c r="R34" s="58">
        <f>'1a'!S35/'1a'!S$28*100</f>
        <v>99.155908639523332</v>
      </c>
      <c r="S34" s="58">
        <f>'1a'!T35/'1a'!T$28*100</f>
        <v>52.191943127962084</v>
      </c>
      <c r="T34" s="58">
        <f>'1a'!U35/'1a'!U$28*100</f>
        <v>69.438444924406056</v>
      </c>
      <c r="U34" s="58">
        <f>'1a'!V35/'1a'!V$28*100</f>
        <v>74.521176050128275</v>
      </c>
      <c r="V34" s="58">
        <f>'1a'!W35/'1a'!W$28*100</f>
        <v>76.569767441860463</v>
      </c>
      <c r="W34" s="58">
        <f>'1a'!X35/'1a'!X$28*100</f>
        <v>80.896860986547082</v>
      </c>
      <c r="X34" s="58">
        <f>'1a'!Y35/'1a'!Y$28*100</f>
        <v>82.532751091703062</v>
      </c>
    </row>
    <row r="35" spans="1:24">
      <c r="A35" s="66">
        <v>2010</v>
      </c>
      <c r="B35" s="58">
        <f>'1a'!B36/'1a'!B$28*100</f>
        <v>115.61070534632007</v>
      </c>
      <c r="C35" s="58">
        <f>'1a'!D36/'1a'!D$28*100</f>
        <v>75.751982202943822</v>
      </c>
      <c r="D35" s="58">
        <f>'1a'!E36/'1a'!E$28*100</f>
        <v>77.145506400470069</v>
      </c>
      <c r="E35" s="58">
        <f>'1a'!F36/'1a'!F$28*100</f>
        <v>80.059705126415125</v>
      </c>
      <c r="F35" s="58">
        <f>'1a'!G36/'1a'!G$28*100</f>
        <v>76.900814645887436</v>
      </c>
      <c r="G35" s="58">
        <f>'1a'!H36/'1a'!H$28*100</f>
        <v>88.017551517673667</v>
      </c>
      <c r="H35" s="58">
        <f>'1a'!I36/'1a'!I$28*100</f>
        <v>59.204545454545453</v>
      </c>
      <c r="I35" s="58">
        <f>'1a'!J36/'1a'!J$28*100</f>
        <v>122.88135593220339</v>
      </c>
      <c r="J35" s="58">
        <f>'1a'!K36/'1a'!K$28*100</f>
        <v>82.35759493670885</v>
      </c>
      <c r="K35" s="58">
        <f>'1a'!L36/'1a'!L$28*100</f>
        <v>81.39398028617471</v>
      </c>
      <c r="L35" s="58">
        <f>'1a'!M36/'1a'!M$28*100</f>
        <v>81.859296482412063</v>
      </c>
      <c r="M35" s="58">
        <f>'1a'!N36/'1a'!N$28*100</f>
        <v>87.595212187159959</v>
      </c>
      <c r="N35" s="58">
        <f>'1a'!O36/'1a'!O$28*100</f>
        <v>70.878836435350692</v>
      </c>
      <c r="O35" s="58">
        <f>'1a'!P36/'1a'!P$28*100</f>
        <v>67.694508605524732</v>
      </c>
      <c r="P35" s="58">
        <f>'1a'!Q36/'1a'!Q$28*100</f>
        <v>79.310344827586206</v>
      </c>
      <c r="Q35" s="58">
        <f>'1a'!R36/'1a'!R$28*100</f>
        <v>68.738404452690176</v>
      </c>
      <c r="R35" s="58">
        <f>'1a'!S36/'1a'!S$28*100</f>
        <v>91.062562065541215</v>
      </c>
      <c r="S35" s="58">
        <f>'1a'!T36/'1a'!T$28*100</f>
        <v>55.420616113744082</v>
      </c>
      <c r="T35" s="58">
        <f>'1a'!U36/'1a'!U$28*100</f>
        <v>72.894168466522686</v>
      </c>
      <c r="U35" s="58">
        <f>'1a'!V36/'1a'!V$28*100</f>
        <v>74.080077342827295</v>
      </c>
      <c r="V35" s="58">
        <f>'1a'!W36/'1a'!W$28*100</f>
        <v>79.127906976744185</v>
      </c>
      <c r="W35" s="58">
        <f>'1a'!X36/'1a'!X$28*100</f>
        <v>79.461883408071756</v>
      </c>
      <c r="X35" s="58">
        <f>'1a'!Y36/'1a'!Y$28*100</f>
        <v>78.056768558951958</v>
      </c>
    </row>
    <row r="36" spans="1:24">
      <c r="A36" s="66">
        <v>2011</v>
      </c>
      <c r="B36" s="58">
        <f>'1a'!B37/'1a'!B$28*100</f>
        <v>118.5654495441775</v>
      </c>
      <c r="C36" s="58">
        <f>'1a'!D37/'1a'!D$28*100</f>
        <v>76.664459490863464</v>
      </c>
      <c r="D36" s="58">
        <f>'1a'!E37/'1a'!E$28*100</f>
        <v>84.267298153736093</v>
      </c>
      <c r="E36" s="58">
        <f>'1a'!F37/'1a'!F$28*100</f>
        <v>80.6365635267084</v>
      </c>
      <c r="F36" s="58">
        <f>'1a'!G37/'1a'!G$28*100</f>
        <v>78.034430746263041</v>
      </c>
      <c r="G36" s="58">
        <f>'1a'!H37/'1a'!H$28*100</f>
        <v>86.062691961478805</v>
      </c>
      <c r="H36" s="58">
        <f>'1a'!I37/'1a'!I$28*100</f>
        <v>66.704545454545453</v>
      </c>
      <c r="I36" s="58">
        <f>'1a'!J37/'1a'!J$28*100</f>
        <v>113.84180790960453</v>
      </c>
      <c r="J36" s="58">
        <f>'1a'!K37/'1a'!K$28*100</f>
        <v>74.367088607594937</v>
      </c>
      <c r="K36" s="58">
        <f>'1a'!L37/'1a'!L$28*100</f>
        <v>82.839207741199345</v>
      </c>
      <c r="L36" s="58">
        <f>'1a'!M37/'1a'!M$28*100</f>
        <v>77.236180904522612</v>
      </c>
      <c r="M36" s="58">
        <f>'1a'!N37/'1a'!N$28*100</f>
        <v>98.367791077257891</v>
      </c>
      <c r="N36" s="58">
        <f>'1a'!O37/'1a'!O$28*100</f>
        <v>69.291260939233339</v>
      </c>
      <c r="O36" s="58">
        <f>'1a'!P37/'1a'!P$28*100</f>
        <v>65.142758821354889</v>
      </c>
      <c r="P36" s="58">
        <f>'1a'!Q37/'1a'!Q$28*100</f>
        <v>78.642936596218021</v>
      </c>
      <c r="Q36" s="58">
        <f>'1a'!R37/'1a'!R$28*100</f>
        <v>64.749536178107604</v>
      </c>
      <c r="R36" s="58">
        <f>'1a'!S37/'1a'!S$28*100</f>
        <v>85.501489572989072</v>
      </c>
      <c r="S36" s="58">
        <f>'1a'!T37/'1a'!T$28*100</f>
        <v>52.369668246445499</v>
      </c>
      <c r="T36" s="58">
        <f>'1a'!U37/'1a'!U$28*100</f>
        <v>72.138228941684673</v>
      </c>
      <c r="U36" s="58">
        <f>'1a'!V37/'1a'!V$28*100</f>
        <v>73.982055407871499</v>
      </c>
      <c r="V36" s="58">
        <f>'1a'!W37/'1a'!W$28*100</f>
        <v>78.372093023255815</v>
      </c>
      <c r="W36" s="58">
        <f>'1a'!X37/'1a'!X$28*100</f>
        <v>82.869955156950667</v>
      </c>
      <c r="X36" s="58">
        <f>'1a'!Y37/'1a'!Y$28*100</f>
        <v>74.672489082969435</v>
      </c>
    </row>
    <row r="37" spans="1:24">
      <c r="A37" s="66">
        <v>2012</v>
      </c>
      <c r="B37" s="58">
        <f>'1a'!B38/'1a'!B$28*100</f>
        <v>120.64638148327434</v>
      </c>
      <c r="C37" s="58">
        <f>'1a'!D38/'1a'!D$28*100</f>
        <v>76.226634065718173</v>
      </c>
      <c r="D37" s="58">
        <f>'1a'!E38/'1a'!E$28*100</f>
        <v>81.835466823352576</v>
      </c>
      <c r="E37" s="58">
        <f>'1a'!F38/'1a'!F$28*100</f>
        <v>83.716575342559935</v>
      </c>
      <c r="F37" s="58">
        <f>'1a'!G38/'1a'!G$28*100</f>
        <v>81.01884864317023</v>
      </c>
      <c r="G37" s="58">
        <f>'1a'!H38/'1a'!H$28*100</f>
        <v>89.972411073868528</v>
      </c>
      <c r="H37" s="58" t="s">
        <v>22</v>
      </c>
      <c r="I37" s="58" t="s">
        <v>22</v>
      </c>
      <c r="J37" s="58" t="s">
        <v>22</v>
      </c>
      <c r="K37" s="58">
        <f>'1a'!L38/'1a'!L$28*100</f>
        <v>85.606664569969908</v>
      </c>
      <c r="L37" s="58" t="s">
        <v>22</v>
      </c>
      <c r="M37" s="58" t="s">
        <v>22</v>
      </c>
      <c r="N37" s="58">
        <f>'1a'!O38/'1a'!O$28*100</f>
        <v>66.392210033279923</v>
      </c>
      <c r="O37" s="58">
        <f>'1a'!P38/'1a'!P$28*100</f>
        <v>59.584170119532686</v>
      </c>
      <c r="P37" s="58" t="s">
        <v>22</v>
      </c>
      <c r="Q37" s="58" t="s">
        <v>22</v>
      </c>
      <c r="R37" s="58" t="s">
        <v>22</v>
      </c>
      <c r="S37" s="58" t="s">
        <v>22</v>
      </c>
      <c r="T37" s="58" t="s">
        <v>22</v>
      </c>
      <c r="U37" s="58">
        <f>'1a'!V38/'1a'!V$28*100</f>
        <v>75.158318627340819</v>
      </c>
      <c r="V37" s="58" t="s">
        <v>22</v>
      </c>
      <c r="W37" s="58" t="s">
        <v>22</v>
      </c>
      <c r="X37" s="58" t="s">
        <v>22</v>
      </c>
    </row>
    <row r="38" spans="1:24">
      <c r="A38" s="66"/>
      <c r="B38" s="57"/>
      <c r="C38" s="57"/>
      <c r="D38" s="57"/>
      <c r="E38" s="57"/>
      <c r="F38" s="57"/>
      <c r="G38" s="57"/>
      <c r="H38" s="57"/>
      <c r="I38" s="57"/>
      <c r="J38" s="57"/>
      <c r="K38" s="57"/>
      <c r="L38" s="57"/>
      <c r="M38" s="57"/>
      <c r="N38" s="57"/>
      <c r="O38" s="57"/>
      <c r="P38" s="57"/>
      <c r="Q38" s="57"/>
      <c r="R38" s="57"/>
      <c r="S38" s="57"/>
      <c r="T38" s="57"/>
      <c r="U38" s="57"/>
      <c r="V38" s="57"/>
      <c r="W38" s="57"/>
      <c r="X38" s="57"/>
    </row>
    <row r="39" spans="1:24">
      <c r="A39" s="132" t="s">
        <v>23</v>
      </c>
      <c r="B39" s="57"/>
      <c r="C39" s="57"/>
      <c r="D39" s="57"/>
      <c r="E39" s="57"/>
      <c r="F39" s="57"/>
      <c r="G39" s="57"/>
      <c r="H39" s="57"/>
      <c r="I39" s="57"/>
      <c r="J39" s="57"/>
      <c r="K39" s="57"/>
      <c r="L39" s="57"/>
      <c r="M39" s="57"/>
      <c r="N39" s="57"/>
      <c r="O39" s="57"/>
      <c r="P39" s="57"/>
      <c r="Q39" s="57"/>
      <c r="R39" s="57"/>
      <c r="S39" s="57"/>
      <c r="T39" s="57"/>
      <c r="U39" s="57"/>
      <c r="V39" s="57"/>
      <c r="W39" s="57"/>
      <c r="X39" s="57"/>
    </row>
    <row r="40" spans="1:24">
      <c r="A40" s="64" t="s">
        <v>2117</v>
      </c>
      <c r="B40" s="65">
        <f>((B37/B6)^(1/31)-1)*100</f>
        <v>2.4807175978173168</v>
      </c>
      <c r="C40" s="56" t="s">
        <v>22</v>
      </c>
      <c r="D40" s="56" t="s">
        <v>22</v>
      </c>
      <c r="E40" s="65">
        <f>((E37/E6)^(1/31)-1)*100</f>
        <v>1.9919551262217894</v>
      </c>
      <c r="F40" s="56" t="s">
        <v>22</v>
      </c>
      <c r="G40" s="56" t="s">
        <v>22</v>
      </c>
      <c r="H40" s="56" t="s">
        <v>22</v>
      </c>
      <c r="I40" s="56" t="s">
        <v>22</v>
      </c>
      <c r="J40" s="56" t="s">
        <v>22</v>
      </c>
      <c r="K40" s="56" t="s">
        <v>22</v>
      </c>
      <c r="L40" s="56" t="s">
        <v>22</v>
      </c>
      <c r="M40" s="56" t="s">
        <v>22</v>
      </c>
      <c r="N40" s="65">
        <f>((N37/N6)^(1/31)-1)*100</f>
        <v>-0.46184135330175069</v>
      </c>
      <c r="O40" s="65">
        <f>((O37/O6)^(1/31)-1)*100</f>
        <v>-0.93844729128865767</v>
      </c>
      <c r="P40" s="56" t="s">
        <v>22</v>
      </c>
      <c r="Q40" s="56" t="s">
        <v>22</v>
      </c>
      <c r="R40" s="56" t="s">
        <v>22</v>
      </c>
      <c r="S40" s="56" t="s">
        <v>22</v>
      </c>
      <c r="T40" s="56" t="s">
        <v>22</v>
      </c>
      <c r="U40" s="65">
        <f>((U37/U6)^(1/31)-1)*100</f>
        <v>9.1949242351008209E-2</v>
      </c>
      <c r="V40" s="56" t="s">
        <v>22</v>
      </c>
      <c r="W40" s="56" t="s">
        <v>22</v>
      </c>
      <c r="X40" s="56" t="s">
        <v>22</v>
      </c>
    </row>
    <row r="41" spans="1:24">
      <c r="A41" s="64" t="s">
        <v>25</v>
      </c>
      <c r="B41" s="65">
        <f>((B14/B6)^(1/8)-1)*100</f>
        <v>2.9825911966540497</v>
      </c>
      <c r="C41" s="56" t="s">
        <v>22</v>
      </c>
      <c r="D41" s="56" t="s">
        <v>22</v>
      </c>
      <c r="E41" s="65">
        <f>((E14/E6)^(1/8)-1)*100</f>
        <v>5.4799020555611255</v>
      </c>
      <c r="F41" s="56" t="s">
        <v>22</v>
      </c>
      <c r="G41" s="56" t="s">
        <v>22</v>
      </c>
      <c r="H41" s="56" t="s">
        <v>22</v>
      </c>
      <c r="I41" s="56" t="s">
        <v>22</v>
      </c>
      <c r="J41" s="56" t="s">
        <v>22</v>
      </c>
      <c r="K41" s="56" t="s">
        <v>22</v>
      </c>
      <c r="L41" s="56" t="s">
        <v>22</v>
      </c>
      <c r="M41" s="56" t="s">
        <v>22</v>
      </c>
      <c r="N41" s="65">
        <f>((N14/N6)^(1/8)-1)*100</f>
        <v>1.0186873570714017</v>
      </c>
      <c r="O41" s="65">
        <f>((O14/O6)^(1/8)-1)*100</f>
        <v>1.2912542217725642</v>
      </c>
      <c r="P41" s="56" t="s">
        <v>22</v>
      </c>
      <c r="Q41" s="56" t="s">
        <v>22</v>
      </c>
      <c r="R41" s="56" t="s">
        <v>22</v>
      </c>
      <c r="S41" s="56" t="s">
        <v>22</v>
      </c>
      <c r="T41" s="56" t="s">
        <v>22</v>
      </c>
      <c r="U41" s="65">
        <f>((U14/U6)^(1/8)-1)*100</f>
        <v>-0.43541001389415523</v>
      </c>
      <c r="V41" s="56" t="s">
        <v>22</v>
      </c>
      <c r="W41" s="56" t="s">
        <v>22</v>
      </c>
      <c r="X41" s="56" t="s">
        <v>22</v>
      </c>
    </row>
    <row r="42" spans="1:24">
      <c r="A42" s="64" t="s">
        <v>26</v>
      </c>
      <c r="B42" s="65">
        <f>((B25/B14)^(1/11)-1)*100</f>
        <v>2.7234149578314382</v>
      </c>
      <c r="C42" s="65">
        <f>((C25/C14)^(1/11)-1)*100</f>
        <v>1.6360466893644343</v>
      </c>
      <c r="D42" s="65">
        <f>((D25/D14)^(1/11)-1)*100</f>
        <v>-0.64361708024994746</v>
      </c>
      <c r="E42" s="65">
        <f>((E25/E14)^(1/11)-1)*100</f>
        <v>2.8430212902807783</v>
      </c>
      <c r="F42" s="56" t="s">
        <v>22</v>
      </c>
      <c r="G42" s="56" t="s">
        <v>22</v>
      </c>
      <c r="H42" s="56" t="s">
        <v>22</v>
      </c>
      <c r="I42" s="56" t="s">
        <v>22</v>
      </c>
      <c r="J42" s="56" t="s">
        <v>22</v>
      </c>
      <c r="K42" s="56" t="s">
        <v>22</v>
      </c>
      <c r="L42" s="56" t="s">
        <v>22</v>
      </c>
      <c r="M42" s="56" t="s">
        <v>22</v>
      </c>
      <c r="N42" s="65">
        <f>((N25/N14)^(1/11)-1)*100</f>
        <v>1.8007400611685487</v>
      </c>
      <c r="O42" s="65">
        <f>((O25/O14)^(1/11)-1)*100</f>
        <v>1.6764316979771765</v>
      </c>
      <c r="P42" s="56" t="s">
        <v>22</v>
      </c>
      <c r="Q42" s="56" t="s">
        <v>22</v>
      </c>
      <c r="R42" s="56" t="s">
        <v>22</v>
      </c>
      <c r="S42" s="56" t="s">
        <v>22</v>
      </c>
      <c r="T42" s="56" t="s">
        <v>22</v>
      </c>
      <c r="U42" s="65">
        <f>((U25/U14)^(1/11)-1)*100</f>
        <v>1.8066090672923085</v>
      </c>
      <c r="V42" s="56" t="s">
        <v>22</v>
      </c>
      <c r="W42" s="56" t="s">
        <v>22</v>
      </c>
      <c r="X42" s="56" t="s">
        <v>22</v>
      </c>
    </row>
    <row r="43" spans="1:24">
      <c r="A43" s="64" t="s">
        <v>588</v>
      </c>
      <c r="B43" s="65">
        <f>((B32/B25)^(1/7)-1)*100</f>
        <v>2.5244563251201724</v>
      </c>
      <c r="C43" s="65">
        <f t="shared" ref="C43:X43" si="0">((C32/C25)^(1/7)-1)*100</f>
        <v>-0.44612891993000003</v>
      </c>
      <c r="D43" s="65">
        <f t="shared" si="0"/>
        <v>-0.72678965833916642</v>
      </c>
      <c r="E43" s="65">
        <f t="shared" si="0"/>
        <v>0.65718677546107163</v>
      </c>
      <c r="F43" s="65">
        <f t="shared" si="0"/>
        <v>-0.45420220803163991</v>
      </c>
      <c r="G43" s="65">
        <f t="shared" si="0"/>
        <v>2.3558276225517538</v>
      </c>
      <c r="H43" s="65">
        <f t="shared" si="0"/>
        <v>-0.89887964464849812</v>
      </c>
      <c r="I43" s="65">
        <f t="shared" si="0"/>
        <v>9.3503276103041202</v>
      </c>
      <c r="J43" s="65">
        <f t="shared" si="0"/>
        <v>2.7096181268097652</v>
      </c>
      <c r="K43" s="65">
        <f t="shared" si="0"/>
        <v>2.2466968804819576</v>
      </c>
      <c r="L43" s="65">
        <f t="shared" si="0"/>
        <v>2.6097786986850391</v>
      </c>
      <c r="M43" s="65">
        <f t="shared" si="0"/>
        <v>1.3751920763320991</v>
      </c>
      <c r="N43" s="65">
        <f t="shared" si="0"/>
        <v>-1.4314546911661008</v>
      </c>
      <c r="O43" s="65">
        <f t="shared" si="0"/>
        <v>-1.6404379476083419</v>
      </c>
      <c r="P43" s="65">
        <f t="shared" si="0"/>
        <v>-1.2535155452539692</v>
      </c>
      <c r="Q43" s="65">
        <f t="shared" si="0"/>
        <v>-1.3325063629530787</v>
      </c>
      <c r="R43" s="65">
        <f t="shared" si="0"/>
        <v>1.9842145990351279</v>
      </c>
      <c r="S43" s="65">
        <f t="shared" si="0"/>
        <v>-3.757144466676221</v>
      </c>
      <c r="T43" s="65">
        <f t="shared" si="0"/>
        <v>-4.667430987259003</v>
      </c>
      <c r="U43" s="65">
        <f t="shared" si="0"/>
        <v>-0.21419402864676362</v>
      </c>
      <c r="V43" s="65">
        <f t="shared" si="0"/>
        <v>-1.3884547436961214</v>
      </c>
      <c r="W43" s="65">
        <f t="shared" si="0"/>
        <v>1.5410014654106297</v>
      </c>
      <c r="X43" s="65">
        <f t="shared" si="0"/>
        <v>-0.33997834860954868</v>
      </c>
    </row>
    <row r="44" spans="1:24">
      <c r="A44" s="64" t="s">
        <v>2028</v>
      </c>
      <c r="B44" s="65">
        <f>IFERROR(((B37/B25)^(1/12)-1)*100,"..")</f>
        <v>1.9262476445692123</v>
      </c>
      <c r="C44" s="65">
        <f t="shared" ref="C44:X44" si="1">IFERROR(((C37/C25)^(1/12)-1)*100,"..")</f>
        <v>-2.0353208116431154</v>
      </c>
      <c r="D44" s="65">
        <f t="shared" si="1"/>
        <v>-1.3327158526983407</v>
      </c>
      <c r="E44" s="65">
        <f t="shared" si="1"/>
        <v>-1.0258267700156032</v>
      </c>
      <c r="F44" s="65">
        <f t="shared" si="1"/>
        <v>-1.6088196408142408</v>
      </c>
      <c r="G44" s="65">
        <f t="shared" si="1"/>
        <v>0.16683265781920475</v>
      </c>
      <c r="H44" s="65" t="str">
        <f t="shared" si="1"/>
        <v>..</v>
      </c>
      <c r="I44" s="65" t="str">
        <f t="shared" si="1"/>
        <v>..</v>
      </c>
      <c r="J44" s="65" t="str">
        <f t="shared" si="1"/>
        <v>..</v>
      </c>
      <c r="K44" s="65">
        <f t="shared" si="1"/>
        <v>-0.32980137997995485</v>
      </c>
      <c r="L44" s="65" t="str">
        <f t="shared" si="1"/>
        <v>..</v>
      </c>
      <c r="M44" s="65" t="str">
        <f t="shared" si="1"/>
        <v>..</v>
      </c>
      <c r="N44" s="65">
        <f t="shared" si="1"/>
        <v>-3.4467340581532668</v>
      </c>
      <c r="O44" s="65">
        <f t="shared" si="1"/>
        <v>-4.7009984238917664</v>
      </c>
      <c r="P44" s="65" t="str">
        <f t="shared" si="1"/>
        <v>..</v>
      </c>
      <c r="Q44" s="65" t="str">
        <f t="shared" si="1"/>
        <v>..</v>
      </c>
      <c r="R44" s="65" t="str">
        <f t="shared" si="1"/>
        <v>..</v>
      </c>
      <c r="S44" s="65" t="str">
        <f t="shared" si="1"/>
        <v>..</v>
      </c>
      <c r="T44" s="65" t="str">
        <f t="shared" si="1"/>
        <v>..</v>
      </c>
      <c r="U44" s="65">
        <f t="shared" si="1"/>
        <v>-1.1067729973163631</v>
      </c>
      <c r="V44" s="65" t="str">
        <f t="shared" si="1"/>
        <v>..</v>
      </c>
      <c r="W44" s="65" t="str">
        <f t="shared" si="1"/>
        <v>..</v>
      </c>
      <c r="X44" s="65" t="str">
        <f t="shared" si="1"/>
        <v>..</v>
      </c>
    </row>
    <row r="46" spans="1:24">
      <c r="A46" s="137" t="s">
        <v>772</v>
      </c>
      <c r="B46" s="137"/>
      <c r="C46" s="285"/>
      <c r="D46" s="285"/>
      <c r="E46" s="285"/>
      <c r="F46" s="285"/>
      <c r="G46" s="137"/>
      <c r="H46" s="137"/>
      <c r="I46" s="137"/>
      <c r="J46" s="137"/>
      <c r="K46" s="137"/>
      <c r="L46" s="137"/>
      <c r="M46" s="137"/>
      <c r="N46" s="137"/>
      <c r="O46" s="137"/>
      <c r="P46" s="137"/>
      <c r="Q46" s="137"/>
      <c r="R46" s="137"/>
      <c r="S46" s="137"/>
      <c r="T46" s="137"/>
      <c r="U46" s="137"/>
      <c r="V46" s="137"/>
      <c r="W46" s="137"/>
      <c r="X46" s="137"/>
    </row>
    <row r="47" spans="1:24">
      <c r="A47" s="137" t="s">
        <v>193</v>
      </c>
      <c r="B47" s="137"/>
      <c r="C47" s="137"/>
      <c r="D47" s="137"/>
      <c r="E47" s="137"/>
      <c r="F47" s="137"/>
      <c r="G47" s="137"/>
      <c r="H47" s="137"/>
      <c r="I47" s="137"/>
      <c r="J47" s="137"/>
      <c r="K47" s="137"/>
      <c r="L47" s="137"/>
      <c r="M47" s="137"/>
      <c r="N47" s="137"/>
      <c r="O47" s="137"/>
      <c r="P47" s="137"/>
      <c r="Q47" s="137"/>
      <c r="R47" s="137"/>
      <c r="S47" s="137"/>
      <c r="T47" s="137"/>
      <c r="U47" s="137"/>
      <c r="V47" s="137"/>
      <c r="W47" s="137"/>
      <c r="X47" s="137"/>
    </row>
    <row r="48" spans="1:24">
      <c r="A48" s="137" t="s">
        <v>586</v>
      </c>
      <c r="B48" s="137"/>
      <c r="C48" s="137"/>
      <c r="D48" s="137"/>
      <c r="E48" s="137"/>
      <c r="F48" s="137"/>
      <c r="G48" s="137"/>
      <c r="H48" s="137"/>
      <c r="I48" s="137"/>
      <c r="J48" s="137"/>
      <c r="K48" s="137"/>
      <c r="L48" s="137"/>
      <c r="M48" s="137"/>
      <c r="N48" s="137"/>
      <c r="O48" s="137"/>
      <c r="P48" s="137"/>
      <c r="Q48" s="137"/>
      <c r="R48" s="137"/>
      <c r="S48" s="137"/>
      <c r="T48" s="137"/>
      <c r="U48" s="137"/>
      <c r="V48" s="137"/>
      <c r="W48" s="137"/>
      <c r="X48" s="137"/>
    </row>
    <row r="49" spans="1:1">
      <c r="A49" s="109"/>
    </row>
  </sheetData>
  <mergeCells count="17">
    <mergeCell ref="A46:X46"/>
    <mergeCell ref="A47:X47"/>
    <mergeCell ref="A48:X48"/>
    <mergeCell ref="E4:E5"/>
    <mergeCell ref="F4:F5"/>
    <mergeCell ref="G4:J4"/>
    <mergeCell ref="K4:M4"/>
    <mergeCell ref="N4:N5"/>
    <mergeCell ref="O4:T4"/>
    <mergeCell ref="U4:X4"/>
    <mergeCell ref="A1:X1"/>
    <mergeCell ref="B2:B5"/>
    <mergeCell ref="C2:X2"/>
    <mergeCell ref="C3:C5"/>
    <mergeCell ref="D3:D5"/>
    <mergeCell ref="E3:M3"/>
    <mergeCell ref="N3:X3"/>
  </mergeCells>
  <pageMargins left="0.70866141732283472" right="0.70866141732283472" top="0.74803149606299213" bottom="0.74803149606299213" header="0.31496062992125984" footer="0.31496062992125984"/>
  <pageSetup scale="37" orientation="landscape" horizontalDpi="0" verticalDpi="0" r:id="rId1"/>
</worksheet>
</file>

<file path=xl/worksheets/sheet80.xml><?xml version="1.0" encoding="utf-8"?>
<worksheet xmlns="http://schemas.openxmlformats.org/spreadsheetml/2006/main" xmlns:r="http://schemas.openxmlformats.org/officeDocument/2006/relationships">
  <sheetPr codeName="Sheet74"/>
  <dimension ref="A1:H66"/>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1.5703125" style="64" customWidth="1"/>
    <col min="2" max="3" width="14.140625" style="135" customWidth="1"/>
    <col min="4" max="4" width="16" style="135" customWidth="1"/>
    <col min="5" max="5" width="11.28515625" style="135" customWidth="1"/>
    <col min="6" max="6" width="15.140625" style="135" customWidth="1"/>
    <col min="7" max="7" width="14.140625" style="135" customWidth="1"/>
    <col min="8" max="8" width="9.140625" style="135"/>
    <col min="9" max="16384" width="9.140625" style="64"/>
  </cols>
  <sheetData>
    <row r="1" spans="1:7" ht="30" customHeight="1">
      <c r="A1" s="93" t="s">
        <v>2067</v>
      </c>
      <c r="B1" s="93"/>
      <c r="C1" s="93"/>
      <c r="D1" s="93"/>
      <c r="E1" s="93"/>
      <c r="F1" s="93"/>
      <c r="G1" s="93"/>
    </row>
    <row r="2" spans="1:7" ht="15" customHeight="1">
      <c r="B2" s="123" t="s">
        <v>673</v>
      </c>
      <c r="C2" s="123" t="s">
        <v>938</v>
      </c>
      <c r="D2" s="159" t="s">
        <v>37</v>
      </c>
      <c r="E2" s="160"/>
      <c r="F2" s="160"/>
      <c r="G2" s="161"/>
    </row>
    <row r="3" spans="1:7" ht="60">
      <c r="B3" s="126"/>
      <c r="C3" s="126"/>
      <c r="D3" s="72" t="s">
        <v>78</v>
      </c>
      <c r="E3" s="72" t="s">
        <v>750</v>
      </c>
      <c r="F3" s="72" t="s">
        <v>745</v>
      </c>
      <c r="G3" s="72" t="s">
        <v>678</v>
      </c>
    </row>
    <row r="4" spans="1:7">
      <c r="A4" s="66">
        <v>1961</v>
      </c>
      <c r="B4" s="30">
        <f>'10a'!B4-'10k'!B4</f>
        <v>372.89999999999964</v>
      </c>
      <c r="C4" s="30">
        <f>'10a'!C4-'10k'!C4</f>
        <v>141.40000000000009</v>
      </c>
      <c r="D4" s="30">
        <f>'10a'!D4-'10k'!D4</f>
        <v>7</v>
      </c>
      <c r="E4" s="30">
        <f>'10a'!E4-'10k'!E4</f>
        <v>-24.400000000000006</v>
      </c>
      <c r="F4" s="30">
        <f>'10a'!F4-'10k'!F4</f>
        <v>11.900000000000006</v>
      </c>
      <c r="G4" s="30">
        <f>'10a'!G4-'10k'!G4</f>
        <v>19.5</v>
      </c>
    </row>
    <row r="5" spans="1:7" hidden="1" outlineLevel="1">
      <c r="A5" s="66">
        <v>1962</v>
      </c>
      <c r="B5" s="30">
        <f>'10a'!B5-'10k'!B5</f>
        <v>1383.3999999999996</v>
      </c>
      <c r="C5" s="30">
        <f>'10a'!C5-'10k'!C5</f>
        <v>607.39999999999964</v>
      </c>
      <c r="D5" s="30">
        <f>'10a'!D5-'10k'!D5</f>
        <v>68</v>
      </c>
      <c r="E5" s="30">
        <f>'10a'!E5-'10k'!E5</f>
        <v>-9.3999999999999915</v>
      </c>
      <c r="F5" s="30">
        <f>'10a'!F5-'10k'!F5</f>
        <v>-5.9000000000000057</v>
      </c>
      <c r="G5" s="30">
        <f>'10a'!G5-'10k'!G5</f>
        <v>83.299999999999955</v>
      </c>
    </row>
    <row r="6" spans="1:7" hidden="1" outlineLevel="1">
      <c r="A6" s="66">
        <v>1963</v>
      </c>
      <c r="B6" s="30">
        <f>'10a'!B6-'10k'!B6</f>
        <v>2037.5</v>
      </c>
      <c r="C6" s="30">
        <f>'10a'!C6-'10k'!C6</f>
        <v>658.19999999999982</v>
      </c>
      <c r="D6" s="30">
        <f>'10a'!D6-'10k'!D6</f>
        <v>266.89999999999986</v>
      </c>
      <c r="E6" s="30">
        <f>'10a'!E6-'10k'!E6</f>
        <v>18.099999999999994</v>
      </c>
      <c r="F6" s="30">
        <f>'10a'!F6-'10k'!F6</f>
        <v>38.199999999999989</v>
      </c>
      <c r="G6" s="30">
        <f>'10a'!G6-'10k'!G6</f>
        <v>210.59999999999991</v>
      </c>
    </row>
    <row r="7" spans="1:7" hidden="1" outlineLevel="1">
      <c r="A7" s="66">
        <v>1964</v>
      </c>
      <c r="B7" s="30">
        <f>'10a'!B7-'10k'!B7</f>
        <v>4149.8000000000011</v>
      </c>
      <c r="C7" s="30">
        <f>'10a'!C7-'10k'!C7</f>
        <v>2090.1999999999998</v>
      </c>
      <c r="D7" s="30">
        <f>'10a'!D7-'10k'!D7</f>
        <v>736.59999999999991</v>
      </c>
      <c r="E7" s="30">
        <f>'10a'!E7-'10k'!E7</f>
        <v>80.800000000000011</v>
      </c>
      <c r="F7" s="30">
        <f>'10a'!F7-'10k'!F7</f>
        <v>65.400000000000006</v>
      </c>
      <c r="G7" s="30">
        <f>'10a'!G7-'10k'!G7</f>
        <v>590.39999999999986</v>
      </c>
    </row>
    <row r="8" spans="1:7" hidden="1" outlineLevel="1">
      <c r="A8" s="66">
        <v>1965</v>
      </c>
      <c r="B8" s="30">
        <f>'10a'!B8-'10k'!B8</f>
        <v>5945.1000000000022</v>
      </c>
      <c r="C8" s="30">
        <f>'10a'!C8-'10k'!C8</f>
        <v>2986.8999999999996</v>
      </c>
      <c r="D8" s="30">
        <f>'10a'!D8-'10k'!D8</f>
        <v>885.20000000000027</v>
      </c>
      <c r="E8" s="30">
        <f>'10a'!E8-'10k'!E8</f>
        <v>65.600000000000023</v>
      </c>
      <c r="F8" s="30">
        <f>'10a'!F8-'10k'!F8</f>
        <v>88.899999999999977</v>
      </c>
      <c r="G8" s="30">
        <f>'10a'!G8-'10k'!G8</f>
        <v>730.69999999999993</v>
      </c>
    </row>
    <row r="9" spans="1:7" hidden="1" outlineLevel="1">
      <c r="A9" s="66">
        <v>1966</v>
      </c>
      <c r="B9" s="30">
        <f>'10a'!B9-'10k'!B9</f>
        <v>8508.7000000000007</v>
      </c>
      <c r="C9" s="30">
        <f>'10a'!C9-'10k'!C9</f>
        <v>3969.4000000000005</v>
      </c>
      <c r="D9" s="30">
        <f>'10a'!D9-'10k'!D9</f>
        <v>1201.9999999999998</v>
      </c>
      <c r="E9" s="30">
        <f>'10a'!E9-'10k'!E9</f>
        <v>30.199999999999989</v>
      </c>
      <c r="F9" s="30">
        <f>'10a'!F9-'10k'!F9</f>
        <v>48.599999999999966</v>
      </c>
      <c r="G9" s="30">
        <f>'10a'!G9-'10k'!G9</f>
        <v>1123.1999999999998</v>
      </c>
    </row>
    <row r="10" spans="1:7" hidden="1" outlineLevel="1">
      <c r="A10" s="66">
        <v>1967</v>
      </c>
      <c r="B10" s="30">
        <f>'10a'!B10-'10k'!B10</f>
        <v>6760.7000000000007</v>
      </c>
      <c r="C10" s="30">
        <f>'10a'!C10-'10k'!C10</f>
        <v>2155</v>
      </c>
      <c r="D10" s="30">
        <f>'10a'!D10-'10k'!D10</f>
        <v>716.10000000000014</v>
      </c>
      <c r="E10" s="30">
        <f>'10a'!E10-'10k'!E10</f>
        <v>18.800000000000011</v>
      </c>
      <c r="F10" s="30">
        <f>'10a'!F10-'10k'!F10</f>
        <v>28.300000000000011</v>
      </c>
      <c r="G10" s="30">
        <f>'10a'!G10-'10k'!G10</f>
        <v>669</v>
      </c>
    </row>
    <row r="11" spans="1:7" hidden="1" outlineLevel="1">
      <c r="A11" s="66">
        <v>1968</v>
      </c>
      <c r="B11" s="30">
        <f>'10a'!B11-'10k'!B11</f>
        <v>3736.3000000000029</v>
      </c>
      <c r="C11" s="30">
        <f>'10a'!C11-'10k'!C11</f>
        <v>371.19999999999982</v>
      </c>
      <c r="D11" s="30">
        <f>'10a'!D11-'10k'!D11</f>
        <v>-128.30000000000018</v>
      </c>
      <c r="E11" s="30">
        <f>'10a'!E11-'10k'!E11</f>
        <v>-26.900000000000006</v>
      </c>
      <c r="F11" s="30">
        <f>'10a'!F11-'10k'!F11</f>
        <v>43</v>
      </c>
      <c r="G11" s="30">
        <f>'10a'!G11-'10k'!G11</f>
        <v>-144.40000000000009</v>
      </c>
    </row>
    <row r="12" spans="1:7" hidden="1" outlineLevel="1">
      <c r="A12" s="66">
        <v>1969</v>
      </c>
      <c r="B12" s="30">
        <f>'10a'!B12-'10k'!B12</f>
        <v>4094.7000000000007</v>
      </c>
      <c r="C12" s="30">
        <f>'10a'!C12-'10k'!C12</f>
        <v>1205.0999999999995</v>
      </c>
      <c r="D12" s="30">
        <f>'10a'!D12-'10k'!D12</f>
        <v>391.79999999999995</v>
      </c>
      <c r="E12" s="30">
        <f>'10a'!E12-'10k'!E12</f>
        <v>31.400000000000006</v>
      </c>
      <c r="F12" s="30">
        <f>'10a'!F12-'10k'!F12</f>
        <v>288.8</v>
      </c>
      <c r="G12" s="30">
        <f>'10a'!G12-'10k'!G12</f>
        <v>71.599999999999909</v>
      </c>
    </row>
    <row r="13" spans="1:7" hidden="1" outlineLevel="1">
      <c r="A13" s="66">
        <v>1970</v>
      </c>
      <c r="B13" s="30">
        <f>'10a'!B13-'10k'!B13</f>
        <v>3767.4000000000015</v>
      </c>
      <c r="C13" s="30">
        <f>'10a'!C13-'10k'!C13</f>
        <v>1980.2999999999993</v>
      </c>
      <c r="D13" s="30">
        <f>'10a'!D13-'10k'!D13</f>
        <v>737.99999999999977</v>
      </c>
      <c r="E13" s="30">
        <f>'10a'!E13-'10k'!E13</f>
        <v>-24.800000000000011</v>
      </c>
      <c r="F13" s="30">
        <f>'10a'!F13-'10k'!F13</f>
        <v>275.5</v>
      </c>
      <c r="G13" s="30">
        <f>'10a'!G13-'10k'!G13</f>
        <v>487.29999999999995</v>
      </c>
    </row>
    <row r="14" spans="1:7" hidden="1" outlineLevel="1">
      <c r="A14" s="66">
        <v>1971</v>
      </c>
      <c r="B14" s="30">
        <f>'10a'!B14-'10k'!B14</f>
        <v>3669</v>
      </c>
      <c r="C14" s="30">
        <f>'10a'!C14-'10k'!C14</f>
        <v>1117.8999999999996</v>
      </c>
      <c r="D14" s="30">
        <f>'10a'!D14-'10k'!D14</f>
        <v>681.10000000000014</v>
      </c>
      <c r="E14" s="30">
        <f>'10a'!E14-'10k'!E14</f>
        <v>-1.6999999999999886</v>
      </c>
      <c r="F14" s="30">
        <f>'10a'!F14-'10k'!F14</f>
        <v>205.89999999999998</v>
      </c>
      <c r="G14" s="30">
        <f>'10a'!G14-'10k'!G14</f>
        <v>476.89999999999986</v>
      </c>
    </row>
    <row r="15" spans="1:7" hidden="1" outlineLevel="1">
      <c r="A15" s="66">
        <v>1972</v>
      </c>
      <c r="B15" s="30">
        <f>'10a'!B15-'10k'!B15</f>
        <v>4410.7000000000007</v>
      </c>
      <c r="C15" s="30">
        <f>'10a'!C15-'10k'!C15</f>
        <v>600.5</v>
      </c>
      <c r="D15" s="30">
        <f>'10a'!D15-'10k'!D15</f>
        <v>251</v>
      </c>
      <c r="E15" s="30">
        <f>'10a'!E15-'10k'!E15</f>
        <v>43.5</v>
      </c>
      <c r="F15" s="30">
        <f>'10a'!F15-'10k'!F15</f>
        <v>219.29999999999995</v>
      </c>
      <c r="G15" s="30">
        <f>'10a'!G15-'10k'!G15</f>
        <v>-11.800000000000182</v>
      </c>
    </row>
    <row r="16" spans="1:7" collapsed="1">
      <c r="A16" s="66">
        <v>1973</v>
      </c>
      <c r="B16" s="30">
        <f>'10a'!B16-'10k'!B16</f>
        <v>8228.2000000000007</v>
      </c>
      <c r="C16" s="30">
        <f>'10a'!C16-'10k'!C16</f>
        <v>1924.5</v>
      </c>
      <c r="D16" s="30">
        <f>'10a'!D16-'10k'!D16</f>
        <v>360.79999999999973</v>
      </c>
      <c r="E16" s="30">
        <f>'10a'!E16-'10k'!E16</f>
        <v>150.30000000000001</v>
      </c>
      <c r="F16" s="30">
        <f>'10a'!F16-'10k'!F16</f>
        <v>433.1</v>
      </c>
      <c r="G16" s="30">
        <f>'10a'!G16-'10k'!G16</f>
        <v>-222.60000000000014</v>
      </c>
    </row>
    <row r="17" spans="1:7" hidden="1" outlineLevel="1">
      <c r="A17" s="66">
        <v>1974</v>
      </c>
      <c r="B17" s="30">
        <f>'10a'!B17-'10k'!B17</f>
        <v>9997.4000000000015</v>
      </c>
      <c r="C17" s="30">
        <f>'10a'!C17-'10k'!C17</f>
        <v>2825.4000000000005</v>
      </c>
      <c r="D17" s="30">
        <f>'10a'!D17-'10k'!D17</f>
        <v>499.90000000000009</v>
      </c>
      <c r="E17" s="30">
        <f>'10a'!E17-'10k'!E17</f>
        <v>194.40000000000003</v>
      </c>
      <c r="F17" s="30">
        <f>'10a'!F17-'10k'!F17</f>
        <v>230.89999999999998</v>
      </c>
      <c r="G17" s="30">
        <f>'10a'!G17-'10k'!G17</f>
        <v>74.599999999999909</v>
      </c>
    </row>
    <row r="18" spans="1:7" hidden="1" outlineLevel="1">
      <c r="A18" s="66">
        <v>1975</v>
      </c>
      <c r="B18" s="30">
        <f>'10a'!B18-'10k'!B18</f>
        <v>8207.7999999999993</v>
      </c>
      <c r="C18" s="30">
        <f>'10a'!C18-'10k'!C18</f>
        <v>1988</v>
      </c>
      <c r="D18" s="30">
        <f>'10a'!D18-'10k'!D18</f>
        <v>-10.299999999999727</v>
      </c>
      <c r="E18" s="30">
        <f>'10a'!E18-'10k'!E18</f>
        <v>-10.800000000000011</v>
      </c>
      <c r="F18" s="30">
        <f>'10a'!F18-'10k'!F18</f>
        <v>65.400000000000091</v>
      </c>
      <c r="G18" s="30">
        <f>'10a'!G18-'10k'!G18</f>
        <v>-64.900000000000091</v>
      </c>
    </row>
    <row r="19" spans="1:7" hidden="1" outlineLevel="1">
      <c r="A19" s="66">
        <v>1976</v>
      </c>
      <c r="B19" s="30">
        <f>'10a'!B19-'10k'!B19</f>
        <v>6741.0000000000036</v>
      </c>
      <c r="C19" s="30">
        <f>'10a'!C19-'10k'!C19</f>
        <v>907.80000000000109</v>
      </c>
      <c r="D19" s="30">
        <f>'10a'!D19-'10k'!D19</f>
        <v>20.200000000000273</v>
      </c>
      <c r="E19" s="30">
        <f>'10a'!E19-'10k'!E19</f>
        <v>-45.499999999999972</v>
      </c>
      <c r="F19" s="30">
        <f>'10a'!F19-'10k'!F19</f>
        <v>-2.6000000000000227</v>
      </c>
      <c r="G19" s="30">
        <f>'10a'!G19-'10k'!G19</f>
        <v>68.300000000000182</v>
      </c>
    </row>
    <row r="20" spans="1:7" hidden="1" outlineLevel="1">
      <c r="A20" s="66">
        <v>1977</v>
      </c>
      <c r="B20" s="30">
        <f>'10a'!B20-'10k'!B20</f>
        <v>4488.0999999999985</v>
      </c>
      <c r="C20" s="30">
        <f>'10a'!C20-'10k'!C20</f>
        <v>658.40000000000146</v>
      </c>
      <c r="D20" s="30">
        <f>'10a'!D20-'10k'!D20</f>
        <v>-112.5</v>
      </c>
      <c r="E20" s="30">
        <f>'10a'!E20-'10k'!E20</f>
        <v>-20.800000000000011</v>
      </c>
      <c r="F20" s="30">
        <f>'10a'!F20-'10k'!F20</f>
        <v>-78.599999999999966</v>
      </c>
      <c r="G20" s="30">
        <f>'10a'!G20-'10k'!G20</f>
        <v>-13.100000000000136</v>
      </c>
    </row>
    <row r="21" spans="1:7" hidden="1" outlineLevel="1">
      <c r="A21" s="66">
        <v>1978</v>
      </c>
      <c r="B21" s="30">
        <f>'10a'!B21-'10k'!B21</f>
        <v>3647.8999999999978</v>
      </c>
      <c r="C21" s="30">
        <f>'10a'!C21-'10k'!C21</f>
        <v>-272.89999999999964</v>
      </c>
      <c r="D21" s="30">
        <f>'10a'!D21-'10k'!D21</f>
        <v>-204.90000000000009</v>
      </c>
      <c r="E21" s="30">
        <f>'10a'!E21-'10k'!E21</f>
        <v>4.5</v>
      </c>
      <c r="F21" s="30">
        <f>'10a'!F21-'10k'!F21</f>
        <v>19</v>
      </c>
      <c r="G21" s="30">
        <f>'10a'!G21-'10k'!G21</f>
        <v>-228.39999999999986</v>
      </c>
    </row>
    <row r="22" spans="1:7" hidden="1" outlineLevel="1">
      <c r="A22" s="66">
        <v>1979</v>
      </c>
      <c r="B22" s="30">
        <f>'10a'!B22-'10k'!B22</f>
        <v>6234</v>
      </c>
      <c r="C22" s="30">
        <f>'10a'!C22-'10k'!C22</f>
        <v>799.80000000000109</v>
      </c>
      <c r="D22" s="30">
        <f>'10a'!D22-'10k'!D22</f>
        <v>111.40000000000009</v>
      </c>
      <c r="E22" s="30">
        <f>'10a'!E22-'10k'!E22</f>
        <v>8.3000000000000114</v>
      </c>
      <c r="F22" s="30">
        <f>'10a'!F22-'10k'!F22</f>
        <v>84.799999999999955</v>
      </c>
      <c r="G22" s="30">
        <f>'10a'!G22-'10k'!G22</f>
        <v>18.299999999999955</v>
      </c>
    </row>
    <row r="23" spans="1:7" hidden="1" outlineLevel="1">
      <c r="A23" s="66">
        <v>1980</v>
      </c>
      <c r="B23" s="30">
        <f>'10a'!B23-'10k'!B23</f>
        <v>6672.1999999999971</v>
      </c>
      <c r="C23" s="30">
        <f>'10a'!C23-'10k'!C23</f>
        <v>1856.5</v>
      </c>
      <c r="D23" s="30">
        <f>'10a'!D23-'10k'!D23</f>
        <v>548.49999999999955</v>
      </c>
      <c r="E23" s="30">
        <f>'10a'!E23-'10k'!E23</f>
        <v>25.599999999999966</v>
      </c>
      <c r="F23" s="30">
        <f>'10a'!F23-'10k'!F23</f>
        <v>65.899999999999977</v>
      </c>
      <c r="G23" s="30">
        <f>'10a'!G23-'10k'!G23</f>
        <v>457</v>
      </c>
    </row>
    <row r="24" spans="1:7" collapsed="1">
      <c r="A24" s="66">
        <v>1981</v>
      </c>
      <c r="B24" s="30">
        <f>'10a'!B24-'10k'!B24</f>
        <v>7369.1000000000058</v>
      </c>
      <c r="C24" s="30">
        <f>'10a'!C24-'10k'!C24</f>
        <v>2513.8999999999996</v>
      </c>
      <c r="D24" s="30">
        <f>'10a'!D24-'10k'!D24</f>
        <v>820.89999999999964</v>
      </c>
      <c r="E24" s="30">
        <f>'10a'!E24-'10k'!E24</f>
        <v>-77.199999999999989</v>
      </c>
      <c r="F24" s="30">
        <f>'10a'!F24-'10k'!F24</f>
        <v>-45.200000000000045</v>
      </c>
      <c r="G24" s="30">
        <f>'10a'!G24-'10k'!G24</f>
        <v>943.29999999999973</v>
      </c>
    </row>
    <row r="25" spans="1:7">
      <c r="A25" s="66">
        <v>1982</v>
      </c>
      <c r="B25" s="30">
        <f>'10a'!B25-'10k'!B25</f>
        <v>710.09999999999854</v>
      </c>
      <c r="C25" s="30">
        <f>'10a'!C25-'10k'!C25</f>
        <v>-9.9999999998544808E-2</v>
      </c>
      <c r="D25" s="30">
        <f>'10a'!D25-'10k'!D25</f>
        <v>-75.900000000000091</v>
      </c>
      <c r="E25" s="30">
        <f>'10a'!E25-'10k'!E25</f>
        <v>-173.9</v>
      </c>
      <c r="F25" s="30">
        <f>'10a'!F25-'10k'!F25</f>
        <v>-204.70000000000005</v>
      </c>
      <c r="G25" s="30">
        <f>'10a'!G25-'10k'!G25</f>
        <v>302.70000000000005</v>
      </c>
    </row>
    <row r="26" spans="1:7">
      <c r="A26" s="66">
        <v>1983</v>
      </c>
      <c r="B26" s="30">
        <f>'10a'!B26-'10k'!B26</f>
        <v>-1686.2999999999956</v>
      </c>
      <c r="C26" s="30">
        <f>'10a'!C26-'10k'!C26</f>
        <v>-2208.7999999999993</v>
      </c>
      <c r="D26" s="30">
        <f>'10a'!D26-'10k'!D26</f>
        <v>-986.60000000000014</v>
      </c>
      <c r="E26" s="30">
        <f>'10a'!E26-'10k'!E26</f>
        <v>-131.69999999999999</v>
      </c>
      <c r="F26" s="30">
        <f>'10a'!F26-'10k'!F26</f>
        <v>-199.89999999999998</v>
      </c>
      <c r="G26" s="30">
        <f>'10a'!G26-'10k'!G26</f>
        <v>-655</v>
      </c>
    </row>
    <row r="27" spans="1:7">
      <c r="A27" s="66">
        <v>1984</v>
      </c>
      <c r="B27" s="30">
        <f>'10a'!B27-'10k'!B27</f>
        <v>-1253.1000000000058</v>
      </c>
      <c r="C27" s="30">
        <f>'10a'!C27-'10k'!C27</f>
        <v>-2167.3999999999996</v>
      </c>
      <c r="D27" s="30">
        <f>'10a'!D27-'10k'!D27</f>
        <v>-640.5</v>
      </c>
      <c r="E27" s="30">
        <f>'10a'!E27-'10k'!E27</f>
        <v>-60.3</v>
      </c>
      <c r="F27" s="30">
        <f>'10a'!F27-'10k'!F27</f>
        <v>-123.19999999999999</v>
      </c>
      <c r="G27" s="30">
        <f>'10a'!G27-'10k'!G27</f>
        <v>-457</v>
      </c>
    </row>
    <row r="28" spans="1:7">
      <c r="A28" s="66">
        <v>1985</v>
      </c>
      <c r="B28" s="30">
        <f>'10a'!B28-'10k'!B28</f>
        <v>226</v>
      </c>
      <c r="C28" s="30">
        <f>'10a'!C28-'10k'!C28</f>
        <v>-479.80000000000109</v>
      </c>
      <c r="D28" s="30">
        <f>'10a'!D28-'10k'!D28</f>
        <v>161.19999999999982</v>
      </c>
      <c r="E28" s="30">
        <f>'10a'!E28-'10k'!E28</f>
        <v>-58.7</v>
      </c>
      <c r="F28" s="30">
        <f>'10a'!F28-'10k'!F28</f>
        <v>-112.80000000000001</v>
      </c>
      <c r="G28" s="30">
        <f>'10a'!G28-'10k'!G28</f>
        <v>332.70000000000005</v>
      </c>
    </row>
    <row r="29" spans="1:7">
      <c r="A29" s="66">
        <v>1986</v>
      </c>
      <c r="B29" s="30">
        <f>'10a'!B29-'10k'!B29</f>
        <v>1936.8999999999942</v>
      </c>
      <c r="C29" s="30">
        <f>'10a'!C29-'10k'!C29</f>
        <v>1889.5</v>
      </c>
      <c r="D29" s="30">
        <f>'10a'!D29-'10k'!D29</f>
        <v>115.10000000000036</v>
      </c>
      <c r="E29" s="30">
        <f>'10a'!E29-'10k'!E29</f>
        <v>-24.400000000000006</v>
      </c>
      <c r="F29" s="30">
        <f>'10a'!F29-'10k'!F29</f>
        <v>-17.400000000000034</v>
      </c>
      <c r="G29" s="30">
        <f>'10a'!G29-'10k'!G29</f>
        <v>156.90000000000009</v>
      </c>
    </row>
    <row r="30" spans="1:7">
      <c r="A30" s="66">
        <v>1987</v>
      </c>
      <c r="B30" s="30">
        <f>'10a'!B30-'10k'!B30</f>
        <v>3641.9000000000015</v>
      </c>
      <c r="C30" s="30">
        <f>'10a'!C30-'10k'!C30</f>
        <v>2157.5</v>
      </c>
      <c r="D30" s="30">
        <f>'10a'!D30-'10k'!D30</f>
        <v>973.99999999999955</v>
      </c>
      <c r="E30" s="30">
        <f>'10a'!E30-'10k'!E30</f>
        <v>-9.9999999999994316E-2</v>
      </c>
      <c r="F30" s="30">
        <f>'10a'!F30-'10k'!F30</f>
        <v>245.10000000000002</v>
      </c>
      <c r="G30" s="30">
        <f>'10a'!G30-'10k'!G30</f>
        <v>728.99999999999977</v>
      </c>
    </row>
    <row r="31" spans="1:7">
      <c r="A31" s="66">
        <v>1988</v>
      </c>
      <c r="B31" s="30">
        <f>'10a'!B31-'10k'!B31</f>
        <v>9380.8000000000029</v>
      </c>
      <c r="C31" s="30">
        <f>'10a'!C31-'10k'!C31</f>
        <v>3426.5</v>
      </c>
      <c r="D31" s="30">
        <f>'10a'!D31-'10k'!D31</f>
        <v>1824.6999999999998</v>
      </c>
      <c r="E31" s="30">
        <f>'10a'!E31-'10k'!E31</f>
        <v>-14.099999999999994</v>
      </c>
      <c r="F31" s="30">
        <f>'10a'!F31-'10k'!F31</f>
        <v>490.6</v>
      </c>
      <c r="G31" s="30">
        <f>'10a'!G31-'10k'!G31</f>
        <v>1348.1999999999998</v>
      </c>
    </row>
    <row r="32" spans="1:7">
      <c r="A32" s="66">
        <v>1989</v>
      </c>
      <c r="B32" s="30">
        <f>'10a'!B32-'10k'!B32</f>
        <v>9182.9000000000015</v>
      </c>
      <c r="C32" s="30">
        <f>'10a'!C32-'10k'!C32</f>
        <v>4462.1000000000004</v>
      </c>
      <c r="D32" s="30">
        <f>'10a'!D32-'10k'!D32</f>
        <v>2656.8</v>
      </c>
      <c r="E32" s="30">
        <f>'10a'!E32-'10k'!E32</f>
        <v>6.3000000000000114</v>
      </c>
      <c r="F32" s="30">
        <f>'10a'!F32-'10k'!F32</f>
        <v>169.10000000000002</v>
      </c>
      <c r="G32" s="30">
        <f>'10a'!G32-'10k'!G32</f>
        <v>2481.4</v>
      </c>
    </row>
    <row r="33" spans="1:7">
      <c r="A33" s="66">
        <v>1990</v>
      </c>
      <c r="B33" s="30">
        <f>'10a'!B33-'10k'!B33</f>
        <v>4477.9000000000015</v>
      </c>
      <c r="C33" s="30">
        <f>'10a'!C33-'10k'!C33</f>
        <v>2263.3999999999996</v>
      </c>
      <c r="D33" s="30">
        <f>'10a'!D33-'10k'!D33</f>
        <v>1173.8000000000002</v>
      </c>
      <c r="E33" s="30">
        <f>'10a'!E33-'10k'!E33</f>
        <v>-22.700000000000017</v>
      </c>
      <c r="F33" s="30">
        <f>'10a'!F33-'10k'!F33</f>
        <v>36.700000000000045</v>
      </c>
      <c r="G33" s="30">
        <f>'10a'!G33-'10k'!G33</f>
        <v>1159.8000000000002</v>
      </c>
    </row>
    <row r="34" spans="1:7">
      <c r="A34" s="66">
        <v>1991</v>
      </c>
      <c r="B34" s="30">
        <f>'10a'!B34-'10k'!B34</f>
        <v>3653.0999999999985</v>
      </c>
      <c r="C34" s="30">
        <f>'10a'!C34-'10k'!C34</f>
        <v>817</v>
      </c>
      <c r="D34" s="30">
        <f>'10a'!D34-'10k'!D34</f>
        <v>-442.59999999999991</v>
      </c>
      <c r="E34" s="30">
        <f>'10a'!E34-'10k'!E34</f>
        <v>-98.799999999999983</v>
      </c>
      <c r="F34" s="30">
        <f>'10a'!F34-'10k'!F34</f>
        <v>-251.00000000000006</v>
      </c>
      <c r="G34" s="30">
        <f>'10a'!G34-'10k'!G34</f>
        <v>-92.799999999999727</v>
      </c>
    </row>
    <row r="35" spans="1:7">
      <c r="A35" s="66">
        <v>1992</v>
      </c>
      <c r="B35" s="30">
        <f>'10a'!B35-'10k'!B35</f>
        <v>806</v>
      </c>
      <c r="C35" s="30">
        <f>'10a'!C35-'10k'!C35</f>
        <v>-2110.2000000000007</v>
      </c>
      <c r="D35" s="30">
        <f>'10a'!D35-'10k'!D35</f>
        <v>-1149.3999999999996</v>
      </c>
      <c r="E35" s="30">
        <f>'10a'!E35-'10k'!E35</f>
        <v>17.600000000000009</v>
      </c>
      <c r="F35" s="30">
        <f>'10a'!F35-'10k'!F35</f>
        <v>-184.30000000000007</v>
      </c>
      <c r="G35" s="30">
        <f>'10a'!G35-'10k'!G35</f>
        <v>-982.69999999999982</v>
      </c>
    </row>
    <row r="36" spans="1:7">
      <c r="A36" s="66">
        <v>1993</v>
      </c>
      <c r="B36" s="30">
        <f>'10a'!B36-'10k'!B36</f>
        <v>-2269.7000000000044</v>
      </c>
      <c r="C36" s="30">
        <f>'10a'!C36-'10k'!C36</f>
        <v>-2141.7000000000007</v>
      </c>
      <c r="D36" s="30">
        <f>'10a'!D36-'10k'!D36</f>
        <v>-999.70000000000073</v>
      </c>
      <c r="E36" s="30">
        <f>'10a'!E36-'10k'!E36</f>
        <v>105.30000000000001</v>
      </c>
      <c r="F36" s="30">
        <f>'10a'!F36-'10k'!F36</f>
        <v>-37.200000000000045</v>
      </c>
      <c r="G36" s="30">
        <f>'10a'!G36-'10k'!G36</f>
        <v>-1067.8000000000002</v>
      </c>
    </row>
    <row r="37" spans="1:7">
      <c r="A37" s="66">
        <v>1994</v>
      </c>
      <c r="B37" s="30">
        <f>'10a'!B37-'10k'!B37</f>
        <v>-327.90000000000146</v>
      </c>
      <c r="C37" s="30">
        <f>'10a'!C37-'10k'!C37</f>
        <v>-449.40000000000146</v>
      </c>
      <c r="D37" s="30">
        <f>'10a'!D37-'10k'!D37</f>
        <v>-194.59999999999991</v>
      </c>
      <c r="E37" s="30">
        <f>'10a'!E37-'10k'!E37</f>
        <v>142.50000000000003</v>
      </c>
      <c r="F37" s="30">
        <f>'10a'!F37-'10k'!F37</f>
        <v>374.4</v>
      </c>
      <c r="G37" s="30">
        <f>'10a'!G37-'10k'!G37</f>
        <v>-711.5</v>
      </c>
    </row>
    <row r="38" spans="1:7">
      <c r="A38" s="66">
        <v>1995</v>
      </c>
      <c r="B38" s="30">
        <f>'10a'!B38-'10k'!B38</f>
        <v>963.5</v>
      </c>
      <c r="C38" s="30">
        <f>'10a'!C38-'10k'!C38</f>
        <v>711.20000000000073</v>
      </c>
      <c r="D38" s="30">
        <f>'10a'!D38-'10k'!D38</f>
        <v>881.5</v>
      </c>
      <c r="E38" s="30">
        <f>'10a'!E38-'10k'!E38</f>
        <v>62.099999999999994</v>
      </c>
      <c r="F38" s="30">
        <f>'10a'!F38-'10k'!F38</f>
        <v>677.9</v>
      </c>
      <c r="G38" s="30">
        <f>'10a'!G38-'10k'!G38</f>
        <v>141.5</v>
      </c>
    </row>
    <row r="39" spans="1:7">
      <c r="A39" s="66">
        <v>1996</v>
      </c>
      <c r="B39" s="30">
        <f>'10a'!B39-'10k'!B39</f>
        <v>1892.9000000000015</v>
      </c>
      <c r="C39" s="30">
        <f>'10a'!C39-'10k'!C39</f>
        <v>606.60000000000036</v>
      </c>
      <c r="D39" s="30">
        <f>'10a'!D39-'10k'!D39</f>
        <v>64.099999999999909</v>
      </c>
      <c r="E39" s="30">
        <f>'10a'!E39-'10k'!E39</f>
        <v>29.200000000000017</v>
      </c>
      <c r="F39" s="30">
        <f>'10a'!F39-'10k'!F39</f>
        <v>136.60000000000002</v>
      </c>
      <c r="G39" s="30">
        <f>'10a'!G39-'10k'!G39</f>
        <v>-101.69999999999982</v>
      </c>
    </row>
    <row r="40" spans="1:7">
      <c r="A40" s="66">
        <v>1997</v>
      </c>
      <c r="B40" s="30">
        <f>'10a'!B40-'10k'!B40</f>
        <v>8362.7000000000044</v>
      </c>
      <c r="C40" s="30">
        <f>'10a'!C40-'10k'!C40</f>
        <v>1947.7999999999993</v>
      </c>
      <c r="D40" s="30">
        <f>'10a'!D40-'10k'!D40</f>
        <v>-184.89999999999964</v>
      </c>
      <c r="E40" s="30">
        <f>'10a'!E40-'10k'!E40</f>
        <v>-30.600000000000023</v>
      </c>
      <c r="F40" s="30">
        <f>'10a'!F40-'10k'!F40</f>
        <v>163.89999999999986</v>
      </c>
      <c r="G40" s="30">
        <f>'10a'!G40-'10k'!G40</f>
        <v>-318.19999999999982</v>
      </c>
    </row>
    <row r="41" spans="1:7">
      <c r="A41" s="66">
        <v>1998</v>
      </c>
      <c r="B41" s="30">
        <f>'10a'!B41-'10k'!B41</f>
        <v>8553.4000000000015</v>
      </c>
      <c r="C41" s="30">
        <f>'10a'!C41-'10k'!C41</f>
        <v>1840.1000000000004</v>
      </c>
      <c r="D41" s="30">
        <f>'10a'!D41-'10k'!D41</f>
        <v>-791.89999999999964</v>
      </c>
      <c r="E41" s="30">
        <f>'10a'!E41-'10k'!E41</f>
        <v>15.699999999999989</v>
      </c>
      <c r="F41" s="30">
        <f>'10a'!F41-'10k'!F41</f>
        <v>-135.89999999999998</v>
      </c>
      <c r="G41" s="30">
        <f>'10a'!G41-'10k'!G41</f>
        <v>-671.69999999999982</v>
      </c>
    </row>
    <row r="42" spans="1:7">
      <c r="A42" s="66">
        <v>1999</v>
      </c>
      <c r="B42" s="30">
        <f>'10a'!B42-'10k'!B42</f>
        <v>6532.4000000000015</v>
      </c>
      <c r="C42" s="30">
        <f>'10a'!C42-'10k'!C42</f>
        <v>-68.299999999999272</v>
      </c>
      <c r="D42" s="30">
        <f>'10a'!D42-'10k'!D42</f>
        <v>-1066.7000000000003</v>
      </c>
      <c r="E42" s="30">
        <f>'10a'!E42-'10k'!E42</f>
        <v>-12.900000000000006</v>
      </c>
      <c r="F42" s="30">
        <f>'10a'!F42-'10k'!F42</f>
        <v>-228.39999999999998</v>
      </c>
      <c r="G42" s="30">
        <f>'10a'!G42-'10k'!G42</f>
        <v>-825.40000000000009</v>
      </c>
    </row>
    <row r="43" spans="1:7">
      <c r="A43" s="66">
        <v>2000</v>
      </c>
      <c r="B43" s="30">
        <f>'10a'!B43-'10k'!B43</f>
        <v>6305.3000000000029</v>
      </c>
      <c r="C43" s="30">
        <f>'10a'!C43-'10k'!C43</f>
        <v>-337.70000000000073</v>
      </c>
      <c r="D43" s="30">
        <f>'10a'!D43-'10k'!D43</f>
        <v>-383.90000000000009</v>
      </c>
      <c r="E43" s="30">
        <f>'10a'!E43-'10k'!E43</f>
        <v>-20.5</v>
      </c>
      <c r="F43" s="30">
        <f>'10a'!F43-'10k'!F43</f>
        <v>281.5</v>
      </c>
      <c r="G43" s="30">
        <f>'10a'!G43-'10k'!G43</f>
        <v>-644.90000000000009</v>
      </c>
    </row>
    <row r="44" spans="1:7">
      <c r="A44" s="66">
        <v>2001</v>
      </c>
      <c r="B44" s="30">
        <f>'10a'!B44-'10k'!B44</f>
        <v>2180.4000000000015</v>
      </c>
      <c r="C44" s="30">
        <f>'10a'!C44-'10k'!C44</f>
        <v>-3031.1000000000004</v>
      </c>
      <c r="D44" s="30">
        <f>'10a'!D44-'10k'!D44</f>
        <v>-1208.4000000000003</v>
      </c>
      <c r="E44" s="30">
        <f>'10a'!E44-'10k'!E44</f>
        <v>-67.400000000000006</v>
      </c>
      <c r="F44" s="30">
        <f>'10a'!F44-'10k'!F44</f>
        <v>-346.5</v>
      </c>
      <c r="G44" s="30">
        <f>'10a'!G44-'10k'!G44</f>
        <v>-794.5</v>
      </c>
    </row>
    <row r="45" spans="1:7">
      <c r="A45" s="66">
        <v>2002</v>
      </c>
      <c r="B45" s="30">
        <f>'10a'!B45-'10k'!B45</f>
        <v>-1057.6000000000058</v>
      </c>
      <c r="C45" s="30">
        <f>'10a'!C45-'10k'!C45</f>
        <v>-3179.2000000000007</v>
      </c>
      <c r="D45" s="30">
        <f>'10a'!D45-'10k'!D45</f>
        <v>-1270</v>
      </c>
      <c r="E45" s="30">
        <f>'10a'!E45-'10k'!E45</f>
        <v>-7.7000000000000171</v>
      </c>
      <c r="F45" s="30">
        <f>'10a'!F45-'10k'!F45</f>
        <v>-334</v>
      </c>
      <c r="G45" s="30">
        <f>'10a'!G45-'10k'!G45</f>
        <v>-928.30000000000007</v>
      </c>
    </row>
    <row r="46" spans="1:7">
      <c r="A46" s="66">
        <v>2003</v>
      </c>
      <c r="B46" s="30">
        <f>'10a'!B46-'10k'!B46</f>
        <v>2737</v>
      </c>
      <c r="C46" s="30">
        <f>'10a'!C46-'10k'!C46</f>
        <v>-698.10000000000036</v>
      </c>
      <c r="D46" s="30">
        <f>'10a'!D46-'10k'!D46</f>
        <v>-330</v>
      </c>
      <c r="E46" s="30">
        <f>'10a'!E46-'10k'!E46</f>
        <v>-10.800000000000011</v>
      </c>
      <c r="F46" s="30">
        <f>'10a'!F46-'10k'!F46</f>
        <v>-82.400000000000091</v>
      </c>
      <c r="G46" s="30">
        <f>'10a'!G46-'10k'!G46</f>
        <v>-236.79999999999995</v>
      </c>
    </row>
    <row r="47" spans="1:7">
      <c r="A47" s="66">
        <v>2004</v>
      </c>
      <c r="B47" s="30">
        <f>'10a'!B47-'10k'!B47</f>
        <v>7570.4000000000015</v>
      </c>
      <c r="C47" s="30">
        <f>'10a'!C47-'10k'!C47</f>
        <v>-475.10000000000036</v>
      </c>
      <c r="D47" s="30">
        <f>'10a'!D47-'10k'!D47</f>
        <v>-757.59999999999991</v>
      </c>
      <c r="E47" s="30">
        <f>'10a'!E47-'10k'!E47</f>
        <v>-1.8000000000000114</v>
      </c>
      <c r="F47" s="30">
        <f>'10a'!F47-'10k'!F47</f>
        <v>67.399999999999977</v>
      </c>
      <c r="G47" s="30">
        <f>'10a'!G47-'10k'!G47</f>
        <v>-823.2</v>
      </c>
    </row>
    <row r="48" spans="1:7">
      <c r="A48" s="66">
        <v>2005</v>
      </c>
      <c r="B48" s="30">
        <f>'10a'!B48-'10k'!B48</f>
        <v>14068.199999999997</v>
      </c>
      <c r="C48" s="30">
        <f>'10a'!C48-'10k'!C48</f>
        <v>886.30000000000109</v>
      </c>
      <c r="D48" s="30">
        <f>'10a'!D48-'10k'!D48</f>
        <v>-223.30000000000018</v>
      </c>
      <c r="E48" s="30">
        <f>'10a'!E48-'10k'!E48</f>
        <v>9.3000000000000114</v>
      </c>
      <c r="F48" s="30">
        <f>'10a'!F48-'10k'!F48</f>
        <v>259.20000000000005</v>
      </c>
      <c r="G48" s="30">
        <f>'10a'!G48-'10k'!G48</f>
        <v>-491.79999999999995</v>
      </c>
    </row>
    <row r="49" spans="1:7">
      <c r="A49" s="66">
        <v>2006</v>
      </c>
      <c r="B49" s="30">
        <f>'10a'!B49-'10k'!B49</f>
        <v>17391.599999999991</v>
      </c>
      <c r="C49" s="30">
        <f>'10a'!C49-'10k'!C49</f>
        <v>580</v>
      </c>
      <c r="D49" s="30">
        <f>'10a'!D49-'10k'!D49</f>
        <v>-286.69999999999982</v>
      </c>
      <c r="E49" s="30">
        <f>'10a'!E49-'10k'!E49</f>
        <v>15</v>
      </c>
      <c r="F49" s="30">
        <f>'10a'!F49-'10k'!F49</f>
        <v>132.69999999999993</v>
      </c>
      <c r="G49" s="30">
        <f>'10a'!G49-'10k'!G49</f>
        <v>-434.4</v>
      </c>
    </row>
    <row r="50" spans="1:7">
      <c r="A50" s="66">
        <v>2007</v>
      </c>
      <c r="B50" s="30">
        <f>'10a'!B50-'10k'!B50</f>
        <v>14905.100000000006</v>
      </c>
      <c r="C50" s="30">
        <f>'10a'!C50-'10k'!C50</f>
        <v>693.09999999999854</v>
      </c>
      <c r="D50" s="30">
        <f>'10a'!D50-'10k'!D50</f>
        <v>-549.10000000000036</v>
      </c>
      <c r="E50" s="30">
        <f>'10a'!E50-'10k'!E50</f>
        <v>-67.599999999999994</v>
      </c>
      <c r="F50" s="30">
        <f>'10a'!F50-'10k'!F50</f>
        <v>-97.600000000000023</v>
      </c>
      <c r="G50" s="30">
        <f>'10a'!G50-'10k'!G50</f>
        <v>-383.90000000000009</v>
      </c>
    </row>
    <row r="51" spans="1:7">
      <c r="A51" s="66">
        <v>2008</v>
      </c>
      <c r="B51" s="30">
        <f>'10a'!B51-'10k'!B51</f>
        <v>12858</v>
      </c>
      <c r="C51" s="30">
        <f>'10a'!C51-'10k'!C51</f>
        <v>395.39999999999964</v>
      </c>
      <c r="D51" s="30">
        <f>'10a'!D51-'10k'!D51</f>
        <v>-724.5</v>
      </c>
      <c r="E51" s="30">
        <f>'10a'!E51-'10k'!E51</f>
        <v>1.5999999999999943</v>
      </c>
      <c r="F51" s="30">
        <f>'10a'!F51-'10k'!F51</f>
        <v>-262.69999999999993</v>
      </c>
      <c r="G51" s="30">
        <f>'10a'!G51-'10k'!G51</f>
        <v>-463.40000000000009</v>
      </c>
    </row>
    <row r="52" spans="1:7">
      <c r="A52" s="66">
        <v>2009</v>
      </c>
      <c r="B52" s="30">
        <f>'10a'!B52-'10k'!B52</f>
        <v>-5967.5</v>
      </c>
      <c r="C52" s="30">
        <f>'10a'!C52-'10k'!C52</f>
        <v>-3735.7999999999993</v>
      </c>
      <c r="D52" s="30">
        <f>'10a'!D52-'10k'!D52</f>
        <v>-1195.7</v>
      </c>
      <c r="E52" s="30">
        <f>'10a'!E52-'10k'!E52</f>
        <v>-40.699999999999989</v>
      </c>
      <c r="F52" s="30">
        <f>'10a'!F52-'10k'!F52</f>
        <v>-473</v>
      </c>
      <c r="G52" s="30">
        <f>'10a'!G52-'10k'!G52</f>
        <v>-682</v>
      </c>
    </row>
    <row r="53" spans="1:7">
      <c r="A53" s="66">
        <v>2010</v>
      </c>
      <c r="B53" s="30">
        <f>'10a'!B53-'10k'!B53</f>
        <v>3914.9000000000087</v>
      </c>
      <c r="C53" s="30">
        <f>'10a'!C53-'10k'!C53</f>
        <v>-2049.5</v>
      </c>
      <c r="D53" s="30">
        <f>'10a'!D53-'10k'!D53</f>
        <v>-680.7</v>
      </c>
      <c r="E53" s="30">
        <f>'10a'!E53-'10k'!E53</f>
        <v>-0.30000000000001137</v>
      </c>
      <c r="F53" s="30">
        <f>'10a'!F53-'10k'!F53</f>
        <v>-190.7</v>
      </c>
      <c r="G53" s="30">
        <f>'10a'!G53-'10k'!G53</f>
        <v>-489.70000000000005</v>
      </c>
    </row>
    <row r="54" spans="1:7">
      <c r="A54" s="66">
        <v>2011</v>
      </c>
      <c r="B54" s="30">
        <f>'10a'!B54-'10k'!B54</f>
        <v>10463</v>
      </c>
      <c r="C54" s="30">
        <f>'10a'!C54-'10k'!C54</f>
        <v>595.89999999999964</v>
      </c>
      <c r="D54" s="30">
        <f>'10a'!D54-'10k'!D54</f>
        <v>-178.59999999999991</v>
      </c>
      <c r="E54" s="30">
        <f>'10a'!E54-'10k'!E54</f>
        <v>5.5</v>
      </c>
      <c r="F54" s="30">
        <f>'10a'!F54-'10k'!F54</f>
        <v>9.8000000000000682</v>
      </c>
      <c r="G54" s="30">
        <f>'10a'!G54-'10k'!G54</f>
        <v>-193.90000000000009</v>
      </c>
    </row>
    <row r="55" spans="1:7">
      <c r="A55" s="66">
        <v>2012</v>
      </c>
      <c r="B55" s="30">
        <f>'10a'!B55-'10k'!B55</f>
        <v>8399.1999999999971</v>
      </c>
      <c r="C55" s="30">
        <f>'10a'!C55-'10k'!C55</f>
        <v>607.60000000000036</v>
      </c>
      <c r="D55" s="30">
        <f>'10a'!D55-'10k'!D55</f>
        <v>-121.09999999999991</v>
      </c>
      <c r="E55" s="30">
        <f>'10a'!E55-'10k'!E55</f>
        <v>-31</v>
      </c>
      <c r="F55" s="30">
        <f>'10a'!F55-'10k'!F55</f>
        <v>73.600000000000023</v>
      </c>
      <c r="G55" s="30">
        <f>'10a'!G55-'10k'!G55</f>
        <v>-163.69999999999993</v>
      </c>
    </row>
    <row r="57" spans="1:7">
      <c r="A57" s="66" t="s">
        <v>1342</v>
      </c>
      <c r="B57" s="56"/>
      <c r="C57" s="56"/>
    </row>
    <row r="58" spans="1:7">
      <c r="A58" s="69" t="s">
        <v>2121</v>
      </c>
      <c r="B58" s="56">
        <f>AVERAGE(B4:B55)</f>
        <v>4980.2576923076913</v>
      </c>
      <c r="C58" s="56">
        <f t="shared" ref="C58:G58" si="0">AVERAGE(C4:C55)</f>
        <v>612.16730769230787</v>
      </c>
      <c r="D58" s="56">
        <f t="shared" si="0"/>
        <v>24.196153846153837</v>
      </c>
      <c r="E58" s="56">
        <f t="shared" si="0"/>
        <v>-0.69038461538461271</v>
      </c>
      <c r="F58" s="56">
        <f t="shared" si="0"/>
        <v>36.873076923076908</v>
      </c>
      <c r="G58" s="56">
        <f t="shared" si="0"/>
        <v>-11.986538461538524</v>
      </c>
    </row>
    <row r="59" spans="1:7">
      <c r="A59" s="68" t="s">
        <v>1031</v>
      </c>
      <c r="B59" s="56">
        <f t="shared" ref="B59:G59" si="1">AVERAGE(B4:B16)</f>
        <v>4389.5692307692316</v>
      </c>
      <c r="C59" s="56">
        <f t="shared" si="1"/>
        <v>1523.6923076923076</v>
      </c>
      <c r="D59" s="56">
        <f t="shared" si="1"/>
        <v>475.09230769230777</v>
      </c>
      <c r="E59" s="56">
        <f t="shared" si="1"/>
        <v>27.038461538461544</v>
      </c>
      <c r="F59" s="56">
        <f t="shared" si="1"/>
        <v>133.92307692307693</v>
      </c>
      <c r="G59" s="56">
        <f t="shared" si="1"/>
        <v>314.13076923076909</v>
      </c>
    </row>
    <row r="60" spans="1:7">
      <c r="A60" s="68" t="s">
        <v>1032</v>
      </c>
      <c r="B60" s="56">
        <f t="shared" ref="B60:G60" si="2">AVERAGE(B16:B24)</f>
        <v>6842.8555555555567</v>
      </c>
      <c r="C60" s="56">
        <f t="shared" si="2"/>
        <v>1466.8222222222225</v>
      </c>
      <c r="D60" s="56">
        <f t="shared" si="2"/>
        <v>225.99999999999994</v>
      </c>
      <c r="E60" s="56">
        <f t="shared" si="2"/>
        <v>25.422222222222231</v>
      </c>
      <c r="F60" s="56">
        <f t="shared" si="2"/>
        <v>85.855555555555554</v>
      </c>
      <c r="G60" s="56">
        <f t="shared" si="2"/>
        <v>114.72222222222217</v>
      </c>
    </row>
    <row r="61" spans="1:7">
      <c r="A61" s="68" t="s">
        <v>25</v>
      </c>
      <c r="B61" s="56">
        <f t="shared" ref="B61:G61" si="3">AVERAGE(B24:B32)</f>
        <v>3278.7000000000003</v>
      </c>
      <c r="C61" s="56">
        <f t="shared" si="3"/>
        <v>1065.9333333333334</v>
      </c>
      <c r="D61" s="56">
        <f t="shared" si="3"/>
        <v>538.85555555555538</v>
      </c>
      <c r="E61" s="56">
        <f t="shared" si="3"/>
        <v>-59.344444444444434</v>
      </c>
      <c r="F61" s="56">
        <f t="shared" si="3"/>
        <v>22.400000000000002</v>
      </c>
      <c r="G61" s="56">
        <f t="shared" si="3"/>
        <v>575.79999999999984</v>
      </c>
    </row>
    <row r="62" spans="1:7">
      <c r="A62" s="68" t="s">
        <v>26</v>
      </c>
      <c r="B62" s="56">
        <f t="shared" ref="B62:G62" si="4">AVERAGE(B32:B43)</f>
        <v>4011.0416666666674</v>
      </c>
      <c r="C62" s="56">
        <f t="shared" si="4"/>
        <v>628.40833333333319</v>
      </c>
      <c r="D62" s="56">
        <f t="shared" si="4"/>
        <v>-36.458333333333293</v>
      </c>
      <c r="E62" s="56">
        <f t="shared" si="4"/>
        <v>16.100000000000001</v>
      </c>
      <c r="F62" s="56">
        <f t="shared" si="4"/>
        <v>83.608333333333334</v>
      </c>
      <c r="G62" s="56">
        <f t="shared" si="4"/>
        <v>-136.1666666666666</v>
      </c>
    </row>
    <row r="63" spans="1:7">
      <c r="A63" s="69" t="s">
        <v>2028</v>
      </c>
      <c r="B63" s="56">
        <f>AVERAGE(B43:B55)</f>
        <v>7212.9230769230771</v>
      </c>
      <c r="C63" s="56">
        <f t="shared" ref="C63:G63" si="5">AVERAGE(C43:C55)</f>
        <v>-749.86153846153866</v>
      </c>
      <c r="D63" s="56">
        <f t="shared" si="5"/>
        <v>-608.43076923076922</v>
      </c>
      <c r="E63" s="56">
        <f t="shared" si="5"/>
        <v>-16.646153846153847</v>
      </c>
      <c r="F63" s="56">
        <f t="shared" si="5"/>
        <v>-74.053846153846166</v>
      </c>
      <c r="G63" s="56">
        <f t="shared" si="5"/>
        <v>-517.73076923076917</v>
      </c>
    </row>
    <row r="65" spans="1:1">
      <c r="A65" s="64" t="s">
        <v>1813</v>
      </c>
    </row>
    <row r="66" spans="1:1">
      <c r="A66" s="195" t="s">
        <v>1341</v>
      </c>
    </row>
  </sheetData>
  <mergeCells count="4">
    <mergeCell ref="A1:G1"/>
    <mergeCell ref="B2:B3"/>
    <mergeCell ref="D2:G2"/>
    <mergeCell ref="C2:C3"/>
  </mergeCells>
  <pageMargins left="0.7" right="0.7" top="0.75" bottom="0.75" header="0.3" footer="0.3"/>
  <pageSetup scale="91" orientation="portrait" horizontalDpi="0" verticalDpi="0" r:id="rId1"/>
</worksheet>
</file>

<file path=xl/worksheets/sheet81.xml><?xml version="1.0" encoding="utf-8"?>
<worksheet xmlns="http://schemas.openxmlformats.org/spreadsheetml/2006/main" xmlns:r="http://schemas.openxmlformats.org/officeDocument/2006/relationships">
  <sheetPr codeName="Sheet75">
    <pageSetUpPr fitToPage="1"/>
  </sheetPr>
  <dimension ref="A1:H66"/>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1.5703125" style="64" customWidth="1"/>
    <col min="2" max="3" width="14.140625" style="135" customWidth="1"/>
    <col min="4" max="4" width="16" style="135" customWidth="1"/>
    <col min="5" max="5" width="11.28515625" style="135" customWidth="1"/>
    <col min="6" max="6" width="15.140625" style="135" customWidth="1"/>
    <col min="7" max="7" width="14.140625" style="135" customWidth="1"/>
    <col min="8" max="8" width="9.140625" style="135"/>
    <col min="9" max="16384" width="9.140625" style="64"/>
  </cols>
  <sheetData>
    <row r="1" spans="1:7" ht="30" customHeight="1">
      <c r="A1" s="93" t="s">
        <v>2068</v>
      </c>
      <c r="B1" s="93"/>
      <c r="C1" s="93"/>
      <c r="D1" s="93"/>
      <c r="E1" s="93"/>
      <c r="F1" s="93"/>
      <c r="G1" s="93"/>
    </row>
    <row r="2" spans="1:7" ht="15" customHeight="1">
      <c r="B2" s="123" t="s">
        <v>673</v>
      </c>
      <c r="C2" s="123" t="s">
        <v>938</v>
      </c>
      <c r="D2" s="159" t="s">
        <v>37</v>
      </c>
      <c r="E2" s="160"/>
      <c r="F2" s="160"/>
      <c r="G2" s="161"/>
    </row>
    <row r="3" spans="1:7" ht="60">
      <c r="B3" s="126"/>
      <c r="C3" s="126"/>
      <c r="D3" s="72" t="s">
        <v>78</v>
      </c>
      <c r="E3" s="72" t="s">
        <v>750</v>
      </c>
      <c r="F3" s="72" t="s">
        <v>745</v>
      </c>
      <c r="G3" s="72" t="s">
        <v>678</v>
      </c>
    </row>
    <row r="4" spans="1:7">
      <c r="A4" s="66">
        <v>1961</v>
      </c>
      <c r="B4" s="30">
        <f>'10b'!B4-'10l'!B4</f>
        <v>8548.5</v>
      </c>
      <c r="C4" s="30">
        <f>'10b'!C4-'10l'!C4</f>
        <v>-130.79999999999995</v>
      </c>
      <c r="D4" s="30">
        <f>'10b'!D4-'10l'!D4</f>
        <v>112.59999999999997</v>
      </c>
      <c r="E4" s="30">
        <f>'10b'!E4-'10l'!E4</f>
        <v>90.1</v>
      </c>
      <c r="F4" s="30">
        <f>'10b'!F4-'10l'!F4</f>
        <v>-3.3000000000000007</v>
      </c>
      <c r="G4" s="30">
        <f>'10b'!G4-'10l'!G4</f>
        <v>25.800000000000004</v>
      </c>
    </row>
    <row r="5" spans="1:7" hidden="1" outlineLevel="1">
      <c r="A5" s="66">
        <v>1962</v>
      </c>
      <c r="B5" s="30">
        <f>'10b'!B5-'10l'!B5</f>
        <v>6832.4</v>
      </c>
      <c r="C5" s="30">
        <f>'10b'!C5-'10l'!C5</f>
        <v>62</v>
      </c>
      <c r="D5" s="30">
        <f>'10b'!D5-'10l'!D5</f>
        <v>96.899999999999977</v>
      </c>
      <c r="E5" s="30">
        <f>'10b'!E5-'10l'!E5</f>
        <v>88.600000000000009</v>
      </c>
      <c r="F5" s="30">
        <f>'10b'!F5-'10l'!F5</f>
        <v>-5.1000000000000014</v>
      </c>
      <c r="G5" s="30">
        <f>'10b'!G5-'10l'!G5</f>
        <v>13.399999999999999</v>
      </c>
    </row>
    <row r="6" spans="1:7" hidden="1" outlineLevel="1">
      <c r="A6" s="66">
        <v>1963</v>
      </c>
      <c r="B6" s="30">
        <f>'10b'!B6-'10l'!B6</f>
        <v>6968.8000000000011</v>
      </c>
      <c r="C6" s="30">
        <f>'10b'!C6-'10l'!C6</f>
        <v>-116.80000000000001</v>
      </c>
      <c r="D6" s="30">
        <f>'10b'!D6-'10l'!D6</f>
        <v>50.100000000000023</v>
      </c>
      <c r="E6" s="30">
        <f>'10b'!E6-'10l'!E6</f>
        <v>63.900000000000006</v>
      </c>
      <c r="F6" s="30">
        <f>'10b'!F6-'10l'!F6</f>
        <v>-4</v>
      </c>
      <c r="G6" s="30">
        <f>'10b'!G6-'10l'!G6</f>
        <v>-9.7999999999999972</v>
      </c>
    </row>
    <row r="7" spans="1:7" hidden="1" outlineLevel="1">
      <c r="A7" s="66">
        <v>1964</v>
      </c>
      <c r="B7" s="30">
        <f>'10b'!B7-'10l'!B7</f>
        <v>8827.6999999999989</v>
      </c>
      <c r="C7" s="30">
        <f>'10b'!C7-'10l'!C7</f>
        <v>-245.2</v>
      </c>
      <c r="D7" s="30">
        <f>'10b'!D7-'10l'!D7</f>
        <v>117.5</v>
      </c>
      <c r="E7" s="30">
        <f>'10b'!E7-'10l'!E7</f>
        <v>109.1</v>
      </c>
      <c r="F7" s="30">
        <f>'10b'!F7-'10l'!F7</f>
        <v>-3.3000000000000007</v>
      </c>
      <c r="G7" s="30">
        <f>'10b'!G7-'10l'!G7</f>
        <v>11.699999999999996</v>
      </c>
    </row>
    <row r="8" spans="1:7" hidden="1" outlineLevel="1">
      <c r="A8" s="66">
        <v>1965</v>
      </c>
      <c r="B8" s="30">
        <f>'10b'!B8-'10l'!B8</f>
        <v>9105.3999999999978</v>
      </c>
      <c r="C8" s="30">
        <f>'10b'!C8-'10l'!C8</f>
        <v>-71.900000000000091</v>
      </c>
      <c r="D8" s="30">
        <f>'10b'!D8-'10l'!D8</f>
        <v>115.5</v>
      </c>
      <c r="E8" s="30">
        <f>'10b'!E8-'10l'!E8</f>
        <v>85.5</v>
      </c>
      <c r="F8" s="30">
        <f>'10b'!F8-'10l'!F8</f>
        <v>6.6000000000000014</v>
      </c>
      <c r="G8" s="30">
        <f>'10b'!G8-'10l'!G8</f>
        <v>23.4</v>
      </c>
    </row>
    <row r="9" spans="1:7" hidden="1" outlineLevel="1">
      <c r="A9" s="66">
        <v>1966</v>
      </c>
      <c r="B9" s="30">
        <f>'10b'!B9-'10l'!B9</f>
        <v>10604.3</v>
      </c>
      <c r="C9" s="30">
        <f>'10b'!C9-'10l'!C9</f>
        <v>231.5</v>
      </c>
      <c r="D9" s="30">
        <f>'10b'!D9-'10l'!D9</f>
        <v>116.49999999999994</v>
      </c>
      <c r="E9" s="30">
        <f>'10b'!E9-'10l'!E9</f>
        <v>71.299999999999983</v>
      </c>
      <c r="F9" s="30">
        <f>'10b'!F9-'10l'!F9</f>
        <v>6.0999999999999979</v>
      </c>
      <c r="G9" s="30">
        <f>'10b'!G9-'10l'!G9</f>
        <v>39.099999999999994</v>
      </c>
    </row>
    <row r="10" spans="1:7" hidden="1" outlineLevel="1">
      <c r="A10" s="66">
        <v>1967</v>
      </c>
      <c r="B10" s="30">
        <f>'10b'!B10-'10l'!B10</f>
        <v>10638.400000000001</v>
      </c>
      <c r="C10" s="30">
        <f>'10b'!C10-'10l'!C10</f>
        <v>371.70000000000005</v>
      </c>
      <c r="D10" s="30">
        <f>'10b'!D10-'10l'!D10</f>
        <v>76.600000000000023</v>
      </c>
      <c r="E10" s="30">
        <f>'10b'!E10-'10l'!E10</f>
        <v>49.600000000000023</v>
      </c>
      <c r="F10" s="30">
        <f>'10b'!F10-'10l'!F10</f>
        <v>-5.4</v>
      </c>
      <c r="G10" s="30">
        <f>'10b'!G10-'10l'!G10</f>
        <v>32.4</v>
      </c>
    </row>
    <row r="11" spans="1:7" hidden="1" outlineLevel="1">
      <c r="A11" s="66">
        <v>1968</v>
      </c>
      <c r="B11" s="30">
        <f>'10b'!B11-'10l'!B11</f>
        <v>10146.099999999999</v>
      </c>
      <c r="C11" s="30">
        <f>'10b'!C11-'10l'!C11</f>
        <v>817.1</v>
      </c>
      <c r="D11" s="30">
        <f>'10b'!D11-'10l'!D11</f>
        <v>64.100000000000023</v>
      </c>
      <c r="E11" s="30">
        <f>'10b'!E11-'10l'!E11</f>
        <v>41.599999999999994</v>
      </c>
      <c r="F11" s="30">
        <f>'10b'!F11-'10l'!F11</f>
        <v>2.5999999999999996</v>
      </c>
      <c r="G11" s="30">
        <f>'10b'!G11-'10l'!G11</f>
        <v>19.900000000000006</v>
      </c>
    </row>
    <row r="12" spans="1:7" hidden="1" outlineLevel="1">
      <c r="A12" s="66">
        <v>1969</v>
      </c>
      <c r="B12" s="30">
        <f>'10b'!B12-'10l'!B12</f>
        <v>9652.1999999999971</v>
      </c>
      <c r="C12" s="30">
        <f>'10b'!C12-'10l'!C12</f>
        <v>649.79999999999995</v>
      </c>
      <c r="D12" s="30">
        <f>'10b'!D12-'10l'!D12</f>
        <v>104.69999999999993</v>
      </c>
      <c r="E12" s="30">
        <f>'10b'!E12-'10l'!E12</f>
        <v>89.399999999999977</v>
      </c>
      <c r="F12" s="30">
        <f>'10b'!F12-'10l'!F12</f>
        <v>29.7</v>
      </c>
      <c r="G12" s="30">
        <f>'10b'!G12-'10l'!G12</f>
        <v>-14.399999999999999</v>
      </c>
    </row>
    <row r="13" spans="1:7" hidden="1" outlineLevel="1">
      <c r="A13" s="66">
        <v>1970</v>
      </c>
      <c r="B13" s="30">
        <f>'10b'!B13-'10l'!B13</f>
        <v>10435.299999999999</v>
      </c>
      <c r="C13" s="30">
        <f>'10b'!C13-'10l'!C13</f>
        <v>954.9</v>
      </c>
      <c r="D13" s="30">
        <f>'10b'!D13-'10l'!D13</f>
        <v>140.19999999999996</v>
      </c>
      <c r="E13" s="30">
        <f>'10b'!E13-'10l'!E13</f>
        <v>72.799999999999983</v>
      </c>
      <c r="F13" s="30">
        <f>'10b'!F13-'10l'!F13</f>
        <v>32.299999999999997</v>
      </c>
      <c r="G13" s="30">
        <f>'10b'!G13-'10l'!G13</f>
        <v>35.099999999999994</v>
      </c>
    </row>
    <row r="14" spans="1:7" hidden="1" outlineLevel="1">
      <c r="A14" s="66">
        <v>1971</v>
      </c>
      <c r="B14" s="30">
        <f>'10b'!B14-'10l'!B14</f>
        <v>12269.7</v>
      </c>
      <c r="C14" s="30">
        <f>'10b'!C14-'10l'!C14</f>
        <v>905</v>
      </c>
      <c r="D14" s="30">
        <f>'10b'!D14-'10l'!D14</f>
        <v>102.70000000000005</v>
      </c>
      <c r="E14" s="30">
        <f>'10b'!E14-'10l'!E14</f>
        <v>48.400000000000006</v>
      </c>
      <c r="F14" s="30">
        <f>'10b'!F14-'10l'!F14</f>
        <v>7.6000000000000014</v>
      </c>
      <c r="G14" s="30">
        <f>'10b'!G14-'10l'!G14</f>
        <v>46.7</v>
      </c>
    </row>
    <row r="15" spans="1:7" hidden="1" outlineLevel="1">
      <c r="A15" s="66">
        <v>1972</v>
      </c>
      <c r="B15" s="30">
        <f>'10b'!B15-'10l'!B15</f>
        <v>11643.3</v>
      </c>
      <c r="C15" s="30">
        <f>'10b'!C15-'10l'!C15</f>
        <v>705.30000000000007</v>
      </c>
      <c r="D15" s="30">
        <f>'10b'!D15-'10l'!D15</f>
        <v>146.19999999999999</v>
      </c>
      <c r="E15" s="30">
        <f>'10b'!E15-'10l'!E15</f>
        <v>72</v>
      </c>
      <c r="F15" s="30">
        <f>'10b'!F15-'10l'!F15</f>
        <v>18.399999999999999</v>
      </c>
      <c r="G15" s="30">
        <f>'10b'!G15-'10l'!G15</f>
        <v>55.8</v>
      </c>
    </row>
    <row r="16" spans="1:7" collapsed="1">
      <c r="A16" s="66">
        <v>1973</v>
      </c>
      <c r="B16" s="30">
        <f>'10b'!B16-'10l'!B16</f>
        <v>10825</v>
      </c>
      <c r="C16" s="30">
        <f>'10b'!C16-'10l'!C16</f>
        <v>632.90000000000009</v>
      </c>
      <c r="D16" s="30">
        <f>'10b'!D16-'10l'!D16</f>
        <v>197</v>
      </c>
      <c r="E16" s="30">
        <f>'10b'!E16-'10l'!E16</f>
        <v>135.70000000000002</v>
      </c>
      <c r="F16" s="30">
        <f>'10b'!F16-'10l'!F16</f>
        <v>31.799999999999997</v>
      </c>
      <c r="G16" s="30">
        <f>'10b'!G16-'10l'!G16</f>
        <v>29.5</v>
      </c>
    </row>
    <row r="17" spans="1:7" hidden="1" outlineLevel="1">
      <c r="A17" s="66">
        <v>1974</v>
      </c>
      <c r="B17" s="30">
        <f>'10b'!B17-'10l'!B17</f>
        <v>9956.7999999999993</v>
      </c>
      <c r="C17" s="30">
        <f>'10b'!C17-'10l'!C17</f>
        <v>881</v>
      </c>
      <c r="D17" s="30">
        <f>'10b'!D17-'10l'!D17</f>
        <v>80.299999999999955</v>
      </c>
      <c r="E17" s="30">
        <f>'10b'!E17-'10l'!E17</f>
        <v>60.199999999999989</v>
      </c>
      <c r="F17" s="30">
        <f>'10b'!F17-'10l'!F17</f>
        <v>20.900000000000002</v>
      </c>
      <c r="G17" s="30">
        <f>'10b'!G17-'10l'!G17</f>
        <v>-0.79999999999999716</v>
      </c>
    </row>
    <row r="18" spans="1:7" hidden="1" outlineLevel="1">
      <c r="A18" s="66">
        <v>1975</v>
      </c>
      <c r="B18" s="30">
        <f>'10b'!B18-'10l'!B18</f>
        <v>12146.599999999999</v>
      </c>
      <c r="C18" s="30">
        <f>'10b'!C18-'10l'!C18</f>
        <v>1096.4000000000001</v>
      </c>
      <c r="D18" s="30">
        <f>'10b'!D18-'10l'!D18</f>
        <v>7.6000000000000227</v>
      </c>
      <c r="E18" s="30">
        <f>'10b'!E18-'10l'!E18</f>
        <v>26.199999999999989</v>
      </c>
      <c r="F18" s="30">
        <f>'10b'!F18-'10l'!F18</f>
        <v>-3</v>
      </c>
      <c r="G18" s="30">
        <f>'10b'!G18-'10l'!G18</f>
        <v>-15.600000000000001</v>
      </c>
    </row>
    <row r="19" spans="1:7" hidden="1" outlineLevel="1">
      <c r="A19" s="66">
        <v>1976</v>
      </c>
      <c r="B19" s="30">
        <f>'10b'!B19-'10l'!B19</f>
        <v>10238.800000000003</v>
      </c>
      <c r="C19" s="30">
        <f>'10b'!C19-'10l'!C19</f>
        <v>744.89999999999986</v>
      </c>
      <c r="D19" s="30">
        <f>'10b'!D19-'10l'!D19</f>
        <v>-0.69999999999998863</v>
      </c>
      <c r="E19" s="30">
        <f>'10b'!E19-'10l'!E19</f>
        <v>-3.7000000000000171</v>
      </c>
      <c r="F19" s="30">
        <f>'10b'!F19-'10l'!F19</f>
        <v>13.8</v>
      </c>
      <c r="G19" s="30">
        <f>'10b'!G19-'10l'!G19</f>
        <v>-10.800000000000004</v>
      </c>
    </row>
    <row r="20" spans="1:7" hidden="1" outlineLevel="1">
      <c r="A20" s="66">
        <v>1977</v>
      </c>
      <c r="B20" s="30">
        <f>'10b'!B20-'10l'!B20</f>
        <v>11464.800000000003</v>
      </c>
      <c r="C20" s="30">
        <f>'10b'!C20-'10l'!C20</f>
        <v>507.79999999999995</v>
      </c>
      <c r="D20" s="30">
        <f>'10b'!D20-'10l'!D20</f>
        <v>17.100000000000023</v>
      </c>
      <c r="E20" s="30">
        <f>'10b'!E20-'10l'!E20</f>
        <v>25.399999999999977</v>
      </c>
      <c r="F20" s="30">
        <f>'10b'!F20-'10l'!F20</f>
        <v>8.8000000000000007</v>
      </c>
      <c r="G20" s="30">
        <f>'10b'!G20-'10l'!G20</f>
        <v>-17.100000000000001</v>
      </c>
    </row>
    <row r="21" spans="1:7" hidden="1" outlineLevel="1">
      <c r="A21" s="66">
        <v>1978</v>
      </c>
      <c r="B21" s="30">
        <f>'10b'!B21-'10l'!B21</f>
        <v>10917.7</v>
      </c>
      <c r="C21" s="30">
        <f>'10b'!C21-'10l'!C21</f>
        <v>334.70000000000005</v>
      </c>
      <c r="D21" s="30">
        <f>'10b'!D21-'10l'!D21</f>
        <v>9.1999999999999886</v>
      </c>
      <c r="E21" s="30">
        <f>'10b'!E21-'10l'!E21</f>
        <v>17.800000000000011</v>
      </c>
      <c r="F21" s="30">
        <f>'10b'!F21-'10l'!F21</f>
        <v>5.3000000000000043</v>
      </c>
      <c r="G21" s="30">
        <f>'10b'!G21-'10l'!G21</f>
        <v>-13.899999999999999</v>
      </c>
    </row>
    <row r="22" spans="1:7" hidden="1" outlineLevel="1">
      <c r="A22" s="66">
        <v>1979</v>
      </c>
      <c r="B22" s="30">
        <f>'10b'!B22-'10l'!B22</f>
        <v>11819.700000000004</v>
      </c>
      <c r="C22" s="30">
        <f>'10b'!C22-'10l'!C22</f>
        <v>-416.69999999999993</v>
      </c>
      <c r="D22" s="30">
        <f>'10b'!D22-'10l'!D22</f>
        <v>78.199999999999932</v>
      </c>
      <c r="E22" s="30">
        <f>'10b'!E22-'10l'!E22</f>
        <v>89.999999999999972</v>
      </c>
      <c r="F22" s="30">
        <f>'10b'!F22-'10l'!F22</f>
        <v>13.999999999999996</v>
      </c>
      <c r="G22" s="30">
        <f>'10b'!G22-'10l'!G22</f>
        <v>-25.799999999999997</v>
      </c>
    </row>
    <row r="23" spans="1:7" hidden="1" outlineLevel="1">
      <c r="A23" s="66">
        <v>1980</v>
      </c>
      <c r="B23" s="30">
        <f>'10b'!B23-'10l'!B23</f>
        <v>14155.5</v>
      </c>
      <c r="C23" s="30">
        <f>'10b'!C23-'10l'!C23</f>
        <v>-378.49999999999989</v>
      </c>
      <c r="D23" s="30">
        <f>'10b'!D23-'10l'!D23</f>
        <v>53</v>
      </c>
      <c r="E23" s="30">
        <f>'10b'!E23-'10l'!E23</f>
        <v>54</v>
      </c>
      <c r="F23" s="30">
        <f>'10b'!F23-'10l'!F23</f>
        <v>26.1</v>
      </c>
      <c r="G23" s="30">
        <f>'10b'!G23-'10l'!G23</f>
        <v>-27.1</v>
      </c>
    </row>
    <row r="24" spans="1:7" collapsed="1">
      <c r="A24" s="66">
        <v>1981</v>
      </c>
      <c r="B24" s="30">
        <f>'10b'!B24-'10l'!B24</f>
        <v>16254.600000000002</v>
      </c>
      <c r="C24" s="30">
        <f>'10b'!C24-'10l'!C24</f>
        <v>753</v>
      </c>
      <c r="D24" s="30">
        <f>'10b'!D24-'10l'!D24</f>
        <v>12.099999999999966</v>
      </c>
      <c r="E24" s="30">
        <f>'10b'!E24-'10l'!E24</f>
        <v>-23.5</v>
      </c>
      <c r="F24" s="30">
        <f>'10b'!F24-'10l'!F24</f>
        <v>4.3999999999999986</v>
      </c>
      <c r="G24" s="30">
        <f>'10b'!G24-'10l'!G24</f>
        <v>31.200000000000003</v>
      </c>
    </row>
    <row r="25" spans="1:7">
      <c r="A25" s="66">
        <v>1982</v>
      </c>
      <c r="B25" s="30">
        <f>'10b'!B25-'10l'!B25</f>
        <v>13957.699999999997</v>
      </c>
      <c r="C25" s="30">
        <f>'10b'!C25-'10l'!C25</f>
        <v>939.8</v>
      </c>
      <c r="D25" s="30">
        <f>'10b'!D25-'10l'!D25</f>
        <v>-108.80000000000001</v>
      </c>
      <c r="E25" s="30">
        <f>'10b'!E25-'10l'!E25</f>
        <v>-79.300000000000011</v>
      </c>
      <c r="F25" s="30">
        <f>'10b'!F25-'10l'!F25</f>
        <v>-24.299999999999997</v>
      </c>
      <c r="G25" s="30">
        <f>'10b'!G25-'10l'!G25</f>
        <v>-5.2000000000000028</v>
      </c>
    </row>
    <row r="26" spans="1:7">
      <c r="A26" s="66">
        <v>1983</v>
      </c>
      <c r="B26" s="30">
        <f>'10b'!B26-'10l'!B26</f>
        <v>6759.2000000000044</v>
      </c>
      <c r="C26" s="30">
        <f>'10b'!C26-'10l'!C26</f>
        <v>51.799999999999955</v>
      </c>
      <c r="D26" s="30">
        <f>'10b'!D26-'10l'!D26</f>
        <v>-117.00000000000003</v>
      </c>
      <c r="E26" s="30">
        <f>'10b'!E26-'10l'!E26</f>
        <v>-76.600000000000023</v>
      </c>
      <c r="F26" s="30">
        <f>'10b'!F26-'10l'!F26</f>
        <v>-21.6</v>
      </c>
      <c r="G26" s="30">
        <f>'10b'!G26-'10l'!G26</f>
        <v>-18.799999999999997</v>
      </c>
    </row>
    <row r="27" spans="1:7">
      <c r="A27" s="66">
        <v>1984</v>
      </c>
      <c r="B27" s="30">
        <f>'10b'!B27-'10l'!B27</f>
        <v>4289.4000000000015</v>
      </c>
      <c r="C27" s="30">
        <f>'10b'!C27-'10l'!C27</f>
        <v>-773.8</v>
      </c>
      <c r="D27" s="30">
        <f>'10b'!D27-'10l'!D27</f>
        <v>-109.5</v>
      </c>
      <c r="E27" s="30">
        <f>'10b'!E27-'10l'!E27</f>
        <v>-69</v>
      </c>
      <c r="F27" s="30">
        <f>'10b'!F27-'10l'!F27</f>
        <v>-16.600000000000001</v>
      </c>
      <c r="G27" s="30">
        <f>'10b'!G27-'10l'!G27</f>
        <v>-23.900000000000006</v>
      </c>
    </row>
    <row r="28" spans="1:7">
      <c r="A28" s="66">
        <v>1985</v>
      </c>
      <c r="B28" s="30">
        <f>'10b'!B28-'10l'!B28</f>
        <v>4815.5</v>
      </c>
      <c r="C28" s="30">
        <f>'10b'!C28-'10l'!C28</f>
        <v>-830.3</v>
      </c>
      <c r="D28" s="30">
        <f>'10b'!D28-'10l'!D28</f>
        <v>-57.599999999999966</v>
      </c>
      <c r="E28" s="30">
        <f>'10b'!E28-'10l'!E28</f>
        <v>-36.300000000000011</v>
      </c>
      <c r="F28" s="30">
        <f>'10b'!F28-'10l'!F28</f>
        <v>-4.7000000000000028</v>
      </c>
      <c r="G28" s="30">
        <f>'10b'!G28-'10l'!G28</f>
        <v>-16.599999999999994</v>
      </c>
    </row>
    <row r="29" spans="1:7">
      <c r="A29" s="66">
        <v>1986</v>
      </c>
      <c r="B29" s="30">
        <f>'10b'!B29-'10l'!B29</f>
        <v>-982.20000000000437</v>
      </c>
      <c r="C29" s="30">
        <f>'10b'!C29-'10l'!C29</f>
        <v>-721.5</v>
      </c>
      <c r="D29" s="30">
        <f>'10b'!D29-'10l'!D29</f>
        <v>-75.099999999999966</v>
      </c>
      <c r="E29" s="30">
        <f>'10b'!E29-'10l'!E29</f>
        <v>-33</v>
      </c>
      <c r="F29" s="30">
        <f>'10b'!F29-'10l'!F29</f>
        <v>-8.0999999999999979</v>
      </c>
      <c r="G29" s="30">
        <f>'10b'!G29-'10l'!G29</f>
        <v>-34</v>
      </c>
    </row>
    <row r="30" spans="1:7">
      <c r="A30" s="66">
        <v>1987</v>
      </c>
      <c r="B30" s="30">
        <f>'10b'!B30-'10l'!B30</f>
        <v>-1924.4000000000015</v>
      </c>
      <c r="C30" s="30">
        <f>'10b'!C30-'10l'!C30</f>
        <v>-326.20000000000005</v>
      </c>
      <c r="D30" s="30">
        <f>'10b'!D30-'10l'!D30</f>
        <v>-32</v>
      </c>
      <c r="E30" s="30">
        <f>'10b'!E30-'10l'!E30</f>
        <v>-19.5</v>
      </c>
      <c r="F30" s="30">
        <f>'10b'!F30-'10l'!F30</f>
        <v>-11.400000000000002</v>
      </c>
      <c r="G30" s="30">
        <f>'10b'!G30-'10l'!G30</f>
        <v>-1.1000000000000014</v>
      </c>
    </row>
    <row r="31" spans="1:7">
      <c r="A31" s="66">
        <v>1988</v>
      </c>
      <c r="B31" s="30">
        <f>'10b'!B31-'10l'!B31</f>
        <v>919.80000000000291</v>
      </c>
      <c r="C31" s="30">
        <f>'10b'!C31-'10l'!C31</f>
        <v>-330.29999999999995</v>
      </c>
      <c r="D31" s="30">
        <f>'10b'!D31-'10l'!D31</f>
        <v>-4.1999999999999886</v>
      </c>
      <c r="E31" s="30">
        <f>'10b'!E31-'10l'!E31</f>
        <v>2.4000000000000057</v>
      </c>
      <c r="F31" s="30">
        <f>'10b'!F31-'10l'!F31</f>
        <v>-2.5999999999999979</v>
      </c>
      <c r="G31" s="30">
        <f>'10b'!G31-'10l'!G31</f>
        <v>-4</v>
      </c>
    </row>
    <row r="32" spans="1:7">
      <c r="A32" s="66">
        <v>1989</v>
      </c>
      <c r="B32" s="30">
        <f>'10b'!B32-'10l'!B32</f>
        <v>2419</v>
      </c>
      <c r="C32" s="30">
        <f>'10b'!C32-'10l'!C32</f>
        <v>-45.5</v>
      </c>
      <c r="D32" s="30">
        <f>'10b'!D32-'10l'!D32</f>
        <v>5.9000000000000341</v>
      </c>
      <c r="E32" s="30">
        <f>'10b'!E32-'10l'!E32</f>
        <v>-29.400000000000006</v>
      </c>
      <c r="F32" s="30">
        <f>'10b'!F32-'10l'!F32</f>
        <v>2.3000000000000007</v>
      </c>
      <c r="G32" s="30">
        <f>'10b'!G32-'10l'!G32</f>
        <v>33.000000000000007</v>
      </c>
    </row>
    <row r="33" spans="1:7">
      <c r="A33" s="66">
        <v>1990</v>
      </c>
      <c r="B33" s="30">
        <f>'10b'!B33-'10l'!B33</f>
        <v>4049.6999999999971</v>
      </c>
      <c r="C33" s="30">
        <f>'10b'!C33-'10l'!C33</f>
        <v>17.5</v>
      </c>
      <c r="D33" s="30">
        <f>'10b'!D33-'10l'!D33</f>
        <v>54.899999999999977</v>
      </c>
      <c r="E33" s="30">
        <f>'10b'!E33-'10l'!E33</f>
        <v>-52.400000000000006</v>
      </c>
      <c r="F33" s="30">
        <f>'10b'!F33-'10l'!F33</f>
        <v>0.39999999999999858</v>
      </c>
      <c r="G33" s="30">
        <f>'10b'!G33-'10l'!G33</f>
        <v>106.9</v>
      </c>
    </row>
    <row r="34" spans="1:7">
      <c r="A34" s="66">
        <v>1991</v>
      </c>
      <c r="B34" s="30">
        <f>'10b'!B34-'10l'!B34</f>
        <v>5816.9000000000015</v>
      </c>
      <c r="C34" s="30">
        <f>'10b'!C34-'10l'!C34</f>
        <v>16.200000000000045</v>
      </c>
      <c r="D34" s="30">
        <f>'10b'!D34-'10l'!D34</f>
        <v>-110.30000000000001</v>
      </c>
      <c r="E34" s="30">
        <f>'10b'!E34-'10l'!E34</f>
        <v>-111.1</v>
      </c>
      <c r="F34" s="30">
        <f>'10b'!F34-'10l'!F34</f>
        <v>-15.299999999999999</v>
      </c>
      <c r="G34" s="30">
        <f>'10b'!G34-'10l'!G34</f>
        <v>16.100000000000009</v>
      </c>
    </row>
    <row r="35" spans="1:7">
      <c r="A35" s="66">
        <v>1992</v>
      </c>
      <c r="B35" s="30">
        <f>'10b'!B35-'10l'!B35</f>
        <v>1262.9000000000015</v>
      </c>
      <c r="C35" s="30">
        <f>'10b'!C35-'10l'!C35</f>
        <v>-482.40000000000009</v>
      </c>
      <c r="D35" s="30">
        <f>'10b'!D35-'10l'!D35</f>
        <v>-103</v>
      </c>
      <c r="E35" s="30">
        <f>'10b'!E35-'10l'!E35</f>
        <v>-95.600000000000009</v>
      </c>
      <c r="F35" s="30">
        <f>'10b'!F35-'10l'!F35</f>
        <v>-16.7</v>
      </c>
      <c r="G35" s="30">
        <f>'10b'!G35-'10l'!G35</f>
        <v>9.2999999999999972</v>
      </c>
    </row>
    <row r="36" spans="1:7">
      <c r="A36" s="66">
        <v>1993</v>
      </c>
      <c r="B36" s="30">
        <f>'10b'!B36-'10l'!B36</f>
        <v>1483.2999999999956</v>
      </c>
      <c r="C36" s="30">
        <f>'10b'!C36-'10l'!C36</f>
        <v>-752.9</v>
      </c>
      <c r="D36" s="30">
        <f>'10b'!D36-'10l'!D36</f>
        <v>-76.899999999999977</v>
      </c>
      <c r="E36" s="30">
        <f>'10b'!E36-'10l'!E36</f>
        <v>-38.400000000000006</v>
      </c>
      <c r="F36" s="30">
        <f>'10b'!F36-'10l'!F36</f>
        <v>-5.8000000000000007</v>
      </c>
      <c r="G36" s="30">
        <f>'10b'!G36-'10l'!G36</f>
        <v>-32.699999999999996</v>
      </c>
    </row>
    <row r="37" spans="1:7">
      <c r="A37" s="66">
        <v>1994</v>
      </c>
      <c r="B37" s="30">
        <f>'10b'!B37-'10l'!B37</f>
        <v>5292.7000000000044</v>
      </c>
      <c r="C37" s="30">
        <f>'10b'!C37-'10l'!C37</f>
        <v>-741</v>
      </c>
      <c r="D37" s="30">
        <f>'10b'!D37-'10l'!D37</f>
        <v>-69.900000000000006</v>
      </c>
      <c r="E37" s="30">
        <f>'10b'!E37-'10l'!E37</f>
        <v>-43.199999999999989</v>
      </c>
      <c r="F37" s="30">
        <f>'10b'!F37-'10l'!F37</f>
        <v>-2.2999999999999972</v>
      </c>
      <c r="G37" s="30">
        <f>'10b'!G37-'10l'!G37</f>
        <v>-24.4</v>
      </c>
    </row>
    <row r="38" spans="1:7">
      <c r="A38" s="66">
        <v>1995</v>
      </c>
      <c r="B38" s="30">
        <f>'10b'!B38-'10l'!B38</f>
        <v>4415.0999999999985</v>
      </c>
      <c r="C38" s="30">
        <f>'10b'!C38-'10l'!C38</f>
        <v>-749.69999999999993</v>
      </c>
      <c r="D38" s="30">
        <f>'10b'!D38-'10l'!D38</f>
        <v>-50.199999999999989</v>
      </c>
      <c r="E38" s="30">
        <f>'10b'!E38-'10l'!E38</f>
        <v>-71.3</v>
      </c>
      <c r="F38" s="30">
        <f>'10b'!F38-'10l'!F38</f>
        <v>33.299999999999997</v>
      </c>
      <c r="G38" s="30">
        <f>'10b'!G38-'10l'!G38</f>
        <v>-12.200000000000003</v>
      </c>
    </row>
    <row r="39" spans="1:7">
      <c r="A39" s="66">
        <v>1996</v>
      </c>
      <c r="B39" s="30">
        <f>'10b'!B39-'10l'!B39</f>
        <v>1150.7000000000044</v>
      </c>
      <c r="C39" s="30">
        <f>'10b'!C39-'10l'!C39</f>
        <v>-442.09999999999991</v>
      </c>
      <c r="D39" s="30">
        <f>'10b'!D39-'10l'!D39</f>
        <v>59.400000000000034</v>
      </c>
      <c r="E39" s="30">
        <f>'10b'!E39-'10l'!E39</f>
        <v>-56.5</v>
      </c>
      <c r="F39" s="30">
        <f>'10b'!F39-'10l'!F39</f>
        <v>-12.600000000000001</v>
      </c>
      <c r="G39" s="30">
        <f>'10b'!G39-'10l'!G39</f>
        <v>128.5</v>
      </c>
    </row>
    <row r="40" spans="1:7">
      <c r="A40" s="66">
        <v>1997</v>
      </c>
      <c r="B40" s="30">
        <f>'10b'!B40-'10l'!B40</f>
        <v>3581</v>
      </c>
      <c r="C40" s="30">
        <f>'10b'!C40-'10l'!C40</f>
        <v>-535.70000000000005</v>
      </c>
      <c r="D40" s="30">
        <f>'10b'!D40-'10l'!D40</f>
        <v>-19.599999999999966</v>
      </c>
      <c r="E40" s="30">
        <f>'10b'!E40-'10l'!E40</f>
        <v>-10.199999999999989</v>
      </c>
      <c r="F40" s="30">
        <f>'10b'!F40-'10l'!F40</f>
        <v>-8.4000000000000021</v>
      </c>
      <c r="G40" s="30">
        <f>'10b'!G40-'10l'!G40</f>
        <v>-1</v>
      </c>
    </row>
    <row r="41" spans="1:7">
      <c r="A41" s="66">
        <v>1998</v>
      </c>
      <c r="B41" s="30">
        <f>'10b'!B41-'10l'!B41</f>
        <v>1399.5999999999985</v>
      </c>
      <c r="C41" s="30">
        <f>'10b'!C41-'10l'!C41</f>
        <v>-509.3</v>
      </c>
      <c r="D41" s="30">
        <f>'10b'!D41-'10l'!D41</f>
        <v>-57.5</v>
      </c>
      <c r="E41" s="30">
        <f>'10b'!E41-'10l'!E41</f>
        <v>-26.300000000000011</v>
      </c>
      <c r="F41" s="30">
        <f>'10b'!F41-'10l'!F41</f>
        <v>-6.6999999999999993</v>
      </c>
      <c r="G41" s="30">
        <f>'10b'!G41-'10l'!G41</f>
        <v>-24.5</v>
      </c>
    </row>
    <row r="42" spans="1:7">
      <c r="A42" s="66">
        <v>1999</v>
      </c>
      <c r="B42" s="30">
        <f>'10b'!B42-'10l'!B42</f>
        <v>2287</v>
      </c>
      <c r="C42" s="30">
        <f>'10b'!C42-'10l'!C42</f>
        <v>-159.89999999999998</v>
      </c>
      <c r="D42" s="30">
        <f>'10b'!D42-'10l'!D42</f>
        <v>-23.100000000000023</v>
      </c>
      <c r="E42" s="30">
        <f>'10b'!E42-'10l'!E42</f>
        <v>10.399999999999977</v>
      </c>
      <c r="F42" s="30">
        <f>'10b'!F42-'10l'!F42</f>
        <v>-0.79999999999999716</v>
      </c>
      <c r="G42" s="30">
        <f>'10b'!G42-'10l'!G42</f>
        <v>-32.699999999999996</v>
      </c>
    </row>
    <row r="43" spans="1:7">
      <c r="A43" s="66">
        <v>2000</v>
      </c>
      <c r="B43" s="30">
        <f>'10b'!B43-'10l'!B43</f>
        <v>4961.8000000000029</v>
      </c>
      <c r="C43" s="30">
        <f>'10b'!C43-'10l'!C43</f>
        <v>250.10000000000002</v>
      </c>
      <c r="D43" s="30">
        <f>'10b'!D43-'10l'!D43</f>
        <v>26</v>
      </c>
      <c r="E43" s="30">
        <f>'10b'!E43-'10l'!E43</f>
        <v>7.9000000000000057</v>
      </c>
      <c r="F43" s="30">
        <f>'10b'!F43-'10l'!F43</f>
        <v>1.8999999999999986</v>
      </c>
      <c r="G43" s="30">
        <f>'10b'!G43-'10l'!G43</f>
        <v>16.200000000000003</v>
      </c>
    </row>
    <row r="44" spans="1:7">
      <c r="A44" s="66">
        <v>2001</v>
      </c>
      <c r="B44" s="30">
        <f>'10b'!B44-'10l'!B44</f>
        <v>6443.2999999999956</v>
      </c>
      <c r="C44" s="30">
        <f>'10b'!C44-'10l'!C44</f>
        <v>-127.10000000000002</v>
      </c>
      <c r="D44" s="30">
        <f>'10b'!D44-'10l'!D44</f>
        <v>-50.399999999999977</v>
      </c>
      <c r="E44" s="30">
        <f>'10b'!E44-'10l'!E44</f>
        <v>-47.599999999999994</v>
      </c>
      <c r="F44" s="30">
        <f>'10b'!F44-'10l'!F44</f>
        <v>20.500000000000004</v>
      </c>
      <c r="G44" s="30">
        <f>'10b'!G44-'10l'!G44</f>
        <v>-23.299999999999997</v>
      </c>
    </row>
    <row r="45" spans="1:7">
      <c r="A45" s="66">
        <v>2002</v>
      </c>
      <c r="B45" s="30">
        <f>'10b'!B45-'10l'!B45</f>
        <v>3824.9000000000015</v>
      </c>
      <c r="C45" s="30">
        <f>'10b'!C45-'10l'!C45</f>
        <v>121</v>
      </c>
      <c r="D45" s="30">
        <f>'10b'!D45-'10l'!D45</f>
        <v>-22.100000000000023</v>
      </c>
      <c r="E45" s="30">
        <f>'10b'!E45-'10l'!E45</f>
        <v>-38.199999999999989</v>
      </c>
      <c r="F45" s="30">
        <f>'10b'!F45-'10l'!F45</f>
        <v>6.4000000000000021</v>
      </c>
      <c r="G45" s="30">
        <f>'10b'!G45-'10l'!G45</f>
        <v>9.7000000000000028</v>
      </c>
    </row>
    <row r="46" spans="1:7">
      <c r="A46" s="66">
        <v>2003</v>
      </c>
      <c r="B46" s="30">
        <f>'10b'!B46-'10l'!B46</f>
        <v>7170.9000000000015</v>
      </c>
      <c r="C46" s="30">
        <f>'10b'!C46-'10l'!C46</f>
        <v>-261</v>
      </c>
      <c r="D46" s="30">
        <f>'10b'!D46-'10l'!D46</f>
        <v>-30.5</v>
      </c>
      <c r="E46" s="30">
        <f>'10b'!E46-'10l'!E46</f>
        <v>-33.599999999999994</v>
      </c>
      <c r="F46" s="30">
        <f>'10b'!F46-'10l'!F46</f>
        <v>13.299999999999997</v>
      </c>
      <c r="G46" s="30">
        <f>'10b'!G46-'10l'!G46</f>
        <v>-10.199999999999996</v>
      </c>
    </row>
    <row r="47" spans="1:7">
      <c r="A47" s="66">
        <v>2004</v>
      </c>
      <c r="B47" s="30">
        <f>'10b'!B47-'10l'!B47</f>
        <v>10307.299999999996</v>
      </c>
      <c r="C47" s="30">
        <f>'10b'!C47-'10l'!C47</f>
        <v>-377.19999999999993</v>
      </c>
      <c r="D47" s="30">
        <f>'10b'!D47-'10l'!D47</f>
        <v>-3.8000000000000114</v>
      </c>
      <c r="E47" s="30">
        <f>'10b'!E47-'10l'!E47</f>
        <v>-51.899999999999991</v>
      </c>
      <c r="F47" s="30">
        <f>'10b'!F47-'10l'!F47</f>
        <v>45.6</v>
      </c>
      <c r="G47" s="30">
        <f>'10b'!G47-'10l'!G47</f>
        <v>2.5</v>
      </c>
    </row>
    <row r="48" spans="1:7">
      <c r="A48" s="66">
        <v>2005</v>
      </c>
      <c r="B48" s="30">
        <f>'10b'!B48-'10l'!B48</f>
        <v>17343.699999999997</v>
      </c>
      <c r="C48" s="30">
        <f>'10b'!C48-'10l'!C48</f>
        <v>-460.69999999999993</v>
      </c>
      <c r="D48" s="30">
        <f>'10b'!D48-'10l'!D48</f>
        <v>-32.30000000000004</v>
      </c>
      <c r="E48" s="30">
        <f>'10b'!E48-'10l'!E48</f>
        <v>-42.5</v>
      </c>
      <c r="F48" s="30">
        <f>'10b'!F48-'10l'!F48</f>
        <v>28.9</v>
      </c>
      <c r="G48" s="30">
        <f>'10b'!G48-'10l'!G48</f>
        <v>-18.699999999999996</v>
      </c>
    </row>
    <row r="49" spans="1:7">
      <c r="A49" s="66">
        <v>2006</v>
      </c>
      <c r="B49" s="30">
        <f>'10b'!B49-'10l'!B49</f>
        <v>20000.900000000001</v>
      </c>
      <c r="C49" s="30">
        <f>'10b'!C49-'10l'!C49</f>
        <v>-403.69999999999993</v>
      </c>
      <c r="D49" s="30">
        <f>'10b'!D49-'10l'!D49</f>
        <v>-115.59999999999997</v>
      </c>
      <c r="E49" s="30">
        <f>'10b'!E49-'10l'!E49</f>
        <v>-91.199999999999989</v>
      </c>
      <c r="F49" s="30">
        <f>'10b'!F49-'10l'!F49</f>
        <v>22.299999999999997</v>
      </c>
      <c r="G49" s="30">
        <f>'10b'!G49-'10l'!G49</f>
        <v>-46.7</v>
      </c>
    </row>
    <row r="50" spans="1:7">
      <c r="A50" s="66">
        <v>2007</v>
      </c>
      <c r="B50" s="30">
        <f>'10b'!B50-'10l'!B50</f>
        <v>21780.1</v>
      </c>
      <c r="C50" s="30">
        <f>'10b'!C50-'10l'!C50</f>
        <v>-338.4</v>
      </c>
      <c r="D50" s="30">
        <f>'10b'!D50-'10l'!D50</f>
        <v>-153.80000000000001</v>
      </c>
      <c r="E50" s="30">
        <f>'10b'!E50-'10l'!E50</f>
        <v>-95.4</v>
      </c>
      <c r="F50" s="30">
        <f>'10b'!F50-'10l'!F50</f>
        <v>-19.600000000000001</v>
      </c>
      <c r="G50" s="30">
        <f>'10b'!G50-'10l'!G50</f>
        <v>-38.799999999999997</v>
      </c>
    </row>
    <row r="51" spans="1:7">
      <c r="A51" s="66">
        <v>2008</v>
      </c>
      <c r="B51" s="30">
        <f>'10b'!B51-'10l'!B51</f>
        <v>26009.099999999991</v>
      </c>
      <c r="C51" s="30">
        <f>'10b'!C51-'10l'!C51</f>
        <v>-372.4</v>
      </c>
      <c r="D51" s="30">
        <f>'10b'!D51-'10l'!D51</f>
        <v>-163.39999999999998</v>
      </c>
      <c r="E51" s="30">
        <f>'10b'!E51-'10l'!E51</f>
        <v>-111.6</v>
      </c>
      <c r="F51" s="30">
        <f>'10b'!F51-'10l'!F51</f>
        <v>-30.200000000000003</v>
      </c>
      <c r="G51" s="30">
        <f>'10b'!G51-'10l'!G51</f>
        <v>-21.599999999999994</v>
      </c>
    </row>
    <row r="52" spans="1:7">
      <c r="A52" s="66">
        <v>2009</v>
      </c>
      <c r="B52" s="30">
        <f>'10b'!B52-'10l'!B52</f>
        <v>11151.699999999997</v>
      </c>
      <c r="C52" s="30">
        <f>'10b'!C52-'10l'!C52</f>
        <v>-36</v>
      </c>
      <c r="D52" s="30">
        <f>'10b'!D52-'10l'!D52</f>
        <v>-181.8</v>
      </c>
      <c r="E52" s="30">
        <f>'10b'!E52-'10l'!E52</f>
        <v>-113.89999999999999</v>
      </c>
      <c r="F52" s="30">
        <f>'10b'!F52-'10l'!F52</f>
        <v>-17.799999999999997</v>
      </c>
      <c r="G52" s="30">
        <f>'10b'!G52-'10l'!G52</f>
        <v>-50.099999999999994</v>
      </c>
    </row>
    <row r="53" spans="1:7">
      <c r="A53" s="66">
        <v>2010</v>
      </c>
      <c r="B53" s="30">
        <f>'10b'!B53-'10l'!B53</f>
        <v>24079.9</v>
      </c>
      <c r="C53" s="30">
        <f>'10b'!C53-'10l'!C53</f>
        <v>304.30000000000007</v>
      </c>
      <c r="D53" s="30">
        <f>'10b'!D53-'10l'!D53</f>
        <v>-121.3</v>
      </c>
      <c r="E53" s="30">
        <f>'10b'!E53-'10l'!E53</f>
        <v>-105.30000000000001</v>
      </c>
      <c r="F53" s="30">
        <f>'10b'!F53-'10l'!F53</f>
        <v>3.1999999999999957</v>
      </c>
      <c r="G53" s="30">
        <f>'10b'!G53-'10l'!G53</f>
        <v>-19.199999999999996</v>
      </c>
    </row>
    <row r="54" spans="1:7">
      <c r="A54" s="66">
        <v>2011</v>
      </c>
      <c r="B54" s="30">
        <f>'10b'!B54-'10l'!B54</f>
        <v>25458.299999999996</v>
      </c>
      <c r="C54" s="30">
        <f>'10b'!C54-'10l'!C54</f>
        <v>390.10000000000014</v>
      </c>
      <c r="D54" s="30">
        <f>'10b'!D54-'10l'!D54</f>
        <v>-103.70000000000002</v>
      </c>
      <c r="E54" s="30">
        <f>'10b'!E54-'10l'!E54</f>
        <v>-91.699999999999989</v>
      </c>
      <c r="F54" s="30">
        <f>'10b'!F54-'10l'!F54</f>
        <v>-12.700000000000003</v>
      </c>
      <c r="G54" s="30">
        <f>'10b'!G54-'10l'!G54</f>
        <v>0.70000000000000284</v>
      </c>
    </row>
    <row r="55" spans="1:7">
      <c r="A55" s="66">
        <v>2012</v>
      </c>
      <c r="B55" s="30">
        <f>'10b'!B55-'10l'!B55</f>
        <v>31151.099999999991</v>
      </c>
      <c r="C55" s="30">
        <f>'10b'!C55-'10l'!C55</f>
        <v>78.199999999999932</v>
      </c>
      <c r="D55" s="30">
        <f>'10b'!D55-'10l'!D55</f>
        <v>-81.799999999999983</v>
      </c>
      <c r="E55" s="30">
        <f>'10b'!E55-'10l'!E55</f>
        <v>-78.5</v>
      </c>
      <c r="F55" s="30">
        <f>'10b'!F55-'10l'!F55</f>
        <v>-12.899999999999999</v>
      </c>
      <c r="G55" s="30">
        <f>'10b'!G55-'10l'!G55</f>
        <v>9.6000000000000014</v>
      </c>
    </row>
    <row r="57" spans="1:7">
      <c r="A57" s="66" t="s">
        <v>1342</v>
      </c>
      <c r="B57" s="56"/>
      <c r="C57" s="56"/>
    </row>
    <row r="58" spans="1:7">
      <c r="A58" s="69" t="s">
        <v>2121</v>
      </c>
      <c r="B58" s="56">
        <f>AVERAGE(B4:B55)</f>
        <v>9502.4519230769238</v>
      </c>
      <c r="C58" s="56">
        <f t="shared" ref="C58:G58" si="0">AVERAGE(C4:C55)</f>
        <v>13.076923076923048</v>
      </c>
      <c r="D58" s="56">
        <f t="shared" si="0"/>
        <v>-4.4538461538461442</v>
      </c>
      <c r="E58" s="56">
        <f t="shared" si="0"/>
        <v>-8.9307692307692292</v>
      </c>
      <c r="F58" s="56">
        <f t="shared" si="0"/>
        <v>2.5249999999999995</v>
      </c>
      <c r="G58" s="56">
        <f t="shared" si="0"/>
        <v>1.951923076923078</v>
      </c>
    </row>
    <row r="59" spans="1:7">
      <c r="A59" s="68" t="s">
        <v>1031</v>
      </c>
      <c r="B59" s="56">
        <f t="shared" ref="B59:G59" si="1">AVERAGE(B4:B16)</f>
        <v>9730.546153846155</v>
      </c>
      <c r="C59" s="56">
        <f t="shared" si="1"/>
        <v>366.57692307692309</v>
      </c>
      <c r="D59" s="56">
        <f t="shared" si="1"/>
        <v>110.8153846153846</v>
      </c>
      <c r="E59" s="56">
        <f t="shared" si="1"/>
        <v>78.307692307692307</v>
      </c>
      <c r="F59" s="56">
        <f t="shared" si="1"/>
        <v>8.7692307692307683</v>
      </c>
      <c r="G59" s="56">
        <f t="shared" si="1"/>
        <v>23.738461538461539</v>
      </c>
    </row>
    <row r="60" spans="1:7">
      <c r="A60" s="68" t="s">
        <v>1032</v>
      </c>
      <c r="B60" s="56">
        <f t="shared" ref="B60:G60" si="2">AVERAGE(B16:B24)</f>
        <v>11975.5</v>
      </c>
      <c r="C60" s="56">
        <f t="shared" si="2"/>
        <v>461.72222222222223</v>
      </c>
      <c r="D60" s="56">
        <f t="shared" si="2"/>
        <v>50.42222222222221</v>
      </c>
      <c r="E60" s="56">
        <f t="shared" si="2"/>
        <v>42.455555555555549</v>
      </c>
      <c r="F60" s="56">
        <f t="shared" si="2"/>
        <v>13.566666666666666</v>
      </c>
      <c r="G60" s="56">
        <f t="shared" si="2"/>
        <v>-5.5999999999999988</v>
      </c>
    </row>
    <row r="61" spans="1:7">
      <c r="A61" s="68" t="s">
        <v>25</v>
      </c>
      <c r="B61" s="56">
        <f t="shared" ref="B61:G61" si="3">AVERAGE(B24:B32)</f>
        <v>5167.6222222222223</v>
      </c>
      <c r="C61" s="56">
        <f t="shared" si="3"/>
        <v>-142.55555555555554</v>
      </c>
      <c r="D61" s="56">
        <f t="shared" si="3"/>
        <v>-54.022222222222211</v>
      </c>
      <c r="E61" s="56">
        <f t="shared" si="3"/>
        <v>-40.466666666666669</v>
      </c>
      <c r="F61" s="56">
        <f t="shared" si="3"/>
        <v>-9.1777777777777789</v>
      </c>
      <c r="G61" s="56">
        <f t="shared" si="3"/>
        <v>-4.3777777777777773</v>
      </c>
    </row>
    <row r="62" spans="1:7">
      <c r="A62" s="68" t="s">
        <v>26</v>
      </c>
      <c r="B62" s="56">
        <f t="shared" ref="B62:G62" si="4">AVERAGE(B32:B43)</f>
        <v>3176.6416666666669</v>
      </c>
      <c r="C62" s="56">
        <f t="shared" si="4"/>
        <v>-344.55833333333322</v>
      </c>
      <c r="D62" s="56">
        <f t="shared" si="4"/>
        <v>-30.358333333333324</v>
      </c>
      <c r="E62" s="56">
        <f t="shared" si="4"/>
        <v>-43.008333333333333</v>
      </c>
      <c r="F62" s="56">
        <f t="shared" si="4"/>
        <v>-2.5583333333333331</v>
      </c>
      <c r="G62" s="56">
        <f t="shared" si="4"/>
        <v>15.208333333333334</v>
      </c>
    </row>
    <row r="63" spans="1:7">
      <c r="A63" s="69" t="s">
        <v>2028</v>
      </c>
      <c r="B63" s="56">
        <f>AVERAGE(B43:B55)</f>
        <v>16129.461538461534</v>
      </c>
      <c r="C63" s="56">
        <f t="shared" ref="C63:G63" si="5">AVERAGE(C43:C55)</f>
        <v>-94.830769230769207</v>
      </c>
      <c r="D63" s="56">
        <f t="shared" si="5"/>
        <v>-79.57692307692308</v>
      </c>
      <c r="E63" s="56">
        <f t="shared" si="5"/>
        <v>-68.730769230769226</v>
      </c>
      <c r="F63" s="56">
        <f t="shared" si="5"/>
        <v>3.7615384615384593</v>
      </c>
      <c r="G63" s="56">
        <f t="shared" si="5"/>
        <v>-14.607692307692304</v>
      </c>
    </row>
    <row r="65" spans="1:1">
      <c r="A65" s="64" t="s">
        <v>1813</v>
      </c>
    </row>
    <row r="66" spans="1:1">
      <c r="A66" s="195" t="s">
        <v>1341</v>
      </c>
    </row>
  </sheetData>
  <mergeCells count="4">
    <mergeCell ref="A1:G1"/>
    <mergeCell ref="B2:B3"/>
    <mergeCell ref="D2:G2"/>
    <mergeCell ref="C2:C3"/>
  </mergeCells>
  <pageMargins left="0.70866141732283472" right="0.70866141732283472" top="0.74803149606299213" bottom="0.74803149606299213" header="0.31496062992125984" footer="0.31496062992125984"/>
  <pageSetup scale="91" orientation="portrait" horizontalDpi="0" verticalDpi="0" r:id="rId1"/>
</worksheet>
</file>

<file path=xl/worksheets/sheet82.xml><?xml version="1.0" encoding="utf-8"?>
<worksheet xmlns="http://schemas.openxmlformats.org/spreadsheetml/2006/main" xmlns:r="http://schemas.openxmlformats.org/officeDocument/2006/relationships">
  <sheetPr codeName="Sheet76"/>
  <dimension ref="A1:H66"/>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1.5703125" style="64" customWidth="1"/>
    <col min="2" max="3" width="14.140625" style="135" customWidth="1"/>
    <col min="4" max="4" width="16" style="135" customWidth="1"/>
    <col min="5" max="5" width="11.28515625" style="135" customWidth="1"/>
    <col min="6" max="6" width="15.140625" style="135" customWidth="1"/>
    <col min="7" max="7" width="14.140625" style="135" customWidth="1"/>
    <col min="8" max="8" width="9.140625" style="135"/>
    <col min="9" max="16384" width="9.140625" style="64"/>
  </cols>
  <sheetData>
    <row r="1" spans="1:7" ht="30" customHeight="1">
      <c r="A1" s="93" t="s">
        <v>2069</v>
      </c>
      <c r="B1" s="93"/>
      <c r="C1" s="93"/>
      <c r="D1" s="93"/>
      <c r="E1" s="93"/>
      <c r="F1" s="93"/>
      <c r="G1" s="93"/>
    </row>
    <row r="2" spans="1:7" ht="15" customHeight="1">
      <c r="B2" s="123" t="s">
        <v>673</v>
      </c>
      <c r="C2" s="123" t="s">
        <v>938</v>
      </c>
      <c r="D2" s="159" t="s">
        <v>37</v>
      </c>
      <c r="E2" s="160"/>
      <c r="F2" s="160"/>
      <c r="G2" s="161"/>
    </row>
    <row r="3" spans="1:7" ht="60">
      <c r="B3" s="126"/>
      <c r="C3" s="126"/>
      <c r="D3" s="72" t="s">
        <v>78</v>
      </c>
      <c r="E3" s="72" t="s">
        <v>750</v>
      </c>
      <c r="F3" s="72" t="s">
        <v>745</v>
      </c>
      <c r="G3" s="72" t="s">
        <v>678</v>
      </c>
    </row>
    <row r="4" spans="1:7">
      <c r="A4" s="66">
        <v>1961</v>
      </c>
      <c r="B4" s="30">
        <f>'10c'!B4-'10m'!B4</f>
        <v>7305.9</v>
      </c>
      <c r="C4" s="30">
        <f>'10c'!C4-'10m'!C4</f>
        <v>192</v>
      </c>
      <c r="D4" s="30">
        <f>'10c'!D4-'10m'!D4</f>
        <v>24.400000000000034</v>
      </c>
      <c r="E4" s="30">
        <f>'10c'!E4-'10m'!E4</f>
        <v>-1.9000000000000021</v>
      </c>
      <c r="F4" s="30">
        <f>'10c'!F4-'10m'!F4</f>
        <v>20.900000000000006</v>
      </c>
      <c r="G4" s="30">
        <f>'10c'!G4-'10m'!G4</f>
        <v>5.3999999999999773</v>
      </c>
    </row>
    <row r="5" spans="1:7" hidden="1" outlineLevel="1">
      <c r="A5" s="66">
        <v>1962</v>
      </c>
      <c r="B5" s="30">
        <f>'10c'!B5-'10m'!B5</f>
        <v>8796.7000000000007</v>
      </c>
      <c r="C5" s="30">
        <f>'10c'!C5-'10m'!C5</f>
        <v>616.59999999999991</v>
      </c>
      <c r="D5" s="30">
        <f>'10c'!D5-'10m'!D5</f>
        <v>63</v>
      </c>
      <c r="E5" s="30">
        <f>'10c'!E5-'10m'!E5</f>
        <v>1</v>
      </c>
      <c r="F5" s="30">
        <f>'10c'!F5-'10m'!F5</f>
        <v>6.5</v>
      </c>
      <c r="G5" s="30">
        <f>'10c'!G5-'10m'!G5</f>
        <v>55.5</v>
      </c>
    </row>
    <row r="6" spans="1:7" hidden="1" outlineLevel="1">
      <c r="A6" s="66">
        <v>1963</v>
      </c>
      <c r="B6" s="30">
        <f>'10c'!B6-'10m'!B6</f>
        <v>8521.9</v>
      </c>
      <c r="C6" s="30">
        <f>'10c'!C6-'10m'!C6</f>
        <v>694.39999999999986</v>
      </c>
      <c r="D6" s="30">
        <f>'10c'!D6-'10m'!D6</f>
        <v>84.100000000000023</v>
      </c>
      <c r="E6" s="30">
        <f>'10c'!E6-'10m'!E6</f>
        <v>0.60000000000000142</v>
      </c>
      <c r="F6" s="30">
        <f>'10c'!F6-'10m'!F6</f>
        <v>7.4000000000000057</v>
      </c>
      <c r="G6" s="30">
        <f>'10c'!G6-'10m'!G6</f>
        <v>76.100000000000023</v>
      </c>
    </row>
    <row r="7" spans="1:7" hidden="1" outlineLevel="1">
      <c r="A7" s="66">
        <v>1964</v>
      </c>
      <c r="B7" s="30">
        <f>'10c'!B7-'10m'!B7</f>
        <v>9015.4000000000015</v>
      </c>
      <c r="C7" s="30">
        <f>'10c'!C7-'10m'!C7</f>
        <v>1426.0000000000002</v>
      </c>
      <c r="D7" s="30">
        <f>'10c'!D7-'10m'!D7</f>
        <v>286.59999999999997</v>
      </c>
      <c r="E7" s="30">
        <f>'10c'!E7-'10m'!E7</f>
        <v>11.399999999999999</v>
      </c>
      <c r="F7" s="30">
        <f>'10c'!F7-'10m'!F7</f>
        <v>30.700000000000003</v>
      </c>
      <c r="G7" s="30">
        <f>'10c'!G7-'10m'!G7</f>
        <v>244.49999999999997</v>
      </c>
    </row>
    <row r="8" spans="1:7" hidden="1" outlineLevel="1">
      <c r="A8" s="66">
        <v>1965</v>
      </c>
      <c r="B8" s="30">
        <f>'10c'!B8-'10m'!B8</f>
        <v>12068.900000000001</v>
      </c>
      <c r="C8" s="30">
        <f>'10c'!C8-'10m'!C8</f>
        <v>2251.3999999999996</v>
      </c>
      <c r="D8" s="30">
        <f>'10c'!D8-'10m'!D8</f>
        <v>581.90000000000009</v>
      </c>
      <c r="E8" s="30">
        <f>'10c'!E8-'10m'!E8</f>
        <v>17.599999999999998</v>
      </c>
      <c r="F8" s="30">
        <f>'10c'!F8-'10m'!F8</f>
        <v>72.300000000000011</v>
      </c>
      <c r="G8" s="30">
        <f>'10c'!G8-'10m'!G8</f>
        <v>492</v>
      </c>
    </row>
    <row r="9" spans="1:7" hidden="1" outlineLevel="1">
      <c r="A9" s="66">
        <v>1966</v>
      </c>
      <c r="B9" s="30">
        <f>'10c'!B9-'10m'!B9</f>
        <v>14719.699999999999</v>
      </c>
      <c r="C9" s="30">
        <f>'10c'!C9-'10m'!C9</f>
        <v>2881.8999999999996</v>
      </c>
      <c r="D9" s="30">
        <f>'10c'!D9-'10m'!D9</f>
        <v>630.70000000000005</v>
      </c>
      <c r="E9" s="30">
        <f>'10c'!E9-'10m'!E9</f>
        <v>11.299999999999997</v>
      </c>
      <c r="F9" s="30">
        <f>'10c'!F9-'10m'!F9</f>
        <v>61.300000000000011</v>
      </c>
      <c r="G9" s="30">
        <f>'10c'!G9-'10m'!G9</f>
        <v>558.1</v>
      </c>
    </row>
    <row r="10" spans="1:7" hidden="1" outlineLevel="1">
      <c r="A10" s="66">
        <v>1967</v>
      </c>
      <c r="B10" s="30">
        <f>'10c'!B10-'10m'!B10</f>
        <v>12300.099999999999</v>
      </c>
      <c r="C10" s="30">
        <f>'10c'!C10-'10m'!C10</f>
        <v>1583.4</v>
      </c>
      <c r="D10" s="30">
        <f>'10c'!D10-'10m'!D10</f>
        <v>338.40000000000009</v>
      </c>
      <c r="E10" s="30">
        <f>'10c'!E10-'10m'!E10</f>
        <v>11.399999999999999</v>
      </c>
      <c r="F10" s="30">
        <f>'10c'!F10-'10m'!F10</f>
        <v>5.7999999999999972</v>
      </c>
      <c r="G10" s="30">
        <f>'10c'!G10-'10m'!G10</f>
        <v>321.20000000000005</v>
      </c>
    </row>
    <row r="11" spans="1:7" hidden="1" outlineLevel="1">
      <c r="A11" s="66">
        <v>1968</v>
      </c>
      <c r="B11" s="30">
        <f>'10c'!B11-'10m'!B11</f>
        <v>11071.699999999999</v>
      </c>
      <c r="C11" s="30">
        <f>'10c'!C11-'10m'!C11</f>
        <v>827.29999999999973</v>
      </c>
      <c r="D11" s="30">
        <f>'10c'!D11-'10m'!D11</f>
        <v>83.999999999999943</v>
      </c>
      <c r="E11" s="30">
        <f>'10c'!E11-'10m'!E11</f>
        <v>0.19999999999999929</v>
      </c>
      <c r="F11" s="30">
        <f>'10c'!F11-'10m'!F11</f>
        <v>14.299999999999997</v>
      </c>
      <c r="G11" s="30">
        <f>'10c'!G11-'10m'!G11</f>
        <v>69.5</v>
      </c>
    </row>
    <row r="12" spans="1:7" hidden="1" outlineLevel="1">
      <c r="A12" s="66">
        <v>1969</v>
      </c>
      <c r="B12" s="30">
        <f>'10c'!B12-'10m'!B12</f>
        <v>10393.299999999999</v>
      </c>
      <c r="C12" s="30">
        <f>'10c'!C12-'10m'!C12</f>
        <v>1412.8000000000002</v>
      </c>
      <c r="D12" s="30">
        <f>'10c'!D12-'10m'!D12</f>
        <v>449.7999999999999</v>
      </c>
      <c r="E12" s="30">
        <f>'10c'!E12-'10m'!E12</f>
        <v>13.899999999999999</v>
      </c>
      <c r="F12" s="30">
        <f>'10c'!F12-'10m'!F12</f>
        <v>191.7</v>
      </c>
      <c r="G12" s="30">
        <f>'10c'!G12-'10m'!G12</f>
        <v>244.19999999999993</v>
      </c>
    </row>
    <row r="13" spans="1:7" hidden="1" outlineLevel="1">
      <c r="A13" s="66">
        <v>1970</v>
      </c>
      <c r="B13" s="30">
        <f>'10c'!B13-'10m'!B13</f>
        <v>10623.300000000001</v>
      </c>
      <c r="C13" s="30">
        <f>'10c'!C13-'10m'!C13</f>
        <v>2213.2000000000003</v>
      </c>
      <c r="D13" s="30">
        <f>'10c'!D13-'10m'!D13</f>
        <v>443.9</v>
      </c>
      <c r="E13" s="30">
        <f>'10c'!E13-'10m'!E13</f>
        <v>0.69999999999999929</v>
      </c>
      <c r="F13" s="30">
        <f>'10c'!F13-'10m'!F13</f>
        <v>175.4</v>
      </c>
      <c r="G13" s="30">
        <f>'10c'!G13-'10m'!G13</f>
        <v>267.8</v>
      </c>
    </row>
    <row r="14" spans="1:7" hidden="1" outlineLevel="1">
      <c r="A14" s="66">
        <v>1971</v>
      </c>
      <c r="B14" s="30">
        <f>'10c'!B14-'10m'!B14</f>
        <v>10680.099999999999</v>
      </c>
      <c r="C14" s="30">
        <f>'10c'!C14-'10m'!C14</f>
        <v>795.19999999999982</v>
      </c>
      <c r="D14" s="30">
        <f>'10c'!D14-'10m'!D14</f>
        <v>351.5</v>
      </c>
      <c r="E14" s="30">
        <f>'10c'!E14-'10m'!E14</f>
        <v>-12</v>
      </c>
      <c r="F14" s="30">
        <f>'10c'!F14-'10m'!F14</f>
        <v>87.600000000000009</v>
      </c>
      <c r="G14" s="30">
        <f>'10c'!G14-'10m'!G14</f>
        <v>275.90000000000003</v>
      </c>
    </row>
    <row r="15" spans="1:7" hidden="1" outlineLevel="1">
      <c r="A15" s="66">
        <v>1972</v>
      </c>
      <c r="B15" s="30">
        <f>'10c'!B15-'10m'!B15</f>
        <v>9080.1</v>
      </c>
      <c r="C15" s="30">
        <f>'10c'!C15-'10m'!C15</f>
        <v>488.20000000000027</v>
      </c>
      <c r="D15" s="30">
        <f>'10c'!D15-'10m'!D15</f>
        <v>222.60000000000002</v>
      </c>
      <c r="E15" s="30">
        <f>'10c'!E15-'10m'!E15</f>
        <v>-3.1999999999999993</v>
      </c>
      <c r="F15" s="30">
        <f>'10c'!F15-'10m'!F15</f>
        <v>102</v>
      </c>
      <c r="G15" s="30">
        <f>'10c'!G15-'10m'!G15</f>
        <v>123.80000000000001</v>
      </c>
    </row>
    <row r="16" spans="1:7" collapsed="1">
      <c r="A16" s="66">
        <v>1973</v>
      </c>
      <c r="B16" s="30">
        <f>'10c'!B16-'10m'!B16</f>
        <v>9665.1</v>
      </c>
      <c r="C16" s="30">
        <f>'10c'!C16-'10m'!C16</f>
        <v>708.89999999999964</v>
      </c>
      <c r="D16" s="30">
        <f>'10c'!D16-'10m'!D16</f>
        <v>150.79999999999995</v>
      </c>
      <c r="E16" s="30">
        <f>'10c'!E16-'10m'!E16</f>
        <v>21.800000000000004</v>
      </c>
      <c r="F16" s="30">
        <f>'10c'!F16-'10m'!F16</f>
        <v>200.60000000000002</v>
      </c>
      <c r="G16" s="30">
        <f>'10c'!G16-'10m'!G16</f>
        <v>-71.599999999999966</v>
      </c>
    </row>
    <row r="17" spans="1:7" hidden="1" outlineLevel="1">
      <c r="A17" s="66">
        <v>1974</v>
      </c>
      <c r="B17" s="30">
        <f>'10c'!B17-'10m'!B17</f>
        <v>10688.7</v>
      </c>
      <c r="C17" s="30">
        <f>'10c'!C17-'10m'!C17</f>
        <v>1233.9000000000001</v>
      </c>
      <c r="D17" s="30">
        <f>'10c'!D17-'10m'!D17</f>
        <v>209.29999999999995</v>
      </c>
      <c r="E17" s="30">
        <f>'10c'!E17-'10m'!E17</f>
        <v>39.099999999999994</v>
      </c>
      <c r="F17" s="30">
        <f>'10c'!F17-'10m'!F17</f>
        <v>159.30000000000001</v>
      </c>
      <c r="G17" s="30">
        <f>'10c'!G17-'10m'!G17</f>
        <v>10.899999999999977</v>
      </c>
    </row>
    <row r="18" spans="1:7" hidden="1" outlineLevel="1">
      <c r="A18" s="66">
        <v>1975</v>
      </c>
      <c r="B18" s="30">
        <f>'10c'!B18-'10m'!B18</f>
        <v>11942.500000000002</v>
      </c>
      <c r="C18" s="30">
        <f>'10c'!C18-'10m'!C18</f>
        <v>856.70000000000027</v>
      </c>
      <c r="D18" s="30">
        <f>'10c'!D18-'10m'!D18</f>
        <v>100.70000000000005</v>
      </c>
      <c r="E18" s="30">
        <f>'10c'!E18-'10m'!E18</f>
        <v>19.5</v>
      </c>
      <c r="F18" s="30">
        <f>'10c'!F18-'10m'!F18</f>
        <v>103.29999999999998</v>
      </c>
      <c r="G18" s="30">
        <f>'10c'!G18-'10m'!G18</f>
        <v>-22.100000000000023</v>
      </c>
    </row>
    <row r="19" spans="1:7" hidden="1" outlineLevel="1">
      <c r="A19" s="66">
        <v>1976</v>
      </c>
      <c r="B19" s="30">
        <f>'10c'!B19-'10m'!B19</f>
        <v>10096.400000000001</v>
      </c>
      <c r="C19" s="30">
        <f>'10c'!C19-'10m'!C19</f>
        <v>332.69999999999982</v>
      </c>
      <c r="D19" s="30">
        <f>'10c'!D19-'10m'!D19</f>
        <v>84</v>
      </c>
      <c r="E19" s="30">
        <f>'10c'!E19-'10m'!E19</f>
        <v>6.1999999999999957</v>
      </c>
      <c r="F19" s="30">
        <f>'10c'!F19-'10m'!F19</f>
        <v>16.299999999999983</v>
      </c>
      <c r="G19" s="30">
        <f>'10c'!G19-'10m'!G19</f>
        <v>61.5</v>
      </c>
    </row>
    <row r="20" spans="1:7" hidden="1" outlineLevel="1">
      <c r="A20" s="66">
        <v>1977</v>
      </c>
      <c r="B20" s="30">
        <f>'10c'!B20-'10m'!B20</f>
        <v>10182</v>
      </c>
      <c r="C20" s="30">
        <f>'10c'!C20-'10m'!C20</f>
        <v>1081.7999999999997</v>
      </c>
      <c r="D20" s="30">
        <f>'10c'!D20-'10m'!D20</f>
        <v>234.80000000000007</v>
      </c>
      <c r="E20" s="30">
        <f>'10c'!E20-'10m'!E20</f>
        <v>10.799999999999997</v>
      </c>
      <c r="F20" s="30">
        <f>'10c'!F20-'10m'!F20</f>
        <v>42.199999999999989</v>
      </c>
      <c r="G20" s="30">
        <f>'10c'!G20-'10m'!G20</f>
        <v>181.8</v>
      </c>
    </row>
    <row r="21" spans="1:7" hidden="1" outlineLevel="1">
      <c r="A21" s="66">
        <v>1978</v>
      </c>
      <c r="B21" s="30">
        <f>'10c'!B21-'10m'!B21</f>
        <v>9528.7000000000007</v>
      </c>
      <c r="C21" s="30">
        <f>'10c'!C21-'10m'!C21</f>
        <v>399.80000000000018</v>
      </c>
      <c r="D21" s="30">
        <f>'10c'!D21-'10m'!D21</f>
        <v>-68.199999999999932</v>
      </c>
      <c r="E21" s="30">
        <f>'10c'!E21-'10m'!E21</f>
        <v>-7.3999999999999986</v>
      </c>
      <c r="F21" s="30">
        <f>'10c'!F21-'10m'!F21</f>
        <v>56</v>
      </c>
      <c r="G21" s="30">
        <f>'10c'!G21-'10m'!G21</f>
        <v>-116.79999999999998</v>
      </c>
    </row>
    <row r="22" spans="1:7" hidden="1" outlineLevel="1">
      <c r="A22" s="66">
        <v>1979</v>
      </c>
      <c r="B22" s="30">
        <f>'10c'!B22-'10m'!B22</f>
        <v>12687.500000000002</v>
      </c>
      <c r="C22" s="30">
        <f>'10c'!C22-'10m'!C22</f>
        <v>1160.6999999999998</v>
      </c>
      <c r="D22" s="30">
        <f>'10c'!D22-'10m'!D22</f>
        <v>-54.299999999999955</v>
      </c>
      <c r="E22" s="30">
        <f>'10c'!E22-'10m'!E22</f>
        <v>4.1000000000000014</v>
      </c>
      <c r="F22" s="30">
        <f>'10c'!F22-'10m'!F22</f>
        <v>98.199999999999989</v>
      </c>
      <c r="G22" s="30">
        <f>'10c'!G22-'10m'!G22</f>
        <v>-156.6</v>
      </c>
    </row>
    <row r="23" spans="1:7" hidden="1" outlineLevel="1">
      <c r="A23" s="66">
        <v>1980</v>
      </c>
      <c r="B23" s="30">
        <f>'10c'!B23-'10m'!B23</f>
        <v>14887.8</v>
      </c>
      <c r="C23" s="30">
        <f>'10c'!C23-'10m'!C23</f>
        <v>2340</v>
      </c>
      <c r="D23" s="30">
        <f>'10c'!D23-'10m'!D23</f>
        <v>254.09999999999991</v>
      </c>
      <c r="E23" s="30">
        <f>'10c'!E23-'10m'!E23</f>
        <v>18.399999999999999</v>
      </c>
      <c r="F23" s="30">
        <f>'10c'!F23-'10m'!F23</f>
        <v>89.099999999999966</v>
      </c>
      <c r="G23" s="30">
        <f>'10c'!G23-'10m'!G23</f>
        <v>146.59999999999997</v>
      </c>
    </row>
    <row r="24" spans="1:7" collapsed="1">
      <c r="A24" s="66">
        <v>1981</v>
      </c>
      <c r="B24" s="30">
        <f>'10c'!B24-'10m'!B24</f>
        <v>14994.599999999999</v>
      </c>
      <c r="C24" s="30">
        <f>'10c'!C24-'10m'!C24</f>
        <v>2501.7999999999997</v>
      </c>
      <c r="D24" s="30">
        <f>'10c'!D24-'10m'!D24</f>
        <v>535.20000000000005</v>
      </c>
      <c r="E24" s="30">
        <f>'10c'!E24-'10m'!E24</f>
        <v>10.100000000000001</v>
      </c>
      <c r="F24" s="30">
        <f>'10c'!F24-'10m'!F24</f>
        <v>53.099999999999994</v>
      </c>
      <c r="G24" s="30">
        <f>'10c'!G24-'10m'!G24</f>
        <v>472</v>
      </c>
    </row>
    <row r="25" spans="1:7">
      <c r="A25" s="66">
        <v>1982</v>
      </c>
      <c r="B25" s="30">
        <f>'10c'!B25-'10m'!B25</f>
        <v>9394.8000000000029</v>
      </c>
      <c r="C25" s="30">
        <f>'10c'!C25-'10m'!C25</f>
        <v>1038.7999999999997</v>
      </c>
      <c r="D25" s="30">
        <f>'10c'!D25-'10m'!D25</f>
        <v>245.09999999999991</v>
      </c>
      <c r="E25" s="30">
        <f>'10c'!E25-'10m'!E25</f>
        <v>-19.699999999999996</v>
      </c>
      <c r="F25" s="30">
        <f>'10c'!F25-'10m'!F25</f>
        <v>2</v>
      </c>
      <c r="G25" s="30">
        <f>'10c'!G25-'10m'!G25</f>
        <v>262.79999999999995</v>
      </c>
    </row>
    <row r="26" spans="1:7">
      <c r="A26" s="66">
        <v>1983</v>
      </c>
      <c r="B26" s="30">
        <f>'10c'!B26-'10m'!B26</f>
        <v>7454.2000000000007</v>
      </c>
      <c r="C26" s="30">
        <f>'10c'!C26-'10m'!C26</f>
        <v>-678.40000000000009</v>
      </c>
      <c r="D26" s="30">
        <f>'10c'!D26-'10m'!D26</f>
        <v>-239.29999999999995</v>
      </c>
      <c r="E26" s="30">
        <f>'10c'!E26-'10m'!E26</f>
        <v>-24.599999999999998</v>
      </c>
      <c r="F26" s="30">
        <f>'10c'!F26-'10m'!F26</f>
        <v>-71.199999999999989</v>
      </c>
      <c r="G26" s="30">
        <f>'10c'!G26-'10m'!G26</f>
        <v>-143.5</v>
      </c>
    </row>
    <row r="27" spans="1:7">
      <c r="A27" s="66">
        <v>1984</v>
      </c>
      <c r="B27" s="30">
        <f>'10c'!B27-'10m'!B27</f>
        <v>8812.7000000000007</v>
      </c>
      <c r="C27" s="30">
        <f>'10c'!C27-'10m'!C27</f>
        <v>28.5</v>
      </c>
      <c r="D27" s="30">
        <f>'10c'!D27-'10m'!D27</f>
        <v>-155.39999999999998</v>
      </c>
      <c r="E27" s="30">
        <f>'10c'!E27-'10m'!E27</f>
        <v>-21.900000000000002</v>
      </c>
      <c r="F27" s="30">
        <f>'10c'!F27-'10m'!F27</f>
        <v>-58.200000000000017</v>
      </c>
      <c r="G27" s="30">
        <f>'10c'!G27-'10m'!G27</f>
        <v>-75.300000000000011</v>
      </c>
    </row>
    <row r="28" spans="1:7">
      <c r="A28" s="66">
        <v>1985</v>
      </c>
      <c r="B28" s="30">
        <f>'10c'!B28-'10m'!B28</f>
        <v>12299.3</v>
      </c>
      <c r="C28" s="30">
        <f>'10c'!C28-'10m'!C28</f>
        <v>1610.6000000000004</v>
      </c>
      <c r="D28" s="30">
        <f>'10c'!D28-'10m'!D28</f>
        <v>-17.199999999999932</v>
      </c>
      <c r="E28" s="30">
        <f>'10c'!E28-'10m'!E28</f>
        <v>-20.3</v>
      </c>
      <c r="F28" s="30">
        <f>'10c'!F28-'10m'!F28</f>
        <v>-56.7</v>
      </c>
      <c r="G28" s="30">
        <f>'10c'!G28-'10m'!G28</f>
        <v>59.800000000000011</v>
      </c>
    </row>
    <row r="29" spans="1:7">
      <c r="A29" s="66">
        <v>1986</v>
      </c>
      <c r="B29" s="30">
        <f>'10c'!B29-'10m'!B29</f>
        <v>13162.7</v>
      </c>
      <c r="C29" s="30">
        <f>'10c'!C29-'10m'!C29</f>
        <v>1148.1000000000004</v>
      </c>
      <c r="D29" s="30">
        <f>'10c'!D29-'10m'!D29</f>
        <v>-14.100000000000023</v>
      </c>
      <c r="E29" s="30">
        <f>'10c'!E29-'10m'!E29</f>
        <v>-26.4</v>
      </c>
      <c r="F29" s="30">
        <f>'10c'!F29-'10m'!F29</f>
        <v>4.4000000000000057</v>
      </c>
      <c r="G29" s="30">
        <f>'10c'!G29-'10m'!G29</f>
        <v>7.8999999999999773</v>
      </c>
    </row>
    <row r="30" spans="1:7">
      <c r="A30" s="66">
        <v>1987</v>
      </c>
      <c r="B30" s="30">
        <f>'10c'!B30-'10m'!B30</f>
        <v>15683.000000000004</v>
      </c>
      <c r="C30" s="30">
        <f>'10c'!C30-'10m'!C30</f>
        <v>1025.0999999999995</v>
      </c>
      <c r="D30" s="30">
        <f>'10c'!D30-'10m'!D30</f>
        <v>62.700000000000045</v>
      </c>
      <c r="E30" s="30">
        <f>'10c'!E30-'10m'!E30</f>
        <v>-19.899999999999999</v>
      </c>
      <c r="F30" s="30">
        <f>'10c'!F30-'10m'!F30</f>
        <v>103.1</v>
      </c>
      <c r="G30" s="30">
        <f>'10c'!G30-'10m'!G30</f>
        <v>-20.5</v>
      </c>
    </row>
    <row r="31" spans="1:7">
      <c r="A31" s="66">
        <v>1988</v>
      </c>
      <c r="B31" s="30">
        <f>'10c'!B31-'10m'!B31</f>
        <v>17091.600000000002</v>
      </c>
      <c r="C31" s="30">
        <f>'10c'!C31-'10m'!C31</f>
        <v>1303.0999999999999</v>
      </c>
      <c r="D31" s="30">
        <f>'10c'!D31-'10m'!D31</f>
        <v>723.90000000000009</v>
      </c>
      <c r="E31" s="30">
        <f>'10c'!E31-'10m'!E31</f>
        <v>-15.7</v>
      </c>
      <c r="F31" s="30">
        <f>'10c'!F31-'10m'!F31</f>
        <v>180.5</v>
      </c>
      <c r="G31" s="30">
        <f>'10c'!G31-'10m'!G31</f>
        <v>559.09999999999991</v>
      </c>
    </row>
    <row r="32" spans="1:7">
      <c r="A32" s="66">
        <v>1989</v>
      </c>
      <c r="B32" s="30">
        <f>'10c'!B32-'10m'!B32</f>
        <v>18101.700000000004</v>
      </c>
      <c r="C32" s="30">
        <f>'10c'!C32-'10m'!C32</f>
        <v>2204.8000000000002</v>
      </c>
      <c r="D32" s="30">
        <f>'10c'!D32-'10m'!D32</f>
        <v>1270.8000000000002</v>
      </c>
      <c r="E32" s="30">
        <f>'10c'!E32-'10m'!E32</f>
        <v>-20.900000000000002</v>
      </c>
      <c r="F32" s="30">
        <f>'10c'!F32-'10m'!F32</f>
        <v>228.00000000000003</v>
      </c>
      <c r="G32" s="30">
        <f>'10c'!G32-'10m'!G32</f>
        <v>1063.7</v>
      </c>
    </row>
    <row r="33" spans="1:7">
      <c r="A33" s="66">
        <v>1990</v>
      </c>
      <c r="B33" s="30">
        <f>'10c'!B33-'10m'!B33</f>
        <v>16390.600000000002</v>
      </c>
      <c r="C33" s="30">
        <f>'10c'!C33-'10m'!C33</f>
        <v>1526.6000000000004</v>
      </c>
      <c r="D33" s="30">
        <f>'10c'!D33-'10m'!D33</f>
        <v>299.29999999999984</v>
      </c>
      <c r="E33" s="30">
        <f>'10c'!E33-'10m'!E33</f>
        <v>-15.100000000000001</v>
      </c>
      <c r="F33" s="30">
        <f>'10c'!F33-'10m'!F33</f>
        <v>38.5</v>
      </c>
      <c r="G33" s="30">
        <f>'10c'!G33-'10m'!G33</f>
        <v>275.89999999999998</v>
      </c>
    </row>
    <row r="34" spans="1:7">
      <c r="A34" s="66">
        <v>1991</v>
      </c>
      <c r="B34" s="30">
        <f>'10c'!B34-'10m'!B34</f>
        <v>11189.499999999996</v>
      </c>
      <c r="C34" s="30">
        <f>'10c'!C34-'10m'!C34</f>
        <v>389.39999999999964</v>
      </c>
      <c r="D34" s="30">
        <f>'10c'!D34-'10m'!D34</f>
        <v>457.19999999999982</v>
      </c>
      <c r="E34" s="30">
        <f>'10c'!E34-'10m'!E34</f>
        <v>-19.5</v>
      </c>
      <c r="F34" s="30">
        <f>'10c'!F34-'10m'!F34</f>
        <v>12.599999999999994</v>
      </c>
      <c r="G34" s="30">
        <f>'10c'!G34-'10m'!G34</f>
        <v>464.09999999999991</v>
      </c>
    </row>
    <row r="35" spans="1:7">
      <c r="A35" s="66">
        <v>1992</v>
      </c>
      <c r="B35" s="30">
        <f>'10c'!B35-'10m'!B35</f>
        <v>6177.5</v>
      </c>
      <c r="C35" s="30">
        <f>'10c'!C35-'10m'!C35</f>
        <v>-668</v>
      </c>
      <c r="D35" s="30">
        <f>'10c'!D35-'10m'!D35</f>
        <v>501.10000000000014</v>
      </c>
      <c r="E35" s="30">
        <f>'10c'!E35-'10m'!E35</f>
        <v>-18.399999999999999</v>
      </c>
      <c r="F35" s="30">
        <f>'10c'!F35-'10m'!F35</f>
        <v>48.199999999999989</v>
      </c>
      <c r="G35" s="30">
        <f>'10c'!G35-'10m'!G35</f>
        <v>471.30000000000007</v>
      </c>
    </row>
    <row r="36" spans="1:7">
      <c r="A36" s="66">
        <v>1993</v>
      </c>
      <c r="B36" s="30">
        <f>'10c'!B36-'10m'!B36</f>
        <v>4504.8999999999978</v>
      </c>
      <c r="C36" s="30">
        <f>'10c'!C36-'10m'!C36</f>
        <v>-1143.5999999999999</v>
      </c>
      <c r="D36" s="30">
        <f>'10c'!D36-'10m'!D36</f>
        <v>12.999999999999886</v>
      </c>
      <c r="E36" s="30">
        <f>'10c'!E36-'10m'!E36</f>
        <v>-21.2</v>
      </c>
      <c r="F36" s="30">
        <f>'10c'!F36-'10m'!F36</f>
        <v>30</v>
      </c>
      <c r="G36" s="30">
        <f>'10c'!G36-'10m'!G36</f>
        <v>4.1999999999999318</v>
      </c>
    </row>
    <row r="37" spans="1:7">
      <c r="A37" s="66">
        <v>1994</v>
      </c>
      <c r="B37" s="30">
        <f>'10c'!B37-'10m'!B37</f>
        <v>5245.6000000000022</v>
      </c>
      <c r="C37" s="30">
        <f>'10c'!C37-'10m'!C37</f>
        <v>-195</v>
      </c>
      <c r="D37" s="30">
        <f>'10c'!D37-'10m'!D37</f>
        <v>-84.700000000000045</v>
      </c>
      <c r="E37" s="30">
        <f>'10c'!E37-'10m'!E37</f>
        <v>-15.5</v>
      </c>
      <c r="F37" s="30">
        <f>'10c'!F37-'10m'!F37</f>
        <v>129.60000000000002</v>
      </c>
      <c r="G37" s="30">
        <f>'10c'!G37-'10m'!G37</f>
        <v>-198.80000000000007</v>
      </c>
    </row>
    <row r="38" spans="1:7">
      <c r="A38" s="66">
        <v>1995</v>
      </c>
      <c r="B38" s="30">
        <f>'10c'!B38-'10m'!B38</f>
        <v>4136.8000000000029</v>
      </c>
      <c r="C38" s="30">
        <f>'10c'!C38-'10m'!C38</f>
        <v>212.80000000000018</v>
      </c>
      <c r="D38" s="30">
        <f>'10c'!D38-'10m'!D38</f>
        <v>709.20000000000016</v>
      </c>
      <c r="E38" s="30">
        <f>'10c'!E38-'10m'!E38</f>
        <v>-18.299999999999997</v>
      </c>
      <c r="F38" s="30">
        <f>'10c'!F38-'10m'!F38</f>
        <v>183</v>
      </c>
      <c r="G38" s="30">
        <f>'10c'!G38-'10m'!G38</f>
        <v>544.50000000000011</v>
      </c>
    </row>
    <row r="39" spans="1:7">
      <c r="A39" s="66">
        <v>1996</v>
      </c>
      <c r="B39" s="30">
        <f>'10c'!B39-'10m'!B39</f>
        <v>5671.1999999999971</v>
      </c>
      <c r="C39" s="30">
        <f>'10c'!C39-'10m'!C39</f>
        <v>1295.4000000000005</v>
      </c>
      <c r="D39" s="30">
        <f>'10c'!D39-'10m'!D39</f>
        <v>200.10000000000014</v>
      </c>
      <c r="E39" s="30">
        <f>'10c'!E39-'10m'!E39</f>
        <v>-20.2</v>
      </c>
      <c r="F39" s="30">
        <f>'10c'!F39-'10m'!F39</f>
        <v>92.1</v>
      </c>
      <c r="G39" s="30">
        <f>'10c'!G39-'10m'!G39</f>
        <v>128.19999999999993</v>
      </c>
    </row>
    <row r="40" spans="1:7">
      <c r="A40" s="66">
        <v>1997</v>
      </c>
      <c r="B40" s="30">
        <f>'10c'!B40-'10m'!B40</f>
        <v>9661.2999999999993</v>
      </c>
      <c r="C40" s="30">
        <f>'10c'!C40-'10m'!C40</f>
        <v>1350.9000000000005</v>
      </c>
      <c r="D40" s="30">
        <f>'10c'!D40-'10m'!D40</f>
        <v>-19.900000000000091</v>
      </c>
      <c r="E40" s="30">
        <f>'10c'!E40-'10m'!E40</f>
        <v>-19</v>
      </c>
      <c r="F40" s="30">
        <f>'10c'!F40-'10m'!F40</f>
        <v>166.7</v>
      </c>
      <c r="G40" s="30">
        <f>'10c'!G40-'10m'!G40</f>
        <v>-167.60000000000002</v>
      </c>
    </row>
    <row r="41" spans="1:7">
      <c r="A41" s="66">
        <v>1998</v>
      </c>
      <c r="B41" s="30">
        <f>'10c'!B41-'10m'!B41</f>
        <v>7953.7000000000007</v>
      </c>
      <c r="C41" s="30">
        <f>'10c'!C41-'10m'!C41</f>
        <v>341.90000000000055</v>
      </c>
      <c r="D41" s="30">
        <f>'10c'!D41-'10m'!D41</f>
        <v>-357.1</v>
      </c>
      <c r="E41" s="30">
        <f>'10c'!E41-'10m'!E41</f>
        <v>-14.5</v>
      </c>
      <c r="F41" s="30">
        <f>'10c'!F41-'10m'!F41</f>
        <v>46.899999999999977</v>
      </c>
      <c r="G41" s="30">
        <f>'10c'!G41-'10m'!G41</f>
        <v>-389.5</v>
      </c>
    </row>
    <row r="42" spans="1:7">
      <c r="A42" s="66">
        <v>1999</v>
      </c>
      <c r="B42" s="30">
        <f>'10c'!B42-'10m'!B42</f>
        <v>10654.300000000003</v>
      </c>
      <c r="C42" s="30">
        <f>'10c'!C42-'10m'!C42</f>
        <v>607.40000000000055</v>
      </c>
      <c r="D42" s="30">
        <f>'10c'!D42-'10m'!D42</f>
        <v>-269.20000000000005</v>
      </c>
      <c r="E42" s="30">
        <f>'10c'!E42-'10m'!E42</f>
        <v>-11.500000000000002</v>
      </c>
      <c r="F42" s="30">
        <f>'10c'!F42-'10m'!F42</f>
        <v>80</v>
      </c>
      <c r="G42" s="30">
        <f>'10c'!G42-'10m'!G42</f>
        <v>-337.70000000000005</v>
      </c>
    </row>
    <row r="43" spans="1:7">
      <c r="A43" s="66">
        <v>2000</v>
      </c>
      <c r="B43" s="30">
        <f>'10c'!B43-'10m'!B43</f>
        <v>6354.1999999999971</v>
      </c>
      <c r="C43" s="30">
        <f>'10c'!C43-'10m'!C43</f>
        <v>685.10000000000036</v>
      </c>
      <c r="D43" s="30">
        <f>'10c'!D43-'10m'!D43</f>
        <v>45.600000000000023</v>
      </c>
      <c r="E43" s="30">
        <f>'10c'!E43-'10m'!E43</f>
        <v>-11.400000000000002</v>
      </c>
      <c r="F43" s="30">
        <f>'10c'!F43-'10m'!F43</f>
        <v>140.20000000000005</v>
      </c>
      <c r="G43" s="30">
        <f>'10c'!G43-'10m'!G43</f>
        <v>-83.199999999999932</v>
      </c>
    </row>
    <row r="44" spans="1:7">
      <c r="A44" s="66">
        <v>2001</v>
      </c>
      <c r="B44" s="30">
        <f>'10c'!B44-'10m'!B44</f>
        <v>8027.8000000000029</v>
      </c>
      <c r="C44" s="30">
        <f>'10c'!C44-'10m'!C44</f>
        <v>-530</v>
      </c>
      <c r="D44" s="30">
        <f>'10c'!D44-'10m'!D44</f>
        <v>-498.7000000000001</v>
      </c>
      <c r="E44" s="30">
        <f>'10c'!E44-'10m'!E44</f>
        <v>-14.4</v>
      </c>
      <c r="F44" s="30">
        <f>'10c'!F44-'10m'!F44</f>
        <v>-125.4</v>
      </c>
      <c r="G44" s="30">
        <f>'10c'!G44-'10m'!G44</f>
        <v>-358.90000000000003</v>
      </c>
    </row>
    <row r="45" spans="1:7">
      <c r="A45" s="66">
        <v>2002</v>
      </c>
      <c r="B45" s="30">
        <f>'10c'!B45-'10m'!B45</f>
        <v>7158.5</v>
      </c>
      <c r="C45" s="30">
        <f>'10c'!C45-'10m'!C45</f>
        <v>-1158.5999999999995</v>
      </c>
      <c r="D45" s="30">
        <f>'10c'!D45-'10m'!D45</f>
        <v>-574.29999999999984</v>
      </c>
      <c r="E45" s="30">
        <f>'10c'!E45-'10m'!E45</f>
        <v>5.2000000000000028</v>
      </c>
      <c r="F45" s="30">
        <f>'10c'!F45-'10m'!F45</f>
        <v>-155.69999999999999</v>
      </c>
      <c r="G45" s="30">
        <f>'10c'!G45-'10m'!G45</f>
        <v>-423.79999999999995</v>
      </c>
    </row>
    <row r="46" spans="1:7">
      <c r="A46" s="66">
        <v>2003</v>
      </c>
      <c r="B46" s="30">
        <f>'10c'!B46-'10m'!B46</f>
        <v>4816.5</v>
      </c>
      <c r="C46" s="30">
        <f>'10c'!C46-'10m'!C46</f>
        <v>-1362.1999999999998</v>
      </c>
      <c r="D46" s="30">
        <f>'10c'!D46-'10m'!D46</f>
        <v>-490.9</v>
      </c>
      <c r="E46" s="30">
        <f>'10c'!E46-'10m'!E46</f>
        <v>-6.7000000000000011</v>
      </c>
      <c r="F46" s="30">
        <f>'10c'!F46-'10m'!F46</f>
        <v>-100.39999999999998</v>
      </c>
      <c r="G46" s="30">
        <f>'10c'!G46-'10m'!G46</f>
        <v>-383.80000000000007</v>
      </c>
    </row>
    <row r="47" spans="1:7">
      <c r="A47" s="66">
        <v>2004</v>
      </c>
      <c r="B47" s="30">
        <f>'10c'!B47-'10m'!B47</f>
        <v>6240.5999999999985</v>
      </c>
      <c r="C47" s="30">
        <f>'10c'!C47-'10m'!C47</f>
        <v>-1668.5</v>
      </c>
      <c r="D47" s="30">
        <f>'10c'!D47-'10m'!D47</f>
        <v>-309.19999999999993</v>
      </c>
      <c r="E47" s="30">
        <f>'10c'!E47-'10m'!E47</f>
        <v>18.600000000000001</v>
      </c>
      <c r="F47" s="30">
        <f>'10c'!F47-'10m'!F47</f>
        <v>-48.899999999999977</v>
      </c>
      <c r="G47" s="30">
        <f>'10c'!G47-'10m'!G47</f>
        <v>-278.89999999999998</v>
      </c>
    </row>
    <row r="48" spans="1:7">
      <c r="A48" s="66">
        <v>2005</v>
      </c>
      <c r="B48" s="30">
        <f>'10c'!B48-'10m'!B48</f>
        <v>5292.3000000000029</v>
      </c>
      <c r="C48" s="30">
        <f>'10c'!C48-'10m'!C48</f>
        <v>-1996.0999999999995</v>
      </c>
      <c r="D48" s="30">
        <f>'10c'!D48-'10m'!D48</f>
        <v>-424.49999999999994</v>
      </c>
      <c r="E48" s="30">
        <f>'10c'!E48-'10m'!E48</f>
        <v>-3</v>
      </c>
      <c r="F48" s="30">
        <f>'10c'!F48-'10m'!F48</f>
        <v>10.899999999999977</v>
      </c>
      <c r="G48" s="30">
        <f>'10c'!G48-'10m'!G48</f>
        <v>-432.4</v>
      </c>
    </row>
    <row r="49" spans="1:7">
      <c r="A49" s="66">
        <v>2006</v>
      </c>
      <c r="B49" s="30">
        <f>'10c'!B49-'10m'!B49</f>
        <v>8910.0999999999985</v>
      </c>
      <c r="C49" s="30">
        <f>'10c'!C49-'10m'!C49</f>
        <v>-1605.7999999999997</v>
      </c>
      <c r="D49" s="30">
        <f>'10c'!D49-'10m'!D49</f>
        <v>-516.20000000000005</v>
      </c>
      <c r="E49" s="30">
        <f>'10c'!E49-'10m'!E49</f>
        <v>-9.2999999999999989</v>
      </c>
      <c r="F49" s="30">
        <f>'10c'!F49-'10m'!F49</f>
        <v>-78.099999999999994</v>
      </c>
      <c r="G49" s="30">
        <f>'10c'!G49-'10m'!G49</f>
        <v>-428.8</v>
      </c>
    </row>
    <row r="50" spans="1:7">
      <c r="A50" s="66">
        <v>2007</v>
      </c>
      <c r="B50" s="30">
        <f>'10c'!B50-'10m'!B50</f>
        <v>6317.8999999999978</v>
      </c>
      <c r="C50" s="30">
        <f>'10c'!C50-'10m'!C50</f>
        <v>-1256.8000000000002</v>
      </c>
      <c r="D50" s="30">
        <f>'10c'!D50-'10m'!D50</f>
        <v>-531.79999999999995</v>
      </c>
      <c r="E50" s="30">
        <f>'10c'!E50-'10m'!E50</f>
        <v>-14.299999999999999</v>
      </c>
      <c r="F50" s="30">
        <f>'10c'!F50-'10m'!F50</f>
        <v>-133.09999999999997</v>
      </c>
      <c r="G50" s="30">
        <f>'10c'!G50-'10m'!G50</f>
        <v>-384.4</v>
      </c>
    </row>
    <row r="51" spans="1:7">
      <c r="A51" s="66">
        <v>2008</v>
      </c>
      <c r="B51" s="30">
        <f>'10c'!B51-'10m'!B51</f>
        <v>7446.8000000000029</v>
      </c>
      <c r="C51" s="30">
        <f>'10c'!C51-'10m'!C51</f>
        <v>-1790.1</v>
      </c>
      <c r="D51" s="30">
        <f>'10c'!D51-'10m'!D51</f>
        <v>-523.80000000000007</v>
      </c>
      <c r="E51" s="30">
        <f>'10c'!E51-'10m'!E51</f>
        <v>-16.3</v>
      </c>
      <c r="F51" s="30">
        <f>'10c'!F51-'10m'!F51</f>
        <v>-158.30000000000001</v>
      </c>
      <c r="G51" s="30">
        <f>'10c'!G51-'10m'!G51</f>
        <v>-349.20000000000005</v>
      </c>
    </row>
    <row r="52" spans="1:7">
      <c r="A52" s="66">
        <v>2009</v>
      </c>
      <c r="B52" s="30">
        <f>'10c'!B52-'10m'!B52</f>
        <v>8296.4000000000015</v>
      </c>
      <c r="C52" s="30">
        <f>'10c'!C52-'10m'!C52</f>
        <v>-2275.8000000000002</v>
      </c>
      <c r="D52" s="30">
        <f>'10c'!D52-'10m'!D52</f>
        <v>-561.1</v>
      </c>
      <c r="E52" s="30">
        <f>'10c'!E52-'10m'!E52</f>
        <v>-15.700000000000001</v>
      </c>
      <c r="F52" s="30">
        <f>'10c'!F52-'10m'!F52</f>
        <v>-163.10000000000002</v>
      </c>
      <c r="G52" s="30">
        <f>'10c'!G52-'10m'!G52</f>
        <v>-382.3</v>
      </c>
    </row>
    <row r="53" spans="1:7">
      <c r="A53" s="66">
        <v>2010</v>
      </c>
      <c r="B53" s="30">
        <f>'10c'!B53-'10m'!B53</f>
        <v>9357.0999999999985</v>
      </c>
      <c r="C53" s="30">
        <f>'10c'!C53-'10m'!C53</f>
        <v>-1735.9</v>
      </c>
      <c r="D53" s="30">
        <f>'10c'!D53-'10m'!D53</f>
        <v>-514.19999999999993</v>
      </c>
      <c r="E53" s="30">
        <f>'10c'!E53-'10m'!E53</f>
        <v>-14.000000000000002</v>
      </c>
      <c r="F53" s="30">
        <f>'10c'!F53-'10m'!F53</f>
        <v>-140.19999999999999</v>
      </c>
      <c r="G53" s="30">
        <f>'10c'!G53-'10m'!G53</f>
        <v>-360</v>
      </c>
    </row>
    <row r="54" spans="1:7">
      <c r="A54" s="66">
        <v>2011</v>
      </c>
      <c r="B54" s="30">
        <f>'10c'!B54-'10m'!B54</f>
        <v>9395.7999999999956</v>
      </c>
      <c r="C54" s="30">
        <f>'10c'!C54-'10m'!C54</f>
        <v>-999.09999999999991</v>
      </c>
      <c r="D54" s="30">
        <f>'10c'!D54-'10m'!D54</f>
        <v>-503.2000000000001</v>
      </c>
      <c r="E54" s="30">
        <f>'10c'!E54-'10m'!E54</f>
        <v>-13.399999999999999</v>
      </c>
      <c r="F54" s="30">
        <f>'10c'!F54-'10m'!F54</f>
        <v>-165.7</v>
      </c>
      <c r="G54" s="30">
        <f>'10c'!G54-'10m'!G54</f>
        <v>-324.10000000000002</v>
      </c>
    </row>
    <row r="55" spans="1:7">
      <c r="A55" s="66">
        <v>2012</v>
      </c>
      <c r="B55" s="30">
        <f>'10c'!B55-'10m'!B55</f>
        <v>8365.2999999999956</v>
      </c>
      <c r="C55" s="30">
        <f>'10c'!C55-'10m'!C55</f>
        <v>-292.79999999999973</v>
      </c>
      <c r="D55" s="30">
        <f>'10c'!D55-'10m'!D55</f>
        <v>-466.6</v>
      </c>
      <c r="E55" s="30">
        <f>'10c'!E55-'10m'!E55</f>
        <v>-12</v>
      </c>
      <c r="F55" s="30">
        <f>'10c'!F55-'10m'!F55</f>
        <v>-162.80000000000001</v>
      </c>
      <c r="G55" s="30">
        <f>'10c'!G55-'10m'!G55</f>
        <v>-291.8</v>
      </c>
    </row>
    <row r="57" spans="1:7">
      <c r="A57" s="66" t="s">
        <v>1342</v>
      </c>
      <c r="B57" s="56"/>
      <c r="C57" s="56"/>
    </row>
    <row r="58" spans="1:7">
      <c r="A58" s="69" t="s">
        <v>2121</v>
      </c>
      <c r="B58" s="56">
        <f>AVERAGE(B4:B55)</f>
        <v>9784.905769230767</v>
      </c>
      <c r="C58" s="56">
        <f t="shared" ref="C58:F58" si="0">AVERAGE(C4:C55)</f>
        <v>411.74038461538487</v>
      </c>
      <c r="D58" s="56">
        <f t="shared" si="0"/>
        <v>47.382692307692345</v>
      </c>
      <c r="E58" s="56">
        <f t="shared" si="0"/>
        <v>-5.3019230769230781</v>
      </c>
      <c r="F58" s="56">
        <f t="shared" si="0"/>
        <v>28.324999999999996</v>
      </c>
      <c r="G58" s="56">
        <f>AVERAGE(G4:G55)</f>
        <v>24.359615384615395</v>
      </c>
    </row>
    <row r="59" spans="1:7">
      <c r="A59" s="68" t="s">
        <v>1031</v>
      </c>
      <c r="B59" s="56">
        <f t="shared" ref="B59:G59" si="1">AVERAGE(B4:B16)</f>
        <v>10326.323076923078</v>
      </c>
      <c r="C59" s="56">
        <f t="shared" si="1"/>
        <v>1237.7923076923078</v>
      </c>
      <c r="D59" s="56">
        <f t="shared" si="1"/>
        <v>285.51538461538462</v>
      </c>
      <c r="E59" s="56">
        <f t="shared" si="1"/>
        <v>5.6000000000000005</v>
      </c>
      <c r="F59" s="56">
        <f t="shared" si="1"/>
        <v>75.115384615384627</v>
      </c>
      <c r="G59" s="56">
        <f t="shared" si="1"/>
        <v>204.80000000000004</v>
      </c>
    </row>
    <row r="60" spans="1:7">
      <c r="A60" s="68" t="s">
        <v>1032</v>
      </c>
      <c r="B60" s="56">
        <f t="shared" ref="B60:G60" si="2">AVERAGE(B16:B24)</f>
        <v>11630.366666666669</v>
      </c>
      <c r="C60" s="56">
        <f t="shared" si="2"/>
        <v>1179.5888888888887</v>
      </c>
      <c r="D60" s="56">
        <f t="shared" si="2"/>
        <v>160.71111111111111</v>
      </c>
      <c r="E60" s="56">
        <f t="shared" si="2"/>
        <v>13.622222222222222</v>
      </c>
      <c r="F60" s="56">
        <f t="shared" si="2"/>
        <v>90.9</v>
      </c>
      <c r="G60" s="56">
        <f t="shared" si="2"/>
        <v>56.18888888888889</v>
      </c>
    </row>
    <row r="61" spans="1:7">
      <c r="A61" s="68" t="s">
        <v>25</v>
      </c>
      <c r="B61" s="56">
        <f t="shared" ref="B61:G61" si="3">AVERAGE(B24:B32)</f>
        <v>12999.400000000001</v>
      </c>
      <c r="C61" s="56">
        <f t="shared" si="3"/>
        <v>1131.3777777777775</v>
      </c>
      <c r="D61" s="56">
        <f t="shared" si="3"/>
        <v>267.9666666666667</v>
      </c>
      <c r="E61" s="56">
        <f t="shared" si="3"/>
        <v>-17.7</v>
      </c>
      <c r="F61" s="56">
        <f t="shared" si="3"/>
        <v>42.777777777777779</v>
      </c>
      <c r="G61" s="56">
        <f t="shared" si="3"/>
        <v>242.88888888888889</v>
      </c>
    </row>
    <row r="62" spans="1:7">
      <c r="A62" s="68" t="s">
        <v>26</v>
      </c>
      <c r="B62" s="56">
        <f t="shared" ref="B62:G62" si="4">AVERAGE(B32:B43)</f>
        <v>8836.7749999999996</v>
      </c>
      <c r="C62" s="56">
        <f t="shared" si="4"/>
        <v>550.64166666666688</v>
      </c>
      <c r="D62" s="56">
        <f t="shared" si="4"/>
        <v>230.45000000000002</v>
      </c>
      <c r="E62" s="56">
        <f t="shared" si="4"/>
        <v>-17.125</v>
      </c>
      <c r="F62" s="56">
        <f t="shared" si="4"/>
        <v>99.649999999999991</v>
      </c>
      <c r="G62" s="56">
        <f t="shared" si="4"/>
        <v>147.92499999999995</v>
      </c>
    </row>
    <row r="63" spans="1:7">
      <c r="A63" s="69" t="s">
        <v>2028</v>
      </c>
      <c r="B63" s="56">
        <f>AVERAGE(B43:B55)</f>
        <v>7383.0230769230757</v>
      </c>
      <c r="C63" s="56">
        <f t="shared" ref="C63:G63" si="5">AVERAGE(C43:C55)</f>
        <v>-1229.7384615384615</v>
      </c>
      <c r="D63" s="56">
        <f t="shared" si="5"/>
        <v>-451.4538461538462</v>
      </c>
      <c r="E63" s="56">
        <f t="shared" si="5"/>
        <v>-8.207692307692307</v>
      </c>
      <c r="F63" s="56">
        <f t="shared" si="5"/>
        <v>-98.507692307692295</v>
      </c>
      <c r="G63" s="56">
        <f t="shared" si="5"/>
        <v>-344.73846153846165</v>
      </c>
    </row>
    <row r="65" spans="1:1">
      <c r="A65" s="64" t="s">
        <v>1813</v>
      </c>
    </row>
    <row r="66" spans="1:1">
      <c r="A66" s="195" t="s">
        <v>1341</v>
      </c>
    </row>
  </sheetData>
  <mergeCells count="4">
    <mergeCell ref="A1:G1"/>
    <mergeCell ref="B2:B3"/>
    <mergeCell ref="D2:G2"/>
    <mergeCell ref="C2:C3"/>
  </mergeCells>
  <pageMargins left="0.7" right="0.7" top="0.75" bottom="0.75" header="0.3" footer="0.3"/>
  <pageSetup scale="91" orientation="portrait" horizontalDpi="0" verticalDpi="0" r:id="rId1"/>
</worksheet>
</file>

<file path=xl/worksheets/sheet83.xml><?xml version="1.0" encoding="utf-8"?>
<worksheet xmlns="http://schemas.openxmlformats.org/spreadsheetml/2006/main" xmlns:r="http://schemas.openxmlformats.org/officeDocument/2006/relationships">
  <dimension ref="A1:H66"/>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1.5703125" style="64" customWidth="1"/>
    <col min="2" max="3" width="14.140625" style="135" customWidth="1"/>
    <col min="4" max="4" width="16" style="135" customWidth="1"/>
    <col min="5" max="5" width="11.28515625" style="135" customWidth="1"/>
    <col min="6" max="6" width="15.140625" style="135" customWidth="1"/>
    <col min="7" max="7" width="14.140625" style="135" customWidth="1"/>
    <col min="8" max="8" width="9.140625" style="135"/>
    <col min="9" max="16384" width="9.140625" style="64"/>
  </cols>
  <sheetData>
    <row r="1" spans="1:7" ht="30" customHeight="1">
      <c r="A1" s="93" t="s">
        <v>2070</v>
      </c>
      <c r="B1" s="93"/>
      <c r="C1" s="93"/>
      <c r="D1" s="93"/>
      <c r="E1" s="93"/>
      <c r="F1" s="93"/>
      <c r="G1" s="93"/>
    </row>
    <row r="2" spans="1:7" ht="15" customHeight="1">
      <c r="B2" s="123" t="s">
        <v>673</v>
      </c>
      <c r="C2" s="123" t="s">
        <v>938</v>
      </c>
      <c r="D2" s="159" t="s">
        <v>37</v>
      </c>
      <c r="E2" s="160"/>
      <c r="F2" s="160"/>
      <c r="G2" s="161"/>
    </row>
    <row r="3" spans="1:7" ht="60">
      <c r="B3" s="126"/>
      <c r="C3" s="126"/>
      <c r="D3" s="72" t="s">
        <v>78</v>
      </c>
      <c r="E3" s="72" t="s">
        <v>750</v>
      </c>
      <c r="F3" s="72" t="s">
        <v>745</v>
      </c>
      <c r="G3" s="72" t="s">
        <v>678</v>
      </c>
    </row>
    <row r="4" spans="1:7">
      <c r="A4" s="66">
        <v>1961</v>
      </c>
      <c r="B4" s="30">
        <f>'10d'!B4-'10n'!B4</f>
        <v>3015.3</v>
      </c>
      <c r="C4" s="30">
        <f>'10d'!C4-'10n'!C4</f>
        <v>805.90000000000009</v>
      </c>
      <c r="D4" s="30">
        <f>'10d'!D4-'10n'!D4</f>
        <v>87.8</v>
      </c>
      <c r="E4" s="30" t="s">
        <v>22</v>
      </c>
      <c r="F4" s="30">
        <f>'10d'!F4-'10n'!F4</f>
        <v>0.9</v>
      </c>
      <c r="G4" s="30">
        <f>'10d'!G4-'10n'!G4</f>
        <v>86.399999999999991</v>
      </c>
    </row>
    <row r="5" spans="1:7" hidden="1" outlineLevel="1">
      <c r="A5" s="66">
        <v>1962</v>
      </c>
      <c r="B5" s="30">
        <f>'10d'!B5-'10n'!B5</f>
        <v>2494.6</v>
      </c>
      <c r="C5" s="30">
        <f>'10d'!C5-'10n'!C5</f>
        <v>722.2</v>
      </c>
      <c r="D5" s="30">
        <f>'10d'!D5-'10n'!D5</f>
        <v>74</v>
      </c>
      <c r="E5" s="30">
        <f>'10d'!E5-'10n'!E5</f>
        <v>0.4</v>
      </c>
      <c r="F5" s="30">
        <f>'10d'!F5-'10n'!F5</f>
        <v>1</v>
      </c>
      <c r="G5" s="30">
        <f>'10d'!G5-'10n'!G5</f>
        <v>72.600000000000009</v>
      </c>
    </row>
    <row r="6" spans="1:7" hidden="1" outlineLevel="1">
      <c r="A6" s="66">
        <v>1963</v>
      </c>
      <c r="B6" s="30">
        <f>'10d'!B6-'10n'!B6</f>
        <v>2138.3000000000002</v>
      </c>
      <c r="C6" s="30">
        <f>'10d'!C6-'10n'!C6</f>
        <v>606.80000000000007</v>
      </c>
      <c r="D6" s="30">
        <f>'10d'!D6-'10n'!D6</f>
        <v>62.099999999999994</v>
      </c>
      <c r="E6" s="30">
        <f>'10d'!E6-'10n'!E6</f>
        <v>0.3</v>
      </c>
      <c r="F6" s="30">
        <f>'10d'!F6-'10n'!F6</f>
        <v>0.8</v>
      </c>
      <c r="G6" s="30">
        <f>'10d'!G6-'10n'!G6</f>
        <v>61</v>
      </c>
    </row>
    <row r="7" spans="1:7" hidden="1" outlineLevel="1">
      <c r="A7" s="66">
        <v>1964</v>
      </c>
      <c r="B7" s="30">
        <f>'10d'!B7-'10n'!B7</f>
        <v>2164.1999999999998</v>
      </c>
      <c r="C7" s="30">
        <f>'10d'!C7-'10n'!C7</f>
        <v>610.09999999999991</v>
      </c>
      <c r="D7" s="30">
        <f>'10d'!D7-'10n'!D7</f>
        <v>53.899999999999991</v>
      </c>
      <c r="E7" s="30">
        <f>'10d'!E7-'10n'!E7</f>
        <v>0.3</v>
      </c>
      <c r="F7" s="30">
        <f>'10d'!F7-'10n'!F7</f>
        <v>2.3000000000000003</v>
      </c>
      <c r="G7" s="30">
        <f>'10d'!G7-'10n'!G7</f>
        <v>51.3</v>
      </c>
    </row>
    <row r="8" spans="1:7" hidden="1" outlineLevel="1">
      <c r="A8" s="66">
        <v>1965</v>
      </c>
      <c r="B8" s="30">
        <f>'10d'!B8-'10n'!B8</f>
        <v>2269.1</v>
      </c>
      <c r="C8" s="30">
        <f>'10d'!C8-'10n'!C8</f>
        <v>631.9</v>
      </c>
      <c r="D8" s="30">
        <f>'10d'!D8-'10n'!D8</f>
        <v>49.900000000000006</v>
      </c>
      <c r="E8" s="30">
        <f>'10d'!E8-'10n'!E8</f>
        <v>-0.19999999999999998</v>
      </c>
      <c r="F8" s="30">
        <f>'10d'!F8-'10n'!F8</f>
        <v>-0.9</v>
      </c>
      <c r="G8" s="30">
        <f>'10d'!G8-'10n'!G8</f>
        <v>51</v>
      </c>
    </row>
    <row r="9" spans="1:7" hidden="1" outlineLevel="1">
      <c r="A9" s="66">
        <v>1966</v>
      </c>
      <c r="B9" s="30">
        <f>'10d'!B9-'10n'!B9</f>
        <v>2248.6999999999998</v>
      </c>
      <c r="C9" s="30">
        <f>'10d'!C9-'10n'!C9</f>
        <v>649.5</v>
      </c>
      <c r="D9" s="30">
        <f>'10d'!D9-'10n'!D9</f>
        <v>55.899999999999991</v>
      </c>
      <c r="E9" s="30">
        <f>'10d'!E9-'10n'!E9</f>
        <v>-0.2</v>
      </c>
      <c r="F9" s="30" t="e">
        <f>'10d'!F9-'10n'!F9</f>
        <v>#VALUE!</v>
      </c>
      <c r="G9" s="30">
        <f>'10d'!G9-'10n'!G9</f>
        <v>56.899999999999991</v>
      </c>
    </row>
    <row r="10" spans="1:7" hidden="1" outlineLevel="1">
      <c r="A10" s="66">
        <v>1967</v>
      </c>
      <c r="B10" s="30">
        <f>'10d'!B10-'10n'!B10</f>
        <v>2283.6000000000004</v>
      </c>
      <c r="C10" s="30">
        <f>'10d'!C10-'10n'!C10</f>
        <v>570.69999999999993</v>
      </c>
      <c r="D10" s="30">
        <f>'10d'!D10-'10n'!D10</f>
        <v>52.299999999999983</v>
      </c>
      <c r="E10" s="30">
        <f>'10d'!E10-'10n'!E10</f>
        <v>0.39999999999999997</v>
      </c>
      <c r="F10" s="30">
        <f>'10d'!F10-'10n'!F10</f>
        <v>6.5</v>
      </c>
      <c r="G10" s="30">
        <f>'10d'!G10-'10n'!G10</f>
        <v>45.399999999999991</v>
      </c>
    </row>
    <row r="11" spans="1:7" hidden="1" outlineLevel="1">
      <c r="A11" s="66">
        <v>1968</v>
      </c>
      <c r="B11" s="30">
        <f>'10d'!B11-'10n'!B11</f>
        <v>2140.3000000000002</v>
      </c>
      <c r="C11" s="30">
        <f>'10d'!C11-'10n'!C11</f>
        <v>457.40000000000009</v>
      </c>
      <c r="D11" s="30">
        <f>'10d'!D11-'10n'!D11</f>
        <v>32.099999999999994</v>
      </c>
      <c r="E11" s="30">
        <f>'10d'!E11-'10n'!E11</f>
        <v>0.3</v>
      </c>
      <c r="F11" s="30">
        <f>'10d'!F11-'10n'!F11</f>
        <v>3.8999999999999995</v>
      </c>
      <c r="G11" s="30">
        <f>'10d'!G11-'10n'!G11</f>
        <v>27.900000000000006</v>
      </c>
    </row>
    <row r="12" spans="1:7" hidden="1" outlineLevel="1">
      <c r="A12" s="66">
        <v>1969</v>
      </c>
      <c r="B12" s="30">
        <f>'10d'!B12-'10n'!B12</f>
        <v>1931.8000000000002</v>
      </c>
      <c r="C12" s="30">
        <f>'10d'!C12-'10n'!C12</f>
        <v>433.70000000000005</v>
      </c>
      <c r="D12" s="30">
        <f>'10d'!D12-'10n'!D12</f>
        <v>27.099999999999994</v>
      </c>
      <c r="E12" s="30">
        <f>'10d'!E12-'10n'!E12</f>
        <v>9.9999999999999978E-2</v>
      </c>
      <c r="F12" s="30">
        <f>'10d'!F12-'10n'!F12</f>
        <v>2.5999999999999996</v>
      </c>
      <c r="G12" s="30">
        <f>'10d'!G12-'10n'!G12</f>
        <v>24.400000000000006</v>
      </c>
    </row>
    <row r="13" spans="1:7" hidden="1" outlineLevel="1">
      <c r="A13" s="66">
        <v>1970</v>
      </c>
      <c r="B13" s="30">
        <f>'10d'!B13-'10n'!B13</f>
        <v>2008.8000000000002</v>
      </c>
      <c r="C13" s="30">
        <f>'10d'!C13-'10n'!C13</f>
        <v>395.79999999999995</v>
      </c>
      <c r="D13" s="30">
        <f>'10d'!D13-'10n'!D13</f>
        <v>26.800000000000026</v>
      </c>
      <c r="E13" s="30">
        <f>'10d'!E13-'10n'!E13</f>
        <v>-0.10000000000000003</v>
      </c>
      <c r="F13" s="30">
        <f>'10d'!F13-'10n'!F13</f>
        <v>4.2</v>
      </c>
      <c r="G13" s="30">
        <f>'10d'!G13-'10n'!G13</f>
        <v>22.700000000000017</v>
      </c>
    </row>
    <row r="14" spans="1:7" hidden="1" outlineLevel="1">
      <c r="A14" s="66">
        <v>1971</v>
      </c>
      <c r="B14" s="30">
        <f>'10d'!B14-'10n'!B14</f>
        <v>1982.5999999999995</v>
      </c>
      <c r="C14" s="30">
        <f>'10d'!C14-'10n'!C14</f>
        <v>299.70000000000005</v>
      </c>
      <c r="D14" s="30">
        <f>'10d'!D14-'10n'!D14</f>
        <v>4.2000000000000028</v>
      </c>
      <c r="E14" s="30">
        <f>'10d'!E14-'10n'!E14</f>
        <v>0</v>
      </c>
      <c r="F14" s="30">
        <f>'10d'!F14-'10n'!F14</f>
        <v>9.2999999999999989</v>
      </c>
      <c r="G14" s="30">
        <f>'10d'!G14-'10n'!G14</f>
        <v>-5.0999999999999943</v>
      </c>
    </row>
    <row r="15" spans="1:7" hidden="1" outlineLevel="1">
      <c r="A15" s="66">
        <v>1972</v>
      </c>
      <c r="B15" s="30">
        <f>'10d'!B15-'10n'!B15</f>
        <v>1612.5</v>
      </c>
      <c r="C15" s="30">
        <f>'10d'!C15-'10n'!C15</f>
        <v>156.90000000000009</v>
      </c>
      <c r="D15" s="30">
        <f>'10d'!D15-'10n'!D15</f>
        <v>-20.399999999999991</v>
      </c>
      <c r="E15" s="30">
        <f>'10d'!E15-'10n'!E15</f>
        <v>-0.10000000000000003</v>
      </c>
      <c r="F15" s="30">
        <f>'10d'!F15-'10n'!F15</f>
        <v>-2.1000000000000005</v>
      </c>
      <c r="G15" s="30">
        <f>'10d'!G15-'10n'!G15</f>
        <v>-18.200000000000003</v>
      </c>
    </row>
    <row r="16" spans="1:7" collapsed="1">
      <c r="A16" s="66">
        <v>1973</v>
      </c>
      <c r="B16" s="30">
        <f>'10d'!B16-'10n'!B16</f>
        <v>1217.9000000000005</v>
      </c>
      <c r="C16" s="30">
        <f>'10d'!C16-'10n'!C16</f>
        <v>81.200000000000045</v>
      </c>
      <c r="D16" s="30">
        <f>'10d'!D16-'10n'!D16</f>
        <v>-10.100000000000009</v>
      </c>
      <c r="E16" s="30">
        <f>'10d'!E16-'10n'!E16</f>
        <v>0.4</v>
      </c>
      <c r="F16" s="30">
        <f>'10d'!F16-'10n'!F16</f>
        <v>-2.8</v>
      </c>
      <c r="G16" s="30">
        <f>'10d'!G16-'10n'!G16</f>
        <v>-7.7000000000000028</v>
      </c>
    </row>
    <row r="17" spans="1:7" hidden="1" outlineLevel="1">
      <c r="A17" s="66">
        <v>1974</v>
      </c>
      <c r="B17" s="30">
        <f>'10d'!B17-'10n'!B17</f>
        <v>907.69999999999982</v>
      </c>
      <c r="C17" s="30">
        <f>'10d'!C17-'10n'!C17</f>
        <v>49</v>
      </c>
      <c r="D17" s="30">
        <f>'10d'!D17-'10n'!D17</f>
        <v>-18.5</v>
      </c>
      <c r="E17" s="30">
        <f>'10d'!E17-'10n'!E17</f>
        <v>0.19999999999999996</v>
      </c>
      <c r="F17" s="30">
        <f>'10d'!F17-'10n'!F17</f>
        <v>-0.5</v>
      </c>
      <c r="G17" s="30">
        <f>'10d'!G17-'10n'!G17</f>
        <v>-18.200000000000003</v>
      </c>
    </row>
    <row r="18" spans="1:7" hidden="1" outlineLevel="1">
      <c r="A18" s="66">
        <v>1975</v>
      </c>
      <c r="B18" s="30">
        <f>'10d'!B18-'10n'!B18</f>
        <v>1084.8999999999996</v>
      </c>
      <c r="C18" s="30">
        <f>'10d'!C18-'10n'!C18</f>
        <v>106.90000000000009</v>
      </c>
      <c r="D18" s="30">
        <f>'10d'!D18-'10n'!D18</f>
        <v>14.299999999999997</v>
      </c>
      <c r="E18" s="30">
        <f>'10d'!E18-'10n'!E18</f>
        <v>0.4</v>
      </c>
      <c r="F18" s="30">
        <f>'10d'!F18-'10n'!F18</f>
        <v>2.9000000000000004</v>
      </c>
      <c r="G18" s="30">
        <f>'10d'!G18-'10n'!G18</f>
        <v>11</v>
      </c>
    </row>
    <row r="19" spans="1:7" hidden="1" outlineLevel="1">
      <c r="A19" s="66">
        <v>1976</v>
      </c>
      <c r="B19" s="30">
        <f>'10d'!B19-'10n'!B19</f>
        <v>1541</v>
      </c>
      <c r="C19" s="30">
        <f>'10d'!C19-'10n'!C19</f>
        <v>212.39999999999986</v>
      </c>
      <c r="D19" s="30">
        <f>'10d'!D19-'10n'!D19</f>
        <v>18.599999999999994</v>
      </c>
      <c r="E19" s="30">
        <f>'10d'!E19-'10n'!E19</f>
        <v>7.5</v>
      </c>
      <c r="F19" s="30">
        <f>'10d'!F19-'10n'!F19</f>
        <v>8.1999999999999993</v>
      </c>
      <c r="G19" s="30">
        <f>'10d'!G19-'10n'!G19</f>
        <v>2.9000000000000057</v>
      </c>
    </row>
    <row r="20" spans="1:7" hidden="1" outlineLevel="1">
      <c r="A20" s="66">
        <v>1977</v>
      </c>
      <c r="B20" s="30">
        <f>'10d'!B20-'10n'!B20</f>
        <v>1867.5</v>
      </c>
      <c r="C20" s="30">
        <f>'10d'!C20-'10n'!C20</f>
        <v>240.09999999999991</v>
      </c>
      <c r="D20" s="30">
        <f>'10d'!D20-'10n'!D20</f>
        <v>16.299999999999997</v>
      </c>
      <c r="E20" s="30">
        <f>'10d'!E20-'10n'!E20</f>
        <v>1.1999999999999997</v>
      </c>
      <c r="F20" s="30">
        <f>'10d'!F20-'10n'!F20</f>
        <v>2.5999999999999996</v>
      </c>
      <c r="G20" s="30">
        <f>'10d'!G20-'10n'!G20</f>
        <v>12.5</v>
      </c>
    </row>
    <row r="21" spans="1:7" hidden="1" outlineLevel="1">
      <c r="A21" s="66">
        <v>1978</v>
      </c>
      <c r="B21" s="30">
        <f>'10d'!B21-'10n'!B21</f>
        <v>1995.1999999999998</v>
      </c>
      <c r="C21" s="30">
        <f>'10d'!C21-'10n'!C21</f>
        <v>221.89999999999986</v>
      </c>
      <c r="D21" s="30">
        <f>'10d'!D21-'10n'!D21</f>
        <v>-4.5999999999999943</v>
      </c>
      <c r="E21" s="30">
        <f>'10d'!E21-'10n'!E21</f>
        <v>0.80000000000000027</v>
      </c>
      <c r="F21" s="30">
        <f>'10d'!F21-'10n'!F21</f>
        <v>-1.7000000000000002</v>
      </c>
      <c r="G21" s="30">
        <f>'10d'!G21-'10n'!G21</f>
        <v>-3.7000000000000028</v>
      </c>
    </row>
    <row r="22" spans="1:7" hidden="1" outlineLevel="1">
      <c r="A22" s="66">
        <v>1979</v>
      </c>
      <c r="B22" s="30">
        <f>'10d'!B22-'10n'!B22</f>
        <v>2316.8000000000011</v>
      </c>
      <c r="C22" s="30">
        <f>'10d'!C22-'10n'!C22</f>
        <v>356.89999999999986</v>
      </c>
      <c r="D22" s="30">
        <f>'10d'!D22-'10n'!D22</f>
        <v>34.900000000000006</v>
      </c>
      <c r="E22" s="30">
        <f>'10d'!E22-'10n'!E22</f>
        <v>1.6000000000000005</v>
      </c>
      <c r="F22" s="30">
        <f>'10d'!F22-'10n'!F22</f>
        <v>4.2999999999999989</v>
      </c>
      <c r="G22" s="30">
        <f>'10d'!G22-'10n'!G22</f>
        <v>29</v>
      </c>
    </row>
    <row r="23" spans="1:7" hidden="1" outlineLevel="1">
      <c r="A23" s="66">
        <v>1980</v>
      </c>
      <c r="B23" s="30">
        <f>'10d'!B23-'10n'!B23</f>
        <v>3247.3999999999996</v>
      </c>
      <c r="C23" s="30">
        <f>'10d'!C23-'10n'!C23</f>
        <v>591.20000000000005</v>
      </c>
      <c r="D23" s="30">
        <f>'10d'!D23-'10n'!D23</f>
        <v>48.299999999999983</v>
      </c>
      <c r="E23" s="30">
        <f>'10d'!E23-'10n'!E23</f>
        <v>1.5</v>
      </c>
      <c r="F23" s="30">
        <f>'10d'!F23-'10n'!F23</f>
        <v>7.5</v>
      </c>
      <c r="G23" s="30">
        <f>'10d'!G23-'10n'!G23</f>
        <v>39.299999999999997</v>
      </c>
    </row>
    <row r="24" spans="1:7" collapsed="1">
      <c r="A24" s="66">
        <v>1981</v>
      </c>
      <c r="B24" s="30">
        <f>'10d'!B24-'10n'!B24</f>
        <v>3323.5</v>
      </c>
      <c r="C24" s="30">
        <f>'10d'!C24-'10n'!C24</f>
        <v>820.09999999999991</v>
      </c>
      <c r="D24" s="30">
        <f>'10d'!D24-'10n'!D24</f>
        <v>47.700000000000017</v>
      </c>
      <c r="E24" s="30">
        <f>'10d'!E24-'10n'!E24</f>
        <v>0.5</v>
      </c>
      <c r="F24" s="30">
        <f>'10d'!F24-'10n'!F24</f>
        <v>4.4000000000000004</v>
      </c>
      <c r="G24" s="30">
        <f>'10d'!G24-'10n'!G24</f>
        <v>42.800000000000011</v>
      </c>
    </row>
    <row r="25" spans="1:7">
      <c r="A25" s="66">
        <v>1982</v>
      </c>
      <c r="B25" s="30">
        <f>'10d'!B25-'10n'!B25</f>
        <v>2633.3999999999996</v>
      </c>
      <c r="C25" s="30">
        <f>'10d'!C25-'10n'!C25</f>
        <v>467.59999999999991</v>
      </c>
      <c r="D25" s="30">
        <f>'10d'!D25-'10n'!D25</f>
        <v>23.699999999999989</v>
      </c>
      <c r="E25" s="30">
        <f>'10d'!E25-'10n'!E25</f>
        <v>-0.19999999999999973</v>
      </c>
      <c r="F25" s="30">
        <f>'10d'!F25-'10n'!F25</f>
        <v>0.29999999999999893</v>
      </c>
      <c r="G25" s="30">
        <f>'10d'!G25-'10n'!G25</f>
        <v>23.599999999999994</v>
      </c>
    </row>
    <row r="26" spans="1:7">
      <c r="A26" s="66">
        <v>1983</v>
      </c>
      <c r="B26" s="30">
        <f>'10d'!B26-'10n'!B26</f>
        <v>1725</v>
      </c>
      <c r="C26" s="30">
        <f>'10d'!C26-'10n'!C26</f>
        <v>66.099999999999909</v>
      </c>
      <c r="D26" s="30">
        <f>'10d'!D26-'10n'!D26</f>
        <v>6.5</v>
      </c>
      <c r="E26" s="30">
        <f>'10d'!E26-'10n'!E26</f>
        <v>0.5</v>
      </c>
      <c r="F26" s="30">
        <f>'10d'!F26-'10n'!F26</f>
        <v>1.9000000000000021</v>
      </c>
      <c r="G26" s="30">
        <f>'10d'!G26-'10n'!G26</f>
        <v>4.0999999999999943</v>
      </c>
    </row>
    <row r="27" spans="1:7">
      <c r="A27" s="66">
        <v>1984</v>
      </c>
      <c r="B27" s="30">
        <f>'10d'!B27-'10n'!B27</f>
        <v>2482.3000000000011</v>
      </c>
      <c r="C27" s="30">
        <f>'10d'!C27-'10n'!C27</f>
        <v>151.20000000000027</v>
      </c>
      <c r="D27" s="30">
        <f>'10d'!D27-'10n'!D27</f>
        <v>19.800000000000011</v>
      </c>
      <c r="E27" s="30">
        <f>'10d'!E27-'10n'!E27</f>
        <v>1.4000000000000004</v>
      </c>
      <c r="F27" s="30">
        <f>'10d'!F27-'10n'!F27</f>
        <v>3.0999999999999996</v>
      </c>
      <c r="G27" s="30">
        <f>'10d'!G27-'10n'!G27</f>
        <v>15.300000000000011</v>
      </c>
    </row>
    <row r="28" spans="1:7">
      <c r="A28" s="66">
        <v>1985</v>
      </c>
      <c r="B28" s="30">
        <f>'10d'!B28-'10n'!B28</f>
        <v>2699.9000000000015</v>
      </c>
      <c r="C28" s="30">
        <f>'10d'!C28-'10n'!C28</f>
        <v>373.40000000000009</v>
      </c>
      <c r="D28" s="30">
        <f>'10d'!D28-'10n'!D28</f>
        <v>37.800000000000011</v>
      </c>
      <c r="E28" s="30">
        <f>'10d'!E28-'10n'!E28</f>
        <v>1</v>
      </c>
      <c r="F28" s="30">
        <f>'10d'!F28-'10n'!F28</f>
        <v>4</v>
      </c>
      <c r="G28" s="30">
        <f>'10d'!G28-'10n'!G28</f>
        <v>32.800000000000011</v>
      </c>
    </row>
    <row r="29" spans="1:7">
      <c r="A29" s="66">
        <v>1986</v>
      </c>
      <c r="B29" s="30">
        <f>'10d'!B29-'10n'!B29</f>
        <v>1925</v>
      </c>
      <c r="C29" s="30">
        <f>'10d'!C29-'10n'!C29</f>
        <v>485.30000000000018</v>
      </c>
      <c r="D29" s="30">
        <f>'10d'!D29-'10n'!D29</f>
        <v>28.700000000000017</v>
      </c>
      <c r="E29" s="30">
        <f>'10d'!E29-'10n'!E29</f>
        <v>0.70000000000000018</v>
      </c>
      <c r="F29" s="30">
        <f>'10d'!F29-'10n'!F29</f>
        <v>6.6000000000000014</v>
      </c>
      <c r="G29" s="30">
        <f>'10d'!G29-'10n'!G29</f>
        <v>21.400000000000006</v>
      </c>
    </row>
    <row r="30" spans="1:7">
      <c r="A30" s="66">
        <v>1987</v>
      </c>
      <c r="B30" s="30">
        <f>'10d'!B30-'10n'!B30</f>
        <v>1747.7000000000007</v>
      </c>
      <c r="C30" s="30">
        <f>'10d'!C30-'10n'!C30</f>
        <v>192.39999999999964</v>
      </c>
      <c r="D30" s="30">
        <f>'10d'!D30-'10n'!D30</f>
        <v>38.200000000000017</v>
      </c>
      <c r="E30" s="30">
        <f>'10d'!E30-'10n'!E30</f>
        <v>1.7000000000000002</v>
      </c>
      <c r="F30" s="30">
        <f>'10d'!F30-'10n'!F30</f>
        <v>11.700000000000003</v>
      </c>
      <c r="G30" s="30">
        <f>'10d'!G30-'10n'!G30</f>
        <v>24.800000000000011</v>
      </c>
    </row>
    <row r="31" spans="1:7">
      <c r="A31" s="66">
        <v>1988</v>
      </c>
      <c r="B31" s="30">
        <f>'10d'!B31-'10n'!B31</f>
        <v>3032.3999999999996</v>
      </c>
      <c r="C31" s="30">
        <f>'10d'!C31-'10n'!C31</f>
        <v>277.70000000000027</v>
      </c>
      <c r="D31" s="30">
        <f>'10d'!D31-'10n'!D31</f>
        <v>48.900000000000034</v>
      </c>
      <c r="E31" s="30">
        <f>'10d'!E31-'10n'!E31</f>
        <v>2.5000000000000009</v>
      </c>
      <c r="F31" s="30">
        <f>'10d'!F31-'10n'!F31</f>
        <v>14.400000000000002</v>
      </c>
      <c r="G31" s="30">
        <f>'10d'!G31-'10n'!G31</f>
        <v>32</v>
      </c>
    </row>
    <row r="32" spans="1:7">
      <c r="A32" s="66">
        <v>1989</v>
      </c>
      <c r="B32" s="30">
        <f>'10d'!B32-'10n'!B32</f>
        <v>1820.8000000000011</v>
      </c>
      <c r="C32" s="30">
        <f>'10d'!C32-'10n'!C32</f>
        <v>323.59999999999991</v>
      </c>
      <c r="D32" s="30">
        <f>'10d'!D32-'10n'!D32</f>
        <v>77</v>
      </c>
      <c r="E32" s="30">
        <f>'10d'!E32-'10n'!E32</f>
        <v>2.4000000000000004</v>
      </c>
      <c r="F32" s="30">
        <f>'10d'!F32-'10n'!F32</f>
        <v>2</v>
      </c>
      <c r="G32" s="30">
        <f>'10d'!G32-'10n'!G32</f>
        <v>72.599999999999994</v>
      </c>
    </row>
    <row r="33" spans="1:7">
      <c r="A33" s="66">
        <v>1990</v>
      </c>
      <c r="B33" s="30">
        <f>'10d'!B33-'10n'!B33</f>
        <v>2559.4000000000015</v>
      </c>
      <c r="C33" s="30">
        <f>'10d'!C33-'10n'!C33</f>
        <v>624.5</v>
      </c>
      <c r="D33" s="30">
        <f>'10d'!D33-'10n'!D33</f>
        <v>49.500000000000028</v>
      </c>
      <c r="E33" s="30">
        <f>'10d'!E33-'10n'!E33</f>
        <v>1.2000000000000011</v>
      </c>
      <c r="F33" s="30">
        <f>'10d'!F33-'10n'!F33</f>
        <v>-4.3999999999999986</v>
      </c>
      <c r="G33" s="30">
        <f>'10d'!G33-'10n'!G33</f>
        <v>52.700000000000017</v>
      </c>
    </row>
    <row r="34" spans="1:7">
      <c r="A34" s="66">
        <v>1991</v>
      </c>
      <c r="B34" s="30">
        <f>'10d'!B34-'10n'!B34</f>
        <v>1977.7000000000007</v>
      </c>
      <c r="C34" s="30">
        <f>'10d'!C34-'10n'!C34</f>
        <v>560.09999999999991</v>
      </c>
      <c r="D34" s="30">
        <f>'10d'!D34-'10n'!D34</f>
        <v>19.299999999999955</v>
      </c>
      <c r="E34" s="30">
        <f>'10d'!E34-'10n'!E34</f>
        <v>-1.2000000000000002</v>
      </c>
      <c r="F34" s="30">
        <f>'10d'!F34-'10n'!F34</f>
        <v>-0.39999999999999858</v>
      </c>
      <c r="G34" s="30">
        <f>'10d'!G34-'10n'!G34</f>
        <v>20.900000000000006</v>
      </c>
    </row>
    <row r="35" spans="1:7">
      <c r="A35" s="66">
        <v>1992</v>
      </c>
      <c r="B35" s="30">
        <f>'10d'!B35-'10n'!B35</f>
        <v>1536.9000000000015</v>
      </c>
      <c r="C35" s="30">
        <f>'10d'!C35-'10n'!C35</f>
        <v>479.40000000000009</v>
      </c>
      <c r="D35" s="30">
        <f>'10d'!D35-'10n'!D35</f>
        <v>-7.2999999999999545</v>
      </c>
      <c r="E35" s="30">
        <f>'10d'!E35-'10n'!E35</f>
        <v>1.3999999999999995</v>
      </c>
      <c r="F35" s="30">
        <f>'10d'!F35-'10n'!F35</f>
        <v>4.6000000000000014</v>
      </c>
      <c r="G35" s="30">
        <f>'10d'!G35-'10n'!G35</f>
        <v>-13.300000000000011</v>
      </c>
    </row>
    <row r="36" spans="1:7">
      <c r="A36" s="66">
        <v>1993</v>
      </c>
      <c r="B36" s="30">
        <f>'10d'!B36-'10n'!B36</f>
        <v>2771.5</v>
      </c>
      <c r="C36" s="30">
        <f>'10d'!C36-'10n'!C36</f>
        <v>547.09999999999991</v>
      </c>
      <c r="D36" s="30">
        <f>'10d'!D36-'10n'!D36</f>
        <v>3.8000000000000114</v>
      </c>
      <c r="E36" s="30">
        <f>'10d'!E36-'10n'!E36</f>
        <v>1.3000000000000007</v>
      </c>
      <c r="F36" s="30">
        <f>'10d'!F36-'10n'!F36</f>
        <v>20.800000000000004</v>
      </c>
      <c r="G36" s="30">
        <f>'10d'!G36-'10n'!G36</f>
        <v>-18.299999999999983</v>
      </c>
    </row>
    <row r="37" spans="1:7">
      <c r="A37" s="66">
        <v>1994</v>
      </c>
      <c r="B37" s="30">
        <f>'10d'!B37-'10n'!B37</f>
        <v>4941.7999999999993</v>
      </c>
      <c r="C37" s="30">
        <f>'10d'!C37-'10n'!C37</f>
        <v>796.59999999999991</v>
      </c>
      <c r="D37" s="30">
        <f>'10d'!D37-'10n'!D37</f>
        <v>30.5</v>
      </c>
      <c r="E37" s="30">
        <f>'10d'!E37-'10n'!E37</f>
        <v>7.2999999999999989</v>
      </c>
      <c r="F37" s="30">
        <f>'10d'!F37-'10n'!F37</f>
        <v>34</v>
      </c>
      <c r="G37" s="30">
        <f>'10d'!G37-'10n'!G37</f>
        <v>-10.800000000000011</v>
      </c>
    </row>
    <row r="38" spans="1:7">
      <c r="A38" s="66">
        <v>1995</v>
      </c>
      <c r="B38" s="30">
        <f>'10d'!B38-'10n'!B38</f>
        <v>4136.2999999999993</v>
      </c>
      <c r="C38" s="30">
        <f>'10d'!C38-'10n'!C38</f>
        <v>814.89999999999964</v>
      </c>
      <c r="D38" s="30">
        <f>'10d'!D38-'10n'!D38</f>
        <v>114</v>
      </c>
      <c r="E38" s="30">
        <f>'10d'!E38-'10n'!E38</f>
        <v>8.4</v>
      </c>
      <c r="F38" s="30">
        <f>'10d'!F38-'10n'!F38</f>
        <v>47.8</v>
      </c>
      <c r="G38" s="30">
        <f>'10d'!G38-'10n'!G38</f>
        <v>57.800000000000011</v>
      </c>
    </row>
    <row r="39" spans="1:7">
      <c r="A39" s="66">
        <v>1996</v>
      </c>
      <c r="B39" s="30">
        <f>'10d'!B39-'10n'!B39</f>
        <v>3989.4000000000015</v>
      </c>
      <c r="C39" s="30">
        <f>'10d'!C39-'10n'!C39</f>
        <v>773.70000000000027</v>
      </c>
      <c r="D39" s="30">
        <f>'10d'!D39-'10n'!D39</f>
        <v>67.5</v>
      </c>
      <c r="E39" s="30">
        <f>'10d'!E39-'10n'!E39</f>
        <v>5.4</v>
      </c>
      <c r="F39" s="30">
        <f>'10d'!F39-'10n'!F39</f>
        <v>19.200000000000003</v>
      </c>
      <c r="G39" s="30">
        <f>'10d'!G39-'10n'!G39</f>
        <v>42.900000000000034</v>
      </c>
    </row>
    <row r="40" spans="1:7">
      <c r="A40" s="66">
        <v>1997</v>
      </c>
      <c r="B40" s="30">
        <f>'10d'!B40-'10n'!B40</f>
        <v>4712.4000000000015</v>
      </c>
      <c r="C40" s="30">
        <f>'10d'!C40-'10n'!C40</f>
        <v>375</v>
      </c>
      <c r="D40" s="30">
        <f>'10d'!D40-'10n'!D40</f>
        <v>-11.5</v>
      </c>
      <c r="E40" s="30">
        <f>'10d'!E40-'10n'!E40</f>
        <v>0.69999999999999929</v>
      </c>
      <c r="F40" s="30">
        <f>'10d'!F40-'10n'!F40</f>
        <v>12.5</v>
      </c>
      <c r="G40" s="30">
        <f>'10d'!G40-'10n'!G40</f>
        <v>-24.700000000000017</v>
      </c>
    </row>
    <row r="41" spans="1:7">
      <c r="A41" s="66">
        <v>1998</v>
      </c>
      <c r="B41" s="30">
        <f>'10d'!B41-'10n'!B41</f>
        <v>6775.0999999999985</v>
      </c>
      <c r="C41" s="30">
        <f>'10d'!C41-'10n'!C41</f>
        <v>665.69999999999982</v>
      </c>
      <c r="D41" s="30">
        <f>'10d'!D41-'10n'!D41</f>
        <v>16.800000000000011</v>
      </c>
      <c r="E41" s="30">
        <f>'10d'!E41-'10n'!E41</f>
        <v>1.3000000000000007</v>
      </c>
      <c r="F41" s="30">
        <f>'10d'!F41-'10n'!F41</f>
        <v>13.199999999999989</v>
      </c>
      <c r="G41" s="30">
        <f>'10d'!G41-'10n'!G41</f>
        <v>2.3000000000000114</v>
      </c>
    </row>
    <row r="42" spans="1:7">
      <c r="A42" s="66">
        <v>1999</v>
      </c>
      <c r="B42" s="30">
        <f>'10d'!B42-'10n'!B42</f>
        <v>5788.5</v>
      </c>
      <c r="C42" s="30">
        <f>'10d'!C42-'10n'!C42</f>
        <v>673</v>
      </c>
      <c r="D42" s="30">
        <f>'10d'!D42-'10n'!D42</f>
        <v>10.999999999999943</v>
      </c>
      <c r="E42" s="30">
        <f>'10d'!E42-'10n'!E42</f>
        <v>15.200000000000003</v>
      </c>
      <c r="F42" s="30">
        <f>'10d'!F42-'10n'!F42</f>
        <v>11.799999999999997</v>
      </c>
      <c r="G42" s="30">
        <f>'10d'!G42-'10n'!G42</f>
        <v>-16.000000000000028</v>
      </c>
    </row>
    <row r="43" spans="1:7">
      <c r="A43" s="66">
        <v>2000</v>
      </c>
      <c r="B43" s="30">
        <f>'10d'!B43-'10n'!B43</f>
        <v>8411.6000000000022</v>
      </c>
      <c r="C43" s="30">
        <f>'10d'!C43-'10n'!C43</f>
        <v>1370.1000000000004</v>
      </c>
      <c r="D43" s="30">
        <f>'10d'!D43-'10n'!D43</f>
        <v>144.30000000000001</v>
      </c>
      <c r="E43" s="30">
        <f>'10d'!E43-'10n'!E43</f>
        <v>1</v>
      </c>
      <c r="F43" s="30">
        <f>'10d'!F43-'10n'!F43</f>
        <v>5.4000000000000057</v>
      </c>
      <c r="G43" s="30">
        <f>'10d'!G43-'10n'!G43</f>
        <v>137.89999999999998</v>
      </c>
    </row>
    <row r="44" spans="1:7">
      <c r="A44" s="66">
        <v>2001</v>
      </c>
      <c r="B44" s="30">
        <f>'10d'!B44-'10n'!B44</f>
        <v>9045.9000000000015</v>
      </c>
      <c r="C44" s="30">
        <f>'10d'!C44-'10n'!C44</f>
        <v>2049.3000000000002</v>
      </c>
      <c r="D44" s="30">
        <f>'10d'!D44-'10n'!D44</f>
        <v>243.89999999999998</v>
      </c>
      <c r="E44" s="30">
        <f>'10d'!E44-'10n'!E44</f>
        <v>-0.69999999999999929</v>
      </c>
      <c r="F44" s="30">
        <f>'10d'!F44-'10n'!F44</f>
        <v>-9.9999999999994316E-2</v>
      </c>
      <c r="G44" s="30">
        <f>'10d'!G44-'10n'!G44</f>
        <v>244.69999999999993</v>
      </c>
    </row>
    <row r="45" spans="1:7">
      <c r="A45" s="66">
        <v>2002</v>
      </c>
      <c r="B45" s="30">
        <f>'10d'!B45-'10n'!B45</f>
        <v>6861.4000000000015</v>
      </c>
      <c r="C45" s="30">
        <f>'10d'!C45-'10n'!C45</f>
        <v>1991</v>
      </c>
      <c r="D45" s="30">
        <f>'10d'!D45-'10n'!D45</f>
        <v>203.90000000000003</v>
      </c>
      <c r="E45" s="30">
        <f>'10d'!E45-'10n'!E45</f>
        <v>-0.19999999999999929</v>
      </c>
      <c r="F45" s="30">
        <f>'10d'!F45-'10n'!F45</f>
        <v>19.200000000000003</v>
      </c>
      <c r="G45" s="30">
        <f>'10d'!G45-'10n'!G45</f>
        <v>184.89999999999998</v>
      </c>
    </row>
    <row r="46" spans="1:7">
      <c r="A46" s="66">
        <v>2003</v>
      </c>
      <c r="B46" s="30">
        <f>'10d'!B46-'10n'!B46</f>
        <v>8196.7999999999956</v>
      </c>
      <c r="C46" s="30">
        <f>'10d'!C46-'10n'!C46</f>
        <v>1701.8000000000002</v>
      </c>
      <c r="D46" s="30">
        <f>'10d'!D46-'10n'!D46</f>
        <v>182.69999999999993</v>
      </c>
      <c r="E46" s="30">
        <f>'10d'!E46-'10n'!E46</f>
        <v>2.2999999999999972</v>
      </c>
      <c r="F46" s="30">
        <f>'10d'!F46-'10n'!F46</f>
        <v>20.299999999999997</v>
      </c>
      <c r="G46" s="30">
        <f>'10d'!G46-'10n'!G46</f>
        <v>160.09999999999997</v>
      </c>
    </row>
    <row r="47" spans="1:7">
      <c r="A47" s="66">
        <v>2004</v>
      </c>
      <c r="B47" s="30">
        <f>'10d'!B47-'10n'!B47</f>
        <v>9471.4000000000015</v>
      </c>
      <c r="C47" s="30">
        <f>'10d'!C47-'10n'!C47</f>
        <v>1247.6999999999998</v>
      </c>
      <c r="D47" s="30">
        <f>'10d'!D47-'10n'!D47</f>
        <v>132.10000000000014</v>
      </c>
      <c r="E47" s="30">
        <f>'10d'!E47-'10n'!E47</f>
        <v>-4.4000000000000021</v>
      </c>
      <c r="F47" s="30">
        <f>'10d'!F47-'10n'!F47</f>
        <v>33.000000000000014</v>
      </c>
      <c r="G47" s="30">
        <f>'10d'!G47-'10n'!G47</f>
        <v>103.50000000000006</v>
      </c>
    </row>
    <row r="48" spans="1:7">
      <c r="A48" s="66">
        <v>2005</v>
      </c>
      <c r="B48" s="30">
        <f>'10d'!B48-'10n'!B48</f>
        <v>10905.900000000001</v>
      </c>
      <c r="C48" s="30">
        <f>'10d'!C48-'10n'!C48</f>
        <v>882.89999999999964</v>
      </c>
      <c r="D48" s="30">
        <f>'10d'!D48-'10n'!D48</f>
        <v>84.799999999999955</v>
      </c>
      <c r="E48" s="30">
        <f>'10d'!E48-'10n'!E48</f>
        <v>-5.3000000000000007</v>
      </c>
      <c r="F48" s="30">
        <f>'10d'!F48-'10n'!F48</f>
        <v>90.6</v>
      </c>
      <c r="G48" s="30">
        <f>'10d'!G48-'10n'!G48</f>
        <v>-0.5</v>
      </c>
    </row>
    <row r="49" spans="1:7">
      <c r="A49" s="66">
        <v>2006</v>
      </c>
      <c r="B49" s="30">
        <f>'10d'!B49-'10n'!B49</f>
        <v>9090.2999999999956</v>
      </c>
      <c r="C49" s="30">
        <f>'10d'!C49-'10n'!C49</f>
        <v>497.90000000000055</v>
      </c>
      <c r="D49" s="30">
        <f>'10d'!D49-'10n'!D49</f>
        <v>39.299999999999955</v>
      </c>
      <c r="E49" s="30">
        <f>'10d'!E49-'10n'!E49</f>
        <v>-2.1999999999999993</v>
      </c>
      <c r="F49" s="30">
        <f>'10d'!F49-'10n'!F49</f>
        <v>34.5</v>
      </c>
      <c r="G49" s="30">
        <f>'10d'!G49-'10n'!G49</f>
        <v>7</v>
      </c>
    </row>
    <row r="50" spans="1:7">
      <c r="A50" s="66">
        <v>2007</v>
      </c>
      <c r="B50" s="30">
        <f>'10d'!B50-'10n'!B50</f>
        <v>8755.2000000000044</v>
      </c>
      <c r="C50" s="30">
        <f>'10d'!C50-'10n'!C50</f>
        <v>-221.60000000000036</v>
      </c>
      <c r="D50" s="30">
        <f>'10d'!D50-'10n'!D50</f>
        <v>-27.5</v>
      </c>
      <c r="E50" s="30">
        <f>'10d'!E50-'10n'!E50</f>
        <v>19.200000000000003</v>
      </c>
      <c r="F50" s="30">
        <f>'10d'!F50-'10n'!F50</f>
        <v>35.699999999999989</v>
      </c>
      <c r="G50" s="30">
        <f>'10d'!G50-'10n'!G50</f>
        <v>-82.400000000000034</v>
      </c>
    </row>
    <row r="51" spans="1:7">
      <c r="A51" s="66">
        <v>2008</v>
      </c>
      <c r="B51" s="30">
        <f>'10d'!B51-'10n'!B51</f>
        <v>7093.2999999999956</v>
      </c>
      <c r="C51" s="30">
        <f>'10d'!C51-'10n'!C51</f>
        <v>-408.39999999999964</v>
      </c>
      <c r="D51" s="30">
        <f>'10d'!D51-'10n'!D51</f>
        <v>-55</v>
      </c>
      <c r="E51" s="30">
        <f>'10d'!E51-'10n'!E51</f>
        <v>9.5</v>
      </c>
      <c r="F51" s="30">
        <f>'10d'!F51-'10n'!F51</f>
        <v>71.400000000000006</v>
      </c>
      <c r="G51" s="30">
        <f>'10d'!G51-'10n'!G51</f>
        <v>-135.89999999999998</v>
      </c>
    </row>
    <row r="52" spans="1:7">
      <c r="A52" s="66">
        <v>2009</v>
      </c>
      <c r="B52" s="30">
        <f>'10d'!B52-'10n'!B52</f>
        <v>-260</v>
      </c>
      <c r="C52" s="30">
        <f>'10d'!C52-'10n'!C52</f>
        <v>-883</v>
      </c>
      <c r="D52" s="30">
        <f>'10d'!D52-'10n'!D52</f>
        <v>-209.90000000000003</v>
      </c>
      <c r="E52" s="30">
        <f>'10d'!E52-'10n'!E52</f>
        <v>-10</v>
      </c>
      <c r="F52" s="30">
        <f>'10d'!F52-'10n'!F52</f>
        <v>14.700000000000017</v>
      </c>
      <c r="G52" s="30">
        <f>'10d'!G52-'10n'!G52</f>
        <v>-214.6</v>
      </c>
    </row>
    <row r="53" spans="1:7">
      <c r="A53" s="66">
        <v>2010</v>
      </c>
      <c r="B53" s="30">
        <f>'10d'!B53-'10n'!B53</f>
        <v>2055.4000000000015</v>
      </c>
      <c r="C53" s="30">
        <f>'10d'!C53-'10n'!C53</f>
        <v>-673.89999999999964</v>
      </c>
      <c r="D53" s="30">
        <f>'10d'!D53-'10n'!D53</f>
        <v>-169.89999999999998</v>
      </c>
      <c r="E53" s="30">
        <f>'10d'!E53-'10n'!E53</f>
        <v>-2.3999999999999986</v>
      </c>
      <c r="F53" s="30">
        <f>'10d'!F53-'10n'!F53</f>
        <v>0.5</v>
      </c>
      <c r="G53" s="30">
        <f>'10d'!G53-'10n'!G53</f>
        <v>-167.99999999999997</v>
      </c>
    </row>
    <row r="54" spans="1:7">
      <c r="A54" s="66">
        <v>2011</v>
      </c>
      <c r="B54" s="30">
        <f>'10d'!B54-'10n'!B54</f>
        <v>4073.7999999999956</v>
      </c>
      <c r="C54" s="30">
        <f>'10d'!C54-'10n'!C54</f>
        <v>18.400000000000546</v>
      </c>
      <c r="D54" s="30">
        <f>'10d'!D54-'10n'!D54</f>
        <v>-50.699999999999932</v>
      </c>
      <c r="E54" s="30">
        <f>'10d'!E54-'10n'!E54</f>
        <v>-3.8000000000000007</v>
      </c>
      <c r="F54" s="30">
        <f>'10d'!F54-'10n'!F54</f>
        <v>26.5</v>
      </c>
      <c r="G54" s="30">
        <f>'10d'!G54-'10n'!G54</f>
        <v>-73.399999999999977</v>
      </c>
    </row>
    <row r="55" spans="1:7">
      <c r="A55" s="66">
        <v>2012</v>
      </c>
      <c r="B55" s="30">
        <f>'10d'!B55-'10n'!B55</f>
        <v>4234.5</v>
      </c>
      <c r="C55" s="30">
        <f>'10d'!C55-'10n'!C55</f>
        <v>80.599999999999454</v>
      </c>
      <c r="D55" s="30">
        <f>'10d'!D55-'10n'!D55</f>
        <v>-12.300000000000068</v>
      </c>
      <c r="E55" s="30">
        <f>'10d'!E55-'10n'!E55</f>
        <v>-5</v>
      </c>
      <c r="F55" s="30">
        <f>'10d'!F55-'10n'!F55</f>
        <v>45.900000000000006</v>
      </c>
      <c r="G55" s="30">
        <f>'10d'!G55-'10n'!G55</f>
        <v>-53.199999999999989</v>
      </c>
    </row>
    <row r="57" spans="1:7">
      <c r="A57" s="66" t="s">
        <v>1342</v>
      </c>
      <c r="B57" s="56"/>
      <c r="C57" s="56"/>
    </row>
    <row r="58" spans="1:7">
      <c r="A58" s="69" t="s">
        <v>2121</v>
      </c>
      <c r="B58" s="56">
        <f>AVERAGE(B4:B55)</f>
        <v>3634.2826923076914</v>
      </c>
      <c r="C58" s="56">
        <f t="shared" ref="C58:G58" si="0">AVERAGE(C4:C55)</f>
        <v>486.93076923076927</v>
      </c>
      <c r="D58" s="56">
        <f t="shared" si="0"/>
        <v>33.317307692307693</v>
      </c>
      <c r="E58" s="56">
        <f t="shared" si="0"/>
        <v>1.2607843137254902</v>
      </c>
      <c r="F58" s="56" t="s">
        <v>22</v>
      </c>
      <c r="G58" s="56">
        <f t="shared" si="0"/>
        <v>19.507692307692306</v>
      </c>
    </row>
    <row r="59" spans="1:7">
      <c r="A59" s="68" t="s">
        <v>1031</v>
      </c>
      <c r="B59" s="56">
        <f t="shared" ref="B59:G59" si="1">AVERAGE(B4:B16)</f>
        <v>2115.976923076923</v>
      </c>
      <c r="C59" s="56">
        <f t="shared" si="1"/>
        <v>493.98461538461538</v>
      </c>
      <c r="D59" s="56">
        <f t="shared" si="1"/>
        <v>38.123076923076937</v>
      </c>
      <c r="E59" s="56">
        <f t="shared" si="1"/>
        <v>0.1333333333333333</v>
      </c>
      <c r="F59" s="56" t="s">
        <v>22</v>
      </c>
      <c r="G59" s="56">
        <f t="shared" si="1"/>
        <v>36.04615384615385</v>
      </c>
    </row>
    <row r="60" spans="1:7">
      <c r="A60" s="68" t="s">
        <v>1032</v>
      </c>
      <c r="B60" s="56">
        <f t="shared" ref="B60:G60" si="2">AVERAGE(B16:B24)</f>
        <v>1944.6555555555558</v>
      </c>
      <c r="C60" s="56">
        <f t="shared" si="2"/>
        <v>297.74444444444441</v>
      </c>
      <c r="D60" s="56">
        <f t="shared" si="2"/>
        <v>16.322222222222219</v>
      </c>
      <c r="E60" s="56">
        <f t="shared" si="2"/>
        <v>1.5666666666666669</v>
      </c>
      <c r="F60" s="56">
        <f t="shared" si="2"/>
        <v>2.7666666666666666</v>
      </c>
      <c r="G60" s="56">
        <f t="shared" si="2"/>
        <v>11.988888888888889</v>
      </c>
    </row>
    <row r="61" spans="1:7">
      <c r="A61" s="68" t="s">
        <v>25</v>
      </c>
      <c r="B61" s="56">
        <f t="shared" ref="B61:G61" si="3">AVERAGE(B24:B32)</f>
        <v>2376.6666666666674</v>
      </c>
      <c r="C61" s="56">
        <f t="shared" si="3"/>
        <v>350.82222222222225</v>
      </c>
      <c r="D61" s="56">
        <f t="shared" si="3"/>
        <v>36.477777777777789</v>
      </c>
      <c r="E61" s="56">
        <f t="shared" si="3"/>
        <v>1.166666666666667</v>
      </c>
      <c r="F61" s="56">
        <f t="shared" si="3"/>
        <v>5.3777777777777782</v>
      </c>
      <c r="G61" s="56">
        <f t="shared" si="3"/>
        <v>29.933333333333337</v>
      </c>
    </row>
    <row r="62" spans="1:7">
      <c r="A62" s="68" t="s">
        <v>26</v>
      </c>
      <c r="B62" s="56">
        <f t="shared" ref="B62:G62" si="4">AVERAGE(B32:B43)</f>
        <v>4118.4500000000007</v>
      </c>
      <c r="C62" s="56">
        <f t="shared" si="4"/>
        <v>666.97500000000002</v>
      </c>
      <c r="D62" s="56">
        <f t="shared" si="4"/>
        <v>42.908333333333339</v>
      </c>
      <c r="E62" s="56">
        <f t="shared" si="4"/>
        <v>3.7000000000000006</v>
      </c>
      <c r="F62" s="56">
        <f t="shared" si="4"/>
        <v>13.875000000000002</v>
      </c>
      <c r="G62" s="56">
        <f t="shared" si="4"/>
        <v>25.333333333333332</v>
      </c>
    </row>
    <row r="63" spans="1:7">
      <c r="A63" s="69" t="s">
        <v>2028</v>
      </c>
      <c r="B63" s="56">
        <f>AVERAGE(B43:B55)</f>
        <v>6764.2692307692287</v>
      </c>
      <c r="C63" s="56">
        <f t="shared" ref="C63:G63" si="5">AVERAGE(C43:C55)</f>
        <v>588.67692307692312</v>
      </c>
      <c r="D63" s="56">
        <f t="shared" si="5"/>
        <v>38.899999999999991</v>
      </c>
      <c r="E63" s="56">
        <f t="shared" si="5"/>
        <v>-0.15384615384615385</v>
      </c>
      <c r="F63" s="56">
        <f t="shared" si="5"/>
        <v>30.584615384615386</v>
      </c>
      <c r="G63" s="56">
        <f t="shared" si="5"/>
        <v>8.4692307692307605</v>
      </c>
    </row>
    <row r="65" spans="1:1">
      <c r="A65" s="64" t="s">
        <v>1813</v>
      </c>
    </row>
    <row r="66" spans="1:1">
      <c r="A66" s="195" t="s">
        <v>1341</v>
      </c>
    </row>
  </sheetData>
  <mergeCells count="4">
    <mergeCell ref="A1:G1"/>
    <mergeCell ref="B2:B3"/>
    <mergeCell ref="C2:C3"/>
    <mergeCell ref="D2:G2"/>
  </mergeCells>
  <pageMargins left="0.7" right="0.7" top="0.75" bottom="0.75" header="0.3" footer="0.3"/>
  <pageSetup scale="91" orientation="portrait" horizontalDpi="0" verticalDpi="0" r:id="rId1"/>
</worksheet>
</file>

<file path=xl/worksheets/sheet84.xml><?xml version="1.0" encoding="utf-8"?>
<worksheet xmlns="http://schemas.openxmlformats.org/spreadsheetml/2006/main" xmlns:r="http://schemas.openxmlformats.org/officeDocument/2006/relationships">
  <sheetPr codeName="Sheet77"/>
  <dimension ref="A1:H44"/>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3.28515625" style="64" customWidth="1"/>
    <col min="2" max="2" width="16.42578125" style="135" customWidth="1"/>
    <col min="3" max="3" width="14.140625" style="135" customWidth="1"/>
    <col min="4" max="4" width="16" style="135" customWidth="1"/>
    <col min="5" max="5" width="11.28515625" style="135" customWidth="1"/>
    <col min="6" max="6" width="15.140625" style="135" customWidth="1"/>
    <col min="7" max="7" width="14.140625" style="135" customWidth="1"/>
    <col min="8" max="8" width="9.140625" style="135"/>
    <col min="9" max="16384" width="9.140625" style="64"/>
  </cols>
  <sheetData>
    <row r="1" spans="1:7" ht="30" customHeight="1">
      <c r="A1" s="93" t="s">
        <v>2071</v>
      </c>
      <c r="B1" s="93"/>
      <c r="C1" s="93"/>
      <c r="D1" s="93"/>
      <c r="E1" s="93"/>
      <c r="F1" s="93"/>
      <c r="G1" s="93"/>
    </row>
    <row r="2" spans="1:7" ht="15" customHeight="1">
      <c r="B2" s="123" t="s">
        <v>1619</v>
      </c>
      <c r="C2" s="123" t="s">
        <v>938</v>
      </c>
      <c r="D2" s="159" t="s">
        <v>37</v>
      </c>
      <c r="E2" s="160"/>
      <c r="F2" s="160"/>
      <c r="G2" s="161"/>
    </row>
    <row r="3" spans="1:7" ht="60">
      <c r="B3" s="126"/>
      <c r="C3" s="126"/>
      <c r="D3" s="72" t="s">
        <v>78</v>
      </c>
      <c r="E3" s="72" t="s">
        <v>750</v>
      </c>
      <c r="F3" s="72" t="s">
        <v>745</v>
      </c>
      <c r="G3" s="72" t="s">
        <v>678</v>
      </c>
    </row>
    <row r="4" spans="1:7" hidden="1" outlineLevel="1">
      <c r="A4" s="66">
        <v>1981</v>
      </c>
      <c r="B4" s="50">
        <f>'10a'!B24/'1a'!B7*100</f>
        <v>5.6939268161544243</v>
      </c>
      <c r="C4" s="50">
        <f>'10a'!C24/'1a'!C7*100</f>
        <v>11.545446741341376</v>
      </c>
      <c r="D4" s="50" t="s">
        <v>22</v>
      </c>
      <c r="E4" s="50" t="s">
        <v>22</v>
      </c>
      <c r="F4" s="50">
        <f>'10a'!F24/'1a'!F7*100</f>
        <v>12.473141749161806</v>
      </c>
      <c r="G4" s="50">
        <f>'10a'!G24/'1a'!O7*100</f>
        <v>33.372504824321823</v>
      </c>
    </row>
    <row r="5" spans="1:7" hidden="1" outlineLevel="1">
      <c r="A5" s="66">
        <v>1982</v>
      </c>
      <c r="B5" s="50">
        <f>'10a'!B25/'1a'!B8*100</f>
        <v>5.010379645102172</v>
      </c>
      <c r="C5" s="50">
        <f>'10a'!C25/'1a'!C8*100</f>
        <v>10.511516423081996</v>
      </c>
      <c r="D5" s="50" t="s">
        <v>22</v>
      </c>
      <c r="E5" s="50" t="s">
        <v>22</v>
      </c>
      <c r="F5" s="50">
        <f>'10a'!F25/'1a'!F8*100</f>
        <v>9.9306079659605881</v>
      </c>
      <c r="G5" s="50">
        <f>'10a'!G25/'1a'!O8*100</f>
        <v>29.939062980848941</v>
      </c>
    </row>
    <row r="6" spans="1:7" hidden="1" outlineLevel="1">
      <c r="A6" s="66">
        <v>1983</v>
      </c>
      <c r="B6" s="50">
        <f>'10a'!B26/'1a'!B9*100</f>
        <v>4.5450790867783395</v>
      </c>
      <c r="C6" s="50">
        <f>'10a'!C26/'1a'!C9*100</f>
        <v>7.5482638107565805</v>
      </c>
      <c r="D6" s="50" t="s">
        <v>22</v>
      </c>
      <c r="E6" s="50" t="s">
        <v>22</v>
      </c>
      <c r="F6" s="50">
        <f>'10a'!F26/'1a'!F9*100</f>
        <v>7.3725621397737919</v>
      </c>
      <c r="G6" s="50">
        <f>'10a'!G26/'1a'!O9*100</f>
        <v>14.116583017041846</v>
      </c>
    </row>
    <row r="7" spans="1:7" hidden="1" outlineLevel="1">
      <c r="A7" s="66">
        <v>1984</v>
      </c>
      <c r="B7" s="50">
        <f>'10a'!B27/'1a'!B10*100</f>
        <v>4.3625692255995032</v>
      </c>
      <c r="C7" s="50">
        <f>'10a'!C27/'1a'!C10*100</f>
        <v>6.3775620727829132</v>
      </c>
      <c r="D7" s="50" t="s">
        <v>22</v>
      </c>
      <c r="E7" s="50" t="s">
        <v>22</v>
      </c>
      <c r="F7" s="50">
        <f>'10a'!F27/'1a'!F10*100</f>
        <v>7.5552185974130328</v>
      </c>
      <c r="G7" s="50">
        <f>'10a'!G27/'1a'!O10*100</f>
        <v>14.889002094279416</v>
      </c>
    </row>
    <row r="8" spans="1:7" hidden="1" outlineLevel="1">
      <c r="A8" s="66">
        <v>1985</v>
      </c>
      <c r="B8" s="50">
        <f>'10a'!B28/'1a'!B11*100</f>
        <v>4.3483868725898285</v>
      </c>
      <c r="C8" s="50">
        <f>'10a'!C28/'1a'!C11*100</f>
        <v>7.3619229475428458</v>
      </c>
      <c r="D8" s="50" t="s">
        <v>22</v>
      </c>
      <c r="E8" s="50" t="s">
        <v>22</v>
      </c>
      <c r="F8" s="50">
        <f>'10a'!F28/'1a'!F11*100</f>
        <v>6.5144193995576094</v>
      </c>
      <c r="G8" s="50">
        <f>'10a'!G28/'1a'!O11*100</f>
        <v>24.798364407097576</v>
      </c>
    </row>
    <row r="9" spans="1:7" hidden="1" outlineLevel="1">
      <c r="A9" s="66">
        <v>1986</v>
      </c>
      <c r="B9" s="50">
        <f>'10a'!B29/'1a'!B12*100</f>
        <v>4.4749241793486227</v>
      </c>
      <c r="C9" s="50">
        <f>'10a'!C29/'1a'!C12*100</f>
        <v>9.4483269215963457</v>
      </c>
      <c r="D9" s="50">
        <f>'10a'!D29/'1a'!D12*100</f>
        <v>13.48032008434023</v>
      </c>
      <c r="E9" s="50">
        <f>'10a'!E29/'1a'!E12*100</f>
        <v>3.1921899132544307</v>
      </c>
      <c r="F9" s="50">
        <f>'10a'!F29/'1a'!F12*100</f>
        <v>7.9412676010801704</v>
      </c>
      <c r="G9" s="50">
        <f>'10a'!G29/'1a'!O12*100</f>
        <v>22.446687578010032</v>
      </c>
    </row>
    <row r="10" spans="1:7" hidden="1" outlineLevel="1">
      <c r="A10" s="66">
        <v>1987</v>
      </c>
      <c r="B10" s="50">
        <f>'10a'!B30/'1a'!B13*100</f>
        <v>4.596576227878109</v>
      </c>
      <c r="C10" s="50">
        <f>'10a'!C30/'1a'!C13*100</f>
        <v>9.58156430433508</v>
      </c>
      <c r="D10" s="50">
        <f>'10a'!D30/'1a'!D13*100</f>
        <v>16.919855730526965</v>
      </c>
      <c r="E10" s="50">
        <f>'10a'!E30/'1a'!E13*100</f>
        <v>3.1625535890088701</v>
      </c>
      <c r="F10" s="50">
        <f>'10a'!F30/'1a'!F13*100</f>
        <v>11.171521773117426</v>
      </c>
      <c r="G10" s="50">
        <f>'10a'!G30/'1a'!O13*100</f>
        <v>29.388732719768029</v>
      </c>
    </row>
    <row r="11" spans="1:7" hidden="1" outlineLevel="1">
      <c r="A11" s="66">
        <v>1988</v>
      </c>
      <c r="B11" s="50">
        <f>'10a'!B31/'1a'!B14*100</f>
        <v>5.2342142180962306</v>
      </c>
      <c r="C11" s="50">
        <f>'10a'!C31/'1a'!C14*100</f>
        <v>10.373267878160766</v>
      </c>
      <c r="D11" s="50">
        <f>'10a'!D31/'1a'!D14*100</f>
        <v>22.142250507403354</v>
      </c>
      <c r="E11" s="50">
        <f>'10a'!E31/'1a'!E14*100</f>
        <v>2.9438260849264859</v>
      </c>
      <c r="F11" s="50">
        <f>'10a'!F31/'1a'!F14*100</f>
        <v>15.351610454864076</v>
      </c>
      <c r="G11" s="50">
        <f>'10a'!G31/'1a'!O14*100</f>
        <v>38.473548578166223</v>
      </c>
    </row>
    <row r="12" spans="1:7" collapsed="1">
      <c r="A12" s="66">
        <v>1989</v>
      </c>
      <c r="B12" s="50">
        <f>'10a'!B32/'1a'!B15*100</f>
        <v>5.3420587916153943</v>
      </c>
      <c r="C12" s="50">
        <f>'10a'!C32/'1a'!C15*100</f>
        <v>11.567008444952666</v>
      </c>
      <c r="D12" s="50">
        <f>'10a'!D32/'1a'!D15*100</f>
        <v>29.017574847862694</v>
      </c>
      <c r="E12" s="50">
        <f>'10a'!E32/'1a'!E15*100</f>
        <v>3.4986274656784375</v>
      </c>
      <c r="F12" s="50">
        <f>'10a'!F32/'1a'!F15*100</f>
        <v>11.894587729996966</v>
      </c>
      <c r="G12" s="50">
        <f>'10a'!G32/'1a'!O15*100</f>
        <v>57.157999208847684</v>
      </c>
    </row>
    <row r="13" spans="1:7">
      <c r="A13" s="66">
        <v>1990</v>
      </c>
      <c r="B13" s="50">
        <f>'10a'!B33/'1a'!B16*100</f>
        <v>4.951906283691609</v>
      </c>
      <c r="C13" s="50">
        <f>'10a'!C33/'1a'!C16*100</f>
        <v>10.834265637498662</v>
      </c>
      <c r="D13" s="50">
        <f>'10a'!D33/'1a'!D16*100</f>
        <v>25.081745568154858</v>
      </c>
      <c r="E13" s="50">
        <f>'10a'!E33/'1a'!E16*100</f>
        <v>3.2811067094944661</v>
      </c>
      <c r="F13" s="50">
        <f>'10a'!F33/'1a'!F16*100</f>
        <v>11.018436824812316</v>
      </c>
      <c r="G13" s="50">
        <f>'10a'!G33/'1a'!O16*100</f>
        <v>46.458652401258234</v>
      </c>
    </row>
    <row r="14" spans="1:7">
      <c r="A14" s="66">
        <v>1991</v>
      </c>
      <c r="B14" s="50">
        <f>'10a'!B34/'1a'!B17*100</f>
        <v>4.979745496675533</v>
      </c>
      <c r="C14" s="50">
        <f>'10a'!C34/'1a'!C17*100</f>
        <v>10.745143328301594</v>
      </c>
      <c r="D14" s="50">
        <f>'10a'!D34/'1a'!D17*100</f>
        <v>18.581955612347006</v>
      </c>
      <c r="E14" s="50">
        <f>'10a'!E34/'1a'!E17*100</f>
        <v>1.0726463782805411</v>
      </c>
      <c r="F14" s="50">
        <f>'10a'!F34/'1a'!F17*100</f>
        <v>6.9426680652975605</v>
      </c>
      <c r="G14" s="50">
        <f>'10a'!G34/'1a'!O17*100</f>
        <v>34.581355643541514</v>
      </c>
    </row>
    <row r="15" spans="1:7">
      <c r="A15" s="66">
        <v>1992</v>
      </c>
      <c r="B15" s="50">
        <f>'10a'!B35/'1a'!B18*100</f>
        <v>4.6543943472728211</v>
      </c>
      <c r="C15" s="50">
        <f>'10a'!C35/'1a'!C18*100</f>
        <v>8.1546931480068405</v>
      </c>
      <c r="D15" s="50">
        <f>'10a'!D35/'1a'!D18*100</f>
        <v>13.189704760645723</v>
      </c>
      <c r="E15" s="50">
        <f>'10a'!E35/'1a'!E18*100</f>
        <v>3.9634553630872831</v>
      </c>
      <c r="F15" s="50">
        <f>'10a'!F35/'1a'!F18*100</f>
        <v>7.0553846328940644</v>
      </c>
      <c r="G15" s="50">
        <f>'10a'!G35/'1a'!O18*100</f>
        <v>21.649907304012803</v>
      </c>
    </row>
    <row r="16" spans="1:7">
      <c r="A16" s="66">
        <v>1993</v>
      </c>
      <c r="B16" s="50">
        <f>'10a'!B36/'1a'!B19*100</f>
        <v>4.2241701254691133</v>
      </c>
      <c r="C16" s="50">
        <f>'10a'!C36/'1a'!C19*100</f>
        <v>7.4920522039515616</v>
      </c>
      <c r="D16" s="50">
        <f>'10a'!D36/'1a'!D19*100</f>
        <v>12.29840395618819</v>
      </c>
      <c r="E16" s="50">
        <f>'10a'!E36/'1a'!E19*100</f>
        <v>6.517399127302073</v>
      </c>
      <c r="F16" s="50">
        <f>'10a'!F36/'1a'!F19*100</f>
        <v>8.8449254250028115</v>
      </c>
      <c r="G16" s="50">
        <f>'10a'!G36/'1a'!O19*100</f>
        <v>17.22836773228255</v>
      </c>
    </row>
    <row r="17" spans="1:7">
      <c r="A17" s="66">
        <v>1994</v>
      </c>
      <c r="B17" s="50">
        <f>'10a'!B37/'1a'!B20*100</f>
        <v>4.2690128049932401</v>
      </c>
      <c r="C17" s="50">
        <f>'10a'!C37/'1a'!C20*100</f>
        <v>8.1158627160319572</v>
      </c>
      <c r="D17" s="50">
        <f>'10a'!D37/'1a'!D20*100</f>
        <v>15.673324977610145</v>
      </c>
      <c r="E17" s="50">
        <f>'10a'!E37/'1a'!E20*100</f>
        <v>8.1953320407505714</v>
      </c>
      <c r="F17" s="50">
        <f>'10a'!F37/'1a'!F20*100</f>
        <v>15.895885164576921</v>
      </c>
      <c r="G17" s="50">
        <f>'10a'!G37/'1a'!O20*100</f>
        <v>18.678322341056031</v>
      </c>
    </row>
    <row r="18" spans="1:7">
      <c r="A18" s="66">
        <v>1995</v>
      </c>
      <c r="B18" s="50">
        <f>'10a'!B38/'1a'!B21*100</f>
        <v>4.3742895434093434</v>
      </c>
      <c r="C18" s="50">
        <f>'10a'!C38/'1a'!C21*100</f>
        <v>8.6573615107737787</v>
      </c>
      <c r="D18" s="50">
        <f>'10a'!D38/'1a'!D21*100</f>
        <v>21.831852602311216</v>
      </c>
      <c r="E18" s="50">
        <f>'10a'!E38/'1a'!E21*100</f>
        <v>6.6864879980003007</v>
      </c>
      <c r="F18" s="50">
        <f>'10a'!F38/'1a'!F21*100</f>
        <v>22.753569023335231</v>
      </c>
      <c r="G18" s="50">
        <f>'10a'!G38/'1a'!O21*100</f>
        <v>27.97118332882879</v>
      </c>
    </row>
    <row r="19" spans="1:7">
      <c r="A19" s="66">
        <v>1996</v>
      </c>
      <c r="B19" s="50">
        <f>'10a'!B39/'1a'!B22*100</f>
        <v>4.5064917998617826</v>
      </c>
      <c r="C19" s="50">
        <f>'10a'!C39/'1a'!C22*100</f>
        <v>8.6989105434013982</v>
      </c>
      <c r="D19" s="50">
        <f>'10a'!D39/'1a'!D22*100</f>
        <v>18.324166750803407</v>
      </c>
      <c r="E19" s="50">
        <f>'10a'!E39/'1a'!E22*100</f>
        <v>6.6682188061357142</v>
      </c>
      <c r="F19" s="50">
        <f>'10a'!F39/'1a'!F22*100</f>
        <v>15.105137907702476</v>
      </c>
      <c r="G19" s="50">
        <f>'10a'!G39/'1a'!O22*100</f>
        <v>25.202125244085199</v>
      </c>
    </row>
    <row r="20" spans="1:7">
      <c r="A20" s="66">
        <v>1997</v>
      </c>
      <c r="B20" s="50">
        <f>'10a'!B40/'1a'!B23*100</f>
        <v>5.1162682770437824</v>
      </c>
      <c r="C20" s="50">
        <f>'10a'!C40/'1a'!C23*100</f>
        <v>9.3232937527289721</v>
      </c>
      <c r="D20" s="50">
        <f>'10a'!D40/'1a'!D23*100</f>
        <v>16.045909379590537</v>
      </c>
      <c r="E20" s="50">
        <f>'10a'!E40/'1a'!E23*100</f>
        <v>4.7202938760347024</v>
      </c>
      <c r="F20" s="50">
        <f>'10a'!F40/'1a'!F23*100</f>
        <v>13.867133958261185</v>
      </c>
      <c r="G20" s="50">
        <f>'10a'!G40/'1a'!O23*100</f>
        <v>22.568412137960902</v>
      </c>
    </row>
    <row r="21" spans="1:7">
      <c r="A21" s="66">
        <v>1998</v>
      </c>
      <c r="B21" s="50">
        <f>'10a'!B41/'1a'!B24*100</f>
        <v>5.2116663796154947</v>
      </c>
      <c r="C21" s="50">
        <f>'10a'!C41/'1a'!C24*100</f>
        <v>9.1916171861035671</v>
      </c>
      <c r="D21" s="50">
        <f>'10a'!D41/'1a'!D24*100</f>
        <v>12.752944160812049</v>
      </c>
      <c r="E21" s="50">
        <f>'10a'!E41/'1a'!E24*100</f>
        <v>5.7168562185076972</v>
      </c>
      <c r="F21" s="50">
        <f>'10a'!F41/'1a'!F24*100</f>
        <v>9.5775749625173301</v>
      </c>
      <c r="G21" s="50">
        <f>'10a'!G41/'1a'!O24*100</f>
        <v>18.601267625105606</v>
      </c>
    </row>
    <row r="22" spans="1:7">
      <c r="A22" s="66">
        <v>1999</v>
      </c>
      <c r="B22" s="50">
        <f>'10a'!B42/'1a'!B25*100</f>
        <v>5.02538949340257</v>
      </c>
      <c r="C22" s="50">
        <f>'10a'!C42/'1a'!C25*100</f>
        <v>7.6423436086336798</v>
      </c>
      <c r="D22" s="50">
        <f>'10a'!D42/'1a'!D25*100</f>
        <v>10.021090431870418</v>
      </c>
      <c r="E22" s="50">
        <f>'10a'!E42/'1a'!E25*100</f>
        <v>4.8248650205661487</v>
      </c>
      <c r="F22" s="50">
        <f>'10a'!F42/'1a'!F25*100</f>
        <v>7.5568881728446318</v>
      </c>
      <c r="G22" s="50">
        <f>'10a'!G42/'1a'!O25*100</f>
        <v>14.246913530354602</v>
      </c>
    </row>
    <row r="23" spans="1:7">
      <c r="A23" s="66">
        <v>2000</v>
      </c>
      <c r="B23" s="50">
        <f>'10a'!B43/'1a'!B26*100</f>
        <v>4.9775854918472699</v>
      </c>
      <c r="C23" s="50">
        <f>'10a'!C43/'1a'!C26*100</f>
        <v>6.7936292262983269</v>
      </c>
      <c r="D23" s="50">
        <f>'10a'!D43/'1a'!D26*100</f>
        <v>11.739865430779025</v>
      </c>
      <c r="E23" s="50">
        <f>'10a'!E43/'1a'!E26*100</f>
        <v>4.2643608108286744</v>
      </c>
      <c r="F23" s="50">
        <f>'10a'!F43/'1a'!F26*100</f>
        <v>12.500197157260438</v>
      </c>
      <c r="G23" s="50">
        <f>'10a'!G43/'1a'!O26*100</f>
        <v>14.240534943917172</v>
      </c>
    </row>
    <row r="24" spans="1:7">
      <c r="A24" s="66">
        <v>2001</v>
      </c>
      <c r="B24" s="50">
        <f>'10a'!B44/'1a'!B27*100</f>
        <v>4.731855156897562</v>
      </c>
      <c r="C24" s="50">
        <f>'10a'!C44/'1a'!C27*100</f>
        <v>5.5619000194060106</v>
      </c>
      <c r="D24" s="50">
        <f>'10a'!D44/'1a'!D27*100</f>
        <v>8.0340481009930222</v>
      </c>
      <c r="E24" s="50">
        <f>'10a'!E44/'1a'!E27*100</f>
        <v>2.9016880146975321</v>
      </c>
      <c r="F24" s="50">
        <f>'10a'!F44/'1a'!F27*100</f>
        <v>5.969384679474925</v>
      </c>
      <c r="G24" s="50">
        <f>'10a'!G44/'1a'!O27*100</f>
        <v>12.250353808294062</v>
      </c>
    </row>
    <row r="25" spans="1:7">
      <c r="A25" s="66">
        <v>2002</v>
      </c>
      <c r="B25" s="50">
        <f>'10a'!B45/'1a'!B28*100</f>
        <v>4.4178383696127623</v>
      </c>
      <c r="C25" s="50">
        <f>'10a'!C45/'1a'!C28*100</f>
        <v>5.1275463646826216</v>
      </c>
      <c r="D25" s="50">
        <f>'10a'!D45/'1a'!D28*100</f>
        <v>6.2433087260439528</v>
      </c>
      <c r="E25" s="50">
        <f>'10a'!E45/'1a'!E28*100</f>
        <v>3.7801949519622404</v>
      </c>
      <c r="F25" s="50">
        <f>'10a'!F45/'1a'!F28*100</f>
        <v>4.811617121017564</v>
      </c>
      <c r="G25" s="50">
        <f>'10a'!G45/'1a'!O28*100</f>
        <v>8.7227905830149162</v>
      </c>
    </row>
    <row r="26" spans="1:7">
      <c r="A26" s="66">
        <v>2003</v>
      </c>
      <c r="B26" s="50">
        <f>'10a'!B46/'1a'!B29*100</f>
        <v>4.6724264538342268</v>
      </c>
      <c r="C26" s="50">
        <f>'10a'!C46/'1a'!C29*100</f>
        <v>6.328489496285</v>
      </c>
      <c r="D26" s="50">
        <f>'10a'!D46/'1a'!D29*100</f>
        <v>9.5009560315550239</v>
      </c>
      <c r="E26" s="50">
        <f>'10a'!E46/'1a'!E29*100</f>
        <v>3.6228307897663043</v>
      </c>
      <c r="F26" s="50">
        <f>'10a'!F46/'1a'!F29*100</f>
        <v>6.9754628764061621</v>
      </c>
      <c r="G26" s="50">
        <f>'10a'!G46/'1a'!O29*100</f>
        <v>14.511024628261222</v>
      </c>
    </row>
    <row r="27" spans="1:7">
      <c r="A27" s="66">
        <v>2004</v>
      </c>
      <c r="B27" s="50">
        <f>'10a'!B47/'1a'!B30*100</f>
        <v>5.0322376930981418</v>
      </c>
      <c r="C27" s="50">
        <f>'10a'!C47/'1a'!C30*100</f>
        <v>6.3121997866970245</v>
      </c>
      <c r="D27" s="50">
        <f>'10a'!D47/'1a'!D30*100</f>
        <v>7.1454313800451992</v>
      </c>
      <c r="E27" s="50">
        <f>'10a'!E47/'1a'!E30*100</f>
        <v>3.5079315494495771</v>
      </c>
      <c r="F27" s="50">
        <f>'10a'!F47/'1a'!F30*100</f>
        <v>8.291493279962749</v>
      </c>
      <c r="G27" s="50">
        <f>'10a'!G47/'1a'!O30*100</f>
        <v>7.7212642875309019</v>
      </c>
    </row>
    <row r="28" spans="1:7">
      <c r="A28" s="66">
        <v>2005</v>
      </c>
      <c r="B28" s="50">
        <f>'10a'!B48/'1a'!B31*100</f>
        <v>5.6101828602550903</v>
      </c>
      <c r="C28" s="50">
        <f>'10a'!C48/'1a'!C31*100</f>
        <v>7.003266068522823</v>
      </c>
      <c r="D28" s="50">
        <f>'10a'!D48/'1a'!D31*100</f>
        <v>8.6796057449696118</v>
      </c>
      <c r="E28" s="50">
        <f>'10a'!E48/'1a'!E31*100</f>
        <v>3.7095391394468908</v>
      </c>
      <c r="F28" s="50">
        <f>'10a'!F48/'1a'!F31*100</f>
        <v>10.01203349472925</v>
      </c>
      <c r="G28" s="50">
        <f>'10a'!G48/'1a'!O31*100</f>
        <v>9.6349672813046823</v>
      </c>
    </row>
    <row r="29" spans="1:7">
      <c r="A29" s="66">
        <v>2006</v>
      </c>
      <c r="B29" s="50">
        <f>'10a'!B49/'1a'!B32*100</f>
        <v>6.0628530240673477</v>
      </c>
      <c r="C29" s="50">
        <f>'10a'!C49/'1a'!C32*100</f>
        <v>7.1109943300362373</v>
      </c>
      <c r="D29" s="50">
        <f>'10a'!D49/'1a'!D32*100</f>
        <v>8.7866689031277936</v>
      </c>
      <c r="E29" s="50">
        <f>'10a'!E49/'1a'!E32*100</f>
        <v>4.0524328275874444</v>
      </c>
      <c r="F29" s="50">
        <f>'10a'!F49/'1a'!F32*100</f>
        <v>9.3957548566617053</v>
      </c>
      <c r="G29" s="50">
        <f>'10a'!G49/'1a'!O32*100</f>
        <v>10.495641895588665</v>
      </c>
    </row>
    <row r="30" spans="1:7">
      <c r="A30" s="66">
        <v>2007</v>
      </c>
      <c r="B30" s="50">
        <f>'10a'!B50/'1a'!B33*100</f>
        <v>6.124930290523193</v>
      </c>
      <c r="C30" s="50">
        <f>'10a'!C50/'1a'!C33*100</f>
        <v>7.489017775629665</v>
      </c>
      <c r="D30" s="50">
        <f>'10a'!D50/'1a'!D33*100</f>
        <v>7.9072182793837626</v>
      </c>
      <c r="E30" s="50">
        <f>'10a'!E50/'1a'!E33*100</f>
        <v>2.315188970763014</v>
      </c>
      <c r="F30" s="50">
        <f>'10a'!F50/'1a'!F33*100</f>
        <v>8.0880672967078606</v>
      </c>
      <c r="G30" s="50">
        <f>'10a'!G50/'1a'!O33*100</f>
        <v>10.256686798964624</v>
      </c>
    </row>
    <row r="31" spans="1:7">
      <c r="A31" s="66">
        <v>2008</v>
      </c>
      <c r="B31" s="50">
        <f>'10a'!B51/'1a'!B34*100</f>
        <v>6.2327561706496946</v>
      </c>
      <c r="C31" s="50">
        <f>'10a'!C51/'1a'!C34*100</f>
        <v>7.8978716645489193</v>
      </c>
      <c r="D31" s="50">
        <f>'10a'!D51/'1a'!D34*100</f>
        <v>7.2459031921947528</v>
      </c>
      <c r="E31" s="50">
        <f>'10a'!E51/'1a'!E34*100</f>
        <v>3.9544303797468352</v>
      </c>
      <c r="F31" s="50">
        <f>'10a'!F51/'1a'!F34*100</f>
        <v>6.724137931034484</v>
      </c>
      <c r="G31" s="50">
        <f>'10a'!G51/'1a'!O34*100</f>
        <v>9.2832167832167833</v>
      </c>
    </row>
    <row r="32" spans="1:7">
      <c r="A32" s="66">
        <v>2009</v>
      </c>
      <c r="B32" s="50">
        <f>'10a'!B52/'1a'!B35*100</f>
        <v>5.2186435838689684</v>
      </c>
      <c r="C32" s="50">
        <f>'10a'!C52/'1a'!C35*100</f>
        <v>6.2203925623891463</v>
      </c>
      <c r="D32" s="50">
        <f>'10a'!D52/'1a'!D35*100</f>
        <v>4.9991263323431765</v>
      </c>
      <c r="E32" s="50">
        <f>'10a'!E52/'1a'!E35*100</f>
        <v>3.564356435643564</v>
      </c>
      <c r="F32" s="50">
        <f>'10a'!F52/'1a'!F35*100</f>
        <v>4.0472127417519914</v>
      </c>
      <c r="G32" s="50">
        <f>'10a'!G52/'1a'!O35*100</f>
        <v>6.5526945265231467</v>
      </c>
    </row>
    <row r="33" spans="1:7">
      <c r="A33" s="66">
        <v>2010</v>
      </c>
      <c r="B33" s="50">
        <f>'10a'!B53/'1a'!B36*100</f>
        <v>5.7305974221976674</v>
      </c>
      <c r="C33" s="50">
        <f>'10a'!C53/'1a'!C36*100</f>
        <v>6.556082441126712</v>
      </c>
      <c r="D33" s="50">
        <f>'10a'!D53/'1a'!D36*100</f>
        <v>6.3533733052449639</v>
      </c>
      <c r="E33" s="50">
        <f>'10a'!E53/'1a'!E36*100</f>
        <v>4.0669856459330145</v>
      </c>
      <c r="F33" s="50">
        <f>'10a'!F53/'1a'!F36*100</f>
        <v>6.3522902727740611</v>
      </c>
      <c r="G33" s="50">
        <f>'10a'!G53/'1a'!O36*100</f>
        <v>7.4846967167501388</v>
      </c>
    </row>
    <row r="34" spans="1:7">
      <c r="A34" s="66">
        <v>2011</v>
      </c>
      <c r="B34" s="50">
        <f>'10a'!B54/'1a'!B37*100</f>
        <v>6.1965137309700866</v>
      </c>
      <c r="C34" s="50">
        <f>'10a'!C54/'1a'!C37*100</f>
        <v>7.9875707508785458</v>
      </c>
      <c r="D34" s="50">
        <f>'10a'!D54/'1a'!D37*100</f>
        <v>8.5407771135781374</v>
      </c>
      <c r="E34" s="50">
        <f>'10a'!E54/'1a'!E37*100</f>
        <v>3.9474362277763455</v>
      </c>
      <c r="F34" s="50">
        <f>'10a'!F54/'1a'!F37*100</f>
        <v>8.6957077158916718</v>
      </c>
      <c r="G34" s="50">
        <f>'10a'!G54/'1a'!O37*100</f>
        <v>10.905080404155401</v>
      </c>
    </row>
    <row r="35" spans="1:7">
      <c r="A35" s="66">
        <v>2012</v>
      </c>
      <c r="B35" s="50">
        <f>'10a'!B55/'1a'!B38*100</f>
        <v>6.1676861274564869</v>
      </c>
      <c r="C35" s="50">
        <f>'10a'!C55/'1a'!C38*100</f>
        <v>8.0254765775084973</v>
      </c>
      <c r="D35" s="50">
        <f>'10a'!D55/'1a'!D38*100</f>
        <v>8.823876751301734</v>
      </c>
      <c r="E35" s="50">
        <f>'10a'!E55/'1a'!E38*100</f>
        <v>3.0273282037675773</v>
      </c>
      <c r="F35" s="50">
        <f>'10a'!F55/'1a'!F38*100</f>
        <v>9.4007628891349828</v>
      </c>
      <c r="G35" s="50">
        <f>'10a'!G55/'1a'!O38*100</f>
        <v>11.372345165602258</v>
      </c>
    </row>
    <row r="37" spans="1:7">
      <c r="A37" s="66" t="s">
        <v>1621</v>
      </c>
      <c r="B37" s="56"/>
      <c r="C37" s="56"/>
    </row>
    <row r="38" spans="1:7">
      <c r="A38" s="69" t="s">
        <v>2117</v>
      </c>
      <c r="B38" s="147">
        <f>AVERAGE(B4:B35)</f>
        <v>5.0655486246836379</v>
      </c>
      <c r="C38" s="147">
        <f>AVERAGE(C4:C35)</f>
        <v>8.1745268826247521</v>
      </c>
      <c r="D38" s="147" t="s">
        <v>22</v>
      </c>
      <c r="E38" s="147" t="s">
        <v>22</v>
      </c>
      <c r="F38" s="147">
        <f t="shared" ref="F38" si="0">AVERAGE(F4:F35)</f>
        <v>9.6902082456555547</v>
      </c>
      <c r="G38" s="147">
        <f>AVERAGE(G4:G35)</f>
        <v>20.162509078749743</v>
      </c>
    </row>
    <row r="39" spans="1:7">
      <c r="A39" s="68" t="s">
        <v>25</v>
      </c>
      <c r="B39" s="147">
        <f>AVERAGE(B4:B12)</f>
        <v>4.8453461181291804</v>
      </c>
      <c r="C39" s="147">
        <f>AVERAGE(C4:C12)</f>
        <v>9.3683199493945075</v>
      </c>
      <c r="D39" s="147" t="s">
        <v>22</v>
      </c>
      <c r="E39" s="147" t="s">
        <v>22</v>
      </c>
      <c r="F39" s="147">
        <f>AVERAGE(F4:F12)</f>
        <v>10.022770823436163</v>
      </c>
      <c r="G39" s="147">
        <f>AVERAGE(G4:G12)</f>
        <v>29.398053934264617</v>
      </c>
    </row>
    <row r="40" spans="1:7">
      <c r="A40" s="69" t="s">
        <v>2119</v>
      </c>
      <c r="B40" s="147">
        <f>AVERAGE(B12:B35)</f>
        <v>5.1596458215970493</v>
      </c>
      <c r="C40" s="147">
        <f t="shared" ref="C40:G40" si="1">AVERAGE(C12:C35)</f>
        <v>7.8682078810164251</v>
      </c>
      <c r="D40" s="147">
        <f t="shared" si="1"/>
        <v>12.367451347489853</v>
      </c>
      <c r="E40" s="147">
        <f t="shared" si="1"/>
        <v>4.2441663729669568</v>
      </c>
      <c r="F40" s="147">
        <f t="shared" si="1"/>
        <v>9.6573464241687237</v>
      </c>
      <c r="G40" s="147">
        <f t="shared" si="1"/>
        <v>18.240658513352415</v>
      </c>
    </row>
    <row r="41" spans="1:7">
      <c r="A41" s="228" t="s">
        <v>26</v>
      </c>
      <c r="B41" s="147">
        <f t="shared" ref="B41:G41" si="2">AVERAGE(B12:B23)</f>
        <v>4.8027482362414959</v>
      </c>
      <c r="C41" s="147">
        <f t="shared" si="2"/>
        <v>8.9346817755569159</v>
      </c>
      <c r="D41" s="147">
        <f t="shared" si="2"/>
        <v>17.046544873247939</v>
      </c>
      <c r="E41" s="147">
        <f t="shared" si="2"/>
        <v>4.9508041512222176</v>
      </c>
      <c r="F41" s="147">
        <f t="shared" si="2"/>
        <v>11.91769908537516</v>
      </c>
      <c r="G41" s="147">
        <f t="shared" si="2"/>
        <v>26.548753453437595</v>
      </c>
    </row>
    <row r="42" spans="1:7">
      <c r="A42" s="229" t="s">
        <v>2028</v>
      </c>
      <c r="B42" s="147">
        <f>AVERAGE(B23:B35)</f>
        <v>5.4750851057906544</v>
      </c>
      <c r="C42" s="147">
        <f t="shared" ref="C42:G42" si="3">AVERAGE(C23:C35)</f>
        <v>6.8011105433853478</v>
      </c>
      <c r="D42" s="147">
        <f t="shared" si="3"/>
        <v>8.0000122531969353</v>
      </c>
      <c r="E42" s="147">
        <f t="shared" si="3"/>
        <v>3.5934387651822322</v>
      </c>
      <c r="F42" s="147">
        <f t="shared" si="3"/>
        <v>7.7895478702159879</v>
      </c>
      <c r="G42" s="147">
        <f t="shared" si="3"/>
        <v>10.263945986394152</v>
      </c>
    </row>
    <row r="44" spans="1:7">
      <c r="A44" s="64" t="s">
        <v>1637</v>
      </c>
    </row>
  </sheetData>
  <mergeCells count="4">
    <mergeCell ref="A1:G1"/>
    <mergeCell ref="B2:B3"/>
    <mergeCell ref="D2:G2"/>
    <mergeCell ref="C2:C3"/>
  </mergeCells>
  <pageMargins left="0.7" right="0.7" top="0.75" bottom="0.75" header="0.3" footer="0.3"/>
  <pageSetup scale="91" orientation="portrait" horizontalDpi="0" verticalDpi="0" r:id="rId1"/>
</worksheet>
</file>

<file path=xl/worksheets/sheet85.xml><?xml version="1.0" encoding="utf-8"?>
<worksheet xmlns="http://schemas.openxmlformats.org/spreadsheetml/2006/main" xmlns:r="http://schemas.openxmlformats.org/officeDocument/2006/relationships">
  <sheetPr codeName="Sheet78"/>
  <dimension ref="A1:H44"/>
  <sheetViews>
    <sheetView view="pageBreakPreview" zoomScale="85" zoomScaleNormal="100" zoomScaleSheetLayoutView="85" workbookViewId="0">
      <pane xSplit="1" ySplit="3" topLeftCell="B4"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3.28515625" style="64" customWidth="1"/>
    <col min="2" max="2" width="16.42578125" style="135" customWidth="1"/>
    <col min="3" max="3" width="14.140625" style="135" customWidth="1"/>
    <col min="4" max="4" width="16" style="135" customWidth="1"/>
    <col min="5" max="5" width="11.28515625" style="135" customWidth="1"/>
    <col min="6" max="6" width="15.140625" style="135" customWidth="1"/>
    <col min="7" max="7" width="14.140625" style="135" customWidth="1"/>
    <col min="8" max="8" width="9.140625" style="135"/>
    <col min="9" max="16384" width="9.140625" style="64"/>
  </cols>
  <sheetData>
    <row r="1" spans="1:7" ht="30" customHeight="1">
      <c r="A1" s="93" t="s">
        <v>2072</v>
      </c>
      <c r="B1" s="93"/>
      <c r="C1" s="93"/>
      <c r="D1" s="93"/>
      <c r="E1" s="93"/>
      <c r="F1" s="93"/>
      <c r="G1" s="93"/>
    </row>
    <row r="2" spans="1:7" ht="15" customHeight="1">
      <c r="B2" s="123" t="s">
        <v>1619</v>
      </c>
      <c r="C2" s="123" t="s">
        <v>938</v>
      </c>
      <c r="D2" s="159" t="s">
        <v>37</v>
      </c>
      <c r="E2" s="160"/>
      <c r="F2" s="160"/>
      <c r="G2" s="161"/>
    </row>
    <row r="3" spans="1:7" ht="60">
      <c r="B3" s="126"/>
      <c r="C3" s="126"/>
      <c r="D3" s="72" t="s">
        <v>78</v>
      </c>
      <c r="E3" s="72" t="s">
        <v>750</v>
      </c>
      <c r="F3" s="72" t="s">
        <v>745</v>
      </c>
      <c r="G3" s="72" t="s">
        <v>678</v>
      </c>
    </row>
    <row r="4" spans="1:7" hidden="1" outlineLevel="1">
      <c r="A4" s="66">
        <v>1981</v>
      </c>
      <c r="B4" s="50">
        <f>'10k'!B24/'1a'!B7*100</f>
        <v>4.6769530771963446</v>
      </c>
      <c r="C4" s="50">
        <f>'10k'!C24/'1a'!C7*100</f>
        <v>9.132000993540105</v>
      </c>
      <c r="D4" s="50" t="s">
        <v>22</v>
      </c>
      <c r="E4" s="50" t="s">
        <v>22</v>
      </c>
      <c r="F4" s="50">
        <f>'10k'!F24/'1a'!F7*100</f>
        <v>13.498207216547467</v>
      </c>
      <c r="G4" s="50">
        <f>'10k'!G24/'1a'!O7*100</f>
        <v>21.235293966943264</v>
      </c>
    </row>
    <row r="5" spans="1:7" hidden="1" outlineLevel="1">
      <c r="A5" s="66">
        <v>1982</v>
      </c>
      <c r="B5" s="50">
        <f>'10k'!B25/'1a'!B8*100</f>
        <v>4.9097560108112006</v>
      </c>
      <c r="C5" s="50">
        <f>'10k'!C25/'1a'!C8*100</f>
        <v>10.511624214712409</v>
      </c>
      <c r="D5" s="50" t="s">
        <v>22</v>
      </c>
      <c r="E5" s="50" t="s">
        <v>22</v>
      </c>
      <c r="F5" s="50">
        <f>'10k'!F25/'1a'!F8*100</f>
        <v>15.462024158156867</v>
      </c>
      <c r="G5" s="50">
        <f>'10k'!G25/'1a'!O8*100</f>
        <v>25.557630779967592</v>
      </c>
    </row>
    <row r="6" spans="1:7" hidden="1" outlineLevel="1">
      <c r="A6" s="66">
        <v>1983</v>
      </c>
      <c r="B6" s="50">
        <f>'10k'!B26/'1a'!B9*100</f>
        <v>4.7777952396165366</v>
      </c>
      <c r="C6" s="50">
        <f>'10k'!C26/'1a'!C9*100</f>
        <v>9.8093852582448005</v>
      </c>
      <c r="D6" s="50" t="s">
        <v>22</v>
      </c>
      <c r="E6" s="50" t="s">
        <v>22</v>
      </c>
      <c r="F6" s="50">
        <f>'10k'!F26/'1a'!F9*100</f>
        <v>11.745782233960085</v>
      </c>
      <c r="G6" s="50">
        <f>'10k'!G26/'1a'!O9*100</f>
        <v>22.595594366113289</v>
      </c>
    </row>
    <row r="7" spans="1:7" hidden="1" outlineLevel="1">
      <c r="A7" s="66">
        <v>1984</v>
      </c>
      <c r="B7" s="50">
        <f>'10k'!B27/'1a'!B10*100</f>
        <v>4.5265596471775336</v>
      </c>
      <c r="C7" s="50">
        <f>'10k'!C27/'1a'!C10*100</f>
        <v>8.3337930431409202</v>
      </c>
      <c r="D7" s="50" t="s">
        <v>22</v>
      </c>
      <c r="E7" s="50" t="s">
        <v>22</v>
      </c>
      <c r="F7" s="50">
        <f>'10k'!F27/'1a'!F10*100</f>
        <v>9.960394130232892</v>
      </c>
      <c r="G7" s="50">
        <f>'10k'!G27/'1a'!O10*100</f>
        <v>20.553565828116991</v>
      </c>
    </row>
    <row r="8" spans="1:7" hidden="1" outlineLevel="1">
      <c r="A8" s="66">
        <v>1985</v>
      </c>
      <c r="B8" s="50">
        <f>'10k'!B28/'1a'!B11*100</f>
        <v>4.3202372172307788</v>
      </c>
      <c r="C8" s="50">
        <f>'10k'!C28/'1a'!C11*100</f>
        <v>7.7742655727405481</v>
      </c>
      <c r="D8" s="50" t="s">
        <v>22</v>
      </c>
      <c r="E8" s="50" t="s">
        <v>22</v>
      </c>
      <c r="F8" s="50">
        <f>'10k'!F28/'1a'!F11*100</f>
        <v>8.4558368586595876</v>
      </c>
      <c r="G8" s="50">
        <f>'10k'!G28/'1a'!O11*100</f>
        <v>20.650342366755009</v>
      </c>
    </row>
    <row r="9" spans="1:7" hidden="1" outlineLevel="1">
      <c r="A9" s="66">
        <v>1986</v>
      </c>
      <c r="B9" s="50">
        <f>'10k'!B29/'1a'!B12*100</f>
        <v>4.2401393626401873</v>
      </c>
      <c r="C9" s="50">
        <f>'10k'!C29/'1a'!C12*100</f>
        <v>7.8416334609742551</v>
      </c>
      <c r="D9" s="50">
        <f>'10k'!D29/'1a'!D12*100</f>
        <v>12.849415013097371</v>
      </c>
      <c r="E9" s="50">
        <f>'10k'!E29/'1a'!E12*100</f>
        <v>3.7818146966261805</v>
      </c>
      <c r="F9" s="50">
        <f>'10k'!F29/'1a'!F12*100</f>
        <v>8.2392578021989866</v>
      </c>
      <c r="G9" s="50">
        <f>'10k'!G29/'1a'!O12*100</f>
        <v>20.556757188426037</v>
      </c>
    </row>
    <row r="10" spans="1:7" hidden="1" outlineLevel="1">
      <c r="A10" s="66">
        <v>1987</v>
      </c>
      <c r="B10" s="50">
        <f>'10k'!B30/'1a'!B13*100</f>
        <v>4.1718137645923354</v>
      </c>
      <c r="C10" s="50">
        <f>'10k'!C30/'1a'!C13*100</f>
        <v>7.8269448140618634</v>
      </c>
      <c r="D10" s="50">
        <f>'10k'!D30/'1a'!D13*100</f>
        <v>12.107913578712767</v>
      </c>
      <c r="E10" s="50">
        <f>'10k'!E30/'1a'!E13*100</f>
        <v>3.1645692382051789</v>
      </c>
      <c r="F10" s="50">
        <f>'10k'!F30/'1a'!F13*100</f>
        <v>7.5118853301996484</v>
      </c>
      <c r="G10" s="50">
        <f>'10k'!G30/'1a'!O13*100</f>
        <v>20.885979950505462</v>
      </c>
    </row>
    <row r="11" spans="1:7" hidden="1" outlineLevel="1">
      <c r="A11" s="66">
        <v>1988</v>
      </c>
      <c r="B11" s="50">
        <f>'10k'!B31/'1a'!B14*100</f>
        <v>4.1864756232051281</v>
      </c>
      <c r="C11" s="50">
        <f>'10k'!C31/'1a'!C14*100</f>
        <v>7.7573146873723982</v>
      </c>
      <c r="D11" s="50">
        <f>'10k'!D31/'1a'!D14*100</f>
        <v>13.233500176467809</v>
      </c>
      <c r="E11" s="50">
        <f>'10k'!E31/'1a'!E14*100</f>
        <v>3.2314764508132732</v>
      </c>
      <c r="F11" s="50">
        <f>'10k'!F31/'1a'!F14*100</f>
        <v>8.2644738319636186</v>
      </c>
      <c r="G11" s="50">
        <f>'10k'!G31/'1a'!O14*100</f>
        <v>22.888536201180557</v>
      </c>
    </row>
    <row r="12" spans="1:7" collapsed="1">
      <c r="A12" s="66">
        <v>1989</v>
      </c>
      <c r="B12" s="50">
        <f>'10k'!B32/'1a'!B15*100</f>
        <v>4.3402966329256634</v>
      </c>
      <c r="C12" s="50">
        <f>'10k'!C32/'1a'!C15*100</f>
        <v>8.2152223602686796</v>
      </c>
      <c r="D12" s="50">
        <f>'10k'!D32/'1a'!D15*100</f>
        <v>15.696815823102156</v>
      </c>
      <c r="E12" s="50">
        <f>'10k'!E32/'1a'!E15*100</f>
        <v>3.3660877601235719</v>
      </c>
      <c r="F12" s="50">
        <f>'10k'!F32/'1a'!F15*100</f>
        <v>9.3919439759314098</v>
      </c>
      <c r="G12" s="50">
        <f>'10k'!G32/'1a'!O15*100</f>
        <v>27.71703206056857</v>
      </c>
    </row>
    <row r="13" spans="1:7">
      <c r="A13" s="66">
        <v>1990</v>
      </c>
      <c r="B13" s="50">
        <f>'10k'!B33/'1a'!B16*100</f>
        <v>4.4659829135922795</v>
      </c>
      <c r="C13" s="50">
        <f>'10k'!C33/'1a'!C16*100</f>
        <v>9.0692985048782688</v>
      </c>
      <c r="D13" s="50">
        <f>'10k'!D33/'1a'!D16*100</f>
        <v>18.787043092710633</v>
      </c>
      <c r="E13" s="50">
        <f>'10k'!E33/'1a'!E16*100</f>
        <v>3.8344582868014827</v>
      </c>
      <c r="F13" s="50">
        <f>'10k'!F33/'1a'!F16*100</f>
        <v>10.434668048328106</v>
      </c>
      <c r="G13" s="50">
        <f>'10k'!G33/'1a'!O16*100</f>
        <v>32.462407127483154</v>
      </c>
    </row>
    <row r="14" spans="1:7">
      <c r="A14" s="66">
        <v>1991</v>
      </c>
      <c r="B14" s="50">
        <f>'10k'!B34/'1a'!B17*100</f>
        <v>4.5775694542569862</v>
      </c>
      <c r="C14" s="50">
        <f>'10k'!C34/'1a'!C17*100</f>
        <v>10.05976146773741</v>
      </c>
      <c r="D14" s="50">
        <f>'10k'!D34/'1a'!D17*100</f>
        <v>21.199182430710291</v>
      </c>
      <c r="E14" s="50">
        <f>'10k'!E34/'1a'!E17*100</f>
        <v>3.8688854857770441</v>
      </c>
      <c r="F14" s="50">
        <f>'10k'!F34/'1a'!F17*100</f>
        <v>11.449028769692926</v>
      </c>
      <c r="G14" s="50">
        <f>'10k'!G34/'1a'!O17*100</f>
        <v>35.762145180564346</v>
      </c>
    </row>
    <row r="15" spans="1:7">
      <c r="A15" s="66">
        <v>1992</v>
      </c>
      <c r="B15" s="50">
        <f>'10k'!B35/'1a'!B18*100</f>
        <v>4.5664101960662151</v>
      </c>
      <c r="C15" s="50">
        <f>'10k'!C35/'1a'!C18*100</f>
        <v>9.89870935177135</v>
      </c>
      <c r="D15" s="50">
        <f>'10k'!D35/'1a'!D18*100</f>
        <v>19.768816270382384</v>
      </c>
      <c r="E15" s="50">
        <f>'10k'!E35/'1a'!E18*100</f>
        <v>3.4718640002237433</v>
      </c>
      <c r="F15" s="50">
        <f>'10k'!F35/'1a'!F18*100</f>
        <v>10.196982574045009</v>
      </c>
      <c r="G15" s="50">
        <f>'10k'!G35/'1a'!O18*100</f>
        <v>33.817687634383624</v>
      </c>
    </row>
    <row r="16" spans="1:7">
      <c r="A16" s="66">
        <v>1993</v>
      </c>
      <c r="B16" s="50">
        <f>'10k'!B36/'1a'!B19*100</f>
        <v>4.4660149360760526</v>
      </c>
      <c r="C16" s="50">
        <f>'10k'!C36/'1a'!C19*100</f>
        <v>9.1701596947172188</v>
      </c>
      <c r="D16" s="50">
        <f>'10k'!D36/'1a'!D19*100</f>
        <v>17.671028687442057</v>
      </c>
      <c r="E16" s="50">
        <f>'10k'!E36/'1a'!E19*100</f>
        <v>3.7766558041994047</v>
      </c>
      <c r="F16" s="50">
        <f>'10k'!F36/'1a'!F19*100</f>
        <v>9.4493178309728787</v>
      </c>
      <c r="G16" s="50">
        <f>'10k'!G36/'1a'!O19*100</f>
        <v>29.545220346457235</v>
      </c>
    </row>
    <row r="17" spans="1:7">
      <c r="A17" s="66">
        <v>1994</v>
      </c>
      <c r="B17" s="50">
        <f>'10k'!B37/'1a'!B20*100</f>
        <v>4.3024478735744989</v>
      </c>
      <c r="C17" s="50">
        <f>'10k'!C37/'1a'!C20*100</f>
        <v>8.4433303222544396</v>
      </c>
      <c r="D17" s="50">
        <f>'10k'!D37/'1a'!D20*100</f>
        <v>16.681732383760689</v>
      </c>
      <c r="E17" s="50">
        <f>'10k'!E37/'1a'!E20*100</f>
        <v>4.6250635729824374</v>
      </c>
      <c r="F17" s="50">
        <f>'10k'!F37/'1a'!F20*100</f>
        <v>9.9175633106164991</v>
      </c>
      <c r="G17" s="50">
        <f>'10k'!G37/'1a'!O20*100</f>
        <v>26.486563437214294</v>
      </c>
    </row>
    <row r="18" spans="1:7">
      <c r="A18" s="66">
        <v>1995</v>
      </c>
      <c r="B18" s="50">
        <f>'10k'!B38/'1a'!B21*100</f>
        <v>4.278551500929364</v>
      </c>
      <c r="C18" s="50">
        <f>'10k'!C38/'1a'!C21*100</f>
        <v>8.1638842721377021</v>
      </c>
      <c r="D18" s="50">
        <f>'10k'!D38/'1a'!D21*100</f>
        <v>17.263576183639735</v>
      </c>
      <c r="E18" s="50">
        <f>'10k'!E38/'1a'!E21*100</f>
        <v>5.1792977813911598</v>
      </c>
      <c r="F18" s="50">
        <f>'10k'!F38/'1a'!F21*100</f>
        <v>11.845051031171897</v>
      </c>
      <c r="G18" s="50">
        <f>'10k'!G38/'1a'!O21*100</f>
        <v>26.402571074140585</v>
      </c>
    </row>
    <row r="19" spans="1:7">
      <c r="A19" s="66">
        <v>1996</v>
      </c>
      <c r="B19" s="50">
        <f>'10k'!B39/'1a'!B22*100</f>
        <v>4.3210359546915234</v>
      </c>
      <c r="C19" s="50">
        <f>'10k'!C39/'1a'!C22*100</f>
        <v>8.2825620527531125</v>
      </c>
      <c r="D19" s="50">
        <f>'10k'!D39/'1a'!D22*100</f>
        <v>17.991509612757444</v>
      </c>
      <c r="E19" s="50">
        <f>'10k'!E39/'1a'!E22*100</f>
        <v>5.8937081094803325</v>
      </c>
      <c r="F19" s="50">
        <f>'10k'!F39/'1a'!F22*100</f>
        <v>12.971582082873443</v>
      </c>
      <c r="G19" s="50">
        <f>'10k'!G39/'1a'!O22*100</f>
        <v>26.310521774669638</v>
      </c>
    </row>
    <row r="20" spans="1:7">
      <c r="A20" s="66">
        <v>1997</v>
      </c>
      <c r="B20" s="50">
        <f>'10k'!B40/'1a'!B23*100</f>
        <v>4.3299941049647757</v>
      </c>
      <c r="C20" s="50">
        <f>'10k'!C40/'1a'!C23*100</f>
        <v>8.0682721510782578</v>
      </c>
      <c r="D20" s="50">
        <f>'10k'!D40/'1a'!D23*100</f>
        <v>16.941627957100508</v>
      </c>
      <c r="E20" s="50">
        <f>'10k'!E40/'1a'!E23*100</f>
        <v>5.4898250034010427</v>
      </c>
      <c r="F20" s="50">
        <f>'10k'!F40/'1a'!F23*100</f>
        <v>11.668195049825613</v>
      </c>
      <c r="G20" s="50">
        <f>'10k'!G40/'1a'!O23*100</f>
        <v>26.002782650777334</v>
      </c>
    </row>
    <row r="21" spans="1:7">
      <c r="A21" s="66">
        <v>1998</v>
      </c>
      <c r="B21" s="50">
        <f>'10k'!B41/'1a'!B24*100</f>
        <v>4.4379642490991582</v>
      </c>
      <c r="C21" s="50">
        <f>'10k'!C41/'1a'!C24*100</f>
        <v>8.0624022132999951</v>
      </c>
      <c r="D21" s="50">
        <f>'10k'!D41/'1a'!D24*100</f>
        <v>16.560173475803776</v>
      </c>
      <c r="E21" s="50">
        <f>'10k'!E41/'1a'!E24*100</f>
        <v>5.327465144188519</v>
      </c>
      <c r="F21" s="50">
        <f>'10k'!F41/'1a'!F24*100</f>
        <v>11.321869303720902</v>
      </c>
      <c r="G21" s="50">
        <f>'10k'!G41/'1a'!O24*100</f>
        <v>26.056647697773087</v>
      </c>
    </row>
    <row r="22" spans="1:7">
      <c r="A22" s="66">
        <v>1999</v>
      </c>
      <c r="B22" s="50">
        <f>'10k'!B42/'1a'!B25*100</f>
        <v>4.4658651231565729</v>
      </c>
      <c r="C22" s="50">
        <f>'10k'!C42/'1a'!C25*100</f>
        <v>7.6811081326266146</v>
      </c>
      <c r="D22" s="50">
        <f>'10k'!D42/'1a'!D25*100</f>
        <v>14.809862568630644</v>
      </c>
      <c r="E22" s="50">
        <f>'10k'!E42/'1a'!E25*100</f>
        <v>5.1334458771120257</v>
      </c>
      <c r="F22" s="50">
        <f>'10k'!F42/'1a'!F25*100</f>
        <v>10.31142577047903</v>
      </c>
      <c r="G22" s="50">
        <f>'10k'!G42/'1a'!O25*100</f>
        <v>22.623152883552613</v>
      </c>
    </row>
    <row r="23" spans="1:7">
      <c r="A23" s="66">
        <v>2000</v>
      </c>
      <c r="B23" s="50">
        <f>'10k'!B43/'1a'!B26*100</f>
        <v>4.465754492167811</v>
      </c>
      <c r="C23" s="50">
        <f>'10k'!C43/'1a'!C26*100</f>
        <v>6.966041850934479</v>
      </c>
      <c r="D23" s="50">
        <f>'10k'!D43/'1a'!D26*100</f>
        <v>13.350002381540365</v>
      </c>
      <c r="E23" s="50">
        <f>'10k'!E43/'1a'!E26*100</f>
        <v>4.7273872759875077</v>
      </c>
      <c r="F23" s="50">
        <f>'10k'!F43/'1a'!F26*100</f>
        <v>9.4395678628629316</v>
      </c>
      <c r="G23" s="50">
        <f>'10k'!G43/'1a'!O26*100</f>
        <v>20.528170836928389</v>
      </c>
    </row>
    <row r="24" spans="1:7">
      <c r="A24" s="66">
        <v>2001</v>
      </c>
      <c r="B24" s="50">
        <f>'10k'!B44/'1a'!B27*100</f>
        <v>4.5575575618099107</v>
      </c>
      <c r="C24" s="50">
        <f>'10k'!C44/'1a'!C27*100</f>
        <v>7.1892009729694184</v>
      </c>
      <c r="D24" s="50">
        <f>'10k'!D44/'1a'!D27*100</f>
        <v>13.334230295260626</v>
      </c>
      <c r="E24" s="50">
        <f>'10k'!E44/'1a'!E27*100</f>
        <v>4.4189399323904226</v>
      </c>
      <c r="F24" s="50">
        <f>'10k'!F44/'1a'!F27*100</f>
        <v>9.93638082722725</v>
      </c>
      <c r="G24" s="50">
        <f>'10k'!G44/'1a'!O27*100</f>
        <v>20.48880488387357</v>
      </c>
    </row>
    <row r="25" spans="1:7">
      <c r="A25" s="66">
        <v>2002</v>
      </c>
      <c r="B25" s="50">
        <f>'10k'!B45/'1a'!B28*100</f>
        <v>4.5002188157587044</v>
      </c>
      <c r="C25" s="50">
        <f>'10k'!C45/'1a'!C28*100</f>
        <v>6.8207860142867727</v>
      </c>
      <c r="D25" s="50">
        <f>'10k'!D45/'1a'!D28*100</f>
        <v>11.439928258142405</v>
      </c>
      <c r="E25" s="50">
        <f>'10k'!E45/'1a'!E28*100</f>
        <v>3.9473833559261076</v>
      </c>
      <c r="F25" s="50">
        <f>'10k'!F45/'1a'!F28*100</f>
        <v>8.2521654370523887</v>
      </c>
      <c r="G25" s="50">
        <f>'10k'!G45/'1a'!O28*100</f>
        <v>17.876494514975967</v>
      </c>
    </row>
    <row r="26" spans="1:7">
      <c r="A26" s="66">
        <v>2003</v>
      </c>
      <c r="B26" s="50">
        <f>'10k'!B46/'1a'!B29*100</f>
        <v>4.4636670968046817</v>
      </c>
      <c r="C26" s="50">
        <f>'10k'!C46/'1a'!C29*100</f>
        <v>6.703413628958363</v>
      </c>
      <c r="D26" s="50">
        <f>'10k'!D46/'1a'!D29*100</f>
        <v>10.853434458961269</v>
      </c>
      <c r="E26" s="50">
        <f>'10k'!E46/'1a'!E29*100</f>
        <v>3.8625769449714276</v>
      </c>
      <c r="F26" s="50">
        <f>'10k'!F46/'1a'!F29*100</f>
        <v>7.8203521032411887</v>
      </c>
      <c r="G26" s="50">
        <f>'10k'!G46/'1a'!O29*100</f>
        <v>16.841132875343511</v>
      </c>
    </row>
    <row r="27" spans="1:7">
      <c r="A27" s="66">
        <v>2004</v>
      </c>
      <c r="B27" s="50">
        <f>'10k'!B47/'1a'!B30*100</f>
        <v>4.4725654183773802</v>
      </c>
      <c r="C27" s="50">
        <f>'10k'!C47/'1a'!C30*100</f>
        <v>6.5624481318512951</v>
      </c>
      <c r="D27" s="50">
        <f>'10k'!D47/'1a'!D30*100</f>
        <v>10.150526757819286</v>
      </c>
      <c r="E27" s="50">
        <f>'10k'!E47/'1a'!E30*100</f>
        <v>3.5452720390356753</v>
      </c>
      <c r="F27" s="50">
        <f>'10k'!F47/'1a'!F30*100</f>
        <v>7.6258034085279789</v>
      </c>
      <c r="G27" s="50">
        <f>'10k'!G47/'1a'!O30*100</f>
        <v>15.738601272262787</v>
      </c>
    </row>
    <row r="28" spans="1:7">
      <c r="A28" s="66">
        <v>2005</v>
      </c>
      <c r="B28" s="50">
        <f>'10k'!B48/'1a'!B31*100</f>
        <v>4.6022950523868706</v>
      </c>
      <c r="C28" s="50">
        <f>'10k'!C48/'1a'!C31*100</f>
        <v>6.5445454385273463</v>
      </c>
      <c r="D28" s="50">
        <f>'10k'!D48/'1a'!D31*100</f>
        <v>9.5380705378347912</v>
      </c>
      <c r="E28" s="50">
        <f>'10k'!E48/'1a'!E31*100</f>
        <v>3.5184105300460256</v>
      </c>
      <c r="F28" s="50">
        <f>'10k'!F48/'1a'!F31*100</f>
        <v>7.6091454559942306</v>
      </c>
      <c r="G28" s="50">
        <f>'10k'!G48/'1a'!O31*100</f>
        <v>14.386749179565456</v>
      </c>
    </row>
    <row r="29" spans="1:7">
      <c r="A29" s="66">
        <v>2006</v>
      </c>
      <c r="B29" s="50">
        <f>'10k'!B49/'1a'!B32*100</f>
        <v>4.850176433121594</v>
      </c>
      <c r="C29" s="50">
        <f>'10k'!C49/'1a'!C32*100</f>
        <v>6.8064482120966066</v>
      </c>
      <c r="D29" s="50">
        <f>'10k'!D49/'1a'!D32*100</f>
        <v>9.9514804694692813</v>
      </c>
      <c r="E29" s="50">
        <f>'10k'!E49/'1a'!E32*100</f>
        <v>3.7291004211309993</v>
      </c>
      <c r="F29" s="50">
        <f>'10k'!F49/'1a'!F32*100</f>
        <v>8.1524195261082468</v>
      </c>
      <c r="G29" s="50">
        <f>'10k'!G49/'1a'!O32*100</f>
        <v>15.186769418424056</v>
      </c>
    </row>
    <row r="30" spans="1:7">
      <c r="A30" s="66">
        <v>2007</v>
      </c>
      <c r="B30" s="50">
        <f>'10k'!B50/'1a'!B33*100</f>
        <v>5.1087672364777248</v>
      </c>
      <c r="C30" s="50">
        <f>'10k'!C50/'1a'!C33*100</f>
        <v>7.1168036088287421</v>
      </c>
      <c r="D30" s="50">
        <f>'10k'!D50/'1a'!D33*100</f>
        <v>10.283451618487105</v>
      </c>
      <c r="E30" s="50">
        <f>'10k'!E50/'1a'!E33*100</f>
        <v>3.9220347040646546</v>
      </c>
      <c r="F30" s="50">
        <f>'10k'!F50/'1a'!F33*100</f>
        <v>9.1016720324021172</v>
      </c>
      <c r="G30" s="50">
        <f>'10k'!G50/'1a'!O33*100</f>
        <v>14.397109577221745</v>
      </c>
    </row>
    <row r="31" spans="1:7">
      <c r="A31" s="66">
        <v>2008</v>
      </c>
      <c r="B31" s="50">
        <f>'10k'!B51/'1a'!B34*100</f>
        <v>5.3647506593750061</v>
      </c>
      <c r="C31" s="50">
        <f>'10k'!C51/'1a'!C34*100</f>
        <v>7.6735795970230534</v>
      </c>
      <c r="D31" s="50">
        <f>'10k'!D51/'1a'!D34*100</f>
        <v>10.677275741214361</v>
      </c>
      <c r="E31" s="50">
        <f>'10k'!E51/'1a'!E34*100</f>
        <v>3.9139240506329109</v>
      </c>
      <c r="F31" s="50">
        <f>'10k'!F51/'1a'!F34*100</f>
        <v>9.7844827586206904</v>
      </c>
      <c r="G31" s="50">
        <f>'10k'!G51/'1a'!O34*100</f>
        <v>14.684149184149184</v>
      </c>
    </row>
    <row r="32" spans="1:7">
      <c r="A32" s="66">
        <v>2009</v>
      </c>
      <c r="B32" s="50">
        <f>'10k'!B52/'1a'!B35*100</f>
        <v>5.6342105446416753</v>
      </c>
      <c r="C32" s="50">
        <f>'10k'!C52/'1a'!C35*100</f>
        <v>8.6654318644422776</v>
      </c>
      <c r="D32" s="50">
        <f>'10k'!D52/'1a'!D35*100</f>
        <v>11.963422447434329</v>
      </c>
      <c r="E32" s="50">
        <f>'10k'!E52/'1a'!E35*100</f>
        <v>4.9075907590759078</v>
      </c>
      <c r="F32" s="50">
        <f>'10k'!F52/'1a'!F35*100</f>
        <v>10.773606370875996</v>
      </c>
      <c r="G32" s="50">
        <f>'10k'!G52/'1a'!O35*100</f>
        <v>16.148867313915858</v>
      </c>
    </row>
    <row r="33" spans="1:7">
      <c r="A33" s="66">
        <v>2010</v>
      </c>
      <c r="B33" s="50">
        <f>'10k'!B53/'1a'!B36*100</f>
        <v>5.4668274705061952</v>
      </c>
      <c r="C33" s="50">
        <f>'10k'!C53/'1a'!C36*100</f>
        <v>7.8215339779448998</v>
      </c>
      <c r="D33" s="50">
        <f>'10k'!D53/'1a'!D36*100</f>
        <v>10.030249014206234</v>
      </c>
      <c r="E33" s="50">
        <f>'10k'!E53/'1a'!E36*100</f>
        <v>4.0754292147481008</v>
      </c>
      <c r="F33" s="50">
        <f>'10k'!F53/'1a'!F36*100</f>
        <v>8.8059701492537314</v>
      </c>
      <c r="G33" s="50">
        <f>'10k'!G53/'1a'!O36*100</f>
        <v>14.297440178074568</v>
      </c>
    </row>
    <row r="34" spans="1:7">
      <c r="A34" s="66">
        <v>2011</v>
      </c>
      <c r="B34" s="50">
        <f>'10k'!B54/'1a'!B37*100</f>
        <v>5.5091275918228444</v>
      </c>
      <c r="C34" s="50">
        <f>'10k'!C54/'1a'!C37*100</f>
        <v>7.6283763012435282</v>
      </c>
      <c r="D34" s="50">
        <f>'10k'!D54/'1a'!D37*100</f>
        <v>9.4940222032450894</v>
      </c>
      <c r="E34" s="50">
        <f>'10k'!E54/'1a'!E37*100</f>
        <v>3.8057201752125733</v>
      </c>
      <c r="F34" s="50">
        <f>'10k'!F54/'1a'!F37*100</f>
        <v>8.5705160960654059</v>
      </c>
      <c r="G34" s="50">
        <f>'10k'!G54/'1a'!O37*100</f>
        <v>13.664437170912198</v>
      </c>
    </row>
    <row r="35" spans="1:7">
      <c r="A35" s="66">
        <v>2012</v>
      </c>
      <c r="B35" s="50">
        <f>'10k'!B55/'1a'!B38*100</f>
        <v>5.6254027160656435</v>
      </c>
      <c r="C35" s="50">
        <f>'10k'!C55/'1a'!C38*100</f>
        <v>7.6663218560662036</v>
      </c>
      <c r="D35" s="50">
        <f>'10k'!D55/'1a'!D38*100</f>
        <v>9.473938483010361</v>
      </c>
      <c r="E35" s="50">
        <f>'10k'!E55/'1a'!E38*100</f>
        <v>3.8498275404616611</v>
      </c>
      <c r="F35" s="50">
        <f>'10k'!F55/'1a'!F38*100</f>
        <v>8.4951396579303555</v>
      </c>
      <c r="G35" s="50">
        <f>'10k'!G55/'1a'!O38*100</f>
        <v>13.803653646220109</v>
      </c>
    </row>
    <row r="37" spans="1:7">
      <c r="A37" s="66" t="s">
        <v>1621</v>
      </c>
      <c r="B37" s="56"/>
      <c r="C37" s="56"/>
    </row>
    <row r="38" spans="1:7">
      <c r="A38" s="69" t="s">
        <v>2117</v>
      </c>
      <c r="B38" s="147">
        <f>AVERAGE(B4:B35)</f>
        <v>4.6557244990974738</v>
      </c>
      <c r="C38" s="147">
        <f>AVERAGE(C4:C35)</f>
        <v>8.0708313757338548</v>
      </c>
      <c r="D38" s="147" t="s">
        <v>22</v>
      </c>
      <c r="E38" s="147" t="s">
        <v>22</v>
      </c>
      <c r="F38" s="147">
        <f t="shared" ref="F38" si="0">AVERAGE(F4:F35)</f>
        <v>9.8894597186168536</v>
      </c>
      <c r="G38" s="147">
        <f>AVERAGE(G4:G35)</f>
        <v>21.75477539273313</v>
      </c>
    </row>
    <row r="39" spans="1:7">
      <c r="A39" s="68" t="s">
        <v>25</v>
      </c>
      <c r="B39" s="147">
        <f>AVERAGE(B4:B12)</f>
        <v>4.4611140639328575</v>
      </c>
      <c r="C39" s="147">
        <f>AVERAGE(C4:C12)</f>
        <v>8.5780204894506653</v>
      </c>
      <c r="D39" s="147" t="s">
        <v>22</v>
      </c>
      <c r="E39" s="147" t="s">
        <v>22</v>
      </c>
      <c r="F39" s="147">
        <f>AVERAGE(F4:F12)</f>
        <v>10.281089504205617</v>
      </c>
      <c r="G39" s="147">
        <f>AVERAGE(G4:G12)</f>
        <v>22.515636967619642</v>
      </c>
    </row>
    <row r="40" spans="1:7">
      <c r="A40" s="69" t="s">
        <v>2119</v>
      </c>
      <c r="B40" s="147">
        <f>AVERAGE(B12:B35)</f>
        <v>4.7155605845270463</v>
      </c>
      <c r="C40" s="147">
        <f t="shared" ref="C40:G40" si="1">AVERAGE(C12:C35)</f>
        <v>7.8866517491123327</v>
      </c>
      <c r="D40" s="147">
        <f t="shared" si="1"/>
        <v>13.912975048027745</v>
      </c>
      <c r="E40" s="147">
        <f t="shared" si="1"/>
        <v>4.2579314070568639</v>
      </c>
      <c r="F40" s="147">
        <f t="shared" si="1"/>
        <v>9.7218687264091788</v>
      </c>
      <c r="G40" s="147">
        <f t="shared" si="1"/>
        <v>21.717879663310494</v>
      </c>
    </row>
    <row r="41" spans="1:7">
      <c r="A41" s="228" t="s">
        <v>26</v>
      </c>
      <c r="B41" s="147">
        <f t="shared" ref="B41:G41" si="2">AVERAGE(B12:B23)</f>
        <v>4.4181572859584088</v>
      </c>
      <c r="C41" s="147">
        <f t="shared" si="2"/>
        <v>8.5067293645381259</v>
      </c>
      <c r="D41" s="147">
        <f t="shared" si="2"/>
        <v>17.226780905631724</v>
      </c>
      <c r="E41" s="147">
        <f t="shared" si="2"/>
        <v>4.557845341805689</v>
      </c>
      <c r="F41" s="147">
        <f t="shared" si="2"/>
        <v>10.699766300876723</v>
      </c>
      <c r="G41" s="147">
        <f t="shared" si="2"/>
        <v>27.809575225376076</v>
      </c>
    </row>
    <row r="42" spans="1:7">
      <c r="A42" s="229" t="s">
        <v>2028</v>
      </c>
      <c r="B42" s="147">
        <f>AVERAGE(B23:B35)</f>
        <v>4.9708708530243104</v>
      </c>
      <c r="C42" s="147">
        <f t="shared" ref="C42:G42" si="3">AVERAGE(C23:C35)</f>
        <v>7.2434562657825374</v>
      </c>
      <c r="D42" s="147">
        <f t="shared" si="3"/>
        <v>10.810771743586574</v>
      </c>
      <c r="E42" s="147">
        <f t="shared" si="3"/>
        <v>4.0171997648987663</v>
      </c>
      <c r="F42" s="147">
        <f t="shared" si="3"/>
        <v>8.7974785912432711</v>
      </c>
      <c r="G42" s="147">
        <f t="shared" si="3"/>
        <v>16.003260003989801</v>
      </c>
    </row>
    <row r="44" spans="1:7">
      <c r="A44" s="64" t="s">
        <v>1638</v>
      </c>
    </row>
  </sheetData>
  <mergeCells count="4">
    <mergeCell ref="A1:G1"/>
    <mergeCell ref="B2:B3"/>
    <mergeCell ref="D2:G2"/>
    <mergeCell ref="C2:C3"/>
  </mergeCells>
  <pageMargins left="0.7" right="0.7" top="0.75" bottom="0.75" header="0.3" footer="0.3"/>
  <pageSetup scale="91" orientation="portrait" horizontalDpi="0" verticalDpi="0" r:id="rId1"/>
</worksheet>
</file>

<file path=xl/worksheets/sheet86.xml><?xml version="1.0" encoding="utf-8"?>
<worksheet xmlns="http://schemas.openxmlformats.org/spreadsheetml/2006/main" xmlns:r="http://schemas.openxmlformats.org/officeDocument/2006/relationships">
  <sheetPr codeName="Sheet79"/>
  <dimension ref="A1:K32"/>
  <sheetViews>
    <sheetView view="pageBreakPreview" topLeftCell="A4" zoomScaleNormal="85" zoomScaleSheetLayoutView="100" workbookViewId="0">
      <selection activeCell="AC38" sqref="AC38"/>
    </sheetView>
  </sheetViews>
  <sheetFormatPr defaultRowHeight="15"/>
  <cols>
    <col min="1" max="1" width="11.42578125" style="64" customWidth="1"/>
    <col min="2" max="11" width="14.28515625" style="64" customWidth="1"/>
    <col min="12" max="16384" width="9.140625" style="64"/>
  </cols>
  <sheetData>
    <row r="1" spans="1:11">
      <c r="A1" s="66" t="s">
        <v>1987</v>
      </c>
    </row>
    <row r="2" spans="1:11" ht="60">
      <c r="B2" s="72" t="s">
        <v>594</v>
      </c>
      <c r="C2" s="72" t="s">
        <v>1305</v>
      </c>
      <c r="D2" s="72" t="s">
        <v>595</v>
      </c>
      <c r="E2" s="72" t="s">
        <v>596</v>
      </c>
      <c r="F2" s="72" t="s">
        <v>597</v>
      </c>
      <c r="G2" s="72" t="s">
        <v>598</v>
      </c>
      <c r="H2" s="72" t="s">
        <v>599</v>
      </c>
      <c r="I2" s="72" t="s">
        <v>600</v>
      </c>
      <c r="J2" s="72" t="s">
        <v>601</v>
      </c>
      <c r="K2" s="72" t="s">
        <v>602</v>
      </c>
    </row>
    <row r="3" spans="1:11">
      <c r="A3" s="66">
        <v>1990</v>
      </c>
      <c r="B3" s="56">
        <v>13086.4</v>
      </c>
      <c r="C3" s="56">
        <f>SUM(D3:G3)</f>
        <v>7743.9</v>
      </c>
      <c r="D3" s="56">
        <v>964.9</v>
      </c>
      <c r="E3" s="56">
        <v>2528.1</v>
      </c>
      <c r="F3" s="56">
        <v>2978.2</v>
      </c>
      <c r="G3" s="56">
        <v>1272.7</v>
      </c>
      <c r="H3" s="56">
        <v>3447.9</v>
      </c>
      <c r="I3" s="56">
        <v>1894.6</v>
      </c>
      <c r="J3" s="56">
        <v>1293.2</v>
      </c>
      <c r="K3" s="56">
        <v>601.4</v>
      </c>
    </row>
    <row r="4" spans="1:11">
      <c r="A4" s="66">
        <v>1991</v>
      </c>
      <c r="B4" s="56">
        <v>12857.4</v>
      </c>
      <c r="C4" s="56">
        <f t="shared" ref="C4:C25" si="0">SUM(D4:G4)</f>
        <v>7476.3</v>
      </c>
      <c r="D4" s="56">
        <v>876.5</v>
      </c>
      <c r="E4" s="56">
        <v>2379.6</v>
      </c>
      <c r="F4" s="56">
        <v>2944.9</v>
      </c>
      <c r="G4" s="56">
        <v>1275.3</v>
      </c>
      <c r="H4" s="56">
        <v>3441.2</v>
      </c>
      <c r="I4" s="56">
        <v>1939.9</v>
      </c>
      <c r="J4" s="56">
        <v>1324.1</v>
      </c>
      <c r="K4" s="56">
        <v>615.70000000000005</v>
      </c>
    </row>
    <row r="5" spans="1:11">
      <c r="A5" s="66">
        <v>1992</v>
      </c>
      <c r="B5" s="56">
        <v>12730.9</v>
      </c>
      <c r="C5" s="56">
        <f t="shared" si="0"/>
        <v>7213.7</v>
      </c>
      <c r="D5" s="56">
        <v>826.1</v>
      </c>
      <c r="E5" s="56">
        <v>2185.9</v>
      </c>
      <c r="F5" s="56">
        <v>2954.2</v>
      </c>
      <c r="G5" s="56">
        <v>1247.5</v>
      </c>
      <c r="H5" s="56">
        <v>3464.1</v>
      </c>
      <c r="I5" s="56">
        <v>2053.1999999999998</v>
      </c>
      <c r="J5" s="56">
        <v>1406.2</v>
      </c>
      <c r="K5" s="56">
        <v>647</v>
      </c>
    </row>
    <row r="6" spans="1:11">
      <c r="A6" s="66">
        <v>1993</v>
      </c>
      <c r="B6" s="56">
        <v>12792.7</v>
      </c>
      <c r="C6" s="56">
        <f>SUM(D6:G6)</f>
        <v>7012.2999999999993</v>
      </c>
      <c r="D6" s="56">
        <v>725.1</v>
      </c>
      <c r="E6" s="56">
        <v>2084.9</v>
      </c>
      <c r="F6" s="56">
        <v>2959.9</v>
      </c>
      <c r="G6" s="56">
        <v>1242.4000000000001</v>
      </c>
      <c r="H6" s="56">
        <v>3574.7</v>
      </c>
      <c r="I6" s="56">
        <v>2205.8000000000002</v>
      </c>
      <c r="J6" s="56">
        <v>1509.5</v>
      </c>
      <c r="K6" s="56">
        <v>696.3</v>
      </c>
    </row>
    <row r="7" spans="1:11">
      <c r="A7" s="66">
        <v>1994</v>
      </c>
      <c r="B7" s="56">
        <v>13058.7</v>
      </c>
      <c r="C7" s="56">
        <f t="shared" si="0"/>
        <v>6877.2999999999993</v>
      </c>
      <c r="D7" s="56">
        <v>737.4</v>
      </c>
      <c r="E7" s="56">
        <v>2081.6999999999998</v>
      </c>
      <c r="F7" s="56">
        <v>2830.3</v>
      </c>
      <c r="G7" s="56">
        <v>1227.9000000000001</v>
      </c>
      <c r="H7" s="56">
        <v>3860.5</v>
      </c>
      <c r="I7" s="56">
        <v>2321</v>
      </c>
      <c r="J7" s="56">
        <v>1554.5</v>
      </c>
      <c r="K7" s="56">
        <v>766.5</v>
      </c>
    </row>
    <row r="8" spans="1:11">
      <c r="A8" s="66">
        <v>1995</v>
      </c>
      <c r="B8" s="56">
        <v>13295.4</v>
      </c>
      <c r="C8" s="56">
        <f t="shared" si="0"/>
        <v>6832.6</v>
      </c>
      <c r="D8" s="56">
        <v>678.5</v>
      </c>
      <c r="E8" s="56">
        <v>2041.7</v>
      </c>
      <c r="F8" s="56">
        <v>2832.5</v>
      </c>
      <c r="G8" s="56">
        <v>1279.9000000000001</v>
      </c>
      <c r="H8" s="56">
        <v>4070.5</v>
      </c>
      <c r="I8" s="56">
        <v>2392.3000000000002</v>
      </c>
      <c r="J8" s="56">
        <v>1632.3</v>
      </c>
      <c r="K8" s="56">
        <v>760</v>
      </c>
    </row>
    <row r="9" spans="1:11">
      <c r="A9" s="66">
        <v>1996</v>
      </c>
      <c r="B9" s="56">
        <v>13420.1</v>
      </c>
      <c r="C9" s="56">
        <f t="shared" si="0"/>
        <v>6796</v>
      </c>
      <c r="D9" s="56">
        <v>649.6</v>
      </c>
      <c r="E9" s="56">
        <v>1960.8</v>
      </c>
      <c r="F9" s="56">
        <v>2899.5</v>
      </c>
      <c r="G9" s="56">
        <v>1286.0999999999999</v>
      </c>
      <c r="H9" s="56">
        <v>4187.8</v>
      </c>
      <c r="I9" s="56">
        <v>2436.3000000000002</v>
      </c>
      <c r="J9" s="56">
        <v>1643.5</v>
      </c>
      <c r="K9" s="56">
        <v>792.8</v>
      </c>
    </row>
    <row r="10" spans="1:11">
      <c r="A10" s="66">
        <v>1997</v>
      </c>
      <c r="B10" s="56">
        <v>13708.2</v>
      </c>
      <c r="C10" s="56">
        <f t="shared" si="0"/>
        <v>6659.1</v>
      </c>
      <c r="D10" s="56">
        <v>614</v>
      </c>
      <c r="E10" s="56">
        <v>1909.9</v>
      </c>
      <c r="F10" s="56">
        <v>2808.8</v>
      </c>
      <c r="G10" s="56">
        <v>1326.4</v>
      </c>
      <c r="H10" s="56">
        <v>4499.8999999999996</v>
      </c>
      <c r="I10" s="56">
        <v>2549.1</v>
      </c>
      <c r="J10" s="56">
        <v>1723.8</v>
      </c>
      <c r="K10" s="56">
        <v>825.3</v>
      </c>
    </row>
    <row r="11" spans="1:11">
      <c r="A11" s="66">
        <v>1998</v>
      </c>
      <c r="B11" s="56">
        <v>14047</v>
      </c>
      <c r="C11" s="56">
        <f t="shared" si="0"/>
        <v>6729.8</v>
      </c>
      <c r="D11" s="56">
        <v>601.6</v>
      </c>
      <c r="E11" s="56">
        <v>1923.9</v>
      </c>
      <c r="F11" s="56">
        <v>2868.3</v>
      </c>
      <c r="G11" s="56">
        <v>1336</v>
      </c>
      <c r="H11" s="56">
        <v>4668.3</v>
      </c>
      <c r="I11" s="56">
        <v>2648.8</v>
      </c>
      <c r="J11" s="56">
        <v>1818.6</v>
      </c>
      <c r="K11" s="56">
        <v>830.2</v>
      </c>
    </row>
    <row r="12" spans="1:11">
      <c r="A12" s="66">
        <v>1999</v>
      </c>
      <c r="B12" s="56">
        <v>14402</v>
      </c>
      <c r="C12" s="56">
        <f t="shared" si="0"/>
        <v>6873</v>
      </c>
      <c r="D12" s="56">
        <v>580.29999999999995</v>
      </c>
      <c r="E12" s="56">
        <v>1952</v>
      </c>
      <c r="F12" s="56">
        <v>2997.3</v>
      </c>
      <c r="G12" s="56">
        <v>1343.4</v>
      </c>
      <c r="H12" s="56">
        <v>4757.3</v>
      </c>
      <c r="I12" s="56">
        <v>2771.6</v>
      </c>
      <c r="J12" s="56">
        <v>1880.1</v>
      </c>
      <c r="K12" s="56">
        <v>891.5</v>
      </c>
    </row>
    <row r="13" spans="1:11">
      <c r="A13" s="66">
        <v>2000</v>
      </c>
      <c r="B13" s="56">
        <v>14760.1</v>
      </c>
      <c r="C13" s="56">
        <f t="shared" si="0"/>
        <v>7043.5</v>
      </c>
      <c r="D13" s="56">
        <v>546.70000000000005</v>
      </c>
      <c r="E13" s="56">
        <v>1942.3</v>
      </c>
      <c r="F13" s="56">
        <v>3108.5</v>
      </c>
      <c r="G13" s="56">
        <v>1446</v>
      </c>
      <c r="H13" s="56">
        <v>4795.6000000000004</v>
      </c>
      <c r="I13" s="56">
        <v>2920.9</v>
      </c>
      <c r="J13" s="56">
        <v>1959.9</v>
      </c>
      <c r="K13" s="56">
        <v>961.1</v>
      </c>
    </row>
    <row r="14" spans="1:11">
      <c r="A14" s="66">
        <v>2001</v>
      </c>
      <c r="B14" s="56">
        <v>14940.9</v>
      </c>
      <c r="C14" s="56">
        <f t="shared" si="0"/>
        <v>6909.4</v>
      </c>
      <c r="D14" s="56">
        <v>493.6</v>
      </c>
      <c r="E14" s="56">
        <v>1901.1</v>
      </c>
      <c r="F14" s="56">
        <v>3102.2</v>
      </c>
      <c r="G14" s="56">
        <v>1412.5</v>
      </c>
      <c r="H14" s="56">
        <v>5006.5</v>
      </c>
      <c r="I14" s="56">
        <v>3025</v>
      </c>
      <c r="J14" s="56">
        <v>2053.8000000000002</v>
      </c>
      <c r="K14" s="56">
        <v>971.2</v>
      </c>
    </row>
    <row r="15" spans="1:11">
      <c r="A15" s="66">
        <v>2002</v>
      </c>
      <c r="B15" s="56">
        <v>15297.9</v>
      </c>
      <c r="C15" s="56">
        <f t="shared" si="0"/>
        <v>7006</v>
      </c>
      <c r="D15" s="56">
        <v>498.2</v>
      </c>
      <c r="E15" s="56">
        <v>1885.2</v>
      </c>
      <c r="F15" s="56">
        <v>3185.7</v>
      </c>
      <c r="G15" s="56">
        <v>1436.9</v>
      </c>
      <c r="H15" s="56">
        <v>5165.8999999999996</v>
      </c>
      <c r="I15" s="56">
        <v>3126</v>
      </c>
      <c r="J15" s="56">
        <v>2145.4</v>
      </c>
      <c r="K15" s="56">
        <v>980.6</v>
      </c>
    </row>
    <row r="16" spans="1:11">
      <c r="A16" s="66">
        <v>2003</v>
      </c>
      <c r="B16" s="56">
        <v>15662.9</v>
      </c>
      <c r="C16" s="56">
        <f t="shared" si="0"/>
        <v>7050.6</v>
      </c>
      <c r="D16" s="56">
        <v>501.2</v>
      </c>
      <c r="E16" s="56">
        <v>1829.8</v>
      </c>
      <c r="F16" s="56">
        <v>3162.2</v>
      </c>
      <c r="G16" s="56">
        <v>1557.4</v>
      </c>
      <c r="H16" s="56">
        <v>5334.4</v>
      </c>
      <c r="I16" s="56">
        <v>3278</v>
      </c>
      <c r="J16" s="56">
        <v>2255.8000000000002</v>
      </c>
      <c r="K16" s="56">
        <v>1022.2</v>
      </c>
    </row>
    <row r="17" spans="1:11">
      <c r="A17" s="66">
        <v>2004</v>
      </c>
      <c r="B17" s="56">
        <v>15921.8</v>
      </c>
      <c r="C17" s="56">
        <f t="shared" si="0"/>
        <v>7125.4</v>
      </c>
      <c r="D17" s="56">
        <v>501.4</v>
      </c>
      <c r="E17" s="56">
        <v>1793.7</v>
      </c>
      <c r="F17" s="56">
        <v>3241.3</v>
      </c>
      <c r="G17" s="56">
        <v>1589</v>
      </c>
      <c r="H17" s="56">
        <v>5429.2</v>
      </c>
      <c r="I17" s="56">
        <v>3367.2</v>
      </c>
      <c r="J17" s="56">
        <v>2347.4</v>
      </c>
      <c r="K17" s="56">
        <v>1019.8</v>
      </c>
    </row>
    <row r="18" spans="1:11">
      <c r="A18" s="66">
        <v>2005</v>
      </c>
      <c r="B18" s="56">
        <v>16124.7</v>
      </c>
      <c r="C18" s="56">
        <f t="shared" si="0"/>
        <v>6973.0000000000009</v>
      </c>
      <c r="D18" s="56">
        <v>466.8</v>
      </c>
      <c r="E18" s="56">
        <v>1750.6</v>
      </c>
      <c r="F18" s="56">
        <v>3359.8</v>
      </c>
      <c r="G18" s="56">
        <v>1395.8</v>
      </c>
      <c r="H18" s="56">
        <v>5571.4</v>
      </c>
      <c r="I18" s="56">
        <v>3580.4</v>
      </c>
      <c r="J18" s="56">
        <v>2456.4</v>
      </c>
      <c r="K18" s="56">
        <v>1124</v>
      </c>
    </row>
    <row r="19" spans="1:11">
      <c r="A19" s="66">
        <v>2006</v>
      </c>
      <c r="B19" s="56">
        <v>16410.2</v>
      </c>
      <c r="C19" s="56">
        <f t="shared" si="0"/>
        <v>6966.5</v>
      </c>
      <c r="D19" s="56">
        <v>454.6</v>
      </c>
      <c r="E19" s="56">
        <v>1783.5</v>
      </c>
      <c r="F19" s="56">
        <v>3380.9</v>
      </c>
      <c r="G19" s="56">
        <v>1347.5</v>
      </c>
      <c r="H19" s="56">
        <v>5664.2</v>
      </c>
      <c r="I19" s="56">
        <v>3779.6</v>
      </c>
      <c r="J19" s="56">
        <v>2623.8</v>
      </c>
      <c r="K19" s="56">
        <v>1155.8</v>
      </c>
    </row>
    <row r="20" spans="1:11">
      <c r="A20" s="66">
        <v>2007</v>
      </c>
      <c r="B20" s="56">
        <v>16805.599999999999</v>
      </c>
      <c r="C20" s="56">
        <f t="shared" si="0"/>
        <v>6993.9</v>
      </c>
      <c r="D20" s="56">
        <v>430.7</v>
      </c>
      <c r="E20" s="56">
        <v>1755.3</v>
      </c>
      <c r="F20" s="56">
        <v>3423</v>
      </c>
      <c r="G20" s="56">
        <v>1384.9</v>
      </c>
      <c r="H20" s="56">
        <v>5877.3</v>
      </c>
      <c r="I20" s="56">
        <v>3934.3</v>
      </c>
      <c r="J20" s="56">
        <v>2741.2</v>
      </c>
      <c r="K20" s="56">
        <v>1193.0999999999999</v>
      </c>
    </row>
    <row r="21" spans="1:11">
      <c r="A21" s="66">
        <v>2008</v>
      </c>
      <c r="B21" s="56">
        <v>17087.400000000001</v>
      </c>
      <c r="C21" s="56">
        <f t="shared" si="0"/>
        <v>7062.9</v>
      </c>
      <c r="D21" s="56">
        <v>405.5</v>
      </c>
      <c r="E21" s="56">
        <v>1770.6</v>
      </c>
      <c r="F21" s="56">
        <v>3409.9</v>
      </c>
      <c r="G21" s="56">
        <v>1476.9</v>
      </c>
      <c r="H21" s="56">
        <v>5958.6</v>
      </c>
      <c r="I21" s="56">
        <v>4066</v>
      </c>
      <c r="J21" s="56">
        <v>2781.2</v>
      </c>
      <c r="K21" s="56">
        <v>1284.8</v>
      </c>
    </row>
    <row r="22" spans="1:11">
      <c r="A22" s="66">
        <v>2009</v>
      </c>
      <c r="B22" s="56">
        <v>16813.099999999999</v>
      </c>
      <c r="C22" s="56">
        <f t="shared" si="0"/>
        <v>6706.2</v>
      </c>
      <c r="D22" s="56">
        <v>378.8</v>
      </c>
      <c r="E22" s="56">
        <v>1585.5</v>
      </c>
      <c r="F22" s="56">
        <v>3362.1</v>
      </c>
      <c r="G22" s="56">
        <v>1379.8</v>
      </c>
      <c r="H22" s="56">
        <v>5943.4</v>
      </c>
      <c r="I22" s="56">
        <v>4163.5</v>
      </c>
      <c r="J22" s="56">
        <v>2857.4</v>
      </c>
      <c r="K22" s="56">
        <v>1306.0999999999999</v>
      </c>
    </row>
    <row r="23" spans="1:11">
      <c r="A23" s="66">
        <v>2010</v>
      </c>
      <c r="B23" s="56">
        <v>17041</v>
      </c>
      <c r="C23" s="56">
        <f t="shared" si="0"/>
        <v>6629.5</v>
      </c>
      <c r="D23" s="56">
        <v>357.7</v>
      </c>
      <c r="E23" s="56">
        <v>1520</v>
      </c>
      <c r="F23" s="56">
        <v>3359.2</v>
      </c>
      <c r="G23" s="56">
        <v>1392.6</v>
      </c>
      <c r="H23" s="56">
        <v>6049</v>
      </c>
      <c r="I23" s="56">
        <v>4362.7</v>
      </c>
      <c r="J23" s="56">
        <v>3002.9</v>
      </c>
      <c r="K23" s="56">
        <v>1359.8</v>
      </c>
    </row>
    <row r="24" spans="1:11">
      <c r="A24" s="66">
        <v>2011</v>
      </c>
      <c r="B24" s="56">
        <v>17306.2</v>
      </c>
      <c r="C24" s="56">
        <f t="shared" si="0"/>
        <v>6602.7000000000007</v>
      </c>
      <c r="D24" s="56">
        <v>345.9</v>
      </c>
      <c r="E24" s="56">
        <v>1482.8</v>
      </c>
      <c r="F24" s="56">
        <v>3424.4</v>
      </c>
      <c r="G24" s="56">
        <v>1349.6</v>
      </c>
      <c r="H24" s="56">
        <v>6204.8</v>
      </c>
      <c r="I24" s="56">
        <v>4498.8</v>
      </c>
      <c r="J24" s="56">
        <v>3070.9</v>
      </c>
      <c r="K24" s="56">
        <v>1427.8</v>
      </c>
    </row>
    <row r="25" spans="1:11">
      <c r="A25" s="66">
        <v>2012</v>
      </c>
      <c r="B25" s="56">
        <v>17507.7</v>
      </c>
      <c r="C25" s="56">
        <f t="shared" si="0"/>
        <v>6523.8000000000011</v>
      </c>
      <c r="D25" s="56">
        <v>337.7</v>
      </c>
      <c r="E25" s="56">
        <v>1463.9</v>
      </c>
      <c r="F25" s="56">
        <v>3449.3</v>
      </c>
      <c r="G25" s="56">
        <v>1272.9000000000001</v>
      </c>
      <c r="H25" s="56">
        <v>6274.2</v>
      </c>
      <c r="I25" s="56">
        <v>4709.6000000000004</v>
      </c>
      <c r="J25" s="56">
        <v>3198.6</v>
      </c>
      <c r="K25" s="56">
        <v>1511</v>
      </c>
    </row>
    <row r="26" spans="1:11">
      <c r="A26" s="66"/>
      <c r="B26" s="56"/>
      <c r="D26" s="56"/>
      <c r="E26" s="56"/>
      <c r="F26" s="56"/>
      <c r="G26" s="56"/>
      <c r="H26" s="56"/>
      <c r="I26" s="56"/>
      <c r="J26" s="56"/>
      <c r="K26" s="56"/>
    </row>
    <row r="27" spans="1:11">
      <c r="A27" s="66" t="s">
        <v>1039</v>
      </c>
      <c r="B27" s="56"/>
      <c r="C27" s="56"/>
      <c r="D27" s="56"/>
      <c r="E27" s="56"/>
      <c r="F27" s="56"/>
      <c r="G27" s="56"/>
      <c r="H27" s="56"/>
      <c r="I27" s="56"/>
      <c r="J27" s="56"/>
      <c r="K27" s="56"/>
    </row>
    <row r="28" spans="1:11">
      <c r="A28" s="64" t="s">
        <v>2132</v>
      </c>
      <c r="B28" s="58">
        <f>(B25-B3)/B3*100</f>
        <v>33.785456657293075</v>
      </c>
      <c r="C28" s="58">
        <f t="shared" ref="C28:K28" si="1">(C25-C3)/C3*100</f>
        <v>-15.755627009646284</v>
      </c>
      <c r="D28" s="58">
        <f t="shared" si="1"/>
        <v>-65.001554565239928</v>
      </c>
      <c r="E28" s="58">
        <f t="shared" si="1"/>
        <v>-42.094853842806842</v>
      </c>
      <c r="F28" s="58">
        <f t="shared" si="1"/>
        <v>15.818279497683177</v>
      </c>
      <c r="G28" s="58">
        <f t="shared" si="1"/>
        <v>1.5714622456199062E-2</v>
      </c>
      <c r="H28" s="58">
        <f t="shared" si="1"/>
        <v>81.971634908204976</v>
      </c>
      <c r="I28" s="58">
        <f t="shared" si="1"/>
        <v>148.58017523487808</v>
      </c>
      <c r="J28" s="58">
        <f t="shared" si="1"/>
        <v>147.33993195174759</v>
      </c>
      <c r="K28" s="58">
        <f t="shared" si="1"/>
        <v>151.24709012304623</v>
      </c>
    </row>
    <row r="29" spans="1:11">
      <c r="A29" s="68" t="s">
        <v>660</v>
      </c>
      <c r="B29" s="58">
        <f>(B13-B3)/B3*100</f>
        <v>12.789613644699847</v>
      </c>
      <c r="C29" s="58">
        <f t="shared" ref="C29:K29" si="2">(C13-C3)/C3*100</f>
        <v>-9.0445382817443374</v>
      </c>
      <c r="D29" s="58">
        <f t="shared" si="2"/>
        <v>-43.341278889004037</v>
      </c>
      <c r="E29" s="58">
        <f t="shared" si="2"/>
        <v>-23.17155175823741</v>
      </c>
      <c r="F29" s="58">
        <f t="shared" si="2"/>
        <v>4.3751259149822106</v>
      </c>
      <c r="G29" s="58">
        <f t="shared" si="2"/>
        <v>13.616720358293389</v>
      </c>
      <c r="H29" s="58">
        <f t="shared" si="2"/>
        <v>39.087560544099311</v>
      </c>
      <c r="I29" s="58">
        <f t="shared" si="2"/>
        <v>54.169745592737264</v>
      </c>
      <c r="J29" s="58">
        <f t="shared" si="2"/>
        <v>51.554283946798641</v>
      </c>
      <c r="K29" s="58">
        <f t="shared" si="2"/>
        <v>59.810442301296987</v>
      </c>
    </row>
    <row r="30" spans="1:11">
      <c r="A30" s="69" t="s">
        <v>2028</v>
      </c>
      <c r="B30" s="58">
        <f>(B25-B13)/B13*100</f>
        <v>18.61505003353636</v>
      </c>
      <c r="C30" s="58">
        <f t="shared" ref="C30:K30" si="3">(C25-C13)/C13*100</f>
        <v>-7.3784340171789431</v>
      </c>
      <c r="D30" s="58">
        <f t="shared" si="3"/>
        <v>-38.229376257545276</v>
      </c>
      <c r="E30" s="58">
        <f t="shared" si="3"/>
        <v>-24.630592596406316</v>
      </c>
      <c r="F30" s="58">
        <f t="shared" si="3"/>
        <v>10.96348721248191</v>
      </c>
      <c r="G30" s="58">
        <f t="shared" si="3"/>
        <v>-11.970954356846466</v>
      </c>
      <c r="H30" s="58">
        <f t="shared" si="3"/>
        <v>30.832429727249966</v>
      </c>
      <c r="I30" s="58">
        <f t="shared" si="3"/>
        <v>61.237974596870835</v>
      </c>
      <c r="J30" s="58">
        <f t="shared" si="3"/>
        <v>63.202204194091529</v>
      </c>
      <c r="K30" s="58">
        <f t="shared" si="3"/>
        <v>57.215690354801787</v>
      </c>
    </row>
    <row r="32" spans="1:11">
      <c r="A32" s="64" t="s">
        <v>593</v>
      </c>
    </row>
  </sheetData>
  <pageMargins left="0.7" right="0.7" top="0.75" bottom="0.75" header="0.3" footer="0.3"/>
  <pageSetup scale="80" orientation="landscape" horizontalDpi="0" verticalDpi="0" r:id="rId1"/>
  <ignoredErrors>
    <ignoredError sqref="C3:C25" formulaRange="1"/>
  </ignoredErrors>
</worksheet>
</file>

<file path=xl/worksheets/sheet87.xml><?xml version="1.0" encoding="utf-8"?>
<worksheet xmlns="http://schemas.openxmlformats.org/spreadsheetml/2006/main" xmlns:r="http://schemas.openxmlformats.org/officeDocument/2006/relationships">
  <sheetPr codeName="Sheet80"/>
  <dimension ref="A1:K36"/>
  <sheetViews>
    <sheetView view="pageBreakPreview" zoomScaleNormal="85" zoomScaleSheetLayoutView="100" workbookViewId="0">
      <selection activeCell="AC38" sqref="AC38"/>
    </sheetView>
  </sheetViews>
  <sheetFormatPr defaultRowHeight="15"/>
  <cols>
    <col min="1" max="1" width="11.5703125" style="64" customWidth="1"/>
    <col min="2" max="11" width="14.28515625" style="64" customWidth="1"/>
    <col min="12" max="16384" width="9.140625" style="64"/>
  </cols>
  <sheetData>
    <row r="1" spans="1:11">
      <c r="A1" s="140" t="s">
        <v>1036</v>
      </c>
      <c r="B1" s="140"/>
      <c r="C1" s="140"/>
      <c r="D1" s="140"/>
      <c r="E1" s="140"/>
      <c r="F1" s="140"/>
      <c r="G1" s="140"/>
      <c r="H1" s="140"/>
      <c r="I1" s="140"/>
      <c r="J1" s="140"/>
      <c r="K1" s="140"/>
    </row>
    <row r="2" spans="1:11" ht="60">
      <c r="B2" s="72" t="s">
        <v>594</v>
      </c>
      <c r="C2" s="72" t="s">
        <v>1305</v>
      </c>
      <c r="D2" s="72" t="s">
        <v>595</v>
      </c>
      <c r="E2" s="72" t="s">
        <v>596</v>
      </c>
      <c r="F2" s="72" t="s">
        <v>597</v>
      </c>
      <c r="G2" s="72" t="s">
        <v>598</v>
      </c>
      <c r="H2" s="72" t="s">
        <v>599</v>
      </c>
      <c r="I2" s="72" t="s">
        <v>600</v>
      </c>
      <c r="J2" s="72" t="s">
        <v>601</v>
      </c>
      <c r="K2" s="72" t="s">
        <v>1042</v>
      </c>
    </row>
    <row r="3" spans="1:11">
      <c r="A3" s="66">
        <v>1990</v>
      </c>
      <c r="B3" s="28">
        <f>'11b'!B3+'11c'!B3+'11d'!B3</f>
        <v>316.39999999999998</v>
      </c>
      <c r="C3" s="28">
        <f>SUM(D3:G3)</f>
        <v>220.6</v>
      </c>
      <c r="D3" s="28">
        <f>'11b'!D3+'11c'!D3+'11d'!D3</f>
        <v>40.1</v>
      </c>
      <c r="E3" s="28">
        <f>'11b'!E3+'11c'!E3+'11d'!E3</f>
        <v>77.400000000000006</v>
      </c>
      <c r="F3" s="28">
        <f>'11b'!F3+'11c'!F3+'11d'!F3</f>
        <v>79.099999999999994</v>
      </c>
      <c r="G3" s="28">
        <f>'11b'!G3+'11c'!G3+'11d'!G3</f>
        <v>24</v>
      </c>
      <c r="H3" s="28">
        <f>'11b'!H3+'11c'!H3+'11d'!H3</f>
        <v>79.2</v>
      </c>
      <c r="I3" s="28">
        <f>'11b'!I3+'11c'!I3+'11d'!I3</f>
        <v>16.8</v>
      </c>
      <c r="J3" s="28">
        <f>'11b'!J3+'11c'!J3+'11d'!J3</f>
        <v>13.2</v>
      </c>
      <c r="K3" s="28">
        <f>'11b'!K3+'11c'!K3+'11d'!K3</f>
        <v>0</v>
      </c>
    </row>
    <row r="4" spans="1:11">
      <c r="A4" s="66">
        <v>1991</v>
      </c>
      <c r="B4" s="28">
        <f>'11b'!B4+'11c'!B4+'11d'!B4</f>
        <v>287.5</v>
      </c>
      <c r="C4" s="28">
        <f t="shared" ref="C4:C20" si="0">SUM(D4:G4)</f>
        <v>203.2</v>
      </c>
      <c r="D4" s="28">
        <f>'11b'!D4+'11c'!D4+'11d'!D4</f>
        <v>33.799999999999997</v>
      </c>
      <c r="E4" s="28">
        <f>'11b'!E4+'11c'!E4+'11d'!E4</f>
        <v>73.099999999999994</v>
      </c>
      <c r="F4" s="28">
        <f>'11b'!F4+'11c'!F4+'11d'!F4</f>
        <v>71.5</v>
      </c>
      <c r="G4" s="28">
        <f>'11b'!G4+'11c'!G4+'11d'!G4</f>
        <v>24.8</v>
      </c>
      <c r="H4" s="28">
        <f>'11b'!H4+'11c'!H4+'11d'!H4</f>
        <v>70.7</v>
      </c>
      <c r="I4" s="28">
        <f>'11b'!I4+'11c'!I4+'11d'!I4</f>
        <v>12.5</v>
      </c>
      <c r="J4" s="28">
        <f>'11b'!J4+'11c'!J4+'11d'!J4</f>
        <v>10</v>
      </c>
      <c r="K4" s="28">
        <f>'11b'!K4+'11c'!K4+'11d'!K4</f>
        <v>2.1</v>
      </c>
    </row>
    <row r="5" spans="1:11">
      <c r="A5" s="66">
        <v>1992</v>
      </c>
      <c r="B5" s="28">
        <f>'11b'!B5+'11c'!B5+'11d'!B5</f>
        <v>277</v>
      </c>
      <c r="C5" s="28">
        <f t="shared" si="0"/>
        <v>190.70000000000002</v>
      </c>
      <c r="D5" s="28">
        <f>'11b'!D5+'11c'!D5+'11d'!D5</f>
        <v>34.799999999999997</v>
      </c>
      <c r="E5" s="28">
        <f>'11b'!E5+'11c'!E5+'11d'!E5</f>
        <v>64.900000000000006</v>
      </c>
      <c r="F5" s="28">
        <f>'11b'!F5+'11c'!F5+'11d'!F5</f>
        <v>69.900000000000006</v>
      </c>
      <c r="G5" s="28">
        <f>'11b'!G5+'11c'!G5+'11d'!G5</f>
        <v>21.1</v>
      </c>
      <c r="H5" s="28">
        <f>'11b'!H5+'11c'!H5+'11d'!H5</f>
        <v>70.7</v>
      </c>
      <c r="I5" s="28">
        <f>'11b'!I5+'11c'!I5+'11d'!I5</f>
        <v>14.5</v>
      </c>
      <c r="J5" s="28">
        <f>'11b'!J5+'11c'!J5+'11d'!J5</f>
        <v>11.3</v>
      </c>
      <c r="K5" s="28">
        <f>'11b'!K5+'11c'!K5+'11d'!K5</f>
        <v>2.9</v>
      </c>
    </row>
    <row r="6" spans="1:11">
      <c r="A6" s="66">
        <v>1993</v>
      </c>
      <c r="B6" s="28">
        <f>'11b'!B6+'11c'!B6+'11d'!B6</f>
        <v>291.10000000000002</v>
      </c>
      <c r="C6" s="28">
        <f t="shared" si="0"/>
        <v>199.39999999999998</v>
      </c>
      <c r="D6" s="28">
        <f>'11b'!D6+'11c'!D6+'11d'!D6</f>
        <v>28.700000000000003</v>
      </c>
      <c r="E6" s="28">
        <f>'11b'!E6+'11c'!E6+'11d'!E6</f>
        <v>69</v>
      </c>
      <c r="F6" s="28">
        <f>'11b'!F6+'11c'!F6+'11d'!F6</f>
        <v>76</v>
      </c>
      <c r="G6" s="28">
        <f>'11b'!G6+'11c'!G6+'11d'!G6</f>
        <v>25.7</v>
      </c>
      <c r="H6" s="28">
        <f>'11b'!H6+'11c'!H6+'11d'!H6</f>
        <v>73.599999999999994</v>
      </c>
      <c r="I6" s="28">
        <f>'11b'!I6+'11c'!I6+'11d'!I6</f>
        <v>18.100000000000001</v>
      </c>
      <c r="J6" s="28">
        <f>'11b'!J6+'11c'!J6+'11d'!J6</f>
        <v>14.9</v>
      </c>
      <c r="K6" s="28">
        <f>'11b'!K6+'11c'!K6+'11d'!K6</f>
        <v>2.5</v>
      </c>
    </row>
    <row r="7" spans="1:11">
      <c r="A7" s="66">
        <v>1994</v>
      </c>
      <c r="B7" s="28">
        <f>'11b'!B7+'11c'!B7+'11d'!B7</f>
        <v>313.89999999999998</v>
      </c>
      <c r="C7" s="28">
        <f t="shared" si="0"/>
        <v>204.2</v>
      </c>
      <c r="D7" s="28">
        <f>'11b'!D7+'11c'!D7+'11d'!D7</f>
        <v>35</v>
      </c>
      <c r="E7" s="28">
        <f>'11b'!E7+'11c'!E7+'11d'!E7</f>
        <v>73.699999999999989</v>
      </c>
      <c r="F7" s="28">
        <f>'11b'!F7+'11c'!F7+'11d'!F7</f>
        <v>73.8</v>
      </c>
      <c r="G7" s="28">
        <f>'11b'!G7+'11c'!G7+'11d'!G7</f>
        <v>21.7</v>
      </c>
      <c r="H7" s="28">
        <f>'11b'!H7+'11c'!H7+'11d'!H7</f>
        <v>92.3</v>
      </c>
      <c r="I7" s="28">
        <f>'11b'!I7+'11c'!I7+'11d'!I7</f>
        <v>17.5</v>
      </c>
      <c r="J7" s="28">
        <f>'11b'!J7+'11c'!J7+'11d'!J7</f>
        <v>13.100000000000001</v>
      </c>
      <c r="K7" s="28">
        <f>'11b'!K7+'11c'!K7+'11d'!K7</f>
        <v>3.7</v>
      </c>
    </row>
    <row r="8" spans="1:11">
      <c r="A8" s="66">
        <v>1995</v>
      </c>
      <c r="B8" s="28">
        <f>'11b'!B8+'11c'!B8+'11d'!B8</f>
        <v>324.70000000000005</v>
      </c>
      <c r="C8" s="28">
        <f t="shared" si="0"/>
        <v>208.2</v>
      </c>
      <c r="D8" s="28">
        <f>'11b'!D8+'11c'!D8+'11d'!D8</f>
        <v>30.200000000000003</v>
      </c>
      <c r="E8" s="28">
        <f>'11b'!E8+'11c'!E8+'11d'!E8</f>
        <v>75.5</v>
      </c>
      <c r="F8" s="28">
        <f>'11b'!F8+'11c'!F8+'11d'!F8</f>
        <v>83.2</v>
      </c>
      <c r="G8" s="28">
        <f>'11b'!G8+'11c'!G8+'11d'!G8</f>
        <v>19.299999999999997</v>
      </c>
      <c r="H8" s="28">
        <f>'11b'!H8+'11c'!H8+'11d'!H8</f>
        <v>97.8</v>
      </c>
      <c r="I8" s="28">
        <f>'11b'!I8+'11c'!I8+'11d'!I8</f>
        <v>18.7</v>
      </c>
      <c r="J8" s="28">
        <f>'11b'!J8+'11c'!J8+'11d'!J8</f>
        <v>14.200000000000001</v>
      </c>
      <c r="K8" s="28">
        <f>'11b'!K8+'11c'!K8+'11d'!K8</f>
        <v>2.7</v>
      </c>
    </row>
    <row r="9" spans="1:11">
      <c r="A9" s="66">
        <v>1996</v>
      </c>
      <c r="B9" s="28">
        <f>'11b'!B9+'11c'!B9+'11d'!B9</f>
        <v>319.10000000000002</v>
      </c>
      <c r="C9" s="28">
        <f t="shared" si="0"/>
        <v>205.5</v>
      </c>
      <c r="D9" s="28">
        <f>'11b'!D9+'11c'!D9+'11d'!D9</f>
        <v>30.6</v>
      </c>
      <c r="E9" s="28">
        <f>'11b'!E9+'11c'!E9+'11d'!E9</f>
        <v>69.900000000000006</v>
      </c>
      <c r="F9" s="28">
        <f>'11b'!F9+'11c'!F9+'11d'!F9</f>
        <v>81.5</v>
      </c>
      <c r="G9" s="28">
        <f>'11b'!G9+'11c'!G9+'11d'!G9</f>
        <v>23.5</v>
      </c>
      <c r="H9" s="28">
        <f>'11b'!H9+'11c'!H9+'11d'!H9</f>
        <v>95</v>
      </c>
      <c r="I9" s="28">
        <f>'11b'!I9+'11c'!I9+'11d'!I9</f>
        <v>18.5</v>
      </c>
      <c r="J9" s="28">
        <f>'11b'!J9+'11c'!J9+'11d'!J9</f>
        <v>14.7</v>
      </c>
      <c r="K9" s="28">
        <f>'11b'!K9+'11c'!K9+'11d'!K9</f>
        <v>2.5</v>
      </c>
    </row>
    <row r="10" spans="1:11">
      <c r="A10" s="66">
        <v>1997</v>
      </c>
      <c r="B10" s="28">
        <f>'11b'!B10+'11c'!B10+'11d'!B10</f>
        <v>314</v>
      </c>
      <c r="C10" s="28">
        <f t="shared" si="0"/>
        <v>190.29999999999998</v>
      </c>
      <c r="D10" s="28">
        <f>'11b'!D10+'11c'!D10+'11d'!D10</f>
        <v>29.400000000000002</v>
      </c>
      <c r="E10" s="28">
        <f>'11b'!E10+'11c'!E10+'11d'!E10</f>
        <v>62.9</v>
      </c>
      <c r="F10" s="28">
        <f>'11b'!F10+'11c'!F10+'11d'!F10</f>
        <v>72.400000000000006</v>
      </c>
      <c r="G10" s="28">
        <f>'11b'!G10+'11c'!G10+'11d'!G10</f>
        <v>25.6</v>
      </c>
      <c r="H10" s="28">
        <f>'11b'!H10+'11c'!H10+'11d'!H10</f>
        <v>102.69999999999999</v>
      </c>
      <c r="I10" s="28">
        <f>'11b'!I10+'11c'!I10+'11d'!I10</f>
        <v>21</v>
      </c>
      <c r="J10" s="28">
        <f>'11b'!J10+'11c'!J10+'11d'!J10</f>
        <v>17.700000000000003</v>
      </c>
      <c r="K10" s="28">
        <f>'11b'!K10+'11c'!K10+'11d'!K10</f>
        <v>3.3</v>
      </c>
    </row>
    <row r="11" spans="1:11">
      <c r="A11" s="66">
        <v>1998</v>
      </c>
      <c r="B11" s="28">
        <f>'11b'!B11+'11c'!B11+'11d'!B11</f>
        <v>330.6</v>
      </c>
      <c r="C11" s="28">
        <f t="shared" si="0"/>
        <v>200.6</v>
      </c>
      <c r="D11" s="28">
        <f>'11b'!D11+'11c'!D11+'11d'!D11</f>
        <v>29.099999999999998</v>
      </c>
      <c r="E11" s="28">
        <f>'11b'!E11+'11c'!E11+'11d'!E11</f>
        <v>66.5</v>
      </c>
      <c r="F11" s="28">
        <f>'11b'!F11+'11c'!F11+'11d'!F11</f>
        <v>81</v>
      </c>
      <c r="G11" s="28">
        <f>'11b'!G11+'11c'!G11+'11d'!G11</f>
        <v>24</v>
      </c>
      <c r="H11" s="28">
        <f>'11b'!H11+'11c'!H11+'11d'!H11</f>
        <v>110.9</v>
      </c>
      <c r="I11" s="28">
        <f>'11b'!I11+'11c'!I11+'11d'!I11</f>
        <v>19.3</v>
      </c>
      <c r="J11" s="28">
        <f>'11b'!J11+'11c'!J11+'11d'!J11</f>
        <v>15</v>
      </c>
      <c r="K11" s="28">
        <f>'11b'!K11+'11c'!K11+'11d'!K11</f>
        <v>2.2999999999999998</v>
      </c>
    </row>
    <row r="12" spans="1:11">
      <c r="A12" s="66">
        <v>1999</v>
      </c>
      <c r="B12" s="28">
        <f>'11b'!B12+'11c'!B12+'11d'!B12</f>
        <v>330.8</v>
      </c>
      <c r="C12" s="28">
        <f t="shared" si="0"/>
        <v>207.29999999999998</v>
      </c>
      <c r="D12" s="28">
        <f>'11b'!D12+'11c'!D12+'11d'!D12</f>
        <v>29.9</v>
      </c>
      <c r="E12" s="28">
        <f>'11b'!E12+'11c'!E12+'11d'!E12</f>
        <v>64.399999999999991</v>
      </c>
      <c r="F12" s="28">
        <f>'11b'!F12+'11c'!F12+'11d'!F12</f>
        <v>85.9</v>
      </c>
      <c r="G12" s="28">
        <f>'11b'!G12+'11c'!G12+'11d'!G12</f>
        <v>27.099999999999998</v>
      </c>
      <c r="H12" s="28">
        <f>'11b'!H12+'11c'!H12+'11d'!H12</f>
        <v>101.5</v>
      </c>
      <c r="I12" s="28">
        <f>'11b'!I12+'11c'!I12+'11d'!I12</f>
        <v>22</v>
      </c>
      <c r="J12" s="28">
        <f>'11b'!J12+'11c'!J12+'11d'!J12</f>
        <v>16.5</v>
      </c>
      <c r="K12" s="28">
        <f>'11b'!K12+'11c'!K12+'11d'!K12</f>
        <v>5</v>
      </c>
    </row>
    <row r="13" spans="1:11">
      <c r="A13" s="66">
        <v>2000</v>
      </c>
      <c r="B13" s="28">
        <f>'11b'!B13+'11c'!B13+'11d'!B13</f>
        <v>338.1</v>
      </c>
      <c r="C13" s="28">
        <f t="shared" si="0"/>
        <v>207.6</v>
      </c>
      <c r="D13" s="28">
        <f>'11b'!D13+'11c'!D13+'11d'!D13</f>
        <v>26.1</v>
      </c>
      <c r="E13" s="28">
        <f>'11b'!E13+'11c'!E13+'11d'!E13</f>
        <v>67.7</v>
      </c>
      <c r="F13" s="28">
        <f>'11b'!F13+'11c'!F13+'11d'!F13</f>
        <v>85.199999999999989</v>
      </c>
      <c r="G13" s="28">
        <f>'11b'!G13+'11c'!G13+'11d'!G13</f>
        <v>28.6</v>
      </c>
      <c r="H13" s="28">
        <f>'11b'!H13+'11c'!H13+'11d'!H13</f>
        <v>107.8</v>
      </c>
      <c r="I13" s="28">
        <f>'11b'!I13+'11c'!I13+'11d'!I13</f>
        <v>22.6</v>
      </c>
      <c r="J13" s="28">
        <f>'11b'!J13+'11c'!J13+'11d'!J13</f>
        <v>19.2</v>
      </c>
      <c r="K13" s="28">
        <f>'11b'!K13+'11c'!K13+'11d'!K13</f>
        <v>2</v>
      </c>
    </row>
    <row r="14" spans="1:11">
      <c r="A14" s="66">
        <v>2001</v>
      </c>
      <c r="B14" s="28">
        <f>'11b'!B14+'11c'!B14+'11d'!B14</f>
        <v>321.3</v>
      </c>
      <c r="C14" s="28">
        <f t="shared" si="0"/>
        <v>195.60000000000002</v>
      </c>
      <c r="D14" s="28">
        <f>'11b'!D14+'11c'!D14+'11d'!D14</f>
        <v>23.1</v>
      </c>
      <c r="E14" s="28">
        <f>'11b'!E14+'11c'!E14+'11d'!E14</f>
        <v>64.399999999999991</v>
      </c>
      <c r="F14" s="28">
        <f>'11b'!F14+'11c'!F14+'11d'!F14</f>
        <v>81.3</v>
      </c>
      <c r="G14" s="28">
        <f>'11b'!G14+'11c'!G14+'11d'!G14</f>
        <v>26.8</v>
      </c>
      <c r="H14" s="28">
        <f>'11b'!H14+'11c'!H14+'11d'!H14</f>
        <v>105.4</v>
      </c>
      <c r="I14" s="28">
        <f>'11b'!I14+'11c'!I14+'11d'!I14</f>
        <v>20.100000000000001</v>
      </c>
      <c r="J14" s="28">
        <f>'11b'!J14+'11c'!J14+'11d'!J14</f>
        <v>16.8</v>
      </c>
      <c r="K14" s="28">
        <f>'11b'!K14+'11c'!K14+'11d'!K14</f>
        <v>1.7</v>
      </c>
    </row>
    <row r="15" spans="1:11">
      <c r="A15" s="66">
        <v>2002</v>
      </c>
      <c r="B15" s="28">
        <f>'11b'!B15+'11c'!B15+'11d'!B15</f>
        <v>334.4</v>
      </c>
      <c r="C15" s="28">
        <f t="shared" si="0"/>
        <v>200.3</v>
      </c>
      <c r="D15" s="28">
        <f>'11b'!D15+'11c'!D15+'11d'!D15</f>
        <v>26.6</v>
      </c>
      <c r="E15" s="28">
        <f>'11b'!E15+'11c'!E15+'11d'!E15</f>
        <v>63.2</v>
      </c>
      <c r="F15" s="28">
        <f>'11b'!F15+'11c'!F15+'11d'!F15</f>
        <v>86.7</v>
      </c>
      <c r="G15" s="28">
        <f>'11b'!G15+'11c'!G15+'11d'!G15</f>
        <v>23.8</v>
      </c>
      <c r="H15" s="28">
        <f>'11b'!H15+'11c'!H15+'11d'!H15</f>
        <v>112.80000000000001</v>
      </c>
      <c r="I15" s="28">
        <f>'11b'!I15+'11c'!I15+'11d'!I15</f>
        <v>21.1</v>
      </c>
      <c r="J15" s="28">
        <f>'11b'!J15+'11c'!J15+'11d'!J15</f>
        <v>17.700000000000003</v>
      </c>
      <c r="K15" s="28">
        <f>'11b'!K15+'11c'!K15+'11d'!K15</f>
        <v>2.1</v>
      </c>
    </row>
    <row r="16" spans="1:11">
      <c r="A16" s="66">
        <v>2003</v>
      </c>
      <c r="B16" s="28">
        <f>'11b'!B16+'11c'!B16+'11d'!B16</f>
        <v>349.3</v>
      </c>
      <c r="C16" s="28">
        <f t="shared" si="0"/>
        <v>205</v>
      </c>
      <c r="D16" s="28">
        <f>'11b'!D16+'11c'!D16+'11d'!D16</f>
        <v>25.8</v>
      </c>
      <c r="E16" s="28">
        <f>'11b'!E16+'11c'!E16+'11d'!E16</f>
        <v>66.8</v>
      </c>
      <c r="F16" s="28">
        <f>'11b'!F16+'11c'!F16+'11d'!F16</f>
        <v>83.4</v>
      </c>
      <c r="G16" s="28">
        <f>'11b'!G16+'11c'!G16+'11d'!G16</f>
        <v>29</v>
      </c>
      <c r="H16" s="28">
        <f>'11b'!H16+'11c'!H16+'11d'!H16</f>
        <v>118.4</v>
      </c>
      <c r="I16" s="28">
        <f>'11b'!I16+'11c'!I16+'11d'!I16</f>
        <v>25.9</v>
      </c>
      <c r="J16" s="28">
        <f>'11b'!J16+'11c'!J16+'11d'!J16</f>
        <v>20.3</v>
      </c>
      <c r="K16" s="28">
        <f>'11b'!K16+'11c'!K16+'11d'!K16</f>
        <v>4.8000000000000007</v>
      </c>
    </row>
    <row r="17" spans="1:11">
      <c r="A17" s="66">
        <v>2004</v>
      </c>
      <c r="B17" s="28">
        <f>'11b'!B17+'11c'!B17+'11d'!B17</f>
        <v>342</v>
      </c>
      <c r="C17" s="28">
        <f t="shared" si="0"/>
        <v>201.29999999999998</v>
      </c>
      <c r="D17" s="28">
        <f>'11b'!D17+'11c'!D17+'11d'!D17</f>
        <v>23.9</v>
      </c>
      <c r="E17" s="28">
        <f>'11b'!E17+'11c'!E17+'11d'!E17</f>
        <v>67.399999999999991</v>
      </c>
      <c r="F17" s="28">
        <f>'11b'!F17+'11c'!F17+'11d'!F17</f>
        <v>82.1</v>
      </c>
      <c r="G17" s="28">
        <f>'11b'!G17+'11c'!G17+'11d'!G17</f>
        <v>27.900000000000002</v>
      </c>
      <c r="H17" s="28">
        <f>'11b'!H17+'11c'!H17+'11d'!H17</f>
        <v>116.4</v>
      </c>
      <c r="I17" s="28">
        <f>'11b'!I17+'11c'!I17+'11d'!I17</f>
        <v>24.299999999999997</v>
      </c>
      <c r="J17" s="28">
        <f>'11b'!J17+'11c'!J17+'11d'!J17</f>
        <v>18.600000000000001</v>
      </c>
      <c r="K17" s="28">
        <f>'11b'!K17+'11c'!K17+'11d'!K17</f>
        <v>5.0999999999999996</v>
      </c>
    </row>
    <row r="18" spans="1:11">
      <c r="A18" s="66">
        <v>2005</v>
      </c>
      <c r="B18" s="28">
        <f>'11b'!B18+'11c'!B18+'11d'!B18</f>
        <v>316.7</v>
      </c>
      <c r="C18" s="28">
        <f t="shared" si="0"/>
        <v>177.20000000000002</v>
      </c>
      <c r="D18" s="28">
        <f>'11b'!D18+'11c'!D18+'11d'!D18</f>
        <v>21.7</v>
      </c>
      <c r="E18" s="28">
        <f>'11b'!E18+'11c'!E18+'11d'!E18</f>
        <v>54.2</v>
      </c>
      <c r="F18" s="28">
        <f>'11b'!F18+'11c'!F18+'11d'!F18</f>
        <v>79.2</v>
      </c>
      <c r="G18" s="28">
        <f>'11b'!G18+'11c'!G18+'11d'!G18</f>
        <v>22.1</v>
      </c>
      <c r="H18" s="28">
        <f>'11b'!H18+'11c'!H18+'11d'!H18</f>
        <v>114.1</v>
      </c>
      <c r="I18" s="28">
        <f>'11b'!I18+'11c'!I18+'11d'!I18</f>
        <v>25.400000000000002</v>
      </c>
      <c r="J18" s="28">
        <f>'11b'!J18+'11c'!J18+'11d'!J18</f>
        <v>20.399999999999999</v>
      </c>
      <c r="K18" s="28">
        <f>'11b'!K18+'11c'!K18+'11d'!K18</f>
        <v>4.4000000000000004</v>
      </c>
    </row>
    <row r="19" spans="1:11">
      <c r="A19" s="66">
        <v>2006</v>
      </c>
      <c r="B19" s="28">
        <f>'11b'!B19+'11c'!B19+'11d'!B19</f>
        <v>302.10000000000002</v>
      </c>
      <c r="C19" s="28">
        <f t="shared" si="0"/>
        <v>172.40000000000003</v>
      </c>
      <c r="D19" s="28">
        <f>'11b'!D19+'11c'!D19+'11d'!D19</f>
        <v>19</v>
      </c>
      <c r="E19" s="28">
        <f>'11b'!E19+'11c'!E19+'11d'!E19</f>
        <v>51.4</v>
      </c>
      <c r="F19" s="28">
        <f>'11b'!F19+'11c'!F19+'11d'!F19</f>
        <v>78.7</v>
      </c>
      <c r="G19" s="28">
        <f>'11b'!G19+'11c'!G19+'11d'!G19</f>
        <v>23.299999999999997</v>
      </c>
      <c r="H19" s="28">
        <f>'11b'!H19+'11c'!H19+'11d'!H19</f>
        <v>104.1</v>
      </c>
      <c r="I19" s="28">
        <f>'11b'!I19+'11c'!I19+'11d'!I19</f>
        <v>25.700000000000003</v>
      </c>
      <c r="J19" s="28">
        <f>'11b'!J19+'11c'!J19+'11d'!J19</f>
        <v>20.3</v>
      </c>
      <c r="K19" s="28">
        <f>'11b'!K19+'11c'!K19+'11d'!K19</f>
        <v>5.2</v>
      </c>
    </row>
    <row r="20" spans="1:11">
      <c r="A20" s="66">
        <v>2007</v>
      </c>
      <c r="B20" s="28">
        <f>'11b'!B20+'11c'!B20+'11d'!B20</f>
        <v>273.20000000000005</v>
      </c>
      <c r="C20" s="28">
        <f t="shared" si="0"/>
        <v>147.80000000000001</v>
      </c>
      <c r="D20" s="28">
        <f>'11b'!D20+'11c'!D20+'11d'!D20</f>
        <v>12.6</v>
      </c>
      <c r="E20" s="28">
        <f>'11b'!E20+'11c'!E20+'11d'!E20</f>
        <v>47.1</v>
      </c>
      <c r="F20" s="28">
        <f>'11b'!F20+'11c'!F20+'11d'!F20</f>
        <v>69.099999999999994</v>
      </c>
      <c r="G20" s="28">
        <f>'11b'!G20+'11c'!G20+'11d'!G20</f>
        <v>19</v>
      </c>
      <c r="H20" s="28">
        <f>'11b'!H20+'11c'!H20+'11d'!H20</f>
        <v>100.9</v>
      </c>
      <c r="I20" s="28">
        <f>'11b'!I20+'11c'!I20+'11d'!I20</f>
        <v>23.3</v>
      </c>
      <c r="J20" s="28">
        <f>'11b'!J20+'11c'!J20+'11d'!J20</f>
        <v>17.7</v>
      </c>
      <c r="K20" s="28">
        <f>'11b'!K20+'11c'!K20+'11d'!K20</f>
        <v>5.3</v>
      </c>
    </row>
    <row r="21" spans="1:11">
      <c r="A21" s="66">
        <v>2008</v>
      </c>
      <c r="B21" s="28" t="s">
        <v>22</v>
      </c>
      <c r="C21" s="28" t="s">
        <v>22</v>
      </c>
      <c r="D21" s="28" t="s">
        <v>22</v>
      </c>
      <c r="E21" s="28" t="s">
        <v>22</v>
      </c>
      <c r="F21" s="28" t="s">
        <v>22</v>
      </c>
      <c r="G21" s="28" t="s">
        <v>22</v>
      </c>
      <c r="H21" s="28" t="s">
        <v>22</v>
      </c>
      <c r="I21" s="28" t="s">
        <v>22</v>
      </c>
      <c r="J21" s="28" t="s">
        <v>22</v>
      </c>
      <c r="K21" s="28" t="s">
        <v>22</v>
      </c>
    </row>
    <row r="22" spans="1:11">
      <c r="A22" s="66">
        <v>2009</v>
      </c>
      <c r="B22" s="28" t="s">
        <v>22</v>
      </c>
      <c r="C22" s="28" t="s">
        <v>22</v>
      </c>
      <c r="D22" s="28" t="s">
        <v>22</v>
      </c>
      <c r="E22" s="28" t="s">
        <v>22</v>
      </c>
      <c r="F22" s="28" t="s">
        <v>22</v>
      </c>
      <c r="G22" s="28" t="s">
        <v>22</v>
      </c>
      <c r="H22" s="28" t="s">
        <v>22</v>
      </c>
      <c r="I22" s="28" t="s">
        <v>22</v>
      </c>
      <c r="J22" s="28" t="s">
        <v>22</v>
      </c>
      <c r="K22" s="28" t="s">
        <v>22</v>
      </c>
    </row>
    <row r="23" spans="1:11">
      <c r="A23" s="66">
        <v>2010</v>
      </c>
      <c r="B23" s="28" t="s">
        <v>22</v>
      </c>
      <c r="C23" s="28" t="s">
        <v>22</v>
      </c>
      <c r="D23" s="28" t="s">
        <v>22</v>
      </c>
      <c r="E23" s="28" t="s">
        <v>22</v>
      </c>
      <c r="F23" s="28" t="s">
        <v>22</v>
      </c>
      <c r="G23" s="28" t="s">
        <v>22</v>
      </c>
      <c r="H23" s="28" t="s">
        <v>22</v>
      </c>
      <c r="I23" s="28" t="s">
        <v>22</v>
      </c>
      <c r="J23" s="28" t="s">
        <v>22</v>
      </c>
      <c r="K23" s="28" t="s">
        <v>22</v>
      </c>
    </row>
    <row r="24" spans="1:11">
      <c r="A24" s="66">
        <v>2011</v>
      </c>
      <c r="B24" s="28" t="s">
        <v>22</v>
      </c>
      <c r="C24" s="28" t="s">
        <v>22</v>
      </c>
      <c r="D24" s="28" t="s">
        <v>22</v>
      </c>
      <c r="E24" s="28" t="s">
        <v>22</v>
      </c>
      <c r="F24" s="28" t="s">
        <v>22</v>
      </c>
      <c r="G24" s="28" t="s">
        <v>22</v>
      </c>
      <c r="H24" s="28" t="s">
        <v>22</v>
      </c>
      <c r="I24" s="28" t="s">
        <v>22</v>
      </c>
      <c r="J24" s="28" t="s">
        <v>22</v>
      </c>
      <c r="K24" s="28" t="s">
        <v>22</v>
      </c>
    </row>
    <row r="25" spans="1:11">
      <c r="A25" s="66">
        <v>2012</v>
      </c>
      <c r="B25" s="28" t="s">
        <v>22</v>
      </c>
      <c r="C25" s="28" t="s">
        <v>22</v>
      </c>
      <c r="D25" s="28" t="s">
        <v>22</v>
      </c>
      <c r="E25" s="28" t="s">
        <v>22</v>
      </c>
      <c r="F25" s="28" t="s">
        <v>22</v>
      </c>
      <c r="G25" s="28" t="s">
        <v>22</v>
      </c>
      <c r="H25" s="28" t="s">
        <v>22</v>
      </c>
      <c r="I25" s="28" t="s">
        <v>22</v>
      </c>
      <c r="J25" s="28" t="s">
        <v>22</v>
      </c>
      <c r="K25" s="28" t="s">
        <v>22</v>
      </c>
    </row>
    <row r="27" spans="1:11">
      <c r="A27" s="66" t="s">
        <v>23</v>
      </c>
      <c r="B27" s="56"/>
      <c r="C27" s="56"/>
      <c r="D27" s="56"/>
      <c r="E27" s="56"/>
      <c r="F27" s="56"/>
      <c r="G27" s="56"/>
      <c r="H27" s="56"/>
      <c r="I27" s="56"/>
      <c r="J27" s="56"/>
      <c r="K27" s="56"/>
    </row>
    <row r="28" spans="1:11">
      <c r="A28" s="109" t="s">
        <v>1038</v>
      </c>
      <c r="B28" s="147">
        <f>((B20/B3)^(1/17)-1)*100</f>
        <v>-0.85982983170417304</v>
      </c>
      <c r="C28" s="147">
        <f>((C20/C3)^(1/17)-1)*100</f>
        <v>-2.3282969496570827</v>
      </c>
      <c r="D28" s="147">
        <f t="shared" ref="D28:J28" si="1">((D20/D3)^(1/17)-1)*100</f>
        <v>-6.5831822421289381</v>
      </c>
      <c r="E28" s="147">
        <f t="shared" si="1"/>
        <v>-2.8795725686032836</v>
      </c>
      <c r="F28" s="147">
        <f t="shared" si="1"/>
        <v>-0.79189575924268896</v>
      </c>
      <c r="G28" s="147">
        <f t="shared" si="1"/>
        <v>-1.3648059134747204</v>
      </c>
      <c r="H28" s="147">
        <f t="shared" si="1"/>
        <v>1.4346264993008839</v>
      </c>
      <c r="I28" s="147">
        <f t="shared" si="1"/>
        <v>1.9425950204143172</v>
      </c>
      <c r="J28" s="147">
        <f t="shared" si="1"/>
        <v>1.7405494099106189</v>
      </c>
      <c r="K28" s="147" t="s">
        <v>22</v>
      </c>
    </row>
    <row r="29" spans="1:11">
      <c r="A29" s="68" t="s">
        <v>660</v>
      </c>
      <c r="B29" s="58">
        <f>((B13/B3)^(1/10)-1)*100</f>
        <v>0.66554974230847996</v>
      </c>
      <c r="C29" s="147">
        <f>((C13/C3)^(1/10)-1)*100</f>
        <v>-0.6055387344645502</v>
      </c>
      <c r="D29" s="58">
        <f t="shared" ref="D29:J29" si="2">((D13/D3)^(1/10)-1)*100</f>
        <v>-4.2035063103976427</v>
      </c>
      <c r="E29" s="58">
        <f t="shared" si="2"/>
        <v>-1.3300812003176898</v>
      </c>
      <c r="F29" s="58">
        <f t="shared" si="2"/>
        <v>0.7456518313789573</v>
      </c>
      <c r="G29" s="58">
        <f t="shared" si="2"/>
        <v>1.7689934520530581</v>
      </c>
      <c r="H29" s="58">
        <f t="shared" si="2"/>
        <v>3.1310306477545069</v>
      </c>
      <c r="I29" s="58">
        <f t="shared" si="2"/>
        <v>3.0101253714244658</v>
      </c>
      <c r="J29" s="58">
        <f t="shared" si="2"/>
        <v>3.818017112287686</v>
      </c>
      <c r="K29" s="58" t="s">
        <v>22</v>
      </c>
    </row>
    <row r="30" spans="1:11">
      <c r="A30" s="68" t="s">
        <v>588</v>
      </c>
      <c r="B30" s="58">
        <f>((B20/B13)^(1/7)-1)*100</f>
        <v>-2.9989347903729091</v>
      </c>
      <c r="C30" s="147">
        <f>((C20/C13)^(1/7)-1)*100</f>
        <v>-4.737711126052524</v>
      </c>
      <c r="D30" s="58">
        <f t="shared" ref="D30:K30" si="3">((D20/D13)^(1/7)-1)*100</f>
        <v>-9.88054081368408</v>
      </c>
      <c r="E30" s="58">
        <f t="shared" si="3"/>
        <v>-5.0510164721166095</v>
      </c>
      <c r="F30" s="58">
        <f t="shared" si="3"/>
        <v>-2.9477757056662002</v>
      </c>
      <c r="G30" s="58">
        <f t="shared" si="3"/>
        <v>-5.675004011444706</v>
      </c>
      <c r="H30" s="58">
        <f t="shared" si="3"/>
        <v>-0.94051679919097131</v>
      </c>
      <c r="I30" s="58">
        <f t="shared" si="3"/>
        <v>0.43671446310384887</v>
      </c>
      <c r="J30" s="58">
        <f t="shared" si="3"/>
        <v>-1.1553544868011967</v>
      </c>
      <c r="K30" s="58">
        <f t="shared" si="3"/>
        <v>14.938015994395215</v>
      </c>
    </row>
    <row r="32" spans="1:11">
      <c r="A32" s="64" t="s">
        <v>1037</v>
      </c>
    </row>
    <row r="33" spans="1:11">
      <c r="A33" s="64" t="s">
        <v>773</v>
      </c>
    </row>
    <row r="34" spans="1:11">
      <c r="A34" s="64" t="s">
        <v>1040</v>
      </c>
    </row>
    <row r="35" spans="1:11" ht="30" customHeight="1">
      <c r="A35" s="131" t="s">
        <v>1041</v>
      </c>
      <c r="B35" s="131"/>
      <c r="C35" s="131"/>
      <c r="D35" s="131"/>
      <c r="E35" s="131"/>
      <c r="F35" s="131"/>
      <c r="G35" s="131"/>
      <c r="H35" s="131"/>
      <c r="I35" s="131"/>
      <c r="J35" s="131"/>
      <c r="K35" s="131"/>
    </row>
    <row r="36" spans="1:11">
      <c r="A36" s="70" t="s">
        <v>1043</v>
      </c>
    </row>
  </sheetData>
  <mergeCells count="2">
    <mergeCell ref="A1:K1"/>
    <mergeCell ref="A35:K35"/>
  </mergeCells>
  <pageMargins left="0.7" right="0.7" top="0.75" bottom="0.75" header="0.3" footer="0.3"/>
  <pageSetup scale="80" orientation="landscape" horizontalDpi="0" verticalDpi="0" r:id="rId1"/>
</worksheet>
</file>

<file path=xl/worksheets/sheet88.xml><?xml version="1.0" encoding="utf-8"?>
<worksheet xmlns="http://schemas.openxmlformats.org/spreadsheetml/2006/main" xmlns:r="http://schemas.openxmlformats.org/officeDocument/2006/relationships">
  <sheetPr codeName="Sheet81"/>
  <dimension ref="A1:K30"/>
  <sheetViews>
    <sheetView view="pageBreakPreview" zoomScaleNormal="85" zoomScaleSheetLayoutView="100" workbookViewId="0">
      <selection activeCell="AC38" sqref="AC38"/>
    </sheetView>
  </sheetViews>
  <sheetFormatPr defaultRowHeight="15"/>
  <cols>
    <col min="1" max="1" width="10.7109375" style="64" customWidth="1"/>
    <col min="2" max="11" width="14.28515625" style="64" customWidth="1"/>
    <col min="12" max="16384" width="9.140625" style="64"/>
  </cols>
  <sheetData>
    <row r="1" spans="1:11">
      <c r="A1" s="140" t="s">
        <v>1035</v>
      </c>
      <c r="B1" s="140"/>
      <c r="C1" s="140"/>
      <c r="D1" s="140"/>
      <c r="E1" s="140"/>
      <c r="F1" s="140"/>
      <c r="G1" s="140"/>
      <c r="H1" s="140"/>
      <c r="I1" s="140"/>
      <c r="J1" s="140"/>
      <c r="K1" s="140"/>
    </row>
    <row r="2" spans="1:11" ht="60">
      <c r="B2" s="72" t="s">
        <v>594</v>
      </c>
      <c r="C2" s="72" t="s">
        <v>1305</v>
      </c>
      <c r="D2" s="72" t="s">
        <v>595</v>
      </c>
      <c r="E2" s="72" t="s">
        <v>596</v>
      </c>
      <c r="F2" s="72" t="s">
        <v>597</v>
      </c>
      <c r="G2" s="72" t="s">
        <v>598</v>
      </c>
      <c r="H2" s="72" t="s">
        <v>599</v>
      </c>
      <c r="I2" s="72" t="s">
        <v>600</v>
      </c>
      <c r="J2" s="72" t="s">
        <v>601</v>
      </c>
      <c r="K2" s="72" t="s">
        <v>602</v>
      </c>
    </row>
    <row r="3" spans="1:11">
      <c r="A3" s="66">
        <v>1990</v>
      </c>
      <c r="B3" s="28">
        <v>53.2</v>
      </c>
      <c r="C3" s="28">
        <f>SUM(D3:G3)</f>
        <v>41.4</v>
      </c>
      <c r="D3" s="28">
        <v>11.8</v>
      </c>
      <c r="E3" s="28">
        <v>15.8</v>
      </c>
      <c r="F3" s="28">
        <v>10.5</v>
      </c>
      <c r="G3" s="28">
        <v>3.3</v>
      </c>
      <c r="H3" s="28">
        <v>9.8000000000000007</v>
      </c>
      <c r="I3" s="28">
        <v>2.1</v>
      </c>
      <c r="J3" s="28">
        <v>0</v>
      </c>
      <c r="K3" s="28">
        <v>0</v>
      </c>
    </row>
    <row r="4" spans="1:11">
      <c r="A4" s="66">
        <v>1991</v>
      </c>
      <c r="B4" s="28">
        <v>50.9</v>
      </c>
      <c r="C4" s="28">
        <f t="shared" ref="C4:C20" si="0">SUM(D4:G4)</f>
        <v>41.2</v>
      </c>
      <c r="D4" s="28">
        <v>11</v>
      </c>
      <c r="E4" s="28">
        <v>17</v>
      </c>
      <c r="F4" s="28">
        <v>9.5</v>
      </c>
      <c r="G4" s="28">
        <v>3.7</v>
      </c>
      <c r="H4" s="28">
        <v>8.5</v>
      </c>
      <c r="I4" s="28">
        <v>0</v>
      </c>
      <c r="J4" s="28">
        <v>0</v>
      </c>
      <c r="K4" s="28">
        <v>0</v>
      </c>
    </row>
    <row r="5" spans="1:11">
      <c r="A5" s="66">
        <v>1992</v>
      </c>
      <c r="B5" s="28">
        <v>51.4</v>
      </c>
      <c r="C5" s="28">
        <f t="shared" si="0"/>
        <v>41.699999999999996</v>
      </c>
      <c r="D5" s="28">
        <v>12</v>
      </c>
      <c r="E5" s="28">
        <v>15.9</v>
      </c>
      <c r="F5" s="28">
        <v>10.9</v>
      </c>
      <c r="G5" s="28">
        <v>2.9</v>
      </c>
      <c r="H5" s="28">
        <v>8.4</v>
      </c>
      <c r="I5" s="28">
        <v>0</v>
      </c>
      <c r="J5" s="28">
        <v>0</v>
      </c>
      <c r="K5" s="28">
        <v>0</v>
      </c>
    </row>
    <row r="6" spans="1:11">
      <c r="A6" s="66">
        <v>1993</v>
      </c>
      <c r="B6" s="28">
        <v>52.8</v>
      </c>
      <c r="C6" s="28">
        <f t="shared" si="0"/>
        <v>40.300000000000004</v>
      </c>
      <c r="D6" s="28">
        <v>9.6999999999999993</v>
      </c>
      <c r="E6" s="28">
        <v>17.3</v>
      </c>
      <c r="F6" s="28">
        <v>9.6999999999999993</v>
      </c>
      <c r="G6" s="28">
        <v>3.6</v>
      </c>
      <c r="H6" s="28">
        <v>10.5</v>
      </c>
      <c r="I6" s="28">
        <v>2</v>
      </c>
      <c r="J6" s="28">
        <v>1.8</v>
      </c>
      <c r="K6" s="28">
        <v>0</v>
      </c>
    </row>
    <row r="7" spans="1:11">
      <c r="A7" s="66">
        <v>1994</v>
      </c>
      <c r="B7" s="28">
        <v>62.9</v>
      </c>
      <c r="C7" s="28">
        <f t="shared" si="0"/>
        <v>47.5</v>
      </c>
      <c r="D7" s="28">
        <v>12.3</v>
      </c>
      <c r="E7" s="28">
        <v>18.7</v>
      </c>
      <c r="F7" s="28">
        <v>12</v>
      </c>
      <c r="G7" s="28">
        <v>4.5</v>
      </c>
      <c r="H7" s="28">
        <v>12.8</v>
      </c>
      <c r="I7" s="28">
        <v>2.6</v>
      </c>
      <c r="J7" s="28">
        <v>1.9</v>
      </c>
      <c r="K7" s="28">
        <v>0</v>
      </c>
    </row>
    <row r="8" spans="1:11">
      <c r="A8" s="66">
        <v>1995</v>
      </c>
      <c r="B8" s="28">
        <v>71.5</v>
      </c>
      <c r="C8" s="28">
        <f t="shared" si="0"/>
        <v>52.800000000000004</v>
      </c>
      <c r="D8" s="28">
        <v>11.4</v>
      </c>
      <c r="E8" s="28">
        <v>22.8</v>
      </c>
      <c r="F8" s="28">
        <v>15.5</v>
      </c>
      <c r="G8" s="28">
        <v>3.1</v>
      </c>
      <c r="H8" s="28">
        <v>16.100000000000001</v>
      </c>
      <c r="I8" s="28">
        <v>2.6</v>
      </c>
      <c r="J8" s="28">
        <v>1.9</v>
      </c>
      <c r="K8" s="28">
        <v>0</v>
      </c>
    </row>
    <row r="9" spans="1:11">
      <c r="A9" s="66">
        <v>1996</v>
      </c>
      <c r="B9" s="28">
        <v>64.099999999999994</v>
      </c>
      <c r="C9" s="28">
        <f t="shared" si="0"/>
        <v>45.7</v>
      </c>
      <c r="D9" s="28">
        <v>10</v>
      </c>
      <c r="E9" s="28">
        <v>16.100000000000001</v>
      </c>
      <c r="F9" s="28">
        <v>15</v>
      </c>
      <c r="G9" s="28">
        <v>4.5999999999999996</v>
      </c>
      <c r="H9" s="28">
        <v>16.3</v>
      </c>
      <c r="I9" s="28">
        <v>2.1</v>
      </c>
      <c r="J9" s="28">
        <v>1.9</v>
      </c>
      <c r="K9" s="28">
        <v>0</v>
      </c>
    </row>
    <row r="10" spans="1:11">
      <c r="A10" s="66">
        <v>1997</v>
      </c>
      <c r="B10" s="28">
        <v>58.2</v>
      </c>
      <c r="C10" s="28">
        <f t="shared" si="0"/>
        <v>40.6</v>
      </c>
      <c r="D10" s="28">
        <v>11.2</v>
      </c>
      <c r="E10" s="28">
        <v>14.5</v>
      </c>
      <c r="F10" s="28">
        <v>11</v>
      </c>
      <c r="G10" s="28">
        <v>3.9</v>
      </c>
      <c r="H10" s="28">
        <v>15.8</v>
      </c>
      <c r="I10" s="28">
        <v>1.8</v>
      </c>
      <c r="J10" s="28">
        <v>1.7</v>
      </c>
      <c r="K10" s="28">
        <v>0</v>
      </c>
    </row>
    <row r="11" spans="1:11">
      <c r="A11" s="66">
        <v>1998</v>
      </c>
      <c r="B11" s="28">
        <v>60.5</v>
      </c>
      <c r="C11" s="28">
        <f t="shared" si="0"/>
        <v>40.199999999999996</v>
      </c>
      <c r="D11" s="28">
        <v>9.1</v>
      </c>
      <c r="E11" s="28">
        <v>15.8</v>
      </c>
      <c r="F11" s="28">
        <v>12.5</v>
      </c>
      <c r="G11" s="28">
        <v>2.8</v>
      </c>
      <c r="H11" s="28">
        <v>18.100000000000001</v>
      </c>
      <c r="I11" s="28">
        <v>2.2999999999999998</v>
      </c>
      <c r="J11" s="28">
        <v>1.7</v>
      </c>
      <c r="K11" s="28">
        <v>0</v>
      </c>
    </row>
    <row r="12" spans="1:11">
      <c r="A12" s="66">
        <v>1999</v>
      </c>
      <c r="B12" s="28">
        <v>59.4</v>
      </c>
      <c r="C12" s="28">
        <f t="shared" si="0"/>
        <v>40.6</v>
      </c>
      <c r="D12" s="28">
        <v>9.3000000000000007</v>
      </c>
      <c r="E12" s="28">
        <v>15.3</v>
      </c>
      <c r="F12" s="28">
        <v>12.1</v>
      </c>
      <c r="G12" s="28">
        <v>3.9</v>
      </c>
      <c r="H12" s="28">
        <v>15.7</v>
      </c>
      <c r="I12" s="28">
        <v>3.2</v>
      </c>
      <c r="J12" s="28">
        <v>2.5</v>
      </c>
      <c r="K12" s="28">
        <v>0</v>
      </c>
    </row>
    <row r="13" spans="1:11">
      <c r="A13" s="66">
        <v>2000</v>
      </c>
      <c r="B13" s="28">
        <v>57.1</v>
      </c>
      <c r="C13" s="28">
        <f t="shared" si="0"/>
        <v>39.5</v>
      </c>
      <c r="D13" s="28">
        <v>7.9</v>
      </c>
      <c r="E13" s="28">
        <v>15.3</v>
      </c>
      <c r="F13" s="28">
        <v>11.9</v>
      </c>
      <c r="G13" s="28">
        <v>4.4000000000000004</v>
      </c>
      <c r="H13" s="28">
        <v>14.5</v>
      </c>
      <c r="I13" s="28">
        <v>3</v>
      </c>
      <c r="J13" s="28">
        <v>2.6</v>
      </c>
      <c r="K13" s="28">
        <v>0</v>
      </c>
    </row>
    <row r="14" spans="1:11">
      <c r="A14" s="66">
        <v>2001</v>
      </c>
      <c r="B14" s="28">
        <v>51.3</v>
      </c>
      <c r="C14" s="28">
        <f t="shared" si="0"/>
        <v>35.799999999999997</v>
      </c>
      <c r="D14" s="28">
        <v>7.1</v>
      </c>
      <c r="E14" s="28">
        <v>14.9</v>
      </c>
      <c r="F14" s="28">
        <v>10.3</v>
      </c>
      <c r="G14" s="28">
        <v>3.5</v>
      </c>
      <c r="H14" s="28">
        <v>13.4</v>
      </c>
      <c r="I14" s="28">
        <v>2</v>
      </c>
      <c r="J14" s="28">
        <v>1.7</v>
      </c>
      <c r="K14" s="28">
        <v>0</v>
      </c>
    </row>
    <row r="15" spans="1:11">
      <c r="A15" s="66">
        <v>2002</v>
      </c>
      <c r="B15" s="28">
        <v>52.7</v>
      </c>
      <c r="C15" s="28">
        <f t="shared" si="0"/>
        <v>35.900000000000006</v>
      </c>
      <c r="D15" s="28">
        <v>7.6</v>
      </c>
      <c r="E15" s="28">
        <v>13.3</v>
      </c>
      <c r="F15" s="28">
        <v>11.3</v>
      </c>
      <c r="G15" s="28">
        <v>3.7</v>
      </c>
      <c r="H15" s="28">
        <v>14.8</v>
      </c>
      <c r="I15" s="28">
        <v>2</v>
      </c>
      <c r="J15" s="28">
        <v>1.7</v>
      </c>
      <c r="K15" s="28">
        <v>0</v>
      </c>
    </row>
    <row r="16" spans="1:11">
      <c r="A16" s="66">
        <v>2003</v>
      </c>
      <c r="B16" s="28">
        <v>55.8</v>
      </c>
      <c r="C16" s="28">
        <f t="shared" si="0"/>
        <v>36.9</v>
      </c>
      <c r="D16" s="28">
        <v>6.9</v>
      </c>
      <c r="E16" s="28">
        <v>15.2</v>
      </c>
      <c r="F16" s="28">
        <v>10.9</v>
      </c>
      <c r="G16" s="28">
        <v>3.9</v>
      </c>
      <c r="H16" s="28">
        <v>16.3</v>
      </c>
      <c r="I16" s="28">
        <v>2.6</v>
      </c>
      <c r="J16" s="28">
        <v>1.8</v>
      </c>
      <c r="K16" s="28">
        <v>0</v>
      </c>
    </row>
    <row r="17" spans="1:11">
      <c r="A17" s="66">
        <v>2004</v>
      </c>
      <c r="B17" s="28">
        <v>51.9</v>
      </c>
      <c r="C17" s="28">
        <f t="shared" si="0"/>
        <v>35.199999999999996</v>
      </c>
      <c r="D17" s="28">
        <v>7.1</v>
      </c>
      <c r="E17" s="28">
        <v>14.2</v>
      </c>
      <c r="F17" s="28">
        <v>10.1</v>
      </c>
      <c r="G17" s="28">
        <v>3.8</v>
      </c>
      <c r="H17" s="28">
        <v>14.1</v>
      </c>
      <c r="I17" s="28">
        <v>2.6</v>
      </c>
      <c r="J17" s="28">
        <v>2</v>
      </c>
      <c r="K17" s="28">
        <v>0</v>
      </c>
    </row>
    <row r="18" spans="1:11">
      <c r="A18" s="66">
        <v>2005</v>
      </c>
      <c r="B18" s="28">
        <v>46.3</v>
      </c>
      <c r="C18" s="28">
        <f t="shared" si="0"/>
        <v>29.9</v>
      </c>
      <c r="D18" s="28">
        <v>5.5</v>
      </c>
      <c r="E18" s="28">
        <v>10.8</v>
      </c>
      <c r="F18" s="28">
        <v>11.1</v>
      </c>
      <c r="G18" s="28">
        <v>2.5</v>
      </c>
      <c r="H18" s="28">
        <v>13.6</v>
      </c>
      <c r="I18" s="28">
        <v>2.8</v>
      </c>
      <c r="J18" s="28">
        <v>2.2000000000000002</v>
      </c>
      <c r="K18" s="28">
        <v>0</v>
      </c>
    </row>
    <row r="19" spans="1:11">
      <c r="A19" s="66">
        <v>2006</v>
      </c>
      <c r="B19" s="28">
        <v>41.5</v>
      </c>
      <c r="C19" s="28">
        <f t="shared" si="0"/>
        <v>28.2</v>
      </c>
      <c r="D19" s="28">
        <v>5.9</v>
      </c>
      <c r="E19" s="28">
        <v>10.1</v>
      </c>
      <c r="F19" s="28">
        <v>9.5</v>
      </c>
      <c r="G19" s="28">
        <v>2.7</v>
      </c>
      <c r="H19" s="28">
        <v>11.8</v>
      </c>
      <c r="I19" s="28">
        <v>1.6</v>
      </c>
      <c r="J19" s="28">
        <v>1.5</v>
      </c>
      <c r="K19" s="28">
        <v>0</v>
      </c>
    </row>
    <row r="20" spans="1:11">
      <c r="A20" s="66">
        <v>2007</v>
      </c>
      <c r="B20" s="28">
        <v>39.700000000000003</v>
      </c>
      <c r="C20" s="28">
        <f t="shared" si="0"/>
        <v>27</v>
      </c>
      <c r="D20" s="28">
        <v>4.0999999999999996</v>
      </c>
      <c r="E20" s="28">
        <v>11.7</v>
      </c>
      <c r="F20" s="28">
        <v>9.1</v>
      </c>
      <c r="G20" s="28">
        <v>2.1</v>
      </c>
      <c r="H20" s="28">
        <v>10.9</v>
      </c>
      <c r="I20" s="28">
        <v>1.8</v>
      </c>
      <c r="J20" s="28">
        <v>1.5</v>
      </c>
      <c r="K20" s="28">
        <v>0</v>
      </c>
    </row>
    <row r="22" spans="1:11">
      <c r="A22" s="66" t="s">
        <v>23</v>
      </c>
      <c r="B22" s="56"/>
      <c r="C22" s="56"/>
      <c r="D22" s="56"/>
      <c r="E22" s="56"/>
      <c r="F22" s="56"/>
      <c r="G22" s="56"/>
      <c r="H22" s="56"/>
      <c r="I22" s="56"/>
      <c r="J22" s="56"/>
      <c r="K22" s="56"/>
    </row>
    <row r="23" spans="1:11">
      <c r="A23" s="109" t="s">
        <v>1038</v>
      </c>
      <c r="B23" s="147">
        <f>((B20/B3)^(1/17)-1)*100</f>
        <v>-1.7070687212221269</v>
      </c>
      <c r="C23" s="147">
        <f>((C20/C3)^(1/17)-1)*100</f>
        <v>-2.483029388631941</v>
      </c>
      <c r="D23" s="147">
        <f t="shared" ref="D23:I23" si="1">((D20/D3)^(1/17)-1)*100</f>
        <v>-6.0289182148829834</v>
      </c>
      <c r="E23" s="147">
        <f t="shared" si="1"/>
        <v>-1.7516598282467877</v>
      </c>
      <c r="F23" s="147">
        <f t="shared" si="1"/>
        <v>-0.83823670768141678</v>
      </c>
      <c r="G23" s="147">
        <f t="shared" si="1"/>
        <v>-2.6237028027993659</v>
      </c>
      <c r="H23" s="147">
        <f t="shared" si="1"/>
        <v>0.62772909235477847</v>
      </c>
      <c r="I23" s="147">
        <f t="shared" si="1"/>
        <v>-0.90266995552679141</v>
      </c>
      <c r="J23" s="147" t="s">
        <v>22</v>
      </c>
      <c r="K23" s="147" t="s">
        <v>22</v>
      </c>
    </row>
    <row r="24" spans="1:11">
      <c r="A24" s="68" t="s">
        <v>660</v>
      </c>
      <c r="B24" s="147">
        <f>((B13/B3)^(1/10)-1)*100</f>
        <v>0.709965593388584</v>
      </c>
      <c r="C24" s="147">
        <f>((C13/C3)^(1/10)-1)*100</f>
        <v>-0.46870024539710231</v>
      </c>
      <c r="D24" s="147">
        <f t="shared" ref="D24:I24" si="2">((D13/D3)^(1/10)-1)*100</f>
        <v>-3.9329381247331763</v>
      </c>
      <c r="E24" s="147">
        <f t="shared" si="2"/>
        <v>-0.32105463020272174</v>
      </c>
      <c r="F24" s="147">
        <f t="shared" si="2"/>
        <v>1.2594971179361814</v>
      </c>
      <c r="G24" s="147">
        <f t="shared" si="2"/>
        <v>2.9186008964760646</v>
      </c>
      <c r="H24" s="147">
        <f t="shared" si="2"/>
        <v>3.9954150761267737</v>
      </c>
      <c r="I24" s="147">
        <f t="shared" si="2"/>
        <v>3.6311209910314224</v>
      </c>
      <c r="J24" s="147" t="s">
        <v>22</v>
      </c>
      <c r="K24" s="147" t="s">
        <v>22</v>
      </c>
    </row>
    <row r="25" spans="1:11">
      <c r="A25" s="68" t="s">
        <v>588</v>
      </c>
      <c r="B25" s="147">
        <f>((B20/B13)^(1/7)-1)*100</f>
        <v>-5.0596937354676736</v>
      </c>
      <c r="C25" s="147">
        <f>((C20/C13)^(1/7)-1)*100</f>
        <v>-5.2901304649941032</v>
      </c>
      <c r="D25" s="147">
        <f t="shared" ref="D25:J25" si="3">((D20/D13)^(1/7)-1)*100</f>
        <v>-8.9440962184529909</v>
      </c>
      <c r="E25" s="147">
        <f t="shared" si="3"/>
        <v>-3.7598375789559046</v>
      </c>
      <c r="F25" s="147">
        <f t="shared" si="3"/>
        <v>-3.7598375789559046</v>
      </c>
      <c r="G25" s="147">
        <f t="shared" si="3"/>
        <v>-10.027556179581287</v>
      </c>
      <c r="H25" s="147">
        <f t="shared" si="3"/>
        <v>-3.994951618802256</v>
      </c>
      <c r="I25" s="147">
        <f t="shared" si="3"/>
        <v>-7.0376012501218721</v>
      </c>
      <c r="J25" s="147">
        <f t="shared" si="3"/>
        <v>-7.5570092910896332</v>
      </c>
      <c r="K25" s="147" t="s">
        <v>22</v>
      </c>
    </row>
    <row r="27" spans="1:11">
      <c r="A27" s="64" t="s">
        <v>593</v>
      </c>
    </row>
    <row r="28" spans="1:11">
      <c r="A28" s="64" t="s">
        <v>773</v>
      </c>
    </row>
    <row r="29" spans="1:11">
      <c r="A29" s="64" t="s">
        <v>1040</v>
      </c>
    </row>
    <row r="30" spans="1:11" ht="30" customHeight="1">
      <c r="A30" s="131" t="s">
        <v>1041</v>
      </c>
      <c r="B30" s="131"/>
      <c r="C30" s="131"/>
      <c r="D30" s="131"/>
      <c r="E30" s="131"/>
      <c r="F30" s="131"/>
      <c r="G30" s="131"/>
      <c r="H30" s="131"/>
      <c r="I30" s="131"/>
      <c r="J30" s="131"/>
      <c r="K30" s="131"/>
    </row>
  </sheetData>
  <mergeCells count="2">
    <mergeCell ref="A1:K1"/>
    <mergeCell ref="A30:K30"/>
  </mergeCells>
  <pageMargins left="0.7" right="0.7" top="0.75" bottom="0.75" header="0.3" footer="0.3"/>
  <pageSetup scale="80" orientation="landscape" horizontalDpi="0" verticalDpi="0" r:id="rId1"/>
  <ignoredErrors>
    <ignoredError sqref="C3:C20" formulaRange="1"/>
  </ignoredErrors>
</worksheet>
</file>

<file path=xl/worksheets/sheet89.xml><?xml version="1.0" encoding="utf-8"?>
<worksheet xmlns="http://schemas.openxmlformats.org/spreadsheetml/2006/main" xmlns:r="http://schemas.openxmlformats.org/officeDocument/2006/relationships">
  <sheetPr codeName="Sheet82"/>
  <dimension ref="A1:K30"/>
  <sheetViews>
    <sheetView view="pageBreakPreview" zoomScaleNormal="85" zoomScaleSheetLayoutView="100" workbookViewId="0">
      <selection activeCell="AC38" sqref="AC38"/>
    </sheetView>
  </sheetViews>
  <sheetFormatPr defaultRowHeight="15"/>
  <cols>
    <col min="1" max="1" width="11.42578125" style="64" customWidth="1"/>
    <col min="2" max="11" width="14.28515625" style="64" customWidth="1"/>
    <col min="12" max="16384" width="9.140625" style="64"/>
  </cols>
  <sheetData>
    <row r="1" spans="1:11">
      <c r="A1" s="66" t="s">
        <v>1034</v>
      </c>
    </row>
    <row r="2" spans="1:11" ht="60">
      <c r="B2" s="72" t="s">
        <v>594</v>
      </c>
      <c r="C2" s="72" t="s">
        <v>1305</v>
      </c>
      <c r="D2" s="72" t="s">
        <v>595</v>
      </c>
      <c r="E2" s="72" t="s">
        <v>596</v>
      </c>
      <c r="F2" s="72" t="s">
        <v>597</v>
      </c>
      <c r="G2" s="72" t="s">
        <v>598</v>
      </c>
      <c r="H2" s="72" t="s">
        <v>599</v>
      </c>
      <c r="I2" s="72" t="s">
        <v>600</v>
      </c>
      <c r="J2" s="72" t="s">
        <v>601</v>
      </c>
      <c r="K2" s="72" t="s">
        <v>602</v>
      </c>
    </row>
    <row r="3" spans="1:11">
      <c r="A3" s="66">
        <v>1990</v>
      </c>
      <c r="B3" s="28">
        <v>123.1</v>
      </c>
      <c r="C3" s="28">
        <f>SUM(D3:G3)</f>
        <v>89.800000000000011</v>
      </c>
      <c r="D3" s="28">
        <v>15.8</v>
      </c>
      <c r="E3" s="28">
        <v>35.1</v>
      </c>
      <c r="F3" s="28">
        <v>28.9</v>
      </c>
      <c r="G3" s="28">
        <v>10</v>
      </c>
      <c r="H3" s="28">
        <v>28.6</v>
      </c>
      <c r="I3" s="28">
        <v>4.8</v>
      </c>
      <c r="J3" s="28">
        <v>4</v>
      </c>
      <c r="K3" s="28">
        <v>0</v>
      </c>
    </row>
    <row r="4" spans="1:11">
      <c r="A4" s="66">
        <v>1991</v>
      </c>
      <c r="B4" s="28">
        <v>108.6</v>
      </c>
      <c r="C4" s="28">
        <f t="shared" ref="C4:C20" si="0">SUM(D4:G4)</f>
        <v>81.5</v>
      </c>
      <c r="D4" s="28">
        <v>12.6</v>
      </c>
      <c r="E4" s="28">
        <v>28.9</v>
      </c>
      <c r="F4" s="28">
        <v>29.2</v>
      </c>
      <c r="G4" s="28">
        <v>10.8</v>
      </c>
      <c r="H4" s="28">
        <v>23.6</v>
      </c>
      <c r="I4" s="28">
        <v>3.6</v>
      </c>
      <c r="J4" s="28">
        <v>3.2</v>
      </c>
      <c r="K4" s="28">
        <v>0</v>
      </c>
    </row>
    <row r="5" spans="1:11">
      <c r="A5" s="66">
        <v>1992</v>
      </c>
      <c r="B5" s="28">
        <v>109.4</v>
      </c>
      <c r="C5" s="28">
        <f t="shared" si="0"/>
        <v>81.7</v>
      </c>
      <c r="D5" s="28">
        <v>14.2</v>
      </c>
      <c r="E5" s="28">
        <v>28.9</v>
      </c>
      <c r="F5" s="28">
        <v>29.7</v>
      </c>
      <c r="G5" s="28">
        <v>8.9</v>
      </c>
      <c r="H5" s="28">
        <v>24.3</v>
      </c>
      <c r="I5" s="28">
        <v>3.5</v>
      </c>
      <c r="J5" s="28">
        <v>3.2</v>
      </c>
      <c r="K5" s="28">
        <v>0</v>
      </c>
    </row>
    <row r="6" spans="1:11">
      <c r="A6" s="66">
        <v>1993</v>
      </c>
      <c r="B6" s="28">
        <v>117</v>
      </c>
      <c r="C6" s="28">
        <f t="shared" si="0"/>
        <v>87.799999999999983</v>
      </c>
      <c r="D6" s="28">
        <v>13.4</v>
      </c>
      <c r="E6" s="28">
        <v>29.5</v>
      </c>
      <c r="F6" s="28">
        <v>33.299999999999997</v>
      </c>
      <c r="G6" s="28">
        <v>11.6</v>
      </c>
      <c r="H6" s="28">
        <v>24.4</v>
      </c>
      <c r="I6" s="28">
        <v>4.8</v>
      </c>
      <c r="J6" s="28">
        <v>4.3</v>
      </c>
      <c r="K6" s="28">
        <v>0</v>
      </c>
    </row>
    <row r="7" spans="1:11">
      <c r="A7" s="66">
        <v>1994</v>
      </c>
      <c r="B7" s="28">
        <v>126.8</v>
      </c>
      <c r="C7" s="28">
        <f t="shared" si="0"/>
        <v>88.100000000000009</v>
      </c>
      <c r="D7" s="28">
        <v>14.4</v>
      </c>
      <c r="E7" s="28">
        <v>34.1</v>
      </c>
      <c r="F7" s="28">
        <v>31.4</v>
      </c>
      <c r="G7" s="28">
        <v>8.1999999999999993</v>
      </c>
      <c r="H7" s="28">
        <v>33.700000000000003</v>
      </c>
      <c r="I7" s="28">
        <v>5</v>
      </c>
      <c r="J7" s="28">
        <v>3.5</v>
      </c>
      <c r="K7" s="28">
        <v>1.5</v>
      </c>
    </row>
    <row r="8" spans="1:11">
      <c r="A8" s="66">
        <v>1995</v>
      </c>
      <c r="B8" s="28">
        <v>131.80000000000001</v>
      </c>
      <c r="C8" s="28">
        <f t="shared" si="0"/>
        <v>88.399999999999991</v>
      </c>
      <c r="D8" s="28">
        <v>13.7</v>
      </c>
      <c r="E8" s="28">
        <v>33.1</v>
      </c>
      <c r="F8" s="28">
        <v>34</v>
      </c>
      <c r="G8" s="28">
        <v>7.6</v>
      </c>
      <c r="H8" s="28">
        <v>37.299999999999997</v>
      </c>
      <c r="I8" s="28">
        <v>6.1</v>
      </c>
      <c r="J8" s="28">
        <v>4.9000000000000004</v>
      </c>
      <c r="K8" s="28">
        <v>0</v>
      </c>
    </row>
    <row r="9" spans="1:11">
      <c r="A9" s="66">
        <v>1996</v>
      </c>
      <c r="B9" s="28">
        <v>136.6</v>
      </c>
      <c r="C9" s="28">
        <f t="shared" si="0"/>
        <v>95.999999999999986</v>
      </c>
      <c r="D9" s="28">
        <v>15.3</v>
      </c>
      <c r="E9" s="28">
        <v>34.299999999999997</v>
      </c>
      <c r="F9" s="28">
        <v>36.1</v>
      </c>
      <c r="G9" s="28">
        <v>10.3</v>
      </c>
      <c r="H9" s="28">
        <v>34.200000000000003</v>
      </c>
      <c r="I9" s="28">
        <v>6.4</v>
      </c>
      <c r="J9" s="28">
        <v>5.3</v>
      </c>
      <c r="K9" s="28">
        <v>0</v>
      </c>
    </row>
    <row r="10" spans="1:11">
      <c r="A10" s="66">
        <v>1997</v>
      </c>
      <c r="B10" s="28">
        <v>139.80000000000001</v>
      </c>
      <c r="C10" s="28">
        <f t="shared" si="0"/>
        <v>90.6</v>
      </c>
      <c r="D10" s="28">
        <v>13.9</v>
      </c>
      <c r="E10" s="28">
        <v>32.9</v>
      </c>
      <c r="F10" s="28">
        <v>32.4</v>
      </c>
      <c r="G10" s="28">
        <v>11.4</v>
      </c>
      <c r="H10" s="28">
        <v>40.799999999999997</v>
      </c>
      <c r="I10" s="28">
        <v>8.4</v>
      </c>
      <c r="J10" s="28">
        <v>6.7</v>
      </c>
      <c r="K10" s="28">
        <v>1.7</v>
      </c>
    </row>
    <row r="11" spans="1:11">
      <c r="A11" s="66">
        <v>1998</v>
      </c>
      <c r="B11" s="28">
        <v>148.4</v>
      </c>
      <c r="C11" s="28">
        <f t="shared" si="0"/>
        <v>99</v>
      </c>
      <c r="D11" s="28">
        <v>13.7</v>
      </c>
      <c r="E11" s="28">
        <v>34.4</v>
      </c>
      <c r="F11" s="28">
        <v>40</v>
      </c>
      <c r="G11" s="28">
        <v>10.9</v>
      </c>
      <c r="H11" s="28">
        <v>43.1</v>
      </c>
      <c r="I11" s="28">
        <v>6.5</v>
      </c>
      <c r="J11" s="28">
        <v>5.0999999999999996</v>
      </c>
      <c r="K11" s="28">
        <v>0</v>
      </c>
    </row>
    <row r="12" spans="1:11">
      <c r="A12" s="66">
        <v>1999</v>
      </c>
      <c r="B12" s="28">
        <v>154.1</v>
      </c>
      <c r="C12" s="28">
        <f t="shared" si="0"/>
        <v>105.8</v>
      </c>
      <c r="D12" s="28">
        <v>16</v>
      </c>
      <c r="E12" s="28">
        <v>34.799999999999997</v>
      </c>
      <c r="F12" s="28">
        <v>41.8</v>
      </c>
      <c r="G12" s="28">
        <v>13.2</v>
      </c>
      <c r="H12" s="28">
        <v>40.200000000000003</v>
      </c>
      <c r="I12" s="28">
        <v>8</v>
      </c>
      <c r="J12" s="28">
        <v>6.2</v>
      </c>
      <c r="K12" s="28">
        <v>1.9</v>
      </c>
    </row>
    <row r="13" spans="1:11">
      <c r="A13" s="66">
        <v>2000</v>
      </c>
      <c r="B13" s="28">
        <v>165.3</v>
      </c>
      <c r="C13" s="28">
        <f t="shared" si="0"/>
        <v>107.2</v>
      </c>
      <c r="D13" s="28">
        <v>14.6</v>
      </c>
      <c r="E13" s="28">
        <v>37.1</v>
      </c>
      <c r="F13" s="28">
        <v>40.299999999999997</v>
      </c>
      <c r="G13" s="28">
        <v>15.2</v>
      </c>
      <c r="H13" s="28">
        <v>51</v>
      </c>
      <c r="I13" s="28">
        <v>7.1</v>
      </c>
      <c r="J13" s="28">
        <v>6.1</v>
      </c>
      <c r="K13" s="28">
        <v>0</v>
      </c>
    </row>
    <row r="14" spans="1:11">
      <c r="A14" s="66">
        <v>2001</v>
      </c>
      <c r="B14" s="28">
        <v>161.5</v>
      </c>
      <c r="C14" s="28">
        <f t="shared" si="0"/>
        <v>105.8</v>
      </c>
      <c r="D14" s="28">
        <v>12.4</v>
      </c>
      <c r="E14" s="28">
        <v>36.9</v>
      </c>
      <c r="F14" s="28">
        <v>43</v>
      </c>
      <c r="G14" s="28">
        <v>13.5</v>
      </c>
      <c r="H14" s="28">
        <v>47.1</v>
      </c>
      <c r="I14" s="28">
        <v>8.5</v>
      </c>
      <c r="J14" s="28">
        <v>7.2</v>
      </c>
      <c r="K14" s="28">
        <v>0</v>
      </c>
    </row>
    <row r="15" spans="1:11">
      <c r="A15" s="66">
        <v>2002</v>
      </c>
      <c r="B15" s="28">
        <v>175.3</v>
      </c>
      <c r="C15" s="28">
        <f t="shared" si="0"/>
        <v>113.5</v>
      </c>
      <c r="D15" s="28">
        <v>16.100000000000001</v>
      </c>
      <c r="E15" s="28">
        <v>38.200000000000003</v>
      </c>
      <c r="F15" s="28">
        <v>46.1</v>
      </c>
      <c r="G15" s="28">
        <v>13.1</v>
      </c>
      <c r="H15" s="28">
        <v>53.1</v>
      </c>
      <c r="I15" s="28">
        <v>8.6999999999999993</v>
      </c>
      <c r="J15" s="28">
        <v>7.7</v>
      </c>
      <c r="K15" s="28">
        <v>0</v>
      </c>
    </row>
    <row r="16" spans="1:11">
      <c r="A16" s="66">
        <v>2003</v>
      </c>
      <c r="B16" s="28">
        <v>185.3</v>
      </c>
      <c r="C16" s="28">
        <f t="shared" si="0"/>
        <v>116.7</v>
      </c>
      <c r="D16" s="28">
        <v>16.100000000000001</v>
      </c>
      <c r="E16" s="28">
        <v>38.6</v>
      </c>
      <c r="F16" s="28">
        <v>47.2</v>
      </c>
      <c r="G16" s="28">
        <v>14.8</v>
      </c>
      <c r="H16" s="28">
        <v>58.6</v>
      </c>
      <c r="I16" s="28">
        <v>10</v>
      </c>
      <c r="J16" s="28">
        <v>7.9</v>
      </c>
      <c r="K16" s="28">
        <v>2.1</v>
      </c>
    </row>
    <row r="17" spans="1:11">
      <c r="A17" s="66">
        <v>2004</v>
      </c>
      <c r="B17" s="28">
        <v>186.3</v>
      </c>
      <c r="C17" s="28">
        <f t="shared" si="0"/>
        <v>121.5</v>
      </c>
      <c r="D17" s="28">
        <v>15.1</v>
      </c>
      <c r="E17" s="28">
        <v>39.9</v>
      </c>
      <c r="F17" s="28">
        <v>50.4</v>
      </c>
      <c r="G17" s="28">
        <v>16.100000000000001</v>
      </c>
      <c r="H17" s="28">
        <v>54.2</v>
      </c>
      <c r="I17" s="28">
        <v>10.6</v>
      </c>
      <c r="J17" s="28">
        <v>8.1999999999999993</v>
      </c>
      <c r="K17" s="28">
        <v>2.4</v>
      </c>
    </row>
    <row r="18" spans="1:11">
      <c r="A18" s="66">
        <v>2005</v>
      </c>
      <c r="B18" s="28">
        <v>169.2</v>
      </c>
      <c r="C18" s="28">
        <f t="shared" si="0"/>
        <v>102.8</v>
      </c>
      <c r="D18" s="28">
        <v>12.5</v>
      </c>
      <c r="E18" s="28">
        <v>33.200000000000003</v>
      </c>
      <c r="F18" s="28">
        <v>43</v>
      </c>
      <c r="G18" s="28">
        <v>14.1</v>
      </c>
      <c r="H18" s="28">
        <v>55.1</v>
      </c>
      <c r="I18" s="28">
        <v>11.3</v>
      </c>
      <c r="J18" s="28">
        <v>9.6</v>
      </c>
      <c r="K18" s="28">
        <v>1.7</v>
      </c>
    </row>
    <row r="19" spans="1:11">
      <c r="A19" s="66">
        <v>2006</v>
      </c>
      <c r="B19" s="28">
        <v>166.5</v>
      </c>
      <c r="C19" s="28">
        <f t="shared" si="0"/>
        <v>101.9</v>
      </c>
      <c r="D19" s="28">
        <v>10.199999999999999</v>
      </c>
      <c r="E19" s="28">
        <v>32.299999999999997</v>
      </c>
      <c r="F19" s="28">
        <v>45.4</v>
      </c>
      <c r="G19" s="28">
        <v>14</v>
      </c>
      <c r="H19" s="28">
        <v>54.2</v>
      </c>
      <c r="I19" s="28">
        <v>10.3</v>
      </c>
      <c r="J19" s="28">
        <v>8.3000000000000007</v>
      </c>
      <c r="K19" s="28">
        <v>2</v>
      </c>
    </row>
    <row r="20" spans="1:11">
      <c r="A20" s="66">
        <v>2007</v>
      </c>
      <c r="B20" s="28">
        <v>146.4</v>
      </c>
      <c r="C20" s="28">
        <f t="shared" si="0"/>
        <v>84.800000000000011</v>
      </c>
      <c r="D20" s="28">
        <v>8.5</v>
      </c>
      <c r="E20" s="28">
        <v>25.8</v>
      </c>
      <c r="F20" s="28">
        <v>39.1</v>
      </c>
      <c r="G20" s="28">
        <v>11.4</v>
      </c>
      <c r="H20" s="28">
        <v>51.5</v>
      </c>
      <c r="I20" s="28">
        <v>10.199999999999999</v>
      </c>
      <c r="J20" s="28">
        <v>7.7</v>
      </c>
      <c r="K20" s="28">
        <v>2.5</v>
      </c>
    </row>
    <row r="22" spans="1:11">
      <c r="A22" s="66" t="s">
        <v>23</v>
      </c>
      <c r="B22" s="56"/>
      <c r="C22" s="56"/>
      <c r="D22" s="56"/>
      <c r="E22" s="56"/>
      <c r="F22" s="56"/>
      <c r="G22" s="56"/>
      <c r="H22" s="56"/>
      <c r="I22" s="56"/>
      <c r="J22" s="56"/>
      <c r="K22" s="56"/>
    </row>
    <row r="23" spans="1:11">
      <c r="A23" s="109" t="s">
        <v>1038</v>
      </c>
      <c r="B23" s="147">
        <f>((B20/B3)^(1/17)-1)*100</f>
        <v>1.0248962636445924</v>
      </c>
      <c r="C23" s="147">
        <f>((C20/C3)^(1/17)-1)*100</f>
        <v>-0.33642946539810259</v>
      </c>
      <c r="D23" s="147">
        <f t="shared" ref="D23:J23" si="1">((D20/D3)^(1/17)-1)*100</f>
        <v>-3.5810359272634873</v>
      </c>
      <c r="E23" s="147">
        <f t="shared" si="1"/>
        <v>-1.7944494513282394</v>
      </c>
      <c r="F23" s="147">
        <f t="shared" si="1"/>
        <v>1.794025495546725</v>
      </c>
      <c r="G23" s="147">
        <f t="shared" si="1"/>
        <v>0.77373244312155531</v>
      </c>
      <c r="H23" s="147">
        <f t="shared" si="1"/>
        <v>3.5204026865645499</v>
      </c>
      <c r="I23" s="147">
        <f t="shared" si="1"/>
        <v>4.5337205220459476</v>
      </c>
      <c r="J23" s="147">
        <f t="shared" si="1"/>
        <v>3.9276769112691623</v>
      </c>
      <c r="K23" s="147" t="s">
        <v>22</v>
      </c>
    </row>
    <row r="24" spans="1:11">
      <c r="A24" s="68" t="s">
        <v>660</v>
      </c>
      <c r="B24" s="147">
        <f>((B13/B3)^(1/10)-1)*100</f>
        <v>2.9915229258355103</v>
      </c>
      <c r="C24" s="147">
        <f>((C13/C3)^(1/10)-1)*100</f>
        <v>1.7868899412660788</v>
      </c>
      <c r="D24" s="147">
        <f t="shared" ref="D24:J24" si="2">((D13/D3)^(1/10)-1)*100</f>
        <v>-0.78677272613184579</v>
      </c>
      <c r="E24" s="147">
        <f t="shared" si="2"/>
        <v>0.55569668925239402</v>
      </c>
      <c r="F24" s="147">
        <f t="shared" si="2"/>
        <v>3.3809979943596691</v>
      </c>
      <c r="G24" s="147">
        <f t="shared" si="2"/>
        <v>4.2759988957705941</v>
      </c>
      <c r="H24" s="147">
        <f t="shared" si="2"/>
        <v>5.9547458995973246</v>
      </c>
      <c r="I24" s="147">
        <f t="shared" si="2"/>
        <v>3.9924263156323248</v>
      </c>
      <c r="J24" s="147">
        <f t="shared" si="2"/>
        <v>4.3102495417528974</v>
      </c>
      <c r="K24" s="147" t="s">
        <v>22</v>
      </c>
    </row>
    <row r="25" spans="1:11">
      <c r="A25" s="68" t="s">
        <v>588</v>
      </c>
      <c r="B25" s="147">
        <f>((B20/B13)^(1/7)-1)*100</f>
        <v>-1.7196059659639329</v>
      </c>
      <c r="C25" s="147">
        <f>((C20/C13)^(1/7)-1)*100</f>
        <v>-3.2931371113276708</v>
      </c>
      <c r="D25" s="147">
        <f t="shared" ref="D25:J25" si="3">((D20/D13)^(1/7)-1)*100</f>
        <v>-7.4368746389928848</v>
      </c>
      <c r="E25" s="147">
        <f t="shared" si="3"/>
        <v>-5.0568393626657215</v>
      </c>
      <c r="F25" s="147">
        <f t="shared" si="3"/>
        <v>-0.43091178455378909</v>
      </c>
      <c r="G25" s="147">
        <f t="shared" si="3"/>
        <v>-4.0264390211297352</v>
      </c>
      <c r="H25" s="147">
        <f t="shared" si="3"/>
        <v>0.13947109838792215</v>
      </c>
      <c r="I25" s="147">
        <f t="shared" si="3"/>
        <v>5.3118891040112803</v>
      </c>
      <c r="J25" s="147">
        <f t="shared" si="3"/>
        <v>3.3835773233078292</v>
      </c>
      <c r="K25" s="147" t="s">
        <v>22</v>
      </c>
    </row>
    <row r="27" spans="1:11">
      <c r="A27" s="131" t="s">
        <v>593</v>
      </c>
      <c r="B27" s="131"/>
      <c r="C27" s="131"/>
      <c r="D27" s="131"/>
      <c r="E27" s="131"/>
      <c r="F27" s="131"/>
      <c r="G27" s="131"/>
      <c r="H27" s="131"/>
      <c r="I27" s="131"/>
      <c r="J27" s="131"/>
      <c r="K27" s="131"/>
    </row>
    <row r="28" spans="1:11">
      <c r="A28" s="64" t="s">
        <v>773</v>
      </c>
    </row>
    <row r="29" spans="1:11">
      <c r="A29" s="64" t="s">
        <v>1040</v>
      </c>
    </row>
    <row r="30" spans="1:11" ht="30" customHeight="1">
      <c r="A30" s="131" t="s">
        <v>1041</v>
      </c>
      <c r="B30" s="131"/>
      <c r="C30" s="131"/>
      <c r="D30" s="131"/>
      <c r="E30" s="131"/>
      <c r="F30" s="131"/>
      <c r="G30" s="131"/>
      <c r="H30" s="131"/>
      <c r="I30" s="131"/>
      <c r="J30" s="131"/>
      <c r="K30" s="131"/>
    </row>
  </sheetData>
  <mergeCells count="2">
    <mergeCell ref="A27:K27"/>
    <mergeCell ref="A30:K30"/>
  </mergeCells>
  <pageMargins left="0.7" right="0.7" top="0.75" bottom="0.75" header="0.3" footer="0.3"/>
  <pageSetup scale="80" orientation="landscape" horizontalDpi="0" verticalDpi="0" r:id="rId1"/>
  <ignoredErrors>
    <ignoredError sqref="C3:C20" formulaRange="1"/>
  </ignoredErrors>
</worksheet>
</file>

<file path=xl/worksheets/sheet9.xml><?xml version="1.0" encoding="utf-8"?>
<worksheet xmlns="http://schemas.openxmlformats.org/spreadsheetml/2006/main" xmlns:r="http://schemas.openxmlformats.org/officeDocument/2006/relationships">
  <sheetPr codeName="Sheet9"/>
  <dimension ref="A1:K19"/>
  <sheetViews>
    <sheetView view="pageBreakPreview" zoomScale="85" zoomScaleNormal="100" zoomScaleSheetLayoutView="85" workbookViewId="0">
      <selection activeCell="AC38" sqref="AC38"/>
    </sheetView>
  </sheetViews>
  <sheetFormatPr defaultRowHeight="15" outlineLevelRow="1"/>
  <cols>
    <col min="1" max="1" width="10.7109375" style="64" bestFit="1" customWidth="1"/>
    <col min="2" max="2" width="13.5703125" style="64" customWidth="1"/>
    <col min="3" max="3" width="10.85546875" style="64" customWidth="1"/>
    <col min="4" max="4" width="10.7109375" style="64" customWidth="1"/>
    <col min="5" max="5" width="11.140625" style="64" customWidth="1"/>
    <col min="6" max="6" width="12.28515625" style="64" customWidth="1"/>
    <col min="7" max="7" width="13" style="64" customWidth="1"/>
    <col min="8" max="8" width="9.85546875" style="64" customWidth="1"/>
    <col min="9" max="9" width="10.7109375" style="64" customWidth="1"/>
    <col min="10" max="10" width="11.42578125" style="64" customWidth="1"/>
    <col min="11" max="11" width="12.5703125" style="64" customWidth="1"/>
    <col min="12" max="16384" width="9.140625" style="64"/>
  </cols>
  <sheetData>
    <row r="1" spans="1:11">
      <c r="A1" s="66" t="s">
        <v>1948</v>
      </c>
    </row>
    <row r="2" spans="1:11">
      <c r="B2" s="111" t="s">
        <v>1114</v>
      </c>
      <c r="C2" s="111"/>
      <c r="D2" s="111"/>
      <c r="E2" s="111"/>
      <c r="F2" s="111"/>
      <c r="G2" s="111" t="s">
        <v>1113</v>
      </c>
      <c r="H2" s="111"/>
      <c r="I2" s="111"/>
      <c r="J2" s="111"/>
      <c r="K2" s="111"/>
    </row>
    <row r="3" spans="1:11">
      <c r="B3" s="73" t="s">
        <v>1106</v>
      </c>
      <c r="C3" s="97" t="s">
        <v>1108</v>
      </c>
      <c r="D3" s="97"/>
      <c r="E3" s="97"/>
      <c r="F3" s="97"/>
      <c r="G3" s="73" t="s">
        <v>1106</v>
      </c>
      <c r="H3" s="97" t="s">
        <v>1108</v>
      </c>
      <c r="I3" s="97"/>
      <c r="J3" s="97"/>
      <c r="K3" s="97"/>
    </row>
    <row r="4" spans="1:11" ht="90">
      <c r="B4" s="73" t="s">
        <v>1107</v>
      </c>
      <c r="C4" s="73" t="s">
        <v>1109</v>
      </c>
      <c r="D4" s="73" t="s">
        <v>1110</v>
      </c>
      <c r="E4" s="73" t="s">
        <v>1111</v>
      </c>
      <c r="F4" s="73" t="s">
        <v>1112</v>
      </c>
      <c r="G4" s="73" t="s">
        <v>1107</v>
      </c>
      <c r="H4" s="73" t="s">
        <v>1109</v>
      </c>
      <c r="I4" s="73" t="s">
        <v>1110</v>
      </c>
      <c r="J4" s="73" t="s">
        <v>1111</v>
      </c>
      <c r="K4" s="73" t="s">
        <v>1112</v>
      </c>
    </row>
    <row r="5" spans="1:11" hidden="1" outlineLevel="1">
      <c r="B5" s="64" t="s">
        <v>1096</v>
      </c>
      <c r="C5" s="64" t="s">
        <v>1097</v>
      </c>
      <c r="D5" s="64" t="s">
        <v>1098</v>
      </c>
      <c r="E5" s="64" t="s">
        <v>1099</v>
      </c>
      <c r="F5" s="64" t="s">
        <v>1100</v>
      </c>
      <c r="G5" s="64" t="s">
        <v>1101</v>
      </c>
      <c r="H5" s="64" t="s">
        <v>1102</v>
      </c>
      <c r="I5" s="64" t="s">
        <v>1103</v>
      </c>
      <c r="J5" s="64" t="s">
        <v>1104</v>
      </c>
      <c r="K5" s="64" t="s">
        <v>1105</v>
      </c>
    </row>
    <row r="6" spans="1:11" collapsed="1">
      <c r="A6" s="66">
        <v>2002</v>
      </c>
      <c r="B6" s="31">
        <v>100</v>
      </c>
      <c r="C6" s="31">
        <v>100</v>
      </c>
      <c r="D6" s="31">
        <v>100</v>
      </c>
      <c r="E6" s="31">
        <v>100</v>
      </c>
      <c r="F6" s="31">
        <v>100</v>
      </c>
      <c r="G6" s="31">
        <v>100</v>
      </c>
      <c r="H6" s="31">
        <v>100</v>
      </c>
      <c r="I6" s="31">
        <v>100</v>
      </c>
      <c r="J6" s="31">
        <v>100</v>
      </c>
      <c r="K6" s="31">
        <v>100</v>
      </c>
    </row>
    <row r="7" spans="1:11">
      <c r="A7" s="66">
        <v>2003</v>
      </c>
      <c r="B7" s="31">
        <v>93.1</v>
      </c>
      <c r="C7" s="31">
        <v>94</v>
      </c>
      <c r="D7" s="31">
        <v>93.4</v>
      </c>
      <c r="E7" s="31">
        <v>102.1</v>
      </c>
      <c r="F7" s="31">
        <v>90.7</v>
      </c>
      <c r="G7" s="31">
        <v>93.1</v>
      </c>
      <c r="H7" s="31">
        <v>92.7</v>
      </c>
      <c r="I7" s="31">
        <v>93.7</v>
      </c>
      <c r="J7" s="31">
        <v>91.6</v>
      </c>
      <c r="K7" s="31">
        <v>91.9</v>
      </c>
    </row>
    <row r="8" spans="1:11">
      <c r="A8" s="66">
        <v>2004</v>
      </c>
      <c r="B8" s="31">
        <v>90.4</v>
      </c>
      <c r="C8" s="31">
        <v>102.8</v>
      </c>
      <c r="D8" s="31">
        <v>111.1</v>
      </c>
      <c r="E8" s="31">
        <v>107</v>
      </c>
      <c r="F8" s="31">
        <v>90</v>
      </c>
      <c r="G8" s="31">
        <v>90.7</v>
      </c>
      <c r="H8" s="31">
        <v>99.9</v>
      </c>
      <c r="I8" s="31">
        <v>111.2</v>
      </c>
      <c r="J8" s="31">
        <v>87.5</v>
      </c>
      <c r="K8" s="31">
        <v>91.5</v>
      </c>
    </row>
    <row r="9" spans="1:11">
      <c r="A9" s="66">
        <v>2005</v>
      </c>
      <c r="B9" s="31">
        <v>89.3</v>
      </c>
      <c r="C9" s="31">
        <v>96.7</v>
      </c>
      <c r="D9" s="31">
        <v>100.5</v>
      </c>
      <c r="E9" s="31">
        <v>99.7</v>
      </c>
      <c r="F9" s="31">
        <v>90.2</v>
      </c>
      <c r="G9" s="31">
        <v>89.8</v>
      </c>
      <c r="H9" s="31">
        <v>94.8</v>
      </c>
      <c r="I9" s="31">
        <v>100.7</v>
      </c>
      <c r="J9" s="31">
        <v>84.1</v>
      </c>
      <c r="K9" s="31">
        <v>92</v>
      </c>
    </row>
    <row r="10" spans="1:11">
      <c r="A10" s="66">
        <v>2006</v>
      </c>
      <c r="B10" s="31">
        <v>87.8</v>
      </c>
      <c r="C10" s="31">
        <v>92.7</v>
      </c>
      <c r="D10" s="31">
        <v>90.6</v>
      </c>
      <c r="E10" s="31">
        <v>102.2</v>
      </c>
      <c r="F10" s="31">
        <v>90.9</v>
      </c>
      <c r="G10" s="31">
        <v>88.4</v>
      </c>
      <c r="H10" s="31">
        <v>89.3</v>
      </c>
      <c r="I10" s="31">
        <v>90.8</v>
      </c>
      <c r="J10" s="31">
        <v>80.099999999999994</v>
      </c>
      <c r="K10" s="31">
        <v>93.1</v>
      </c>
    </row>
    <row r="11" spans="1:11">
      <c r="A11" s="66">
        <v>2007</v>
      </c>
      <c r="B11" s="31">
        <v>85</v>
      </c>
      <c r="C11" s="31">
        <v>89.1</v>
      </c>
      <c r="D11" s="31">
        <v>82.3</v>
      </c>
      <c r="E11" s="31">
        <v>111</v>
      </c>
      <c r="F11" s="31">
        <v>85.6</v>
      </c>
      <c r="G11" s="31">
        <v>85.9</v>
      </c>
      <c r="H11" s="31">
        <v>83.8</v>
      </c>
      <c r="I11" s="31">
        <v>82.5</v>
      </c>
      <c r="J11" s="31">
        <v>81.2</v>
      </c>
      <c r="K11" s="31">
        <v>87.6</v>
      </c>
    </row>
    <row r="12" spans="1:11">
      <c r="A12" s="66">
        <v>2008</v>
      </c>
      <c r="B12" s="31">
        <v>90.5</v>
      </c>
      <c r="C12" s="31">
        <v>91.8</v>
      </c>
      <c r="D12" s="31">
        <v>78.599999999999994</v>
      </c>
      <c r="E12" s="31">
        <v>115.6</v>
      </c>
      <c r="F12" s="31">
        <v>91.9</v>
      </c>
      <c r="G12" s="31">
        <v>91.2</v>
      </c>
      <c r="H12" s="31">
        <v>85.6</v>
      </c>
      <c r="I12" s="31">
        <v>78.599999999999994</v>
      </c>
      <c r="J12" s="31">
        <v>84.5</v>
      </c>
      <c r="K12" s="31">
        <v>93.7</v>
      </c>
    </row>
    <row r="13" spans="1:11">
      <c r="A13" s="66">
        <v>2009</v>
      </c>
      <c r="B13" s="31">
        <v>91.4</v>
      </c>
      <c r="C13" s="31">
        <v>86.1</v>
      </c>
      <c r="D13" s="31">
        <v>71.3</v>
      </c>
      <c r="E13" s="31">
        <v>98.7</v>
      </c>
      <c r="F13" s="31">
        <v>93.9</v>
      </c>
      <c r="G13" s="31">
        <v>91.8</v>
      </c>
      <c r="H13" s="31">
        <v>80</v>
      </c>
      <c r="I13" s="31">
        <v>71.900000000000006</v>
      </c>
      <c r="J13" s="31">
        <v>71.599999999999994</v>
      </c>
      <c r="K13" s="31">
        <v>95.2</v>
      </c>
    </row>
    <row r="14" spans="1:11">
      <c r="A14" s="66">
        <v>2010</v>
      </c>
      <c r="B14" s="31">
        <v>87.1</v>
      </c>
      <c r="C14" s="31">
        <v>89.2</v>
      </c>
      <c r="D14" s="31">
        <v>77.5</v>
      </c>
      <c r="E14" s="31">
        <v>115.4</v>
      </c>
      <c r="F14" s="31">
        <v>84.5</v>
      </c>
      <c r="G14" s="31">
        <v>88</v>
      </c>
      <c r="H14" s="31">
        <v>82.1</v>
      </c>
      <c r="I14" s="31">
        <v>77.8</v>
      </c>
      <c r="J14" s="31">
        <v>83.6</v>
      </c>
      <c r="K14" s="31">
        <v>86.1</v>
      </c>
    </row>
    <row r="15" spans="1:11">
      <c r="A15" s="66">
        <v>2011</v>
      </c>
      <c r="B15" s="31">
        <v>88.5</v>
      </c>
      <c r="C15" s="31">
        <v>88.8</v>
      </c>
      <c r="D15" s="31">
        <v>75.2</v>
      </c>
      <c r="E15" s="31">
        <v>115.3</v>
      </c>
      <c r="F15" s="31">
        <v>86.6</v>
      </c>
      <c r="G15" s="31">
        <v>89.5</v>
      </c>
      <c r="H15" s="31">
        <v>81.7</v>
      </c>
      <c r="I15" s="31">
        <v>75.599999999999994</v>
      </c>
      <c r="J15" s="31">
        <v>83.6</v>
      </c>
      <c r="K15" s="31">
        <v>88.1</v>
      </c>
    </row>
    <row r="17" spans="1:2">
      <c r="A17" s="64" t="s">
        <v>1115</v>
      </c>
    </row>
    <row r="19" spans="1:2">
      <c r="B19" s="176"/>
    </row>
  </sheetData>
  <mergeCells count="4">
    <mergeCell ref="C3:F3"/>
    <mergeCell ref="H3:K3"/>
    <mergeCell ref="B2:F2"/>
    <mergeCell ref="G2:K2"/>
  </mergeCells>
  <pageMargins left="0.7" right="0.7" top="0.75" bottom="0.75" header="0.3" footer="0.3"/>
  <pageSetup scale="97" orientation="landscape" horizontalDpi="0" verticalDpi="0" r:id="rId1"/>
</worksheet>
</file>

<file path=xl/worksheets/sheet90.xml><?xml version="1.0" encoding="utf-8"?>
<worksheet xmlns="http://schemas.openxmlformats.org/spreadsheetml/2006/main" xmlns:r="http://schemas.openxmlformats.org/officeDocument/2006/relationships">
  <sheetPr codeName="Sheet83"/>
  <dimension ref="A1:K31"/>
  <sheetViews>
    <sheetView view="pageBreakPreview" zoomScaleNormal="85" zoomScaleSheetLayoutView="100" workbookViewId="0">
      <selection activeCell="AC38" sqref="AC38"/>
    </sheetView>
  </sheetViews>
  <sheetFormatPr defaultRowHeight="15"/>
  <cols>
    <col min="1" max="1" width="11" style="64" customWidth="1"/>
    <col min="2" max="11" width="14.28515625" style="64" customWidth="1"/>
    <col min="12" max="16384" width="9.140625" style="64"/>
  </cols>
  <sheetData>
    <row r="1" spans="1:11">
      <c r="A1" s="227" t="s">
        <v>1033</v>
      </c>
      <c r="B1" s="227"/>
      <c r="C1" s="227"/>
      <c r="D1" s="227"/>
      <c r="E1" s="227"/>
      <c r="F1" s="227"/>
      <c r="G1" s="227"/>
      <c r="H1" s="227"/>
      <c r="I1" s="227"/>
      <c r="J1" s="227"/>
      <c r="K1" s="227"/>
    </row>
    <row r="2" spans="1:11" ht="60">
      <c r="B2" s="72" t="s">
        <v>594</v>
      </c>
      <c r="C2" s="72" t="s">
        <v>1305</v>
      </c>
      <c r="D2" s="72" t="s">
        <v>595</v>
      </c>
      <c r="E2" s="72" t="s">
        <v>596</v>
      </c>
      <c r="F2" s="72" t="s">
        <v>597</v>
      </c>
      <c r="G2" s="72" t="s">
        <v>598</v>
      </c>
      <c r="H2" s="72" t="s">
        <v>599</v>
      </c>
      <c r="I2" s="72" t="s">
        <v>600</v>
      </c>
      <c r="J2" s="72" t="s">
        <v>601</v>
      </c>
      <c r="K2" s="72" t="s">
        <v>1042</v>
      </c>
    </row>
    <row r="3" spans="1:11">
      <c r="A3" s="66">
        <v>1990</v>
      </c>
      <c r="B3" s="28">
        <v>140.1</v>
      </c>
      <c r="C3" s="28">
        <f>SUM(D3:G3)</f>
        <v>89.4</v>
      </c>
      <c r="D3" s="28">
        <v>12.5</v>
      </c>
      <c r="E3" s="28">
        <v>26.5</v>
      </c>
      <c r="F3" s="28">
        <v>39.700000000000003</v>
      </c>
      <c r="G3" s="28">
        <v>10.7</v>
      </c>
      <c r="H3" s="28">
        <v>40.799999999999997</v>
      </c>
      <c r="I3" s="28">
        <v>9.9</v>
      </c>
      <c r="J3" s="28">
        <v>9.1999999999999993</v>
      </c>
      <c r="K3" s="28">
        <v>0</v>
      </c>
    </row>
    <row r="4" spans="1:11">
      <c r="A4" s="66">
        <v>1991</v>
      </c>
      <c r="B4" s="28">
        <v>128</v>
      </c>
      <c r="C4" s="28">
        <f t="shared" ref="C4:C20" si="0">SUM(D4:G4)</f>
        <v>80.499999999999986</v>
      </c>
      <c r="D4" s="28">
        <v>10.199999999999999</v>
      </c>
      <c r="E4" s="28">
        <v>27.2</v>
      </c>
      <c r="F4" s="28">
        <v>32.799999999999997</v>
      </c>
      <c r="G4" s="28">
        <v>10.3</v>
      </c>
      <c r="H4" s="28">
        <v>38.6</v>
      </c>
      <c r="I4" s="28">
        <v>8.9</v>
      </c>
      <c r="J4" s="28">
        <v>6.8</v>
      </c>
      <c r="K4" s="28">
        <v>2.1</v>
      </c>
    </row>
    <row r="5" spans="1:11">
      <c r="A5" s="66">
        <v>1992</v>
      </c>
      <c r="B5" s="28">
        <v>116.2</v>
      </c>
      <c r="C5" s="28">
        <f t="shared" si="0"/>
        <v>67.3</v>
      </c>
      <c r="D5" s="28">
        <v>8.6</v>
      </c>
      <c r="E5" s="28">
        <v>20.100000000000001</v>
      </c>
      <c r="F5" s="28">
        <v>29.3</v>
      </c>
      <c r="G5" s="28">
        <v>9.3000000000000007</v>
      </c>
      <c r="H5" s="28">
        <v>38</v>
      </c>
      <c r="I5" s="28">
        <v>11</v>
      </c>
      <c r="J5" s="28">
        <v>8.1</v>
      </c>
      <c r="K5" s="28">
        <v>2.9</v>
      </c>
    </row>
    <row r="6" spans="1:11">
      <c r="A6" s="66">
        <v>1993</v>
      </c>
      <c r="B6" s="28">
        <v>121.3</v>
      </c>
      <c r="C6" s="28">
        <f t="shared" si="0"/>
        <v>71.3</v>
      </c>
      <c r="D6" s="28">
        <v>5.6</v>
      </c>
      <c r="E6" s="28">
        <v>22.2</v>
      </c>
      <c r="F6" s="28">
        <v>33</v>
      </c>
      <c r="G6" s="28">
        <v>10.5</v>
      </c>
      <c r="H6" s="28">
        <v>38.700000000000003</v>
      </c>
      <c r="I6" s="28">
        <v>11.3</v>
      </c>
      <c r="J6" s="28">
        <v>8.8000000000000007</v>
      </c>
      <c r="K6" s="28">
        <v>2.5</v>
      </c>
    </row>
    <row r="7" spans="1:11">
      <c r="A7" s="66">
        <v>1994</v>
      </c>
      <c r="B7" s="28">
        <v>124.2</v>
      </c>
      <c r="C7" s="28">
        <f t="shared" si="0"/>
        <v>68.599999999999994</v>
      </c>
      <c r="D7" s="28">
        <v>8.3000000000000007</v>
      </c>
      <c r="E7" s="28">
        <v>20.9</v>
      </c>
      <c r="F7" s="28">
        <v>30.4</v>
      </c>
      <c r="G7" s="28">
        <v>9</v>
      </c>
      <c r="H7" s="28">
        <v>45.8</v>
      </c>
      <c r="I7" s="28">
        <v>9.9</v>
      </c>
      <c r="J7" s="28">
        <v>7.7</v>
      </c>
      <c r="K7" s="28">
        <v>2.2000000000000002</v>
      </c>
    </row>
    <row r="8" spans="1:11">
      <c r="A8" s="66">
        <v>1995</v>
      </c>
      <c r="B8" s="28">
        <v>121.4</v>
      </c>
      <c r="C8" s="28">
        <f t="shared" si="0"/>
        <v>67</v>
      </c>
      <c r="D8" s="28">
        <v>5.0999999999999996</v>
      </c>
      <c r="E8" s="28">
        <v>19.600000000000001</v>
      </c>
      <c r="F8" s="28">
        <v>33.700000000000003</v>
      </c>
      <c r="G8" s="28">
        <v>8.6</v>
      </c>
      <c r="H8" s="28">
        <v>44.4</v>
      </c>
      <c r="I8" s="28">
        <v>10</v>
      </c>
      <c r="J8" s="28">
        <v>7.4</v>
      </c>
      <c r="K8" s="28">
        <v>2.7</v>
      </c>
    </row>
    <row r="9" spans="1:11">
      <c r="A9" s="66">
        <v>1996</v>
      </c>
      <c r="B9" s="28">
        <v>118.4</v>
      </c>
      <c r="C9" s="28">
        <f t="shared" si="0"/>
        <v>63.800000000000004</v>
      </c>
      <c r="D9" s="28">
        <v>5.3</v>
      </c>
      <c r="E9" s="28">
        <v>19.5</v>
      </c>
      <c r="F9" s="28">
        <v>30.4</v>
      </c>
      <c r="G9" s="28">
        <v>8.6</v>
      </c>
      <c r="H9" s="28">
        <v>44.5</v>
      </c>
      <c r="I9" s="28">
        <v>10</v>
      </c>
      <c r="J9" s="28">
        <v>7.5</v>
      </c>
      <c r="K9" s="28">
        <v>2.5</v>
      </c>
    </row>
    <row r="10" spans="1:11">
      <c r="A10" s="66">
        <v>1997</v>
      </c>
      <c r="B10" s="28">
        <v>116</v>
      </c>
      <c r="C10" s="28">
        <f t="shared" si="0"/>
        <v>59.099999999999994</v>
      </c>
      <c r="D10" s="28">
        <v>4.3</v>
      </c>
      <c r="E10" s="28">
        <v>15.5</v>
      </c>
      <c r="F10" s="28">
        <v>29</v>
      </c>
      <c r="G10" s="28">
        <v>10.3</v>
      </c>
      <c r="H10" s="28">
        <v>46.1</v>
      </c>
      <c r="I10" s="28">
        <v>10.8</v>
      </c>
      <c r="J10" s="28">
        <v>9.3000000000000007</v>
      </c>
      <c r="K10" s="28">
        <v>1.6</v>
      </c>
    </row>
    <row r="11" spans="1:11">
      <c r="A11" s="66">
        <v>1998</v>
      </c>
      <c r="B11" s="28">
        <v>121.7</v>
      </c>
      <c r="C11" s="28">
        <f t="shared" si="0"/>
        <v>61.400000000000006</v>
      </c>
      <c r="D11" s="28">
        <v>6.3</v>
      </c>
      <c r="E11" s="28">
        <v>16.3</v>
      </c>
      <c r="F11" s="28">
        <v>28.5</v>
      </c>
      <c r="G11" s="28">
        <v>10.3</v>
      </c>
      <c r="H11" s="28">
        <v>49.7</v>
      </c>
      <c r="I11" s="28">
        <v>10.5</v>
      </c>
      <c r="J11" s="28">
        <v>8.1999999999999993</v>
      </c>
      <c r="K11" s="28">
        <v>2.2999999999999998</v>
      </c>
    </row>
    <row r="12" spans="1:11">
      <c r="A12" s="66">
        <v>1999</v>
      </c>
      <c r="B12" s="28">
        <v>117.3</v>
      </c>
      <c r="C12" s="28">
        <f t="shared" si="0"/>
        <v>60.9</v>
      </c>
      <c r="D12" s="28">
        <v>4.5999999999999996</v>
      </c>
      <c r="E12" s="28">
        <v>14.3</v>
      </c>
      <c r="F12" s="28">
        <v>32</v>
      </c>
      <c r="G12" s="28">
        <v>10</v>
      </c>
      <c r="H12" s="28">
        <v>45.6</v>
      </c>
      <c r="I12" s="28">
        <v>10.8</v>
      </c>
      <c r="J12" s="28">
        <v>7.8</v>
      </c>
      <c r="K12" s="28">
        <v>3.1</v>
      </c>
    </row>
    <row r="13" spans="1:11">
      <c r="A13" s="66">
        <v>2000</v>
      </c>
      <c r="B13" s="28">
        <v>115.7</v>
      </c>
      <c r="C13" s="28">
        <f t="shared" si="0"/>
        <v>60.900000000000006</v>
      </c>
      <c r="D13" s="28">
        <v>3.6</v>
      </c>
      <c r="E13" s="28">
        <v>15.3</v>
      </c>
      <c r="F13" s="28">
        <v>33</v>
      </c>
      <c r="G13" s="28">
        <v>9</v>
      </c>
      <c r="H13" s="28">
        <v>42.3</v>
      </c>
      <c r="I13" s="28">
        <v>12.5</v>
      </c>
      <c r="J13" s="28">
        <v>10.5</v>
      </c>
      <c r="K13" s="28">
        <v>2</v>
      </c>
    </row>
    <row r="14" spans="1:11">
      <c r="A14" s="66">
        <v>2001</v>
      </c>
      <c r="B14" s="28">
        <v>108.5</v>
      </c>
      <c r="C14" s="28">
        <f t="shared" si="0"/>
        <v>54</v>
      </c>
      <c r="D14" s="28">
        <v>3.6</v>
      </c>
      <c r="E14" s="28">
        <v>12.6</v>
      </c>
      <c r="F14" s="28">
        <v>28</v>
      </c>
      <c r="G14" s="28">
        <v>9.8000000000000007</v>
      </c>
      <c r="H14" s="28">
        <v>44.9</v>
      </c>
      <c r="I14" s="28">
        <v>9.6</v>
      </c>
      <c r="J14" s="28">
        <v>7.9</v>
      </c>
      <c r="K14" s="28">
        <v>1.7</v>
      </c>
    </row>
    <row r="15" spans="1:11">
      <c r="A15" s="66">
        <v>2002</v>
      </c>
      <c r="B15" s="28">
        <v>106.4</v>
      </c>
      <c r="C15" s="28">
        <f t="shared" si="0"/>
        <v>50.9</v>
      </c>
      <c r="D15" s="28">
        <v>2.9</v>
      </c>
      <c r="E15" s="28">
        <v>11.7</v>
      </c>
      <c r="F15" s="28">
        <v>29.3</v>
      </c>
      <c r="G15" s="28">
        <v>7</v>
      </c>
      <c r="H15" s="28">
        <v>44.9</v>
      </c>
      <c r="I15" s="28">
        <v>10.4</v>
      </c>
      <c r="J15" s="28">
        <v>8.3000000000000007</v>
      </c>
      <c r="K15" s="28">
        <v>2.1</v>
      </c>
    </row>
    <row r="16" spans="1:11">
      <c r="A16" s="66">
        <v>2003</v>
      </c>
      <c r="B16" s="28">
        <v>108.2</v>
      </c>
      <c r="C16" s="28">
        <f t="shared" si="0"/>
        <v>51.400000000000006</v>
      </c>
      <c r="D16" s="28">
        <v>2.8</v>
      </c>
      <c r="E16" s="28">
        <v>13</v>
      </c>
      <c r="F16" s="28">
        <v>25.3</v>
      </c>
      <c r="G16" s="28">
        <v>10.3</v>
      </c>
      <c r="H16" s="28">
        <v>43.5</v>
      </c>
      <c r="I16" s="28">
        <v>13.3</v>
      </c>
      <c r="J16" s="28">
        <v>10.6</v>
      </c>
      <c r="K16" s="28">
        <v>2.7</v>
      </c>
    </row>
    <row r="17" spans="1:11">
      <c r="A17" s="66">
        <v>2004</v>
      </c>
      <c r="B17" s="28">
        <v>103.8</v>
      </c>
      <c r="C17" s="28">
        <f t="shared" si="0"/>
        <v>44.6</v>
      </c>
      <c r="D17" s="28">
        <v>1.7</v>
      </c>
      <c r="E17" s="28">
        <v>13.3</v>
      </c>
      <c r="F17" s="28">
        <v>21.6</v>
      </c>
      <c r="G17" s="28">
        <v>8</v>
      </c>
      <c r="H17" s="28">
        <v>48.1</v>
      </c>
      <c r="I17" s="28">
        <v>11.1</v>
      </c>
      <c r="J17" s="28">
        <v>8.4</v>
      </c>
      <c r="K17" s="28">
        <v>2.7</v>
      </c>
    </row>
    <row r="18" spans="1:11">
      <c r="A18" s="66">
        <v>2005</v>
      </c>
      <c r="B18" s="28">
        <v>101.2</v>
      </c>
      <c r="C18" s="28">
        <f t="shared" si="0"/>
        <v>44.5</v>
      </c>
      <c r="D18" s="28">
        <v>3.7</v>
      </c>
      <c r="E18" s="28">
        <v>10.199999999999999</v>
      </c>
      <c r="F18" s="28">
        <v>25.1</v>
      </c>
      <c r="G18" s="28">
        <v>5.5</v>
      </c>
      <c r="H18" s="28">
        <v>45.4</v>
      </c>
      <c r="I18" s="28">
        <v>11.3</v>
      </c>
      <c r="J18" s="28">
        <v>8.6</v>
      </c>
      <c r="K18" s="28">
        <v>2.7</v>
      </c>
    </row>
    <row r="19" spans="1:11">
      <c r="A19" s="66">
        <v>2006</v>
      </c>
      <c r="B19" s="28">
        <v>94.1</v>
      </c>
      <c r="C19" s="28">
        <f t="shared" si="0"/>
        <v>42.300000000000004</v>
      </c>
      <c r="D19" s="28">
        <v>2.9</v>
      </c>
      <c r="E19" s="28">
        <v>9</v>
      </c>
      <c r="F19" s="28">
        <v>23.8</v>
      </c>
      <c r="G19" s="28">
        <v>6.6</v>
      </c>
      <c r="H19" s="28">
        <v>38.1</v>
      </c>
      <c r="I19" s="28">
        <v>13.8</v>
      </c>
      <c r="J19" s="28">
        <v>10.5</v>
      </c>
      <c r="K19" s="28">
        <v>3.2</v>
      </c>
    </row>
    <row r="20" spans="1:11">
      <c r="A20" s="66">
        <v>2007</v>
      </c>
      <c r="B20" s="28">
        <v>87.1</v>
      </c>
      <c r="C20" s="28">
        <f t="shared" si="0"/>
        <v>36</v>
      </c>
      <c r="D20" s="28">
        <v>0</v>
      </c>
      <c r="E20" s="28">
        <v>9.6</v>
      </c>
      <c r="F20" s="28">
        <v>20.9</v>
      </c>
      <c r="G20" s="28">
        <v>5.5</v>
      </c>
      <c r="H20" s="28">
        <v>38.5</v>
      </c>
      <c r="I20" s="28">
        <v>11.3</v>
      </c>
      <c r="J20" s="28">
        <v>8.5</v>
      </c>
      <c r="K20" s="28">
        <v>2.8</v>
      </c>
    </row>
    <row r="22" spans="1:11">
      <c r="A22" s="66" t="s">
        <v>23</v>
      </c>
      <c r="B22" s="56"/>
      <c r="C22" s="56"/>
      <c r="D22" s="56"/>
      <c r="E22" s="56"/>
      <c r="F22" s="56"/>
      <c r="G22" s="56"/>
      <c r="H22" s="56"/>
      <c r="I22" s="56"/>
      <c r="J22" s="56"/>
      <c r="K22" s="56"/>
    </row>
    <row r="23" spans="1:11">
      <c r="A23" s="109" t="s">
        <v>1038</v>
      </c>
      <c r="B23" s="147">
        <f>((B20/B3)^(1/17)-1)*100</f>
        <v>-2.7571568227206744</v>
      </c>
      <c r="C23" s="147">
        <f t="shared" ref="C23:I23" si="1">((C20/C3)^(1/17)-1)*100</f>
        <v>-5.2099732125092668</v>
      </c>
      <c r="D23" s="147" t="s">
        <v>22</v>
      </c>
      <c r="E23" s="147">
        <f t="shared" si="1"/>
        <v>-5.7979583847129419</v>
      </c>
      <c r="F23" s="147">
        <f t="shared" si="1"/>
        <v>-3.7037969015591421</v>
      </c>
      <c r="G23" s="147">
        <f t="shared" si="1"/>
        <v>-3.839046827993986</v>
      </c>
      <c r="H23" s="147">
        <f t="shared" si="1"/>
        <v>-0.34073488323765888</v>
      </c>
      <c r="I23" s="147">
        <f t="shared" si="1"/>
        <v>0.7810815239047697</v>
      </c>
      <c r="J23" s="147">
        <f>((J20/J3)^(1/17)-1)*100</f>
        <v>-0.46443181490037899</v>
      </c>
      <c r="K23" s="147" t="s">
        <v>22</v>
      </c>
    </row>
    <row r="24" spans="1:11">
      <c r="A24" s="68" t="s">
        <v>660</v>
      </c>
      <c r="B24" s="147">
        <f>((B13/B3)^(1/10)-1)*100</f>
        <v>-1.8953658915595528</v>
      </c>
      <c r="C24" s="147">
        <f t="shared" ref="C24:I24" si="2">((C13/C3)^(1/10)-1)*100</f>
        <v>-3.7661241746501761</v>
      </c>
      <c r="D24" s="147">
        <f t="shared" si="2"/>
        <v>-11.704362045272143</v>
      </c>
      <c r="E24" s="147">
        <f t="shared" si="2"/>
        <v>-5.3447829495094634</v>
      </c>
      <c r="F24" s="147">
        <f t="shared" si="2"/>
        <v>-1.8314574542811712</v>
      </c>
      <c r="G24" s="147">
        <f t="shared" si="2"/>
        <v>-1.7153097775985393</v>
      </c>
      <c r="H24" s="147">
        <f t="shared" si="2"/>
        <v>0.36170261723398323</v>
      </c>
      <c r="I24" s="147">
        <f t="shared" si="2"/>
        <v>2.359341153103145</v>
      </c>
      <c r="J24" s="147">
        <f>((J13/J3)^(1/10)-1)*100</f>
        <v>1.3304910300265593</v>
      </c>
      <c r="K24" s="147" t="s">
        <v>22</v>
      </c>
    </row>
    <row r="25" spans="1:11">
      <c r="A25" s="68" t="s">
        <v>588</v>
      </c>
      <c r="B25" s="147">
        <f>((B20/B13)^(1/7)-1)*100</f>
        <v>-3.9751710347532998</v>
      </c>
      <c r="C25" s="147">
        <f t="shared" ref="C25:I25" si="3">((C20/C13)^(1/7)-1)*100</f>
        <v>-7.2351169990534592</v>
      </c>
      <c r="D25" s="147" t="s">
        <v>22</v>
      </c>
      <c r="E25" s="147">
        <f t="shared" si="3"/>
        <v>-6.4415907740551397</v>
      </c>
      <c r="F25" s="147">
        <f t="shared" si="3"/>
        <v>-6.3167898740728701</v>
      </c>
      <c r="G25" s="147">
        <f t="shared" si="3"/>
        <v>-6.7935987379020286</v>
      </c>
      <c r="H25" s="147">
        <f t="shared" si="3"/>
        <v>-1.3356971107475912</v>
      </c>
      <c r="I25" s="147">
        <f t="shared" si="3"/>
        <v>-1.4314546911661008</v>
      </c>
      <c r="J25" s="147">
        <f>((J20/J13)^(1/7)-1)*100</f>
        <v>-2.9735935782700285</v>
      </c>
      <c r="K25" s="147">
        <f>((K20/K13)^(1/7)-1)*100</f>
        <v>4.9241437255623133</v>
      </c>
    </row>
    <row r="27" spans="1:11">
      <c r="A27" s="131" t="s">
        <v>593</v>
      </c>
      <c r="B27" s="131"/>
      <c r="C27" s="131"/>
      <c r="D27" s="131"/>
      <c r="E27" s="131"/>
      <c r="F27" s="131"/>
      <c r="G27" s="131"/>
      <c r="H27" s="131"/>
      <c r="I27" s="131"/>
      <c r="J27" s="131"/>
      <c r="K27" s="131"/>
    </row>
    <row r="28" spans="1:11">
      <c r="A28" s="64" t="s">
        <v>773</v>
      </c>
    </row>
    <row r="29" spans="1:11">
      <c r="A29" s="64" t="s">
        <v>1040</v>
      </c>
    </row>
    <row r="30" spans="1:11" ht="30" customHeight="1">
      <c r="A30" s="131" t="s">
        <v>1041</v>
      </c>
      <c r="B30" s="131"/>
      <c r="C30" s="131"/>
      <c r="D30" s="131"/>
      <c r="E30" s="131"/>
      <c r="F30" s="131"/>
      <c r="G30" s="131"/>
      <c r="H30" s="131"/>
      <c r="I30" s="131"/>
      <c r="J30" s="131"/>
      <c r="K30" s="131"/>
    </row>
    <row r="31" spans="1:11">
      <c r="A31" s="70" t="s">
        <v>1043</v>
      </c>
    </row>
  </sheetData>
  <mergeCells count="3">
    <mergeCell ref="A27:K27"/>
    <mergeCell ref="A1:K1"/>
    <mergeCell ref="A30:K30"/>
  </mergeCells>
  <pageMargins left="0.7" right="0.7" top="0.75" bottom="0.75" header="0.3" footer="0.3"/>
  <pageSetup scale="80" orientation="landscape" horizontalDpi="0" verticalDpi="0" r:id="rId1"/>
</worksheet>
</file>

<file path=xl/worksheets/sheet91.xml><?xml version="1.0" encoding="utf-8"?>
<worksheet xmlns="http://schemas.openxmlformats.org/spreadsheetml/2006/main" xmlns:r="http://schemas.openxmlformats.org/officeDocument/2006/relationships">
  <sheetPr codeName="Sheet84"/>
  <dimension ref="A1:K28"/>
  <sheetViews>
    <sheetView view="pageBreakPreview" zoomScale="85" zoomScaleNormal="100" zoomScaleSheetLayoutView="85" workbookViewId="0">
      <selection activeCell="AC38" sqref="AC38"/>
    </sheetView>
  </sheetViews>
  <sheetFormatPr defaultRowHeight="15"/>
  <cols>
    <col min="1" max="1" width="11.28515625" style="64" customWidth="1"/>
    <col min="2" max="2" width="10.85546875" style="64" customWidth="1"/>
    <col min="3" max="3" width="10" style="64" customWidth="1"/>
    <col min="4" max="5" width="10.28515625" style="64" bestFit="1" customWidth="1"/>
    <col min="6" max="6" width="10.7109375" style="64" customWidth="1"/>
    <col min="7" max="7" width="10.28515625" style="64" bestFit="1" customWidth="1"/>
    <col min="8" max="9" width="10.28515625" style="64" customWidth="1"/>
    <col min="10" max="10" width="10.7109375" style="64" bestFit="1" customWidth="1"/>
    <col min="11" max="11" width="11.28515625" style="64" bestFit="1" customWidth="1"/>
    <col min="12" max="16384" width="9.140625" style="64"/>
  </cols>
  <sheetData>
    <row r="1" spans="1:11">
      <c r="A1" s="66" t="s">
        <v>1373</v>
      </c>
      <c r="B1" s="66"/>
      <c r="C1" s="66"/>
    </row>
    <row r="2" spans="1:11" ht="45.75" customHeight="1">
      <c r="B2" s="94" t="s">
        <v>673</v>
      </c>
      <c r="C2" s="94"/>
      <c r="D2" s="94" t="s">
        <v>37</v>
      </c>
      <c r="E2" s="94"/>
      <c r="F2" s="94" t="s">
        <v>63</v>
      </c>
      <c r="G2" s="94"/>
      <c r="H2" s="159" t="s">
        <v>670</v>
      </c>
      <c r="I2" s="161"/>
      <c r="J2" s="94" t="s">
        <v>671</v>
      </c>
      <c r="K2" s="94"/>
    </row>
    <row r="3" spans="1:11" ht="105">
      <c r="B3" s="72" t="s">
        <v>1305</v>
      </c>
      <c r="C3" s="72" t="s">
        <v>1306</v>
      </c>
      <c r="D3" s="72" t="s">
        <v>1305</v>
      </c>
      <c r="E3" s="72" t="s">
        <v>1306</v>
      </c>
      <c r="F3" s="72" t="s">
        <v>1305</v>
      </c>
      <c r="G3" s="72" t="s">
        <v>1306</v>
      </c>
      <c r="H3" s="72" t="s">
        <v>1305</v>
      </c>
      <c r="I3" s="72" t="s">
        <v>1306</v>
      </c>
      <c r="J3" s="72" t="s">
        <v>1305</v>
      </c>
      <c r="K3" s="72" t="s">
        <v>1306</v>
      </c>
    </row>
    <row r="4" spans="1:11">
      <c r="A4" s="66">
        <v>1990</v>
      </c>
      <c r="B4" s="115">
        <f>'11'!C3/'11'!B3*100</f>
        <v>59.175174226678074</v>
      </c>
      <c r="C4" s="115">
        <f>'11'!H3/'11'!B3*100</f>
        <v>26.347200146717203</v>
      </c>
      <c r="D4" s="31">
        <f>'11a'!C3/'11a'!B3*100</f>
        <v>69.721871049304681</v>
      </c>
      <c r="E4" s="31">
        <f>SUM('11a'!H3:I3)/'11a'!B3*100</f>
        <v>30.341340075853353</v>
      </c>
      <c r="F4" s="31">
        <f>'11b'!$C3/'11b'!$B3*100</f>
        <v>77.819548872180448</v>
      </c>
      <c r="G4" s="31">
        <f>SUM('11b'!H3:I3)/'11b'!B3*100</f>
        <v>22.368421052631579</v>
      </c>
      <c r="H4" s="31">
        <f>'11c'!$C3/'11c'!$B3*100</f>
        <v>72.948822095857039</v>
      </c>
      <c r="I4" s="31">
        <f>SUM('11c'!H3:I3)/'11c'!B3*100</f>
        <v>27.132412672623886</v>
      </c>
      <c r="J4" s="31">
        <f>'11d'!$C3/'11d'!$B3*100</f>
        <v>63.811563169164884</v>
      </c>
      <c r="K4" s="31">
        <f>SUM('11d'!H3:I3)/'11d'!B3*100</f>
        <v>36.188436830835116</v>
      </c>
    </row>
    <row r="5" spans="1:11">
      <c r="A5" s="66">
        <v>1991</v>
      </c>
      <c r="B5" s="115">
        <f>'11'!C4/'11'!B4*100</f>
        <v>58.147837043259145</v>
      </c>
      <c r="C5" s="115">
        <f>'11'!H4/'11'!B4*100</f>
        <v>26.764353601816854</v>
      </c>
      <c r="D5" s="31">
        <f>'11a'!C4/'11a'!B4*100</f>
        <v>70.678260869565207</v>
      </c>
      <c r="E5" s="31">
        <f>SUM('11a'!H4:I4)/'11a'!B4*100</f>
        <v>28.939130434782612</v>
      </c>
      <c r="F5" s="31">
        <f>'11b'!$C4/'11b'!$B4*100</f>
        <v>80.943025540275059</v>
      </c>
      <c r="G5" s="31">
        <f>SUM('11b'!H4:I4)/'11b'!B4*100</f>
        <v>16.699410609037329</v>
      </c>
      <c r="H5" s="31">
        <f>'11c'!$C4/'11c'!$B4*100</f>
        <v>75.046040515653772</v>
      </c>
      <c r="I5" s="31">
        <f>SUM('11c'!H4:I4)/'11c'!B4*100</f>
        <v>25.046040515653779</v>
      </c>
      <c r="J5" s="31">
        <f>'11d'!$C4/'11d'!$B4*100</f>
        <v>62.890624999999986</v>
      </c>
      <c r="K5" s="31">
        <f>SUM('11d'!H4:I4)/'11d'!B4*100</f>
        <v>37.109375</v>
      </c>
    </row>
    <row r="6" spans="1:11">
      <c r="A6" s="66">
        <v>1992</v>
      </c>
      <c r="B6" s="115">
        <f>'11'!C5/'11'!B5*100</f>
        <v>56.662922495660162</v>
      </c>
      <c r="C6" s="115">
        <f>'11'!H5/'11'!B5*100</f>
        <v>27.210173671932068</v>
      </c>
      <c r="D6" s="31">
        <f>'11a'!C5/'11a'!B5*100</f>
        <v>68.844765342960287</v>
      </c>
      <c r="E6" s="31">
        <f>SUM('11a'!H5:I5)/'11a'!B5*100</f>
        <v>30.758122743682311</v>
      </c>
      <c r="F6" s="31">
        <f>'11b'!$C5/'11b'!$B5*100</f>
        <v>81.128404669260689</v>
      </c>
      <c r="G6" s="31">
        <f>SUM('11b'!H5:I5)/'11b'!B5*100</f>
        <v>16.342412451361866</v>
      </c>
      <c r="H6" s="31">
        <f>'11c'!$C5/'11c'!$B5*100</f>
        <v>74.680073126142602</v>
      </c>
      <c r="I6" s="31">
        <f>SUM('11c'!H5:I5)/'11c'!B5*100</f>
        <v>25.411334552102378</v>
      </c>
      <c r="J6" s="31">
        <f>'11d'!$C5/'11d'!$B5*100</f>
        <v>57.917383820998268</v>
      </c>
      <c r="K6" s="31">
        <f>SUM('11d'!H5:I5)/'11d'!B5*100</f>
        <v>42.168674698795179</v>
      </c>
    </row>
    <row r="7" spans="1:11">
      <c r="A7" s="66">
        <v>1993</v>
      </c>
      <c r="B7" s="115">
        <f>'11'!C6/'11'!B6*100</f>
        <v>54.814855347190182</v>
      </c>
      <c r="C7" s="115">
        <f>'11'!H6/'11'!B6*100</f>
        <v>27.943280151961662</v>
      </c>
      <c r="D7" s="31">
        <f>'11a'!C6/'11a'!B6*100</f>
        <v>68.498797664032963</v>
      </c>
      <c r="E7" s="31">
        <f>SUM('11a'!H6:I6)/'11a'!B6*100</f>
        <v>31.501202335967015</v>
      </c>
      <c r="F7" s="31">
        <f>'11b'!$C6/'11b'!$B6*100</f>
        <v>76.325757575757592</v>
      </c>
      <c r="G7" s="31">
        <f>SUM('11b'!H6:I6)/'11b'!B6*100</f>
        <v>23.674242424242426</v>
      </c>
      <c r="H7" s="31">
        <f>'11c'!$C6/'11c'!$B6*100</f>
        <v>75.042735042735032</v>
      </c>
      <c r="I7" s="31">
        <f>SUM('11c'!H6:I6)/'11c'!B6*100</f>
        <v>24.957264957264957</v>
      </c>
      <c r="J7" s="31">
        <f>'11d'!$C6/'11d'!$B6*100</f>
        <v>58.779884583676832</v>
      </c>
      <c r="K7" s="31">
        <f>SUM('11d'!H6:I6)/'11d'!B6*100</f>
        <v>41.220115416323168</v>
      </c>
    </row>
    <row r="8" spans="1:11">
      <c r="A8" s="66">
        <v>1994</v>
      </c>
      <c r="B8" s="115">
        <f>'11'!C7/'11'!B7*100</f>
        <v>52.664507186779687</v>
      </c>
      <c r="C8" s="115">
        <f>'11'!H7/'11'!B7*100</f>
        <v>29.562667034237712</v>
      </c>
      <c r="D8" s="31">
        <f>'11a'!C7/'11a'!B7*100</f>
        <v>65.052564510990763</v>
      </c>
      <c r="E8" s="31">
        <f>SUM('11a'!H7:I7)/'11a'!B7*100</f>
        <v>34.979292768397578</v>
      </c>
      <c r="F8" s="31">
        <f>'11b'!$C7/'11b'!$B7*100</f>
        <v>75.516693163751995</v>
      </c>
      <c r="G8" s="31">
        <f>SUM('11b'!H7:I7)/'11b'!B7*100</f>
        <v>24.483306836248016</v>
      </c>
      <c r="H8" s="31">
        <f>'11c'!$C7/'11c'!$B7*100</f>
        <v>69.47949526813882</v>
      </c>
      <c r="I8" s="31">
        <f>SUM('11c'!H7:I7)/'11c'!B7*100</f>
        <v>30.520504731861202</v>
      </c>
      <c r="J8" s="31">
        <f>'11d'!$C7/'11d'!$B7*100</f>
        <v>55.23349436392914</v>
      </c>
      <c r="K8" s="31">
        <f>SUM('11d'!H7:I7)/'11d'!B7*100</f>
        <v>44.847020933977447</v>
      </c>
    </row>
    <row r="9" spans="1:11">
      <c r="A9" s="66">
        <v>1995</v>
      </c>
      <c r="B9" s="115">
        <f>'11'!C8/'11'!B8*100</f>
        <v>51.390706560163665</v>
      </c>
      <c r="C9" s="115">
        <f>'11'!H8/'11'!B8*100</f>
        <v>30.615852099222291</v>
      </c>
      <c r="D9" s="31">
        <f>'11a'!C8/'11a'!B8*100</f>
        <v>64.120726824761306</v>
      </c>
      <c r="E9" s="31">
        <f>SUM('11a'!H8:I8)/'11a'!B8*100</f>
        <v>35.87927317523868</v>
      </c>
      <c r="F9" s="31">
        <f>'11b'!$C8/'11b'!$B8*100</f>
        <v>73.846153846153854</v>
      </c>
      <c r="G9" s="31">
        <f>SUM('11b'!H8:I8)/'11b'!B8*100</f>
        <v>26.153846153846157</v>
      </c>
      <c r="H9" s="31">
        <f>'11c'!$C8/'11c'!$B8*100</f>
        <v>67.07132018209407</v>
      </c>
      <c r="I9" s="31">
        <f>SUM('11c'!H8:I8)/'11c'!B8*100</f>
        <v>32.928679817905916</v>
      </c>
      <c r="J9" s="31">
        <f>'11d'!$C8/'11d'!$B8*100</f>
        <v>55.189456342668862</v>
      </c>
      <c r="K9" s="31">
        <f>SUM('11d'!H8:I8)/'11d'!B8*100</f>
        <v>44.810543657331131</v>
      </c>
    </row>
    <row r="10" spans="1:11">
      <c r="A10" s="66">
        <v>1996</v>
      </c>
      <c r="B10" s="115">
        <f>'11'!C9/'11'!B9*100</f>
        <v>50.640457224610849</v>
      </c>
      <c r="C10" s="115">
        <f>'11'!H9/'11'!B9*100</f>
        <v>31.205430659980177</v>
      </c>
      <c r="D10" s="31">
        <f>'11a'!C9/'11a'!B9*100</f>
        <v>64.399874647445927</v>
      </c>
      <c r="E10" s="31">
        <f>SUM('11a'!H9:I9)/'11a'!B9*100</f>
        <v>35.568787214039482</v>
      </c>
      <c r="F10" s="31">
        <f>'11b'!$C9/'11b'!$B9*100</f>
        <v>71.294851794071775</v>
      </c>
      <c r="G10" s="31">
        <f>SUM('11b'!H9:I9)/'11b'!B9*100</f>
        <v>28.705148205928243</v>
      </c>
      <c r="H10" s="31">
        <f>'11c'!$C9/'11c'!$B9*100</f>
        <v>70.278184480234245</v>
      </c>
      <c r="I10" s="31">
        <f>SUM('11c'!H9:I9)/'11c'!B9*100</f>
        <v>29.721815519765745</v>
      </c>
      <c r="J10" s="31">
        <f>'11d'!$C9/'11d'!$B9*100</f>
        <v>53.88513513513513</v>
      </c>
      <c r="K10" s="31">
        <f>SUM('11d'!H9:I9)/'11d'!B9*100</f>
        <v>46.030405405405403</v>
      </c>
    </row>
    <row r="11" spans="1:11">
      <c r="A11" s="66">
        <v>1997</v>
      </c>
      <c r="B11" s="115">
        <f>'11'!C10/'11'!B10*100</f>
        <v>48.577493762857266</v>
      </c>
      <c r="C11" s="115">
        <f>'11'!H10/'11'!B10*100</f>
        <v>32.826337520608099</v>
      </c>
      <c r="D11" s="31">
        <f>'11a'!C10/'11a'!B10*100</f>
        <v>60.605095541401269</v>
      </c>
      <c r="E11" s="31">
        <f>SUM('11a'!H10:I10)/'11a'!B10*100</f>
        <v>39.394904458598724</v>
      </c>
      <c r="F11" s="31">
        <f>'11b'!$C10/'11b'!$B10*100</f>
        <v>69.7594501718213</v>
      </c>
      <c r="G11" s="31">
        <f>SUM('11b'!H10:I10)/'11b'!B10*100</f>
        <v>30.240549828178697</v>
      </c>
      <c r="H11" s="31">
        <f>'11c'!$C10/'11c'!$B10*100</f>
        <v>64.80686695278969</v>
      </c>
      <c r="I11" s="31">
        <f>SUM('11c'!H10:I10)/'11c'!B10*100</f>
        <v>35.193133047210296</v>
      </c>
      <c r="J11" s="31">
        <f>'11d'!$C10/'11d'!$B10*100</f>
        <v>50.948275862068961</v>
      </c>
      <c r="K11" s="31">
        <f>SUM('11d'!H10:I10)/'11d'!B10*100</f>
        <v>49.051724137931039</v>
      </c>
    </row>
    <row r="12" spans="1:11">
      <c r="A12" s="66">
        <v>1998</v>
      </c>
      <c r="B12" s="115">
        <f>'11'!C11/'11'!B11*100</f>
        <v>47.909162098668759</v>
      </c>
      <c r="C12" s="115">
        <f>'11'!H11/'11'!B11*100</f>
        <v>33.233430625756391</v>
      </c>
      <c r="D12" s="31">
        <f>'11a'!C11/'11a'!B11*100</f>
        <v>60.677555958862669</v>
      </c>
      <c r="E12" s="31">
        <f>SUM('11a'!H11:I11)/'11a'!B11*100</f>
        <v>39.382940108892925</v>
      </c>
      <c r="F12" s="31">
        <f>'11b'!$C11/'11b'!$B11*100</f>
        <v>66.446280991735534</v>
      </c>
      <c r="G12" s="31">
        <f>SUM('11b'!H11:I11)/'11b'!B11*100</f>
        <v>33.719008264462815</v>
      </c>
      <c r="H12" s="31">
        <f>'11c'!$C11/'11c'!$B11*100</f>
        <v>66.711590296495956</v>
      </c>
      <c r="I12" s="31">
        <f>SUM('11c'!H11:I11)/'11c'!B11*100</f>
        <v>33.423180592991912</v>
      </c>
      <c r="J12" s="31">
        <f>'11d'!$C11/'11d'!$B11*100</f>
        <v>50.4519309778143</v>
      </c>
      <c r="K12" s="31">
        <f>SUM('11d'!H11:I11)/'11d'!B11*100</f>
        <v>49.465899753492195</v>
      </c>
    </row>
    <row r="13" spans="1:11">
      <c r="A13" s="66">
        <v>1999</v>
      </c>
      <c r="B13" s="115">
        <f>'11'!C12/'11'!B12*100</f>
        <v>47.722538536314403</v>
      </c>
      <c r="C13" s="115">
        <f>'11'!H12/'11'!B12*100</f>
        <v>33.032217747535064</v>
      </c>
      <c r="D13" s="31">
        <f>'11a'!C12/'11a'!B12*100</f>
        <v>62.666263603385715</v>
      </c>
      <c r="E13" s="31">
        <f>SUM('11a'!H12:I12)/'11a'!B12*100</f>
        <v>37.33373639661427</v>
      </c>
      <c r="F13" s="31">
        <f>'11b'!$C12/'11b'!$B12*100</f>
        <v>68.350168350168346</v>
      </c>
      <c r="G13" s="31">
        <f>SUM('11b'!H12:I12)/'11b'!B12*100</f>
        <v>31.818181818181817</v>
      </c>
      <c r="H13" s="31">
        <f>'11c'!$C12/'11c'!$B12*100</f>
        <v>68.656716417910445</v>
      </c>
      <c r="I13" s="31">
        <f>SUM('11c'!H12:I12)/'11c'!B12*100</f>
        <v>31.278390655418566</v>
      </c>
      <c r="J13" s="31">
        <f>'11d'!$C12/'11d'!$B12*100</f>
        <v>51.918158567774938</v>
      </c>
      <c r="K13" s="31">
        <f>SUM('11d'!H12:I12)/'11d'!B12*100</f>
        <v>48.081841432225069</v>
      </c>
    </row>
    <row r="14" spans="1:11">
      <c r="A14" s="66">
        <v>2000</v>
      </c>
      <c r="B14" s="115">
        <f>'11'!C13/'11'!B13*100</f>
        <v>47.719866396569124</v>
      </c>
      <c r="C14" s="115">
        <f>'11'!H13/'11'!B13*100</f>
        <v>32.490294781200674</v>
      </c>
      <c r="D14" s="31">
        <f>'11a'!C13/'11a'!B13*100</f>
        <v>61.40195208518189</v>
      </c>
      <c r="E14" s="31">
        <f>SUM('11a'!H13:I13)/'11a'!B13*100</f>
        <v>38.568470866607512</v>
      </c>
      <c r="F14" s="31">
        <f>'11b'!$C13/'11b'!$B13*100</f>
        <v>69.176882661996501</v>
      </c>
      <c r="G14" s="31">
        <f>SUM('11b'!H13:I13)/'11b'!B13*100</f>
        <v>30.647985989492117</v>
      </c>
      <c r="H14" s="31">
        <f>'11c'!$C13/'11c'!$B13*100</f>
        <v>64.85178463399879</v>
      </c>
      <c r="I14" s="31">
        <f>SUM('11c'!H13:I13)/'11c'!B13*100</f>
        <v>35.148215366001203</v>
      </c>
      <c r="J14" s="31">
        <f>'11d'!$C13/'11d'!$B13*100</f>
        <v>52.636127917026798</v>
      </c>
      <c r="K14" s="31">
        <f>SUM('11d'!H13:I13)/'11d'!B13*100</f>
        <v>47.363872082973202</v>
      </c>
    </row>
    <row r="15" spans="1:11">
      <c r="A15" s="66">
        <v>2001</v>
      </c>
      <c r="B15" s="115">
        <f>'11'!C14/'11'!B14*100</f>
        <v>46.244871460219933</v>
      </c>
      <c r="C15" s="115">
        <f>'11'!H14/'11'!B14*100</f>
        <v>33.508690908847527</v>
      </c>
      <c r="D15" s="31">
        <f>'11a'!C14/'11a'!B14*100</f>
        <v>60.877684407096176</v>
      </c>
      <c r="E15" s="31">
        <f>SUM('11a'!H14:I14)/'11a'!B14*100</f>
        <v>39.060068471833176</v>
      </c>
      <c r="F15" s="31">
        <f>'11b'!$C14/'11b'!$B14*100</f>
        <v>69.785575048732937</v>
      </c>
      <c r="G15" s="31">
        <f>SUM('11b'!H14:I14)/'11b'!B14*100</f>
        <v>30.019493177387918</v>
      </c>
      <c r="H15" s="31">
        <f>'11c'!$C14/'11c'!$B14*100</f>
        <v>65.51083591331269</v>
      </c>
      <c r="I15" s="31">
        <f>SUM('11c'!H14:I14)/'11c'!B14*100</f>
        <v>34.427244582043343</v>
      </c>
      <c r="J15" s="31">
        <f>'11d'!$C14/'11d'!$B14*100</f>
        <v>49.769585253456221</v>
      </c>
      <c r="K15" s="31">
        <f>SUM('11d'!H14:I14)/'11d'!B14*100</f>
        <v>50.230414746543786</v>
      </c>
    </row>
    <row r="16" spans="1:11">
      <c r="A16" s="66">
        <v>2002</v>
      </c>
      <c r="B16" s="115">
        <f>'11'!C15/'11'!B15*100</f>
        <v>45.797135554553243</v>
      </c>
      <c r="C16" s="115">
        <f>'11'!H15/'11'!B15*100</f>
        <v>33.768687205433423</v>
      </c>
      <c r="D16" s="31">
        <f>'11a'!C15/'11a'!B15*100</f>
        <v>59.898325358851679</v>
      </c>
      <c r="E16" s="31">
        <f>SUM('11a'!H15:I15)/'11a'!B15*100</f>
        <v>40.041866028708142</v>
      </c>
      <c r="F16" s="31">
        <f>'11b'!$C15/'11b'!$B15*100</f>
        <v>68.121442125237195</v>
      </c>
      <c r="G16" s="31">
        <f>SUM('11b'!H15:I15)/'11b'!B15*100</f>
        <v>31.878557874762809</v>
      </c>
      <c r="H16" s="31">
        <f>'11c'!$C15/'11c'!$B15*100</f>
        <v>64.746149458071883</v>
      </c>
      <c r="I16" s="31">
        <f>SUM('11c'!H15:I15)/'11c'!B15*100</f>
        <v>35.253850541928117</v>
      </c>
      <c r="J16" s="31">
        <f>'11d'!$C15/'11d'!$B15*100</f>
        <v>47.838345864661655</v>
      </c>
      <c r="K16" s="31">
        <f>SUM('11d'!H15:I15)/'11d'!B15*100</f>
        <v>51.973684210526308</v>
      </c>
    </row>
    <row r="17" spans="1:11">
      <c r="A17" s="66">
        <v>2003</v>
      </c>
      <c r="B17" s="115">
        <f>'11'!C16/'11'!B16*100</f>
        <v>45.014652458995464</v>
      </c>
      <c r="C17" s="115">
        <f>'11'!H16/'11'!B16*100</f>
        <v>34.057550006703735</v>
      </c>
      <c r="D17" s="31">
        <f>'11a'!C16/'11a'!B16*100</f>
        <v>58.68880618379616</v>
      </c>
      <c r="E17" s="31">
        <f>SUM('11a'!H16:I16)/'11a'!B16*100</f>
        <v>41.31119381620384</v>
      </c>
      <c r="F17" s="31">
        <f>'11b'!$C16/'11b'!$B16*100</f>
        <v>66.129032258064512</v>
      </c>
      <c r="G17" s="31">
        <f>SUM('11b'!H16:I16)/'11b'!B16*100</f>
        <v>33.870967741935488</v>
      </c>
      <c r="H17" s="31">
        <f>'11c'!$C16/'11c'!$B16*100</f>
        <v>62.978953049109556</v>
      </c>
      <c r="I17" s="31">
        <f>SUM('11c'!H16:I16)/'11c'!B16*100</f>
        <v>37.021046950890444</v>
      </c>
      <c r="J17" s="31">
        <f>'11d'!$C16/'11d'!$B16*100</f>
        <v>47.504621072088725</v>
      </c>
      <c r="K17" s="31">
        <f>SUM('11d'!H16:I16)/'11d'!B16*100</f>
        <v>52.495378927911275</v>
      </c>
    </row>
    <row r="18" spans="1:11">
      <c r="A18" s="66">
        <v>2004</v>
      </c>
      <c r="B18" s="115">
        <f>'11'!C17/'11'!B17*100</f>
        <v>44.752477734929471</v>
      </c>
      <c r="C18" s="115">
        <f>'11'!H17/'11'!B17*100</f>
        <v>34.09915964275396</v>
      </c>
      <c r="D18" s="31">
        <f>'11a'!C17/'11a'!B17*100</f>
        <v>58.859649122807014</v>
      </c>
      <c r="E18" s="31">
        <f>SUM('11a'!H17:I17)/'11a'!B17*100</f>
        <v>41.140350877192979</v>
      </c>
      <c r="F18" s="31">
        <f>'11b'!$C17/'11b'!$B17*100</f>
        <v>67.822736030828509</v>
      </c>
      <c r="G18" s="31">
        <f>SUM('11b'!H17:I17)/'11b'!B17*100</f>
        <v>32.177263969171484</v>
      </c>
      <c r="H18" s="31">
        <f>'11c'!$C17/'11c'!$B17*100</f>
        <v>65.217391304347828</v>
      </c>
      <c r="I18" s="31">
        <f>SUM('11c'!H17:I17)/'11c'!B17*100</f>
        <v>34.782608695652172</v>
      </c>
      <c r="J18" s="31">
        <f>'11d'!$C17/'11d'!$B17*100</f>
        <v>42.967244701348747</v>
      </c>
      <c r="K18" s="31">
        <f>SUM('11d'!H17:I17)/'11d'!B17*100</f>
        <v>57.03275529865126</v>
      </c>
    </row>
    <row r="19" spans="1:11">
      <c r="A19" s="66">
        <v>2005</v>
      </c>
      <c r="B19" s="115">
        <f>'11'!C18/'11'!B18*100</f>
        <v>43.244215396255434</v>
      </c>
      <c r="C19" s="115">
        <f>'11'!H18/'11'!B18*100</f>
        <v>34.551960656632367</v>
      </c>
      <c r="D19" s="31">
        <f>'11a'!C18/'11a'!B18*100</f>
        <v>55.952005052099786</v>
      </c>
      <c r="E19" s="31">
        <f>SUM('11a'!H18:I18)/'11a'!B18*100</f>
        <v>44.047994947900222</v>
      </c>
      <c r="F19" s="31">
        <f>'11b'!$C18/'11b'!$B18*100</f>
        <v>64.578833693304531</v>
      </c>
      <c r="G19" s="31">
        <f>SUM('11b'!H18:I18)/'11b'!B18*100</f>
        <v>35.421166306695461</v>
      </c>
      <c r="H19" s="31">
        <f>'11c'!$C18/'11c'!$B18*100</f>
        <v>60.756501182033098</v>
      </c>
      <c r="I19" s="31">
        <f>SUM('11c'!H18:I18)/'11c'!B18*100</f>
        <v>39.243498817966909</v>
      </c>
      <c r="J19" s="31">
        <f>'11d'!$C18/'11d'!$B18*100</f>
        <v>43.972332015810281</v>
      </c>
      <c r="K19" s="31">
        <f>SUM('11d'!H18:I18)/'11d'!B18*100</f>
        <v>56.027667984189719</v>
      </c>
    </row>
    <row r="20" spans="1:11">
      <c r="A20" s="66">
        <v>2006</v>
      </c>
      <c r="B20" s="115">
        <f>'11'!C19/'11'!B19*100</f>
        <v>42.452255304627606</v>
      </c>
      <c r="C20" s="115">
        <f>'11'!H19/'11'!B19*100</f>
        <v>34.516337399909808</v>
      </c>
      <c r="D20" s="31">
        <f>'11a'!C19/'11a'!B19*100</f>
        <v>57.067196292618348</v>
      </c>
      <c r="E20" s="31">
        <f>SUM('11a'!H19:I19)/'11a'!B19*100</f>
        <v>42.965905329361135</v>
      </c>
      <c r="F20" s="31">
        <f>'11b'!$C19/'11b'!$B19*100</f>
        <v>67.951807228915655</v>
      </c>
      <c r="G20" s="31">
        <f>SUM('11b'!H19:I19)/'11b'!B19*100</f>
        <v>32.289156626506028</v>
      </c>
      <c r="H20" s="31">
        <f>'11c'!$C19/'11c'!$B19*100</f>
        <v>61.201201201201208</v>
      </c>
      <c r="I20" s="31">
        <f>SUM('11c'!H19:I19)/'11c'!B19*100</f>
        <v>38.738738738738739</v>
      </c>
      <c r="J20" s="31">
        <f>'11d'!$C19/'11d'!$B19*100</f>
        <v>44.952178533475035</v>
      </c>
      <c r="K20" s="31">
        <f>SUM('11d'!H19:I19)/'11d'!B19*100</f>
        <v>55.154091392136039</v>
      </c>
    </row>
    <row r="21" spans="1:11">
      <c r="A21" s="66">
        <v>2007</v>
      </c>
      <c r="B21" s="115">
        <f>'11'!C20/'11'!B20*100</f>
        <v>41.616484981196741</v>
      </c>
      <c r="C21" s="115">
        <f>'11'!H20/'11'!B20*100</f>
        <v>34.972271147712668</v>
      </c>
      <c r="D21" s="31">
        <f>'11a'!C20/'11a'!B20*100</f>
        <v>54.099560761347</v>
      </c>
      <c r="E21" s="31">
        <f>SUM('11a'!H20:I20)/'11a'!B20*100</f>
        <v>45.461200585651525</v>
      </c>
      <c r="F21" s="31">
        <f>'11b'!$C20/'11b'!$B20*100</f>
        <v>68.010075566750629</v>
      </c>
      <c r="G21" s="31">
        <f>SUM('11b'!H20:I20)/'11b'!B20*100</f>
        <v>31.989924433249371</v>
      </c>
      <c r="H21" s="31">
        <f>'11c'!$C20/'11c'!$B20*100</f>
        <v>57.923497267759572</v>
      </c>
      <c r="I21" s="31">
        <f>SUM('11c'!H20:I20)/'11c'!B20*100</f>
        <v>42.144808743169399</v>
      </c>
      <c r="J21" s="31">
        <f>'11d'!$C20/'11d'!$B20*100</f>
        <v>41.33180252583238</v>
      </c>
      <c r="K21" s="31">
        <f>SUM('11d'!H20:I20)/'11d'!B20*100</f>
        <v>57.175660160734786</v>
      </c>
    </row>
    <row r="22" spans="1:11">
      <c r="A22" s="66"/>
      <c r="B22" s="115"/>
      <c r="C22" s="115"/>
      <c r="D22" s="31"/>
      <c r="E22" s="31"/>
      <c r="F22" s="31"/>
      <c r="G22" s="31"/>
      <c r="H22" s="31"/>
      <c r="I22" s="31"/>
      <c r="J22" s="31"/>
      <c r="K22" s="31"/>
    </row>
    <row r="23" spans="1:11">
      <c r="A23" s="66" t="s">
        <v>23</v>
      </c>
      <c r="B23" s="115"/>
      <c r="C23" s="115"/>
      <c r="D23" s="31"/>
      <c r="E23" s="31"/>
      <c r="F23" s="31"/>
      <c r="G23" s="31"/>
      <c r="H23" s="31"/>
      <c r="I23" s="31"/>
      <c r="J23" s="31"/>
      <c r="K23" s="31"/>
    </row>
    <row r="24" spans="1:11">
      <c r="A24" s="109" t="s">
        <v>1038</v>
      </c>
      <c r="B24" s="226">
        <f>((B21/B4)^(1/17)-1)*100</f>
        <v>-2.0493318066805433</v>
      </c>
      <c r="C24" s="226">
        <f t="shared" ref="C24:J24" si="0">((C21/C4)^(1/17)-1)*100</f>
        <v>1.6797965584748775</v>
      </c>
      <c r="D24" s="226">
        <f t="shared" si="0"/>
        <v>-1.4812029427225148</v>
      </c>
      <c r="E24" s="226">
        <f t="shared" si="0"/>
        <v>2.4070305057110719</v>
      </c>
      <c r="F24" s="226">
        <f t="shared" si="0"/>
        <v>-0.78943689776536097</v>
      </c>
      <c r="G24" s="226">
        <f t="shared" si="0"/>
        <v>2.1268356216769257</v>
      </c>
      <c r="H24" s="226">
        <f t="shared" si="0"/>
        <v>-1.3475150971598571</v>
      </c>
      <c r="I24" s="226">
        <f t="shared" si="0"/>
        <v>2.6243297538185439</v>
      </c>
      <c r="J24" s="226">
        <f t="shared" si="0"/>
        <v>-2.5223618619593102</v>
      </c>
      <c r="K24" s="226">
        <f>((K21/K4)^(1/17)-1)*100</f>
        <v>2.7270427591106872</v>
      </c>
    </row>
    <row r="25" spans="1:11">
      <c r="A25" s="109" t="s">
        <v>660</v>
      </c>
      <c r="B25" s="226">
        <f>((B14/B4)^(1/10)-1)*100</f>
        <v>-2.1285624422373917</v>
      </c>
      <c r="C25" s="226">
        <f t="shared" ref="C25:J25" si="1">((C14/C4)^(1/10)-1)*100</f>
        <v>2.1179100918802485</v>
      </c>
      <c r="D25" s="226">
        <f t="shared" si="1"/>
        <v>-1.2626846821249704</v>
      </c>
      <c r="E25" s="226">
        <f t="shared" si="1"/>
        <v>2.4282531695868803</v>
      </c>
      <c r="F25" s="226">
        <f t="shared" si="1"/>
        <v>-1.1703567088330424</v>
      </c>
      <c r="G25" s="226">
        <f t="shared" si="1"/>
        <v>3.1992785303302407</v>
      </c>
      <c r="H25" s="226">
        <f t="shared" si="1"/>
        <v>-1.169642850544983</v>
      </c>
      <c r="I25" s="226">
        <f t="shared" si="1"/>
        <v>2.6222391618516028</v>
      </c>
      <c r="J25" s="226">
        <f t="shared" si="1"/>
        <v>-1.9069010348917503</v>
      </c>
      <c r="K25" s="226">
        <f>((K14/K4)^(1/10)-1)*100</f>
        <v>2.7277408904307743</v>
      </c>
    </row>
    <row r="26" spans="1:11">
      <c r="A26" s="109" t="s">
        <v>588</v>
      </c>
      <c r="B26" s="226">
        <f>((B21/B14)^(1/7)-1)*100</f>
        <v>-1.9360339079776967</v>
      </c>
      <c r="C26" s="226">
        <f t="shared" ref="C26:J26" si="2">((C21/C14)^(1/7)-1)*100</f>
        <v>1.0571786580938269</v>
      </c>
      <c r="D26" s="226">
        <f t="shared" si="2"/>
        <v>-1.792533238601024</v>
      </c>
      <c r="E26" s="226">
        <f t="shared" si="2"/>
        <v>2.3767200420969026</v>
      </c>
      <c r="F26" s="226">
        <f t="shared" si="2"/>
        <v>-0.24271749122480868</v>
      </c>
      <c r="G26" s="226">
        <f t="shared" si="2"/>
        <v>0.61407837070917015</v>
      </c>
      <c r="H26" s="226">
        <f t="shared" si="2"/>
        <v>-1.6010631223342564</v>
      </c>
      <c r="I26" s="226">
        <f t="shared" si="2"/>
        <v>2.6273163876503247</v>
      </c>
      <c r="J26" s="226">
        <f t="shared" si="2"/>
        <v>-3.3948990062559692</v>
      </c>
      <c r="K26" s="226">
        <f>((K21/K14)^(1/7)-1)*100</f>
        <v>2.7260454368835951</v>
      </c>
    </row>
    <row r="27" spans="1:11">
      <c r="A27" s="137"/>
      <c r="B27" s="137"/>
      <c r="C27" s="137"/>
      <c r="D27" s="137"/>
      <c r="E27" s="137"/>
      <c r="F27" s="137"/>
      <c r="G27" s="137"/>
      <c r="H27" s="137"/>
      <c r="I27" s="137"/>
      <c r="J27" s="137"/>
      <c r="K27" s="137"/>
    </row>
    <row r="28" spans="1:11">
      <c r="A28" s="137" t="s">
        <v>1605</v>
      </c>
      <c r="B28" s="137"/>
      <c r="C28" s="137"/>
      <c r="D28" s="137"/>
      <c r="E28" s="137"/>
      <c r="F28" s="137"/>
      <c r="G28" s="137"/>
      <c r="H28" s="137"/>
      <c r="I28" s="137"/>
      <c r="J28" s="137"/>
      <c r="K28" s="137"/>
    </row>
  </sheetData>
  <mergeCells count="7">
    <mergeCell ref="A28:K28"/>
    <mergeCell ref="D2:E2"/>
    <mergeCell ref="F2:G2"/>
    <mergeCell ref="H2:I2"/>
    <mergeCell ref="J2:K2"/>
    <mergeCell ref="A27:K27"/>
    <mergeCell ref="B2:C2"/>
  </mergeCells>
  <pageMargins left="0.7" right="0.7" top="0.75" bottom="0.75" header="0.3" footer="0.3"/>
  <pageSetup scale="94" orientation="landscape" horizontalDpi="0" verticalDpi="0" r:id="rId1"/>
  <ignoredErrors>
    <ignoredError sqref="G4:K21" formulaRange="1"/>
  </ignoredErrors>
</worksheet>
</file>

<file path=xl/worksheets/sheet92.xml><?xml version="1.0" encoding="utf-8"?>
<worksheet xmlns="http://schemas.openxmlformats.org/spreadsheetml/2006/main" xmlns:r="http://schemas.openxmlformats.org/officeDocument/2006/relationships">
  <sheetPr codeName="Sheet85"/>
  <dimension ref="A1:Q37"/>
  <sheetViews>
    <sheetView view="pageBreakPreview" zoomScaleNormal="85" zoomScaleSheetLayoutView="100"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0.85546875" style="64" customWidth="1"/>
    <col min="2" max="3" width="17.85546875" style="64" customWidth="1"/>
    <col min="4" max="4" width="12.28515625" style="64" customWidth="1"/>
    <col min="5" max="5" width="13.5703125" style="64" customWidth="1"/>
    <col min="6" max="6" width="15" style="64" customWidth="1"/>
    <col min="7" max="7" width="14.85546875" style="64" customWidth="1"/>
    <col min="8" max="8" width="14.28515625" style="64" customWidth="1"/>
    <col min="9" max="9" width="14.7109375" style="64" customWidth="1"/>
    <col min="10" max="10" width="13.85546875" style="64" customWidth="1"/>
    <col min="11" max="11" width="9.140625" style="64"/>
    <col min="12" max="16" width="31.42578125" style="64" hidden="1" customWidth="1" outlineLevel="1"/>
    <col min="17" max="17" width="9.140625" style="64" collapsed="1"/>
    <col min="18" max="16384" width="9.140625" style="64"/>
  </cols>
  <sheetData>
    <row r="1" spans="1:16">
      <c r="A1" s="108" t="s">
        <v>1988</v>
      </c>
      <c r="B1" s="108"/>
      <c r="C1" s="108"/>
      <c r="D1" s="108"/>
      <c r="E1" s="108"/>
      <c r="F1" s="108"/>
      <c r="G1" s="108"/>
      <c r="H1" s="108"/>
      <c r="I1" s="108"/>
      <c r="J1" s="108"/>
    </row>
    <row r="2" spans="1:16" ht="30" customHeight="1">
      <c r="B2" s="97" t="s">
        <v>617</v>
      </c>
      <c r="C2" s="97" t="s">
        <v>622</v>
      </c>
      <c r="D2" s="97"/>
      <c r="E2" s="97"/>
      <c r="F2" s="101" t="s">
        <v>621</v>
      </c>
      <c r="G2" s="223" t="s">
        <v>628</v>
      </c>
      <c r="H2" s="224"/>
      <c r="I2" s="224"/>
      <c r="J2" s="225"/>
    </row>
    <row r="3" spans="1:16" ht="90">
      <c r="B3" s="97"/>
      <c r="C3" s="73" t="s">
        <v>618</v>
      </c>
      <c r="D3" s="73" t="s">
        <v>619</v>
      </c>
      <c r="E3" s="73" t="s">
        <v>620</v>
      </c>
      <c r="F3" s="102"/>
      <c r="G3" s="73" t="s">
        <v>623</v>
      </c>
      <c r="H3" s="73" t="s">
        <v>625</v>
      </c>
      <c r="I3" s="73" t="s">
        <v>626</v>
      </c>
      <c r="J3" s="73" t="s">
        <v>627</v>
      </c>
      <c r="L3" s="117" t="s">
        <v>603</v>
      </c>
      <c r="M3" s="117" t="s">
        <v>604</v>
      </c>
      <c r="N3" s="117" t="s">
        <v>605</v>
      </c>
      <c r="O3" s="117" t="s">
        <v>606</v>
      </c>
      <c r="P3" s="117" t="s">
        <v>607</v>
      </c>
    </row>
    <row r="4" spans="1:16">
      <c r="B4" s="107" t="s">
        <v>630</v>
      </c>
      <c r="C4" s="107"/>
      <c r="D4" s="107"/>
      <c r="E4" s="107"/>
      <c r="F4" s="107"/>
      <c r="G4" s="107" t="s">
        <v>624</v>
      </c>
      <c r="H4" s="107"/>
      <c r="I4" s="107"/>
      <c r="J4" s="107"/>
    </row>
    <row r="5" spans="1:16" hidden="1" outlineLevel="1">
      <c r="B5" s="64" t="s">
        <v>608</v>
      </c>
      <c r="C5" s="64" t="s">
        <v>609</v>
      </c>
      <c r="D5" s="64" t="s">
        <v>610</v>
      </c>
      <c r="E5" s="64" t="s">
        <v>611</v>
      </c>
      <c r="F5" s="64" t="s">
        <v>612</v>
      </c>
      <c r="G5" s="64" t="s">
        <v>613</v>
      </c>
      <c r="H5" s="64" t="s">
        <v>614</v>
      </c>
      <c r="I5" s="64" t="s">
        <v>615</v>
      </c>
      <c r="J5" s="64" t="s">
        <v>616</v>
      </c>
      <c r="L5" s="64" t="s">
        <v>608</v>
      </c>
      <c r="M5" s="64" t="s">
        <v>609</v>
      </c>
      <c r="N5" s="64" t="s">
        <v>610</v>
      </c>
      <c r="O5" s="64" t="s">
        <v>611</v>
      </c>
      <c r="P5" s="64" t="s">
        <v>612</v>
      </c>
    </row>
    <row r="6" spans="1:16" collapsed="1">
      <c r="A6" s="66">
        <v>1994</v>
      </c>
      <c r="B6" s="56">
        <f>L6/1000000</f>
        <v>7567</v>
      </c>
      <c r="C6" s="56">
        <f>M6/1000000</f>
        <v>6938</v>
      </c>
      <c r="D6" s="56">
        <f>N6/1000000</f>
        <v>4006</v>
      </c>
      <c r="E6" s="56">
        <f>O6/1000000</f>
        <v>2932</v>
      </c>
      <c r="F6" s="56">
        <f>P6/1000000</f>
        <v>629</v>
      </c>
      <c r="G6" s="56">
        <v>78883</v>
      </c>
      <c r="H6" s="56">
        <v>46859</v>
      </c>
      <c r="I6" s="56">
        <v>22741</v>
      </c>
      <c r="J6" s="56">
        <v>9283</v>
      </c>
      <c r="L6" s="32">
        <v>7567000000</v>
      </c>
      <c r="M6" s="32">
        <v>6938000000</v>
      </c>
      <c r="N6" s="32">
        <v>4006000000</v>
      </c>
      <c r="O6" s="32">
        <v>2932000000</v>
      </c>
      <c r="P6" s="32">
        <v>629000000</v>
      </c>
    </row>
    <row r="7" spans="1:16">
      <c r="A7" s="66">
        <v>1995</v>
      </c>
      <c r="B7" s="56">
        <f t="shared" ref="B7:B17" si="0">L7/1000000</f>
        <v>7991</v>
      </c>
      <c r="C7" s="56">
        <f t="shared" ref="C7:C17" si="1">M7/1000000</f>
        <v>7286</v>
      </c>
      <c r="D7" s="56">
        <f t="shared" ref="D7:D17" si="2">N7/1000000</f>
        <v>4136</v>
      </c>
      <c r="E7" s="56">
        <f t="shared" ref="E7:E17" si="3">O7/1000000</f>
        <v>3150</v>
      </c>
      <c r="F7" s="56">
        <f t="shared" ref="F7:F17" si="4">P7/1000000</f>
        <v>705</v>
      </c>
      <c r="G7" s="56">
        <v>82012</v>
      </c>
      <c r="H7" s="56">
        <v>48975</v>
      </c>
      <c r="I7" s="56">
        <v>23282</v>
      </c>
      <c r="J7" s="56">
        <v>9755</v>
      </c>
      <c r="L7" s="32">
        <v>7991000000</v>
      </c>
      <c r="M7" s="32">
        <v>7286000000</v>
      </c>
      <c r="N7" s="32">
        <v>4136000000</v>
      </c>
      <c r="O7" s="32">
        <v>3150000000</v>
      </c>
      <c r="P7" s="32">
        <v>705000000</v>
      </c>
    </row>
    <row r="8" spans="1:16">
      <c r="A8" s="66">
        <v>1996</v>
      </c>
      <c r="B8" s="56">
        <f t="shared" si="0"/>
        <v>7997</v>
      </c>
      <c r="C8" s="56">
        <f t="shared" si="1"/>
        <v>7159</v>
      </c>
      <c r="D8" s="56">
        <f t="shared" si="2"/>
        <v>4026</v>
      </c>
      <c r="E8" s="56">
        <f t="shared" si="3"/>
        <v>3133</v>
      </c>
      <c r="F8" s="56">
        <f t="shared" si="4"/>
        <v>838</v>
      </c>
      <c r="G8" s="56">
        <v>79375</v>
      </c>
      <c r="H8" s="56">
        <v>48531</v>
      </c>
      <c r="I8" s="56">
        <v>21579</v>
      </c>
      <c r="J8" s="56">
        <v>9265</v>
      </c>
      <c r="L8" s="32">
        <v>7997000000</v>
      </c>
      <c r="M8" s="32">
        <v>7159000000</v>
      </c>
      <c r="N8" s="32">
        <v>4026000000</v>
      </c>
      <c r="O8" s="32">
        <v>3133000000</v>
      </c>
      <c r="P8" s="32">
        <v>838000000</v>
      </c>
    </row>
    <row r="9" spans="1:16">
      <c r="A9" s="66">
        <v>1997</v>
      </c>
      <c r="B9" s="56">
        <f t="shared" si="0"/>
        <v>8739</v>
      </c>
      <c r="C9" s="56">
        <f t="shared" si="1"/>
        <v>7874</v>
      </c>
      <c r="D9" s="56">
        <f t="shared" si="2"/>
        <v>4375</v>
      </c>
      <c r="E9" s="56">
        <f t="shared" si="3"/>
        <v>3499</v>
      </c>
      <c r="F9" s="56">
        <f t="shared" si="4"/>
        <v>865</v>
      </c>
      <c r="G9" s="56">
        <v>82643</v>
      </c>
      <c r="H9" s="56">
        <v>51962</v>
      </c>
      <c r="I9" s="56">
        <v>21565</v>
      </c>
      <c r="J9" s="56">
        <v>9116</v>
      </c>
      <c r="L9" s="32">
        <v>8739000000</v>
      </c>
      <c r="M9" s="32">
        <v>7874000000</v>
      </c>
      <c r="N9" s="32">
        <v>4375000000</v>
      </c>
      <c r="O9" s="32">
        <v>3499000000</v>
      </c>
      <c r="P9" s="32">
        <v>865000000</v>
      </c>
    </row>
    <row r="10" spans="1:16">
      <c r="A10" s="66">
        <v>1998</v>
      </c>
      <c r="B10" s="56">
        <f t="shared" si="0"/>
        <v>9682</v>
      </c>
      <c r="C10" s="56">
        <f t="shared" si="1"/>
        <v>8727</v>
      </c>
      <c r="D10" s="56">
        <f t="shared" si="2"/>
        <v>4700</v>
      </c>
      <c r="E10" s="56">
        <f t="shared" si="3"/>
        <v>4027</v>
      </c>
      <c r="F10" s="56">
        <f t="shared" si="4"/>
        <v>955</v>
      </c>
      <c r="G10" s="56">
        <v>85932</v>
      </c>
      <c r="H10" s="56">
        <v>54684</v>
      </c>
      <c r="I10" s="56">
        <v>22004</v>
      </c>
      <c r="J10" s="56">
        <v>9244</v>
      </c>
      <c r="L10" s="32">
        <v>9682000000</v>
      </c>
      <c r="M10" s="32">
        <v>8727000000</v>
      </c>
      <c r="N10" s="32">
        <v>4700000000</v>
      </c>
      <c r="O10" s="32">
        <v>4027000000</v>
      </c>
      <c r="P10" s="32">
        <v>955000000</v>
      </c>
    </row>
    <row r="11" spans="1:16">
      <c r="A11" s="66">
        <v>1999</v>
      </c>
      <c r="B11" s="56">
        <f t="shared" si="0"/>
        <v>10399</v>
      </c>
      <c r="C11" s="56">
        <f t="shared" si="1"/>
        <v>9360</v>
      </c>
      <c r="D11" s="56">
        <f t="shared" si="2"/>
        <v>5009</v>
      </c>
      <c r="E11" s="56">
        <f t="shared" si="3"/>
        <v>4352</v>
      </c>
      <c r="F11" s="56">
        <f t="shared" si="4"/>
        <v>1039</v>
      </c>
      <c r="G11" s="56">
        <v>91301</v>
      </c>
      <c r="H11" s="56">
        <v>57998</v>
      </c>
      <c r="I11" s="56">
        <v>22812</v>
      </c>
      <c r="J11" s="56">
        <v>10491</v>
      </c>
      <c r="L11" s="32">
        <v>10399000000</v>
      </c>
      <c r="M11" s="32">
        <v>9360000000</v>
      </c>
      <c r="N11" s="32">
        <v>5009000000</v>
      </c>
      <c r="O11" s="32">
        <v>4352000000</v>
      </c>
      <c r="P11" s="32">
        <v>1039000000</v>
      </c>
    </row>
    <row r="12" spans="1:16">
      <c r="A12" s="66">
        <v>2000</v>
      </c>
      <c r="B12" s="56">
        <f t="shared" si="0"/>
        <v>12395</v>
      </c>
      <c r="C12" s="56">
        <f t="shared" si="1"/>
        <v>11201</v>
      </c>
      <c r="D12" s="56">
        <f t="shared" si="2"/>
        <v>5840</v>
      </c>
      <c r="E12" s="56">
        <f t="shared" si="3"/>
        <v>5360</v>
      </c>
      <c r="F12" s="56">
        <f t="shared" si="4"/>
        <v>1194</v>
      </c>
      <c r="G12" s="56">
        <v>104707</v>
      </c>
      <c r="H12" s="56">
        <v>66866</v>
      </c>
      <c r="I12" s="56">
        <v>26738</v>
      </c>
      <c r="J12" s="56">
        <v>11103</v>
      </c>
      <c r="L12" s="32">
        <v>12395000000</v>
      </c>
      <c r="M12" s="32">
        <v>11201000000</v>
      </c>
      <c r="N12" s="32">
        <v>5840000000</v>
      </c>
      <c r="O12" s="32">
        <v>5360000000</v>
      </c>
      <c r="P12" s="32">
        <v>1194000000</v>
      </c>
    </row>
    <row r="13" spans="1:16">
      <c r="A13" s="66">
        <v>2001</v>
      </c>
      <c r="B13" s="56">
        <f t="shared" si="0"/>
        <v>14266</v>
      </c>
      <c r="C13" s="56">
        <f t="shared" si="1"/>
        <v>12767</v>
      </c>
      <c r="D13" s="56">
        <f t="shared" si="2"/>
        <v>6915</v>
      </c>
      <c r="E13" s="56">
        <f t="shared" si="3"/>
        <v>5853</v>
      </c>
      <c r="F13" s="56">
        <f t="shared" si="4"/>
        <v>1499</v>
      </c>
      <c r="G13" s="56">
        <v>115723</v>
      </c>
      <c r="H13" s="56">
        <v>73141</v>
      </c>
      <c r="I13" s="56">
        <v>29664</v>
      </c>
      <c r="J13" s="56">
        <v>12918</v>
      </c>
      <c r="L13" s="32">
        <v>14266000000</v>
      </c>
      <c r="M13" s="32">
        <v>12767000000</v>
      </c>
      <c r="N13" s="32">
        <v>6915000000</v>
      </c>
      <c r="O13" s="32">
        <v>5853000000</v>
      </c>
      <c r="P13" s="32">
        <v>1499000000</v>
      </c>
    </row>
    <row r="14" spans="1:16">
      <c r="A14" s="66">
        <v>2002</v>
      </c>
      <c r="B14" s="56">
        <f t="shared" si="0"/>
        <v>13545</v>
      </c>
      <c r="C14" s="56">
        <f t="shared" si="1"/>
        <v>12492</v>
      </c>
      <c r="D14" s="56">
        <f t="shared" si="2"/>
        <v>7177</v>
      </c>
      <c r="E14" s="56">
        <f t="shared" si="3"/>
        <v>5315</v>
      </c>
      <c r="F14" s="56">
        <f t="shared" si="4"/>
        <v>1052</v>
      </c>
      <c r="G14" s="56">
        <v>118461</v>
      </c>
      <c r="H14" s="56">
        <v>73291</v>
      </c>
      <c r="I14" s="56">
        <v>31586</v>
      </c>
      <c r="J14" s="56">
        <v>13584</v>
      </c>
      <c r="L14" s="32">
        <v>13545000000</v>
      </c>
      <c r="M14" s="32">
        <v>12492000000</v>
      </c>
      <c r="N14" s="32">
        <v>7177000000</v>
      </c>
      <c r="O14" s="32">
        <v>5315000000</v>
      </c>
      <c r="P14" s="32">
        <v>1052000000</v>
      </c>
    </row>
    <row r="15" spans="1:16">
      <c r="A15" s="66">
        <v>2003</v>
      </c>
      <c r="B15" s="56">
        <f t="shared" si="0"/>
        <v>14094</v>
      </c>
      <c r="C15" s="56">
        <f t="shared" si="1"/>
        <v>13110</v>
      </c>
      <c r="D15" s="56">
        <f t="shared" si="2"/>
        <v>7614</v>
      </c>
      <c r="E15" s="56">
        <f t="shared" si="3"/>
        <v>5495</v>
      </c>
      <c r="F15" s="56">
        <f t="shared" si="4"/>
        <v>985</v>
      </c>
      <c r="G15" s="56">
        <v>127230</v>
      </c>
      <c r="H15" s="56">
        <v>76597</v>
      </c>
      <c r="I15" s="56">
        <v>34596</v>
      </c>
      <c r="J15" s="56">
        <v>16037</v>
      </c>
      <c r="L15" s="32">
        <v>14094000000</v>
      </c>
      <c r="M15" s="32">
        <v>13110000000</v>
      </c>
      <c r="N15" s="32">
        <v>7614000000</v>
      </c>
      <c r="O15" s="32">
        <v>5495000000</v>
      </c>
      <c r="P15" s="32">
        <v>985000000</v>
      </c>
    </row>
    <row r="16" spans="1:16">
      <c r="A16" s="66">
        <v>2004</v>
      </c>
      <c r="B16" s="56">
        <f t="shared" si="0"/>
        <v>15144</v>
      </c>
      <c r="C16" s="56">
        <f t="shared" si="1"/>
        <v>14095</v>
      </c>
      <c r="D16" s="56">
        <f t="shared" si="2"/>
        <v>8035</v>
      </c>
      <c r="E16" s="56">
        <f t="shared" si="3"/>
        <v>6060</v>
      </c>
      <c r="F16" s="56">
        <f t="shared" si="4"/>
        <v>1049</v>
      </c>
      <c r="G16" s="56">
        <v>138213</v>
      </c>
      <c r="H16" s="56">
        <v>81349</v>
      </c>
      <c r="I16" s="56">
        <v>39872</v>
      </c>
      <c r="J16" s="56">
        <v>16992</v>
      </c>
      <c r="L16" s="32">
        <v>15144000000</v>
      </c>
      <c r="M16" s="32">
        <v>14095000000</v>
      </c>
      <c r="N16" s="32">
        <v>8035000000</v>
      </c>
      <c r="O16" s="32">
        <v>6060000000</v>
      </c>
      <c r="P16" s="32">
        <v>1049000000</v>
      </c>
    </row>
    <row r="17" spans="1:16">
      <c r="A17" s="66">
        <v>2005</v>
      </c>
      <c r="B17" s="56">
        <f t="shared" si="0"/>
        <v>15638</v>
      </c>
      <c r="C17" s="56">
        <f t="shared" si="1"/>
        <v>14572</v>
      </c>
      <c r="D17" s="56">
        <f t="shared" si="2"/>
        <v>8529</v>
      </c>
      <c r="E17" s="56">
        <f t="shared" si="3"/>
        <v>6043</v>
      </c>
      <c r="F17" s="56">
        <f t="shared" si="4"/>
        <v>1067</v>
      </c>
      <c r="G17" s="56">
        <v>142025</v>
      </c>
      <c r="H17" s="56">
        <v>84408</v>
      </c>
      <c r="I17" s="56">
        <v>40405</v>
      </c>
      <c r="J17" s="56">
        <v>17212</v>
      </c>
      <c r="L17" s="32">
        <v>15638000000</v>
      </c>
      <c r="M17" s="32">
        <v>14572000000</v>
      </c>
      <c r="N17" s="32">
        <v>8529000000</v>
      </c>
      <c r="O17" s="32">
        <v>6043000000</v>
      </c>
      <c r="P17" s="32">
        <v>1067000000</v>
      </c>
    </row>
    <row r="18" spans="1:16">
      <c r="A18" s="66">
        <v>2006</v>
      </c>
      <c r="B18" s="56">
        <f t="shared" ref="B18:B24" si="5">L18/1000000</f>
        <v>16474</v>
      </c>
      <c r="C18" s="56">
        <f t="shared" ref="C18:C24" si="6">M18/1000000</f>
        <v>15318</v>
      </c>
      <c r="D18" s="56">
        <f t="shared" ref="D18:D24" si="7">N18/1000000</f>
        <v>9877</v>
      </c>
      <c r="E18" s="56">
        <f t="shared" ref="E18:E24" si="8">O18/1000000</f>
        <v>5442</v>
      </c>
      <c r="F18" s="56">
        <f t="shared" ref="F18:F24" si="9">P18/1000000</f>
        <v>1155</v>
      </c>
      <c r="G18" s="58">
        <v>151726</v>
      </c>
      <c r="H18" s="58">
        <v>88226</v>
      </c>
      <c r="I18" s="58">
        <v>44510</v>
      </c>
      <c r="J18" s="58">
        <v>18990</v>
      </c>
      <c r="L18" s="32">
        <v>16474000000</v>
      </c>
      <c r="M18" s="32">
        <v>15318000000</v>
      </c>
      <c r="N18" s="32">
        <v>9877000000</v>
      </c>
      <c r="O18" s="32">
        <v>5442000000</v>
      </c>
      <c r="P18" s="32">
        <v>1155000000</v>
      </c>
    </row>
    <row r="19" spans="1:16">
      <c r="A19" s="66">
        <v>2007</v>
      </c>
      <c r="B19" s="56">
        <f t="shared" si="5"/>
        <v>16756</v>
      </c>
      <c r="C19" s="56">
        <f t="shared" si="6"/>
        <v>15651</v>
      </c>
      <c r="D19" s="56">
        <f t="shared" si="7"/>
        <v>9688</v>
      </c>
      <c r="E19" s="56">
        <f t="shared" si="8"/>
        <v>5963</v>
      </c>
      <c r="F19" s="56">
        <f t="shared" si="9"/>
        <v>1105</v>
      </c>
      <c r="G19" s="58">
        <v>167692</v>
      </c>
      <c r="H19" s="58">
        <v>94761</v>
      </c>
      <c r="I19" s="58">
        <v>52117</v>
      </c>
      <c r="J19" s="58">
        <v>20814</v>
      </c>
      <c r="L19" s="32">
        <v>16756000000</v>
      </c>
      <c r="M19" s="32">
        <v>15651000000</v>
      </c>
      <c r="N19" s="32">
        <v>9688000000</v>
      </c>
      <c r="O19" s="32">
        <v>5963000000</v>
      </c>
      <c r="P19" s="32">
        <v>1105000000</v>
      </c>
    </row>
    <row r="20" spans="1:16">
      <c r="A20" s="66">
        <v>2008</v>
      </c>
      <c r="B20" s="56">
        <f t="shared" si="5"/>
        <v>16644</v>
      </c>
      <c r="C20" s="56">
        <f t="shared" si="6"/>
        <v>15569</v>
      </c>
      <c r="D20" s="56">
        <f t="shared" si="7"/>
        <v>9546</v>
      </c>
      <c r="E20" s="56">
        <f t="shared" si="8"/>
        <v>6023</v>
      </c>
      <c r="F20" s="56">
        <f t="shared" si="9"/>
        <v>1075</v>
      </c>
      <c r="G20" s="58">
        <v>172744</v>
      </c>
      <c r="H20" s="58">
        <v>98387</v>
      </c>
      <c r="I20" s="58">
        <v>52075</v>
      </c>
      <c r="J20" s="58">
        <v>22282</v>
      </c>
      <c r="L20" s="32">
        <v>16644000000</v>
      </c>
      <c r="M20" s="32">
        <v>15569000000</v>
      </c>
      <c r="N20" s="32">
        <v>9546000000</v>
      </c>
      <c r="O20" s="32">
        <v>6023000000</v>
      </c>
      <c r="P20" s="32">
        <v>1075000000</v>
      </c>
    </row>
    <row r="21" spans="1:16">
      <c r="A21" s="66">
        <v>2009</v>
      </c>
      <c r="B21" s="56">
        <f t="shared" si="5"/>
        <v>15569</v>
      </c>
      <c r="C21" s="56">
        <f t="shared" si="6"/>
        <v>14679</v>
      </c>
      <c r="D21" s="56">
        <f t="shared" si="7"/>
        <v>9267</v>
      </c>
      <c r="E21" s="56">
        <f t="shared" si="8"/>
        <v>5413</v>
      </c>
      <c r="F21" s="56">
        <f t="shared" si="9"/>
        <v>890</v>
      </c>
      <c r="G21" s="58">
        <v>153739</v>
      </c>
      <c r="H21" s="58">
        <v>88845</v>
      </c>
      <c r="I21" s="58">
        <v>48727</v>
      </c>
      <c r="J21" s="58">
        <v>16167</v>
      </c>
      <c r="L21" s="32">
        <v>15569000000</v>
      </c>
      <c r="M21" s="32">
        <v>14679000000</v>
      </c>
      <c r="N21" s="32">
        <v>9267000000</v>
      </c>
      <c r="O21" s="32">
        <v>5413000000</v>
      </c>
      <c r="P21" s="32">
        <v>890000000</v>
      </c>
    </row>
    <row r="22" spans="1:16">
      <c r="A22" s="66">
        <v>2010</v>
      </c>
      <c r="B22" s="56">
        <f t="shared" si="5"/>
        <v>15116</v>
      </c>
      <c r="C22" s="56">
        <f t="shared" si="6"/>
        <v>14228</v>
      </c>
      <c r="D22" s="56">
        <f t="shared" si="7"/>
        <v>8825</v>
      </c>
      <c r="E22" s="56">
        <f t="shared" si="8"/>
        <v>5402</v>
      </c>
      <c r="F22" s="56">
        <f t="shared" si="9"/>
        <v>888</v>
      </c>
      <c r="G22" s="58">
        <v>136203</v>
      </c>
      <c r="H22" s="58">
        <v>89271</v>
      </c>
      <c r="I22" s="58">
        <v>36171</v>
      </c>
      <c r="J22" s="58">
        <v>10761</v>
      </c>
      <c r="L22" s="32">
        <v>15116000000</v>
      </c>
      <c r="M22" s="32">
        <v>14228000000</v>
      </c>
      <c r="N22" s="32">
        <v>8825000000</v>
      </c>
      <c r="O22" s="32">
        <v>5402000000</v>
      </c>
      <c r="P22" s="32">
        <v>888000000</v>
      </c>
    </row>
    <row r="23" spans="1:16">
      <c r="A23" s="66">
        <v>2011</v>
      </c>
      <c r="B23" s="56">
        <f t="shared" si="5"/>
        <v>15358</v>
      </c>
      <c r="C23" s="56">
        <f t="shared" si="6"/>
        <v>14551</v>
      </c>
      <c r="D23" s="56">
        <f t="shared" si="7"/>
        <v>9050</v>
      </c>
      <c r="E23" s="56">
        <f t="shared" si="8"/>
        <v>5501</v>
      </c>
      <c r="F23" s="56">
        <f t="shared" si="9"/>
        <v>807</v>
      </c>
      <c r="G23" s="58" t="s">
        <v>22</v>
      </c>
      <c r="H23" s="58" t="s">
        <v>22</v>
      </c>
      <c r="I23" s="58" t="s">
        <v>22</v>
      </c>
      <c r="J23" s="58" t="s">
        <v>22</v>
      </c>
      <c r="K23" s="58"/>
      <c r="L23" s="32">
        <v>15358000000</v>
      </c>
      <c r="M23" s="32">
        <v>14551000000</v>
      </c>
      <c r="N23" s="32">
        <v>9050000000</v>
      </c>
      <c r="O23" s="32">
        <v>5501000000</v>
      </c>
      <c r="P23" s="32">
        <v>807000000</v>
      </c>
    </row>
    <row r="24" spans="1:16">
      <c r="A24" s="66">
        <v>2012</v>
      </c>
      <c r="B24" s="56">
        <f t="shared" si="5"/>
        <v>15493</v>
      </c>
      <c r="C24" s="56">
        <f t="shared" si="6"/>
        <v>14653</v>
      </c>
      <c r="D24" s="56">
        <f t="shared" si="7"/>
        <v>9374</v>
      </c>
      <c r="E24" s="56">
        <f t="shared" si="8"/>
        <v>5280</v>
      </c>
      <c r="F24" s="56">
        <f t="shared" si="9"/>
        <v>839</v>
      </c>
      <c r="G24" s="57" t="s">
        <v>22</v>
      </c>
      <c r="H24" s="57" t="s">
        <v>22</v>
      </c>
      <c r="I24" s="57" t="s">
        <v>22</v>
      </c>
      <c r="J24" s="57" t="s">
        <v>22</v>
      </c>
      <c r="L24" s="64">
        <v>15493000000</v>
      </c>
      <c r="M24" s="64">
        <v>14653000000</v>
      </c>
      <c r="N24" s="64">
        <v>9374000000</v>
      </c>
      <c r="O24" s="64">
        <v>5280000000</v>
      </c>
      <c r="P24" s="64">
        <v>839000000</v>
      </c>
    </row>
    <row r="25" spans="1:16">
      <c r="A25" s="66"/>
    </row>
    <row r="26" spans="1:16">
      <c r="A26" s="66" t="s">
        <v>1039</v>
      </c>
    </row>
    <row r="27" spans="1:16">
      <c r="A27" s="64" t="s">
        <v>2133</v>
      </c>
      <c r="B27" s="58">
        <f>(B24-B6)/B6*100</f>
        <v>104.74428439275802</v>
      </c>
      <c r="C27" s="58">
        <f t="shared" ref="C27:F27" si="10">(C24-C6)/C6*100</f>
        <v>111.19919285096569</v>
      </c>
      <c r="D27" s="58">
        <f t="shared" si="10"/>
        <v>133.99900149775337</v>
      </c>
      <c r="E27" s="58">
        <f t="shared" si="10"/>
        <v>80.081855388813096</v>
      </c>
      <c r="F27" s="58">
        <f t="shared" si="10"/>
        <v>33.386327503974563</v>
      </c>
      <c r="G27" s="58" t="s">
        <v>22</v>
      </c>
      <c r="H27" s="58" t="s">
        <v>22</v>
      </c>
      <c r="I27" s="58" t="s">
        <v>22</v>
      </c>
      <c r="J27" s="58" t="s">
        <v>22</v>
      </c>
    </row>
    <row r="28" spans="1:16">
      <c r="A28" s="69" t="s">
        <v>1044</v>
      </c>
      <c r="B28" s="58">
        <f>(B12-B6)/B6*100</f>
        <v>63.803356680322452</v>
      </c>
      <c r="C28" s="58">
        <f t="shared" ref="C28:J28" si="11">(C12-C6)/C6*100</f>
        <v>61.444220236379365</v>
      </c>
      <c r="D28" s="58">
        <f t="shared" si="11"/>
        <v>45.781328007988023</v>
      </c>
      <c r="E28" s="58">
        <f t="shared" si="11"/>
        <v>82.810368349249657</v>
      </c>
      <c r="F28" s="58">
        <f t="shared" si="11"/>
        <v>89.82511923688395</v>
      </c>
      <c r="G28" s="58">
        <f t="shared" si="11"/>
        <v>32.73709164205215</v>
      </c>
      <c r="H28" s="58">
        <f t="shared" si="11"/>
        <v>42.69617362726477</v>
      </c>
      <c r="I28" s="58">
        <f t="shared" si="11"/>
        <v>17.576183984873136</v>
      </c>
      <c r="J28" s="58">
        <f t="shared" si="11"/>
        <v>19.605730905957124</v>
      </c>
    </row>
    <row r="29" spans="1:16">
      <c r="A29" s="69" t="s">
        <v>2028</v>
      </c>
      <c r="B29" s="58">
        <f>(B24-B12)/B12*100</f>
        <v>24.99394917305365</v>
      </c>
      <c r="C29" s="58">
        <f t="shared" ref="C29:F29" si="12">(C24-C12)/C12*100</f>
        <v>30.818676903847869</v>
      </c>
      <c r="D29" s="58">
        <f t="shared" si="12"/>
        <v>60.513698630136993</v>
      </c>
      <c r="E29" s="58">
        <f t="shared" si="12"/>
        <v>-1.4925373134328357</v>
      </c>
      <c r="F29" s="58">
        <f t="shared" si="12"/>
        <v>-29.731993299832492</v>
      </c>
      <c r="G29" s="58" t="s">
        <v>22</v>
      </c>
      <c r="H29" s="58" t="s">
        <v>22</v>
      </c>
      <c r="I29" s="58" t="s">
        <v>22</v>
      </c>
      <c r="J29" s="58" t="s">
        <v>22</v>
      </c>
    </row>
    <row r="30" spans="1:16">
      <c r="A30" s="68"/>
      <c r="B30" s="58"/>
      <c r="C30" s="58"/>
      <c r="D30" s="58"/>
      <c r="E30" s="58"/>
      <c r="F30" s="58"/>
      <c r="G30" s="58"/>
      <c r="H30" s="58"/>
      <c r="I30" s="58"/>
      <c r="J30" s="58"/>
    </row>
    <row r="31" spans="1:16">
      <c r="A31" s="204" t="s">
        <v>1045</v>
      </c>
      <c r="B31" s="58"/>
      <c r="C31" s="58"/>
      <c r="D31" s="58"/>
      <c r="E31" s="58"/>
      <c r="F31" s="58"/>
      <c r="G31" s="58"/>
      <c r="H31" s="58"/>
      <c r="I31" s="58"/>
      <c r="J31" s="58"/>
    </row>
    <row r="32" spans="1:16">
      <c r="A32" s="64" t="s">
        <v>2133</v>
      </c>
      <c r="B32" s="147">
        <f>((B24/B6)^(1/18)-1)*100</f>
        <v>4.061371077973952</v>
      </c>
      <c r="C32" s="147">
        <f t="shared" ref="C32:F32" si="13">((C24/C6)^(1/18)-1)*100</f>
        <v>4.2409734972459701</v>
      </c>
      <c r="D32" s="147">
        <f t="shared" si="13"/>
        <v>4.8363492892563809</v>
      </c>
      <c r="E32" s="147">
        <f t="shared" si="13"/>
        <v>3.3219931388365653</v>
      </c>
      <c r="F32" s="147">
        <f t="shared" si="13"/>
        <v>1.613317048194074</v>
      </c>
      <c r="G32" s="57" t="s">
        <v>22</v>
      </c>
      <c r="H32" s="57" t="s">
        <v>22</v>
      </c>
      <c r="I32" s="57" t="s">
        <v>22</v>
      </c>
      <c r="J32" s="57" t="s">
        <v>22</v>
      </c>
    </row>
    <row r="33" spans="1:10">
      <c r="A33" s="69" t="s">
        <v>1044</v>
      </c>
      <c r="B33" s="147">
        <f t="shared" ref="B33:J33" si="14">((B12/B6)^(1/6)-1)*100</f>
        <v>8.5726570342887101</v>
      </c>
      <c r="C33" s="147">
        <f t="shared" si="14"/>
        <v>8.3104641513095601</v>
      </c>
      <c r="D33" s="147">
        <f t="shared" si="14"/>
        <v>6.4838268003138966</v>
      </c>
      <c r="E33" s="147">
        <f t="shared" si="14"/>
        <v>10.577509426011279</v>
      </c>
      <c r="F33" s="147">
        <f t="shared" si="14"/>
        <v>11.273636217675943</v>
      </c>
      <c r="G33" s="147">
        <f t="shared" si="14"/>
        <v>4.8331694859320873</v>
      </c>
      <c r="H33" s="147">
        <f t="shared" si="14"/>
        <v>6.1048871888880196</v>
      </c>
      <c r="I33" s="147">
        <f t="shared" si="14"/>
        <v>2.7353473108483684</v>
      </c>
      <c r="J33" s="147">
        <f t="shared" si="14"/>
        <v>3.028805543060642</v>
      </c>
    </row>
    <row r="34" spans="1:10">
      <c r="A34" s="69" t="s">
        <v>2028</v>
      </c>
      <c r="B34" s="147">
        <f>((B24/B12)^(1/12)-1)*100</f>
        <v>1.876515543264512</v>
      </c>
      <c r="C34" s="147">
        <f t="shared" ref="C34:F34" si="15">((C24/C12)^(1/12)-1)*100</f>
        <v>2.2639301715631666</v>
      </c>
      <c r="D34" s="147">
        <f t="shared" si="15"/>
        <v>4.0221937562022969</v>
      </c>
      <c r="E34" s="147">
        <f t="shared" si="15"/>
        <v>-0.12523715743949504</v>
      </c>
      <c r="F34" s="147">
        <f t="shared" si="15"/>
        <v>-2.8976360652160693</v>
      </c>
      <c r="G34" s="57" t="s">
        <v>22</v>
      </c>
      <c r="H34" s="57" t="s">
        <v>22</v>
      </c>
      <c r="I34" s="57" t="s">
        <v>22</v>
      </c>
      <c r="J34" s="57" t="s">
        <v>22</v>
      </c>
    </row>
    <row r="36" spans="1:10">
      <c r="A36" s="64" t="s">
        <v>500</v>
      </c>
    </row>
    <row r="37" spans="1:10">
      <c r="A37" s="137" t="s">
        <v>629</v>
      </c>
      <c r="B37" s="137"/>
      <c r="C37" s="137"/>
      <c r="D37" s="137"/>
      <c r="E37" s="137"/>
      <c r="F37" s="137"/>
      <c r="G37" s="137"/>
      <c r="H37" s="137"/>
      <c r="I37" s="137"/>
      <c r="J37" s="137"/>
    </row>
  </sheetData>
  <mergeCells count="8">
    <mergeCell ref="A37:J37"/>
    <mergeCell ref="A1:J1"/>
    <mergeCell ref="B4:F4"/>
    <mergeCell ref="C2:E2"/>
    <mergeCell ref="G4:J4"/>
    <mergeCell ref="G2:J2"/>
    <mergeCell ref="B2:B3"/>
    <mergeCell ref="F2:F3"/>
  </mergeCells>
  <pageMargins left="0.7" right="0.7" top="0.75" bottom="0.75" header="0.3" footer="0.3"/>
  <pageSetup scale="83" orientation="landscape" horizontalDpi="0" verticalDpi="0" r:id="rId1"/>
</worksheet>
</file>

<file path=xl/worksheets/sheet93.xml><?xml version="1.0" encoding="utf-8"?>
<worksheet xmlns="http://schemas.openxmlformats.org/spreadsheetml/2006/main" xmlns:r="http://schemas.openxmlformats.org/officeDocument/2006/relationships">
  <sheetPr codeName="Sheet86"/>
  <dimension ref="A1:Q37"/>
  <sheetViews>
    <sheetView view="pageBreakPreview" zoomScaleNormal="85" zoomScaleSheetLayoutView="100"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0.85546875" style="64" customWidth="1"/>
    <col min="2" max="3" width="17.85546875" style="64" customWidth="1"/>
    <col min="4" max="4" width="12.28515625" style="64" customWidth="1"/>
    <col min="5" max="5" width="13.5703125" style="64" customWidth="1"/>
    <col min="6" max="6" width="15" style="64" customWidth="1"/>
    <col min="7" max="7" width="14.85546875" style="64" customWidth="1"/>
    <col min="8" max="8" width="14.28515625" style="64" customWidth="1"/>
    <col min="9" max="9" width="14.7109375" style="64" customWidth="1"/>
    <col min="10" max="10" width="13.85546875" style="64" customWidth="1"/>
    <col min="11" max="11" width="9.140625" style="64"/>
    <col min="12" max="16" width="31.42578125" style="64" hidden="1" customWidth="1" outlineLevel="1"/>
    <col min="17" max="17" width="9.140625" style="64" collapsed="1"/>
    <col min="18" max="16384" width="9.140625" style="64"/>
  </cols>
  <sheetData>
    <row r="1" spans="1:16">
      <c r="A1" s="108" t="s">
        <v>1989</v>
      </c>
      <c r="B1" s="108"/>
      <c r="C1" s="108"/>
      <c r="D1" s="108"/>
      <c r="E1" s="108"/>
      <c r="F1" s="108"/>
      <c r="G1" s="108"/>
      <c r="H1" s="108"/>
      <c r="I1" s="108"/>
      <c r="J1" s="108"/>
    </row>
    <row r="2" spans="1:16" ht="30" customHeight="1">
      <c r="B2" s="97" t="s">
        <v>617</v>
      </c>
      <c r="C2" s="97" t="s">
        <v>622</v>
      </c>
      <c r="D2" s="97"/>
      <c r="E2" s="97"/>
      <c r="F2" s="101" t="s">
        <v>621</v>
      </c>
      <c r="G2" s="223" t="s">
        <v>628</v>
      </c>
      <c r="H2" s="224"/>
      <c r="I2" s="224"/>
      <c r="J2" s="225"/>
    </row>
    <row r="3" spans="1:16" ht="90">
      <c r="B3" s="97"/>
      <c r="C3" s="73" t="s">
        <v>618</v>
      </c>
      <c r="D3" s="73" t="s">
        <v>619</v>
      </c>
      <c r="E3" s="73" t="s">
        <v>620</v>
      </c>
      <c r="F3" s="102"/>
      <c r="G3" s="73" t="s">
        <v>623</v>
      </c>
      <c r="H3" s="73" t="s">
        <v>625</v>
      </c>
      <c r="I3" s="73" t="s">
        <v>626</v>
      </c>
      <c r="J3" s="73" t="s">
        <v>627</v>
      </c>
      <c r="L3" s="117" t="s">
        <v>603</v>
      </c>
      <c r="M3" s="117" t="s">
        <v>604</v>
      </c>
      <c r="N3" s="117" t="s">
        <v>605</v>
      </c>
      <c r="O3" s="117" t="s">
        <v>606</v>
      </c>
      <c r="P3" s="117" t="s">
        <v>607</v>
      </c>
    </row>
    <row r="4" spans="1:16">
      <c r="B4" s="107" t="s">
        <v>630</v>
      </c>
      <c r="C4" s="107"/>
      <c r="D4" s="107"/>
      <c r="E4" s="107"/>
      <c r="F4" s="107"/>
      <c r="G4" s="107" t="s">
        <v>624</v>
      </c>
      <c r="H4" s="107"/>
      <c r="I4" s="107"/>
      <c r="J4" s="107"/>
    </row>
    <row r="5" spans="1:16" hidden="1" outlineLevel="1">
      <c r="L5" s="64" t="s">
        <v>1629</v>
      </c>
      <c r="M5" s="64" t="s">
        <v>1630</v>
      </c>
      <c r="N5" s="64" t="s">
        <v>1631</v>
      </c>
      <c r="O5" s="64" t="s">
        <v>1632</v>
      </c>
      <c r="P5" s="64" t="s">
        <v>1633</v>
      </c>
    </row>
    <row r="6" spans="1:16" collapsed="1">
      <c r="A6" s="66">
        <v>1994</v>
      </c>
      <c r="B6" s="56">
        <f>L6/1000000</f>
        <v>4529</v>
      </c>
      <c r="C6" s="56">
        <f t="shared" ref="C6:F19" si="0">M6/1000000</f>
        <v>4240</v>
      </c>
      <c r="D6" s="56">
        <f t="shared" si="0"/>
        <v>2373</v>
      </c>
      <c r="E6" s="56">
        <f t="shared" si="0"/>
        <v>1868</v>
      </c>
      <c r="F6" s="56">
        <f t="shared" si="0"/>
        <v>289</v>
      </c>
      <c r="G6" s="56">
        <v>43057</v>
      </c>
      <c r="H6" s="56">
        <v>25906</v>
      </c>
      <c r="I6" s="56">
        <v>11590</v>
      </c>
      <c r="J6" s="56">
        <v>5561</v>
      </c>
      <c r="L6" s="32">
        <v>4529000000</v>
      </c>
      <c r="M6" s="32">
        <v>4240000000</v>
      </c>
      <c r="N6" s="32">
        <v>2373000000</v>
      </c>
      <c r="O6" s="32">
        <v>1868000000</v>
      </c>
      <c r="P6" s="32">
        <v>289000000</v>
      </c>
    </row>
    <row r="7" spans="1:16">
      <c r="A7" s="66">
        <v>1995</v>
      </c>
      <c r="B7" s="56">
        <f t="shared" ref="B7:B19" si="1">L7/1000000</f>
        <v>4977</v>
      </c>
      <c r="C7" s="56">
        <f t="shared" si="0"/>
        <v>4592</v>
      </c>
      <c r="D7" s="56">
        <f t="shared" si="0"/>
        <v>2512</v>
      </c>
      <c r="E7" s="56">
        <f t="shared" si="0"/>
        <v>2081</v>
      </c>
      <c r="F7" s="56">
        <f t="shared" si="0"/>
        <v>385</v>
      </c>
      <c r="G7" s="56">
        <v>45205</v>
      </c>
      <c r="H7" s="56">
        <v>27425</v>
      </c>
      <c r="I7" s="56">
        <v>11905</v>
      </c>
      <c r="J7" s="56">
        <v>5875</v>
      </c>
      <c r="L7" s="32">
        <v>4977000000</v>
      </c>
      <c r="M7" s="32">
        <v>4592000000</v>
      </c>
      <c r="N7" s="32">
        <v>2512000000</v>
      </c>
      <c r="O7" s="32">
        <v>2081000000</v>
      </c>
      <c r="P7" s="32">
        <v>385000000</v>
      </c>
    </row>
    <row r="8" spans="1:16">
      <c r="A8" s="66">
        <v>1996</v>
      </c>
      <c r="B8" s="56">
        <f t="shared" si="1"/>
        <v>5118</v>
      </c>
      <c r="C8" s="56">
        <f t="shared" si="0"/>
        <v>4681</v>
      </c>
      <c r="D8" s="56">
        <f t="shared" si="0"/>
        <v>2534</v>
      </c>
      <c r="E8" s="56">
        <f t="shared" si="0"/>
        <v>2147</v>
      </c>
      <c r="F8" s="56">
        <f t="shared" si="0"/>
        <v>437</v>
      </c>
      <c r="G8" s="56">
        <v>46032</v>
      </c>
      <c r="H8" s="56">
        <v>28459</v>
      </c>
      <c r="I8" s="56">
        <v>11675</v>
      </c>
      <c r="J8" s="56">
        <v>5898</v>
      </c>
      <c r="L8" s="32">
        <v>5118000000</v>
      </c>
      <c r="M8" s="32">
        <v>4681000000</v>
      </c>
      <c r="N8" s="32">
        <v>2534000000</v>
      </c>
      <c r="O8" s="32">
        <v>2147000000</v>
      </c>
      <c r="P8" s="32">
        <v>437000000</v>
      </c>
    </row>
    <row r="9" spans="1:16">
      <c r="A9" s="66">
        <v>1997</v>
      </c>
      <c r="B9" s="56">
        <f t="shared" si="1"/>
        <v>5766</v>
      </c>
      <c r="C9" s="56">
        <f t="shared" si="0"/>
        <v>5342</v>
      </c>
      <c r="D9" s="56">
        <f t="shared" si="0"/>
        <v>2837</v>
      </c>
      <c r="E9" s="56">
        <f t="shared" si="0"/>
        <v>2506</v>
      </c>
      <c r="F9" s="56">
        <f t="shared" si="0"/>
        <v>423</v>
      </c>
      <c r="G9" s="56">
        <v>49331</v>
      </c>
      <c r="H9" s="56">
        <v>31504</v>
      </c>
      <c r="I9" s="56">
        <v>11871</v>
      </c>
      <c r="J9" s="56">
        <v>5956</v>
      </c>
      <c r="L9" s="32">
        <v>5766000000</v>
      </c>
      <c r="M9" s="32">
        <v>5342000000</v>
      </c>
      <c r="N9" s="32">
        <v>2837000000</v>
      </c>
      <c r="O9" s="32">
        <v>2506000000</v>
      </c>
      <c r="P9" s="32">
        <v>423000000</v>
      </c>
    </row>
    <row r="10" spans="1:16">
      <c r="A10" s="66">
        <v>1998</v>
      </c>
      <c r="B10" s="56">
        <f t="shared" si="1"/>
        <v>6483</v>
      </c>
      <c r="C10" s="56">
        <f t="shared" si="0"/>
        <v>5977</v>
      </c>
      <c r="D10" s="56">
        <f t="shared" si="0"/>
        <v>3060</v>
      </c>
      <c r="E10" s="56">
        <f t="shared" si="0"/>
        <v>2917</v>
      </c>
      <c r="F10" s="56">
        <f t="shared" si="0"/>
        <v>506</v>
      </c>
      <c r="G10" s="56">
        <v>51166</v>
      </c>
      <c r="H10" s="56">
        <v>32810</v>
      </c>
      <c r="I10" s="56">
        <v>12536</v>
      </c>
      <c r="J10" s="56">
        <v>5820</v>
      </c>
      <c r="L10" s="32">
        <v>6483000000</v>
      </c>
      <c r="M10" s="32">
        <v>5977000000</v>
      </c>
      <c r="N10" s="32">
        <v>3060000000</v>
      </c>
      <c r="O10" s="32">
        <v>2917000000</v>
      </c>
      <c r="P10" s="32">
        <v>506000000</v>
      </c>
    </row>
    <row r="11" spans="1:16">
      <c r="A11" s="66">
        <v>1999</v>
      </c>
      <c r="B11" s="56">
        <f t="shared" si="1"/>
        <v>7044</v>
      </c>
      <c r="C11" s="56">
        <f t="shared" si="0"/>
        <v>6368</v>
      </c>
      <c r="D11" s="56">
        <f t="shared" si="0"/>
        <v>3198</v>
      </c>
      <c r="E11" s="56">
        <f t="shared" si="0"/>
        <v>3170</v>
      </c>
      <c r="F11" s="56">
        <f t="shared" si="0"/>
        <v>676</v>
      </c>
      <c r="G11" s="56">
        <v>53795</v>
      </c>
      <c r="H11" s="56">
        <v>34240</v>
      </c>
      <c r="I11" s="56">
        <v>12747</v>
      </c>
      <c r="J11" s="56">
        <v>6808</v>
      </c>
      <c r="L11" s="32">
        <v>7044000000</v>
      </c>
      <c r="M11" s="32">
        <v>6368000000</v>
      </c>
      <c r="N11" s="32">
        <v>3198000000</v>
      </c>
      <c r="O11" s="32">
        <v>3170000000</v>
      </c>
      <c r="P11" s="32">
        <v>676000000</v>
      </c>
    </row>
    <row r="12" spans="1:16">
      <c r="A12" s="66">
        <v>2000</v>
      </c>
      <c r="B12" s="56">
        <f t="shared" si="1"/>
        <v>8474</v>
      </c>
      <c r="C12" s="56">
        <f t="shared" si="0"/>
        <v>7682</v>
      </c>
      <c r="D12" s="56">
        <f t="shared" si="0"/>
        <v>3752</v>
      </c>
      <c r="E12" s="56">
        <f t="shared" si="0"/>
        <v>3929</v>
      </c>
      <c r="F12" s="56">
        <f t="shared" si="0"/>
        <v>792</v>
      </c>
      <c r="G12" s="56">
        <v>61160</v>
      </c>
      <c r="H12" s="56">
        <v>39201</v>
      </c>
      <c r="I12" s="56">
        <v>14718</v>
      </c>
      <c r="J12" s="56">
        <v>7241</v>
      </c>
      <c r="L12" s="32">
        <v>8474000000</v>
      </c>
      <c r="M12" s="32">
        <v>7682000000</v>
      </c>
      <c r="N12" s="32">
        <v>3752000000</v>
      </c>
      <c r="O12" s="32">
        <v>3929000000</v>
      </c>
      <c r="P12" s="32">
        <v>792000000</v>
      </c>
    </row>
    <row r="13" spans="1:16">
      <c r="A13" s="66">
        <v>2001</v>
      </c>
      <c r="B13" s="56">
        <f t="shared" si="1"/>
        <v>9194</v>
      </c>
      <c r="C13" s="56">
        <f t="shared" si="0"/>
        <v>8379</v>
      </c>
      <c r="D13" s="56">
        <f t="shared" si="0"/>
        <v>4152</v>
      </c>
      <c r="E13" s="56">
        <f t="shared" si="0"/>
        <v>4227</v>
      </c>
      <c r="F13" s="56">
        <f t="shared" si="0"/>
        <v>815</v>
      </c>
      <c r="G13" s="56">
        <v>61696</v>
      </c>
      <c r="H13" s="56">
        <v>38657</v>
      </c>
      <c r="I13" s="56">
        <v>14898</v>
      </c>
      <c r="J13" s="56">
        <v>8141</v>
      </c>
      <c r="L13" s="32">
        <v>9194000000</v>
      </c>
      <c r="M13" s="32">
        <v>8379000000</v>
      </c>
      <c r="N13" s="32">
        <v>4152000000</v>
      </c>
      <c r="O13" s="32">
        <v>4227000000</v>
      </c>
      <c r="P13" s="32">
        <v>815000000</v>
      </c>
    </row>
    <row r="14" spans="1:16">
      <c r="A14" s="66">
        <v>2002</v>
      </c>
      <c r="B14" s="56">
        <f t="shared" si="1"/>
        <v>8198</v>
      </c>
      <c r="C14" s="56">
        <f t="shared" si="0"/>
        <v>7640</v>
      </c>
      <c r="D14" s="56">
        <f t="shared" si="0"/>
        <v>4088</v>
      </c>
      <c r="E14" s="56">
        <f t="shared" si="0"/>
        <v>3552</v>
      </c>
      <c r="F14" s="56">
        <f t="shared" si="0"/>
        <v>557</v>
      </c>
      <c r="G14" s="56">
        <v>60857</v>
      </c>
      <c r="H14" s="56">
        <v>37242</v>
      </c>
      <c r="I14" s="56">
        <v>15648</v>
      </c>
      <c r="J14" s="56">
        <v>7967</v>
      </c>
      <c r="L14" s="32">
        <v>8198000000</v>
      </c>
      <c r="M14" s="32">
        <v>7640000000</v>
      </c>
      <c r="N14" s="32">
        <v>4088000000</v>
      </c>
      <c r="O14" s="32">
        <v>3552000000</v>
      </c>
      <c r="P14" s="32">
        <v>557000000</v>
      </c>
    </row>
    <row r="15" spans="1:16">
      <c r="A15" s="66">
        <v>2003</v>
      </c>
      <c r="B15" s="56">
        <f t="shared" si="1"/>
        <v>8172</v>
      </c>
      <c r="C15" s="56">
        <f t="shared" si="0"/>
        <v>7741</v>
      </c>
      <c r="D15" s="56">
        <f t="shared" si="0"/>
        <v>4139</v>
      </c>
      <c r="E15" s="56">
        <f t="shared" si="0"/>
        <v>3602</v>
      </c>
      <c r="F15" s="56">
        <f t="shared" si="0"/>
        <v>432</v>
      </c>
      <c r="G15" s="56">
        <v>64108</v>
      </c>
      <c r="H15" s="56">
        <v>37354</v>
      </c>
      <c r="I15" s="56">
        <v>17817</v>
      </c>
      <c r="J15" s="56">
        <v>8937</v>
      </c>
      <c r="L15" s="32">
        <v>8172000000</v>
      </c>
      <c r="M15" s="32">
        <v>7741000000</v>
      </c>
      <c r="N15" s="32">
        <v>4139000000</v>
      </c>
      <c r="O15" s="32">
        <v>3602000000</v>
      </c>
      <c r="P15" s="32">
        <v>432000000</v>
      </c>
    </row>
    <row r="16" spans="1:16">
      <c r="A16" s="66">
        <v>2004</v>
      </c>
      <c r="B16" s="56">
        <f t="shared" si="1"/>
        <v>8281</v>
      </c>
      <c r="C16" s="56">
        <f t="shared" si="0"/>
        <v>7877</v>
      </c>
      <c r="D16" s="56">
        <f t="shared" si="0"/>
        <v>4311</v>
      </c>
      <c r="E16" s="56">
        <f t="shared" si="0"/>
        <v>3566</v>
      </c>
      <c r="F16" s="56">
        <f t="shared" si="0"/>
        <v>404</v>
      </c>
      <c r="G16" s="56">
        <v>69359</v>
      </c>
      <c r="H16" s="56">
        <v>38902</v>
      </c>
      <c r="I16" s="56">
        <v>20552</v>
      </c>
      <c r="J16" s="56">
        <v>9905</v>
      </c>
      <c r="L16" s="32">
        <v>8281000000</v>
      </c>
      <c r="M16" s="32">
        <v>7877000000</v>
      </c>
      <c r="N16" s="32">
        <v>4311000000</v>
      </c>
      <c r="O16" s="32">
        <v>3566000000</v>
      </c>
      <c r="P16" s="32">
        <v>404000000</v>
      </c>
    </row>
    <row r="17" spans="1:16">
      <c r="A17" s="66">
        <v>2005</v>
      </c>
      <c r="B17" s="56">
        <f t="shared" si="1"/>
        <v>8367</v>
      </c>
      <c r="C17" s="56">
        <f t="shared" si="0"/>
        <v>7898</v>
      </c>
      <c r="D17" s="56">
        <f t="shared" si="0"/>
        <v>4497</v>
      </c>
      <c r="E17" s="56">
        <f t="shared" si="0"/>
        <v>3401</v>
      </c>
      <c r="F17" s="56">
        <f t="shared" si="0"/>
        <v>469</v>
      </c>
      <c r="G17" s="56">
        <v>70448</v>
      </c>
      <c r="H17" s="56">
        <v>40310</v>
      </c>
      <c r="I17" s="56">
        <v>20493</v>
      </c>
      <c r="J17" s="56">
        <v>9645</v>
      </c>
      <c r="L17" s="32">
        <v>8367000000</v>
      </c>
      <c r="M17" s="32">
        <v>7898000000</v>
      </c>
      <c r="N17" s="32">
        <v>4497000000</v>
      </c>
      <c r="O17" s="32">
        <v>3401000000</v>
      </c>
      <c r="P17" s="32">
        <v>469000000</v>
      </c>
    </row>
    <row r="18" spans="1:16">
      <c r="A18" s="66">
        <v>2006</v>
      </c>
      <c r="B18" s="56">
        <f t="shared" si="1"/>
        <v>8850</v>
      </c>
      <c r="C18" s="56">
        <f t="shared" si="0"/>
        <v>8396</v>
      </c>
      <c r="D18" s="56">
        <f t="shared" si="0"/>
        <v>4978</v>
      </c>
      <c r="E18" s="56">
        <f t="shared" si="0"/>
        <v>3418</v>
      </c>
      <c r="F18" s="56">
        <f t="shared" si="0"/>
        <v>454</v>
      </c>
      <c r="G18" s="58">
        <v>76617</v>
      </c>
      <c r="H18" s="58">
        <v>42564</v>
      </c>
      <c r="I18" s="58">
        <v>23277</v>
      </c>
      <c r="J18" s="58">
        <v>10776</v>
      </c>
      <c r="L18" s="32">
        <v>8850000000</v>
      </c>
      <c r="M18" s="32">
        <v>8396000000</v>
      </c>
      <c r="N18" s="32">
        <v>4978000000</v>
      </c>
      <c r="O18" s="32">
        <v>3418000000</v>
      </c>
      <c r="P18" s="32">
        <v>454000000</v>
      </c>
    </row>
    <row r="19" spans="1:16">
      <c r="A19" s="66">
        <v>2007</v>
      </c>
      <c r="B19" s="56">
        <f t="shared" si="1"/>
        <v>8427</v>
      </c>
      <c r="C19" s="56">
        <f t="shared" si="0"/>
        <v>8022</v>
      </c>
      <c r="D19" s="56">
        <f t="shared" si="0"/>
        <v>4703</v>
      </c>
      <c r="E19" s="56">
        <f t="shared" si="0"/>
        <v>3319</v>
      </c>
      <c r="F19" s="56">
        <f t="shared" si="0"/>
        <v>405</v>
      </c>
      <c r="G19" s="58">
        <v>79259</v>
      </c>
      <c r="H19" s="58">
        <v>42830</v>
      </c>
      <c r="I19" s="58">
        <v>25226</v>
      </c>
      <c r="J19" s="58">
        <v>11203</v>
      </c>
      <c r="L19" s="32">
        <v>8427000000</v>
      </c>
      <c r="M19" s="32">
        <v>8022000000</v>
      </c>
      <c r="N19" s="32">
        <v>4703000000</v>
      </c>
      <c r="O19" s="32">
        <v>3319000000</v>
      </c>
      <c r="P19" s="32">
        <v>405000000</v>
      </c>
    </row>
    <row r="20" spans="1:16">
      <c r="A20" s="66">
        <v>2008</v>
      </c>
      <c r="B20" s="56">
        <f t="shared" ref="B20:B24" si="2">L20/1000000</f>
        <v>7724</v>
      </c>
      <c r="C20" s="56">
        <f t="shared" ref="C20:C24" si="3">M20/1000000</f>
        <v>7279</v>
      </c>
      <c r="D20" s="56">
        <f t="shared" ref="D20:D24" si="4">N20/1000000</f>
        <v>4419</v>
      </c>
      <c r="E20" s="56">
        <f t="shared" ref="E20:E24" si="5">O20/1000000</f>
        <v>2861</v>
      </c>
      <c r="F20" s="56">
        <f t="shared" ref="F20:F24" si="6">P20/1000000</f>
        <v>445</v>
      </c>
      <c r="G20" s="58">
        <v>80444</v>
      </c>
      <c r="H20" s="58">
        <v>43495</v>
      </c>
      <c r="I20" s="58">
        <v>25285</v>
      </c>
      <c r="J20" s="58">
        <v>11664</v>
      </c>
      <c r="L20" s="32">
        <v>7724000000</v>
      </c>
      <c r="M20" s="32">
        <v>7279000000</v>
      </c>
      <c r="N20" s="32">
        <v>4419000000</v>
      </c>
      <c r="O20" s="32">
        <v>2861000000</v>
      </c>
      <c r="P20" s="32">
        <v>445000000</v>
      </c>
    </row>
    <row r="21" spans="1:16">
      <c r="A21" s="66">
        <v>2009</v>
      </c>
      <c r="B21" s="56">
        <f t="shared" si="2"/>
        <v>7562</v>
      </c>
      <c r="C21" s="56">
        <f t="shared" si="3"/>
        <v>7173</v>
      </c>
      <c r="D21" s="56">
        <f t="shared" si="4"/>
        <v>4234</v>
      </c>
      <c r="E21" s="56">
        <f t="shared" si="5"/>
        <v>2940</v>
      </c>
      <c r="F21" s="56">
        <f t="shared" si="6"/>
        <v>389</v>
      </c>
      <c r="G21" s="58">
        <v>68444</v>
      </c>
      <c r="H21" s="58">
        <v>38910</v>
      </c>
      <c r="I21" s="58">
        <v>20048</v>
      </c>
      <c r="J21" s="58">
        <v>9486</v>
      </c>
      <c r="L21" s="32">
        <v>7562000000</v>
      </c>
      <c r="M21" s="32">
        <v>7173000000</v>
      </c>
      <c r="N21" s="32">
        <v>4234000000</v>
      </c>
      <c r="O21" s="32">
        <v>2940000000</v>
      </c>
      <c r="P21" s="32">
        <v>389000000</v>
      </c>
    </row>
    <row r="22" spans="1:16">
      <c r="A22" s="66">
        <v>2010</v>
      </c>
      <c r="B22" s="56">
        <f t="shared" si="2"/>
        <v>7084</v>
      </c>
      <c r="C22" s="56">
        <f t="shared" si="3"/>
        <v>6642</v>
      </c>
      <c r="D22" s="56">
        <f t="shared" si="4"/>
        <v>3833</v>
      </c>
      <c r="E22" s="56">
        <f t="shared" si="5"/>
        <v>2809</v>
      </c>
      <c r="F22" s="56">
        <f t="shared" si="6"/>
        <v>442</v>
      </c>
      <c r="G22" s="58">
        <v>60791</v>
      </c>
      <c r="H22" s="58">
        <v>38082</v>
      </c>
      <c r="I22" s="58">
        <v>16554</v>
      </c>
      <c r="J22" s="58">
        <v>6154</v>
      </c>
      <c r="L22" s="32">
        <v>7084000000</v>
      </c>
      <c r="M22" s="32">
        <v>6642000000</v>
      </c>
      <c r="N22" s="32">
        <v>3833000000</v>
      </c>
      <c r="O22" s="32">
        <v>2809000000</v>
      </c>
      <c r="P22" s="32">
        <v>442000000</v>
      </c>
    </row>
    <row r="23" spans="1:16">
      <c r="A23" s="66">
        <v>2011</v>
      </c>
      <c r="B23" s="56">
        <f t="shared" si="2"/>
        <v>7337</v>
      </c>
      <c r="C23" s="56">
        <f t="shared" si="3"/>
        <v>6945</v>
      </c>
      <c r="D23" s="56">
        <f t="shared" si="4"/>
        <v>4013</v>
      </c>
      <c r="E23" s="56">
        <f t="shared" si="5"/>
        <v>2932</v>
      </c>
      <c r="F23" s="56">
        <f t="shared" si="6"/>
        <v>392</v>
      </c>
      <c r="G23" s="58" t="s">
        <v>22</v>
      </c>
      <c r="H23" s="58" t="s">
        <v>22</v>
      </c>
      <c r="I23" s="58" t="s">
        <v>22</v>
      </c>
      <c r="J23" s="58" t="s">
        <v>22</v>
      </c>
      <c r="L23" s="32">
        <v>7337000000</v>
      </c>
      <c r="M23" s="32">
        <v>6945000000</v>
      </c>
      <c r="N23" s="32">
        <v>4013000000</v>
      </c>
      <c r="O23" s="32">
        <v>2932000000</v>
      </c>
      <c r="P23" s="32">
        <v>392000000</v>
      </c>
    </row>
    <row r="24" spans="1:16">
      <c r="A24" s="66">
        <v>2012</v>
      </c>
      <c r="B24" s="56">
        <f t="shared" si="2"/>
        <v>7565</v>
      </c>
      <c r="C24" s="56">
        <f t="shared" si="3"/>
        <v>7196</v>
      </c>
      <c r="D24" s="56">
        <f t="shared" si="4"/>
        <v>4283</v>
      </c>
      <c r="E24" s="56">
        <f t="shared" si="5"/>
        <v>2914</v>
      </c>
      <c r="F24" s="56">
        <f t="shared" si="6"/>
        <v>369</v>
      </c>
      <c r="G24" s="58" t="s">
        <v>22</v>
      </c>
      <c r="H24" s="58" t="s">
        <v>22</v>
      </c>
      <c r="I24" s="58" t="s">
        <v>22</v>
      </c>
      <c r="J24" s="58" t="s">
        <v>22</v>
      </c>
      <c r="L24" s="64">
        <v>7565000000</v>
      </c>
      <c r="M24" s="64">
        <v>7196000000</v>
      </c>
      <c r="N24" s="64">
        <v>4283000000</v>
      </c>
      <c r="O24" s="64">
        <v>2914000000</v>
      </c>
      <c r="P24" s="64">
        <v>369000000</v>
      </c>
    </row>
    <row r="25" spans="1:16">
      <c r="A25" s="66"/>
    </row>
    <row r="26" spans="1:16">
      <c r="A26" s="66" t="s">
        <v>1039</v>
      </c>
    </row>
    <row r="27" spans="1:16">
      <c r="A27" s="64" t="s">
        <v>2133</v>
      </c>
      <c r="B27" s="58">
        <f>(B24-B6)/B6*100</f>
        <v>67.034665489070434</v>
      </c>
      <c r="C27" s="58">
        <f t="shared" ref="C27:F27" si="7">(C24-C6)/C6*100</f>
        <v>69.716981132075475</v>
      </c>
      <c r="D27" s="58">
        <f t="shared" si="7"/>
        <v>80.48883270122208</v>
      </c>
      <c r="E27" s="58">
        <f t="shared" si="7"/>
        <v>55.99571734475375</v>
      </c>
      <c r="F27" s="58">
        <f t="shared" si="7"/>
        <v>27.681660899653981</v>
      </c>
      <c r="G27" s="58" t="s">
        <v>22</v>
      </c>
      <c r="H27" s="58" t="s">
        <v>22</v>
      </c>
      <c r="I27" s="58" t="s">
        <v>22</v>
      </c>
      <c r="J27" s="58" t="s">
        <v>22</v>
      </c>
    </row>
    <row r="28" spans="1:16">
      <c r="A28" s="69" t="s">
        <v>1044</v>
      </c>
      <c r="B28" s="58">
        <f>(B12-B6)/B6*100</f>
        <v>87.105321262971955</v>
      </c>
      <c r="C28" s="58">
        <f t="shared" ref="C28:J28" si="8">(C12-C6)/C6*100</f>
        <v>81.179245283018858</v>
      </c>
      <c r="D28" s="58">
        <f t="shared" si="8"/>
        <v>58.112094395280231</v>
      </c>
      <c r="E28" s="58">
        <f t="shared" si="8"/>
        <v>110.33190578158458</v>
      </c>
      <c r="F28" s="58">
        <f t="shared" si="8"/>
        <v>174.04844290657439</v>
      </c>
      <c r="G28" s="58">
        <f t="shared" si="8"/>
        <v>42.044266902013611</v>
      </c>
      <c r="H28" s="58">
        <f t="shared" si="8"/>
        <v>51.320157492472788</v>
      </c>
      <c r="I28" s="58">
        <f t="shared" si="8"/>
        <v>26.988783433994822</v>
      </c>
      <c r="J28" s="58">
        <f t="shared" si="8"/>
        <v>30.210393814062218</v>
      </c>
    </row>
    <row r="29" spans="1:16">
      <c r="A29" s="69" t="s">
        <v>2028</v>
      </c>
      <c r="B29" s="58">
        <f>(B24-B12)/B12*100</f>
        <v>-10.726929431201322</v>
      </c>
      <c r="C29" s="58">
        <f t="shared" ref="C29:F29" si="9">(C24-C12)/C12*100</f>
        <v>-6.3264774798229633</v>
      </c>
      <c r="D29" s="58">
        <f t="shared" si="9"/>
        <v>14.152452025586355</v>
      </c>
      <c r="E29" s="58">
        <f t="shared" si="9"/>
        <v>-25.833545431407483</v>
      </c>
      <c r="F29" s="58">
        <f t="shared" si="9"/>
        <v>-53.409090909090907</v>
      </c>
      <c r="G29" s="58" t="s">
        <v>22</v>
      </c>
      <c r="H29" s="58" t="s">
        <v>22</v>
      </c>
      <c r="I29" s="58" t="s">
        <v>22</v>
      </c>
      <c r="J29" s="58" t="s">
        <v>22</v>
      </c>
    </row>
    <row r="30" spans="1:16">
      <c r="A30" s="68"/>
      <c r="B30" s="58"/>
      <c r="C30" s="58"/>
      <c r="D30" s="58"/>
      <c r="E30" s="58"/>
      <c r="F30" s="58"/>
      <c r="G30" s="58"/>
      <c r="H30" s="58"/>
      <c r="I30" s="58"/>
      <c r="J30" s="58"/>
    </row>
    <row r="31" spans="1:16">
      <c r="A31" s="204" t="s">
        <v>1045</v>
      </c>
      <c r="B31" s="58"/>
      <c r="C31" s="58"/>
      <c r="D31" s="58"/>
      <c r="E31" s="58"/>
      <c r="F31" s="58"/>
      <c r="G31" s="58"/>
      <c r="H31" s="58"/>
      <c r="I31" s="58"/>
      <c r="J31" s="58"/>
    </row>
    <row r="32" spans="1:16">
      <c r="A32" s="64" t="s">
        <v>2133</v>
      </c>
      <c r="B32" s="147">
        <f>((B24/B6)^(1/18)-1)*100</f>
        <v>2.891179328926019</v>
      </c>
      <c r="C32" s="147">
        <f t="shared" ref="C32:F32" si="10">((C24/C6)^(1/18)-1)*100</f>
        <v>2.9822832721621673</v>
      </c>
      <c r="D32" s="147">
        <f t="shared" si="10"/>
        <v>3.3349517203286494</v>
      </c>
      <c r="E32" s="147">
        <f t="shared" si="10"/>
        <v>2.5010895884199025</v>
      </c>
      <c r="F32" s="147">
        <f t="shared" si="10"/>
        <v>1.3668682482244288</v>
      </c>
      <c r="G32" s="57" t="s">
        <v>22</v>
      </c>
      <c r="H32" s="57" t="s">
        <v>22</v>
      </c>
      <c r="I32" s="57" t="s">
        <v>22</v>
      </c>
      <c r="J32" s="57" t="s">
        <v>22</v>
      </c>
    </row>
    <row r="33" spans="1:10">
      <c r="A33" s="69" t="s">
        <v>1044</v>
      </c>
      <c r="B33" s="147">
        <f t="shared" ref="B33:J33" si="11">((B12/B6)^(1/6)-1)*100</f>
        <v>11.006315999855643</v>
      </c>
      <c r="C33" s="147">
        <f t="shared" si="11"/>
        <v>10.412457016070476</v>
      </c>
      <c r="D33" s="147">
        <f t="shared" si="11"/>
        <v>7.9346403089721962</v>
      </c>
      <c r="E33" s="147">
        <f t="shared" si="11"/>
        <v>13.19246720728886</v>
      </c>
      <c r="F33" s="147">
        <f t="shared" si="11"/>
        <v>18.296316860271066</v>
      </c>
      <c r="G33" s="147">
        <f t="shared" si="11"/>
        <v>6.0239430339845246</v>
      </c>
      <c r="H33" s="147">
        <f t="shared" si="11"/>
        <v>7.1476862810643915</v>
      </c>
      <c r="I33" s="147">
        <f t="shared" si="11"/>
        <v>4.0624932711926576</v>
      </c>
      <c r="J33" s="147">
        <f t="shared" si="11"/>
        <v>4.4979110258320798</v>
      </c>
    </row>
    <row r="34" spans="1:10">
      <c r="A34" s="69" t="s">
        <v>2028</v>
      </c>
      <c r="B34" s="147">
        <f>((B24/B12)^(1/12)-1)*100</f>
        <v>-0.94112926953976439</v>
      </c>
      <c r="C34" s="147">
        <f t="shared" ref="C34:F34" si="12">((C24/C12)^(1/12)-1)*100</f>
        <v>-0.54314140623711316</v>
      </c>
      <c r="D34" s="147">
        <f t="shared" si="12"/>
        <v>1.1091447992837455</v>
      </c>
      <c r="E34" s="147">
        <f t="shared" si="12"/>
        <v>-2.4597285484772469</v>
      </c>
      <c r="F34" s="147">
        <f t="shared" si="12"/>
        <v>-6.1663884727566121</v>
      </c>
      <c r="G34" s="57" t="s">
        <v>22</v>
      </c>
      <c r="H34" s="57" t="s">
        <v>22</v>
      </c>
      <c r="I34" s="57" t="s">
        <v>22</v>
      </c>
      <c r="J34" s="57" t="s">
        <v>22</v>
      </c>
    </row>
    <row r="36" spans="1:10">
      <c r="A36" s="64" t="s">
        <v>500</v>
      </c>
    </row>
    <row r="37" spans="1:10">
      <c r="A37" s="137" t="s">
        <v>629</v>
      </c>
      <c r="B37" s="137"/>
      <c r="C37" s="137"/>
      <c r="D37" s="137"/>
      <c r="E37" s="137"/>
      <c r="F37" s="137"/>
      <c r="G37" s="137"/>
      <c r="H37" s="137"/>
      <c r="I37" s="137"/>
      <c r="J37" s="137"/>
    </row>
  </sheetData>
  <mergeCells count="8">
    <mergeCell ref="A37:J37"/>
    <mergeCell ref="A1:J1"/>
    <mergeCell ref="B2:B3"/>
    <mergeCell ref="C2:E2"/>
    <mergeCell ref="F2:F3"/>
    <mergeCell ref="G2:J2"/>
    <mergeCell ref="B4:F4"/>
    <mergeCell ref="G4:J4"/>
  </mergeCells>
  <pageMargins left="0.7" right="0.7" top="0.75" bottom="0.75" header="0.3" footer="0.3"/>
  <pageSetup scale="79" orientation="landscape" horizontalDpi="0" verticalDpi="0" r:id="rId1"/>
</worksheet>
</file>

<file path=xl/worksheets/sheet94.xml><?xml version="1.0" encoding="utf-8"?>
<worksheet xmlns="http://schemas.openxmlformats.org/spreadsheetml/2006/main" xmlns:r="http://schemas.openxmlformats.org/officeDocument/2006/relationships">
  <sheetPr codeName="Sheet87"/>
  <dimension ref="A1:J38"/>
  <sheetViews>
    <sheetView view="pageBreakPreview" zoomScaleNormal="85" zoomScaleSheetLayoutView="100"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13.140625" style="64" customWidth="1"/>
    <col min="2" max="2" width="18.5703125" style="64" customWidth="1"/>
    <col min="3" max="3" width="14.7109375" style="64" customWidth="1"/>
    <col min="4" max="4" width="11.28515625" style="64" customWidth="1"/>
    <col min="5" max="5" width="13.7109375" style="64" customWidth="1"/>
    <col min="6" max="10" width="14.7109375" style="64" customWidth="1"/>
    <col min="11" max="16384" width="9.140625" style="64"/>
  </cols>
  <sheetData>
    <row r="1" spans="1:10">
      <c r="A1" s="66" t="s">
        <v>1636</v>
      </c>
    </row>
    <row r="2" spans="1:10" ht="30" customHeight="1">
      <c r="B2" s="97" t="s">
        <v>617</v>
      </c>
      <c r="C2" s="97" t="s">
        <v>622</v>
      </c>
      <c r="D2" s="97"/>
      <c r="E2" s="97"/>
      <c r="F2" s="101" t="s">
        <v>621</v>
      </c>
      <c r="G2" s="223" t="s">
        <v>628</v>
      </c>
      <c r="H2" s="224"/>
      <c r="I2" s="224"/>
      <c r="J2" s="225"/>
    </row>
    <row r="3" spans="1:10" ht="90">
      <c r="B3" s="97"/>
      <c r="C3" s="73" t="s">
        <v>618</v>
      </c>
      <c r="D3" s="73" t="s">
        <v>619</v>
      </c>
      <c r="E3" s="73" t="s">
        <v>620</v>
      </c>
      <c r="F3" s="102"/>
      <c r="G3" s="73" t="s">
        <v>623</v>
      </c>
      <c r="H3" s="73" t="s">
        <v>625</v>
      </c>
      <c r="I3" s="73" t="s">
        <v>626</v>
      </c>
      <c r="J3" s="73" t="s">
        <v>627</v>
      </c>
    </row>
    <row r="4" spans="1:10">
      <c r="B4" s="107" t="s">
        <v>630</v>
      </c>
      <c r="C4" s="107"/>
      <c r="D4" s="107"/>
      <c r="E4" s="107"/>
      <c r="F4" s="107"/>
      <c r="G4" s="107" t="s">
        <v>624</v>
      </c>
      <c r="H4" s="107"/>
      <c r="I4" s="107"/>
      <c r="J4" s="107"/>
    </row>
    <row r="5" spans="1:10" hidden="1" outlineLevel="1"/>
    <row r="6" spans="1:10" collapsed="1">
      <c r="A6" s="66">
        <v>1994</v>
      </c>
      <c r="B6" s="58">
        <f>'12c'!B6+'12d'!B6+'12e'!B6</f>
        <v>149</v>
      </c>
      <c r="C6" s="58">
        <f>'12c'!C6+'12d'!C6+'12e'!C6</f>
        <v>139</v>
      </c>
      <c r="D6" s="58">
        <f>'12c'!D6+'12d'!D6+'12e'!D6</f>
        <v>79</v>
      </c>
      <c r="E6" s="58">
        <f>'12c'!E6+'12d'!E6+'12e'!E6</f>
        <v>60</v>
      </c>
      <c r="F6" s="58">
        <f>'12c'!F6+'12d'!F6+'12e'!F6</f>
        <v>11</v>
      </c>
      <c r="G6" s="56">
        <f>'12c'!G6+'12d'!G6+'12e'!G6</f>
        <v>1671</v>
      </c>
      <c r="H6" s="56">
        <f>'12c'!H6+'12d'!H6+'12e'!H6</f>
        <v>763</v>
      </c>
      <c r="I6" s="56">
        <f>'12c'!I6+'12d'!I6+'12e'!I6</f>
        <v>532</v>
      </c>
      <c r="J6" s="56">
        <f>'12c'!J6+'12d'!J6+'12e'!J6</f>
        <v>376</v>
      </c>
    </row>
    <row r="7" spans="1:10">
      <c r="A7" s="66">
        <v>1995</v>
      </c>
      <c r="B7" s="58">
        <f>'12c'!B7+'12d'!B7+'12e'!B7</f>
        <v>174</v>
      </c>
      <c r="C7" s="58">
        <f>'12c'!C7+'12d'!C7+'12e'!C7</f>
        <v>159</v>
      </c>
      <c r="D7" s="58">
        <f>'12c'!D7+'12d'!D7+'12e'!D7</f>
        <v>85</v>
      </c>
      <c r="E7" s="58">
        <f>'12c'!E7+'12d'!E7+'12e'!E7</f>
        <v>74</v>
      </c>
      <c r="F7" s="58">
        <f>'12c'!F7+'12d'!F7+'12e'!F7</f>
        <v>14</v>
      </c>
      <c r="G7" s="56">
        <f>'12c'!G7+'12d'!G7+'12e'!G7</f>
        <v>1604</v>
      </c>
      <c r="H7" s="56">
        <f>'12c'!H7+'12d'!H7+'12e'!H7</f>
        <v>700</v>
      </c>
      <c r="I7" s="56">
        <f>'12c'!I7+'12d'!I7+'12e'!I7</f>
        <v>546</v>
      </c>
      <c r="J7" s="56">
        <f>'12c'!J7+'12d'!J7+'12e'!J7</f>
        <v>358</v>
      </c>
    </row>
    <row r="8" spans="1:10">
      <c r="A8" s="66">
        <v>1996</v>
      </c>
      <c r="B8" s="58">
        <f>'12c'!B8+'12d'!B8+'12e'!B8</f>
        <v>164</v>
      </c>
      <c r="C8" s="58">
        <f>'12c'!C8+'12d'!C8+'12e'!C8</f>
        <v>152</v>
      </c>
      <c r="D8" s="58">
        <f>'12c'!D8+'12d'!D8+'12e'!D8</f>
        <v>79</v>
      </c>
      <c r="E8" s="58">
        <f>'12c'!E8+'12d'!E8+'12e'!E8</f>
        <v>73</v>
      </c>
      <c r="F8" s="58">
        <f>'12c'!F8+'12d'!F8+'12e'!F8</f>
        <v>13</v>
      </c>
      <c r="G8" s="56">
        <f>'12c'!G8+'12d'!G8+'12e'!G8</f>
        <v>1512</v>
      </c>
      <c r="H8" s="56">
        <f>'12c'!H8+'12d'!H8+'12e'!H8</f>
        <v>665</v>
      </c>
      <c r="I8" s="56">
        <f>'12c'!I8+'12d'!I8+'12e'!I8</f>
        <v>515</v>
      </c>
      <c r="J8" s="56">
        <f>'12c'!J8+'12d'!J8+'12e'!J8</f>
        <v>332</v>
      </c>
    </row>
    <row r="9" spans="1:10">
      <c r="A9" s="66">
        <v>1997</v>
      </c>
      <c r="B9" s="58" t="s">
        <v>22</v>
      </c>
      <c r="C9" s="58">
        <f>'12c'!C9+'12d'!C9+'12e'!C9</f>
        <v>166</v>
      </c>
      <c r="D9" s="58">
        <f>'12c'!D9+'12d'!D9+'12e'!D9</f>
        <v>86</v>
      </c>
      <c r="E9" s="58">
        <f>'12c'!E9+'12d'!E9+'12e'!E9</f>
        <v>81</v>
      </c>
      <c r="F9" s="58" t="s">
        <v>22</v>
      </c>
      <c r="G9" s="56">
        <f>'12c'!G9+'12d'!G9+'12e'!G9</f>
        <v>1586</v>
      </c>
      <c r="H9" s="56">
        <f>'12c'!H9+'12d'!H9+'12e'!H9</f>
        <v>682</v>
      </c>
      <c r="I9" s="56">
        <f>'12c'!I9+'12d'!I9+'12e'!I9</f>
        <v>578</v>
      </c>
      <c r="J9" s="56">
        <f>'12c'!J9+'12d'!J9+'12e'!J9</f>
        <v>326</v>
      </c>
    </row>
    <row r="10" spans="1:10">
      <c r="A10" s="66">
        <v>1998</v>
      </c>
      <c r="B10" s="58">
        <f>'12c'!B10+'12d'!B10+'12e'!B10</f>
        <v>199</v>
      </c>
      <c r="C10" s="58">
        <f>'12c'!C10+'12d'!C10+'12e'!C10</f>
        <v>182</v>
      </c>
      <c r="D10" s="58">
        <f>'12c'!D10+'12d'!D10+'12e'!D10</f>
        <v>103</v>
      </c>
      <c r="E10" s="58">
        <f>'12c'!E10+'12d'!E10+'12e'!E10</f>
        <v>79</v>
      </c>
      <c r="F10" s="58">
        <f>'12c'!F10+'12d'!F10+'12e'!F10</f>
        <v>16</v>
      </c>
      <c r="G10" s="56">
        <f>'12c'!G10+'12d'!G10+'12e'!G10</f>
        <v>1742</v>
      </c>
      <c r="H10" s="56">
        <f>'12c'!H10+'12d'!H10+'12e'!H10</f>
        <v>745</v>
      </c>
      <c r="I10" s="56">
        <f>'12c'!I10+'12d'!I10+'12e'!I10</f>
        <v>648</v>
      </c>
      <c r="J10" s="56">
        <f>'12c'!J10+'12d'!J10+'12e'!J10</f>
        <v>349</v>
      </c>
    </row>
    <row r="11" spans="1:10">
      <c r="A11" s="66">
        <v>1999</v>
      </c>
      <c r="B11" s="58">
        <f>'12c'!B11+'12d'!B11+'12e'!B11</f>
        <v>180</v>
      </c>
      <c r="C11" s="58">
        <f>'12c'!C11+'12d'!C11+'12e'!C11</f>
        <v>168</v>
      </c>
      <c r="D11" s="58">
        <f>'12c'!D11+'12d'!D11+'12e'!D11</f>
        <v>98</v>
      </c>
      <c r="E11" s="58">
        <f>'12c'!E11+'12d'!E11+'12e'!E11</f>
        <v>70</v>
      </c>
      <c r="F11" s="58">
        <f>'12c'!F11+'12d'!F11+'12e'!F11</f>
        <v>12</v>
      </c>
      <c r="G11" s="56">
        <f>'12c'!G11+'12d'!G11+'12e'!G11</f>
        <v>1800</v>
      </c>
      <c r="H11" s="56">
        <f>'12c'!H11+'12d'!H11+'12e'!H11</f>
        <v>769</v>
      </c>
      <c r="I11" s="56">
        <f>'12c'!I11+'12d'!I11+'12e'!I11</f>
        <v>679</v>
      </c>
      <c r="J11" s="56">
        <f>'12c'!J11+'12d'!J11+'12e'!J11</f>
        <v>352</v>
      </c>
    </row>
    <row r="12" spans="1:10">
      <c r="A12" s="66">
        <v>2000</v>
      </c>
      <c r="B12" s="58">
        <f>'12c'!B12+'12d'!B12+'12e'!B12</f>
        <v>290</v>
      </c>
      <c r="C12" s="58">
        <f>'12c'!C12+'12d'!C12+'12e'!C12</f>
        <v>279</v>
      </c>
      <c r="D12" s="58">
        <f>'12c'!D12+'12d'!D12+'12e'!D12</f>
        <v>111</v>
      </c>
      <c r="E12" s="58">
        <f>'12c'!E12+'12d'!E12+'12e'!E12</f>
        <v>168</v>
      </c>
      <c r="F12" s="56" t="s">
        <v>22</v>
      </c>
      <c r="G12" s="56">
        <f>'12c'!G12+'12d'!G12+'12e'!G12</f>
        <v>1863</v>
      </c>
      <c r="H12" s="56">
        <f>'12c'!H12+'12d'!H12+'12e'!H12</f>
        <v>842</v>
      </c>
      <c r="I12" s="56">
        <f>'12c'!I12+'12d'!I12+'12e'!I12</f>
        <v>632</v>
      </c>
      <c r="J12" s="56">
        <f>'12c'!J12+'12d'!J12+'12e'!J12</f>
        <v>389</v>
      </c>
    </row>
    <row r="13" spans="1:10">
      <c r="A13" s="66">
        <v>2001</v>
      </c>
      <c r="B13" s="58" t="s">
        <v>22</v>
      </c>
      <c r="C13" s="58">
        <f>'12c'!C13+'12d'!C13+'12e'!C13</f>
        <v>475</v>
      </c>
      <c r="D13" s="58">
        <f>'12c'!D13+'12d'!D13+'12e'!D13</f>
        <v>145</v>
      </c>
      <c r="E13" s="58">
        <f>'12c'!E13+'12d'!E13+'12e'!E13</f>
        <v>330</v>
      </c>
      <c r="F13" s="56" t="s">
        <v>22</v>
      </c>
      <c r="G13" s="56">
        <f>'12c'!G13+'12d'!G13+'12e'!G13</f>
        <v>2444</v>
      </c>
      <c r="H13" s="56">
        <f>'12c'!H13+'12d'!H13+'12e'!H13</f>
        <v>862</v>
      </c>
      <c r="I13" s="56">
        <f>'12c'!I13+'12d'!I13+'12e'!I13</f>
        <v>725</v>
      </c>
      <c r="J13" s="56">
        <f>'12c'!J13+'12d'!J13+'12e'!J13</f>
        <v>857</v>
      </c>
    </row>
    <row r="14" spans="1:10">
      <c r="A14" s="66">
        <v>2002</v>
      </c>
      <c r="B14" s="58">
        <f>'12c'!B14+'12d'!B14+'12e'!B14</f>
        <v>478</v>
      </c>
      <c r="C14" s="58">
        <f>'12c'!C14+'12d'!C14+'12e'!C14</f>
        <v>470</v>
      </c>
      <c r="D14" s="58">
        <f>'12c'!D14+'12d'!D14+'12e'!D14</f>
        <v>147</v>
      </c>
      <c r="E14" s="58">
        <f>'12c'!E14+'12d'!E14+'12e'!E14</f>
        <v>323</v>
      </c>
      <c r="F14" s="58">
        <f>'12c'!F14+'12d'!F14+'12e'!F14</f>
        <v>9</v>
      </c>
      <c r="G14" s="56">
        <f>'12c'!G14+'12d'!G14+'12e'!G14</f>
        <v>2525</v>
      </c>
      <c r="H14" s="56">
        <f>'12c'!H14+'12d'!H14+'12e'!H14</f>
        <v>952</v>
      </c>
      <c r="I14" s="56">
        <f>'12c'!I14+'12d'!I14+'12e'!I14</f>
        <v>816</v>
      </c>
      <c r="J14" s="56">
        <f>'12c'!J14+'12d'!J14+'12e'!J14</f>
        <v>757</v>
      </c>
    </row>
    <row r="15" spans="1:10">
      <c r="A15" s="66">
        <v>2003</v>
      </c>
      <c r="B15" s="58">
        <f>'12c'!B15+'12d'!B15+'12e'!B15</f>
        <v>507</v>
      </c>
      <c r="C15" s="58">
        <f>'12c'!C15+'12d'!C15+'12e'!C15</f>
        <v>497</v>
      </c>
      <c r="D15" s="58">
        <f>'12c'!D15+'12d'!D15+'12e'!D15</f>
        <v>156</v>
      </c>
      <c r="E15" s="58">
        <f>'12c'!E15+'12d'!E15+'12e'!E15</f>
        <v>343</v>
      </c>
      <c r="F15" s="56" t="s">
        <v>22</v>
      </c>
      <c r="G15" s="56">
        <f>'12c'!G15+'12d'!G15+'12e'!G15</f>
        <v>2795</v>
      </c>
      <c r="H15" s="56">
        <f>'12c'!H15+'12d'!H15+'12e'!H15</f>
        <v>1149</v>
      </c>
      <c r="I15" s="56">
        <f>'12c'!I15+'12d'!I15+'12e'!I15</f>
        <v>1120</v>
      </c>
      <c r="J15" s="56">
        <f>'12c'!J15+'12d'!J15+'12e'!J15</f>
        <v>526</v>
      </c>
    </row>
    <row r="16" spans="1:10">
      <c r="A16" s="66">
        <v>2004</v>
      </c>
      <c r="B16" s="58">
        <f>'12c'!B16+'12d'!B16+'12e'!B16</f>
        <v>519</v>
      </c>
      <c r="C16" s="58" t="s">
        <v>22</v>
      </c>
      <c r="D16" s="58">
        <f>'12c'!D16+'12d'!D16+'12e'!D16</f>
        <v>164</v>
      </c>
      <c r="E16" s="58" t="s">
        <v>188</v>
      </c>
      <c r="F16" s="56" t="s">
        <v>22</v>
      </c>
      <c r="G16" s="56">
        <f>'12c'!G16+'12d'!G16+'12e'!G16</f>
        <v>2873</v>
      </c>
      <c r="H16" s="56">
        <f>'12c'!H16+'12d'!H16+'12e'!H16</f>
        <v>1106</v>
      </c>
      <c r="I16" s="56">
        <f>'12c'!I16+'12d'!I16+'12e'!I16</f>
        <v>1043</v>
      </c>
      <c r="J16" s="56">
        <f>'12c'!J16+'12d'!J16+'12e'!J16</f>
        <v>724</v>
      </c>
    </row>
    <row r="17" spans="1:10">
      <c r="A17" s="66">
        <v>2005</v>
      </c>
      <c r="B17" s="58">
        <f>'12c'!B17+'12d'!B17+'12e'!B17</f>
        <v>468</v>
      </c>
      <c r="C17" s="58">
        <f>'12c'!C17+'12d'!C17+'12e'!C17</f>
        <v>460</v>
      </c>
      <c r="D17" s="58">
        <f>'12c'!D17+'12d'!D17+'12e'!D17</f>
        <v>168</v>
      </c>
      <c r="E17" s="58">
        <f>'12c'!E17+'12d'!E17+'12e'!E17</f>
        <v>292</v>
      </c>
      <c r="F17" s="56" t="s">
        <v>22</v>
      </c>
      <c r="G17" s="56">
        <f>'12c'!G17+'12d'!G17+'12e'!G17</f>
        <v>2948</v>
      </c>
      <c r="H17" s="56">
        <f>'12c'!H17+'12d'!H17+'12e'!H17</f>
        <v>1175</v>
      </c>
      <c r="I17" s="56">
        <f>'12c'!I17+'12d'!I17+'12e'!I17</f>
        <v>1075</v>
      </c>
      <c r="J17" s="56">
        <f>'12c'!J17+'12d'!J17+'12e'!J17</f>
        <v>698</v>
      </c>
    </row>
    <row r="18" spans="1:10">
      <c r="A18" s="66">
        <v>2006</v>
      </c>
      <c r="B18" s="58">
        <f>'12c'!B18+'12d'!B18+'12e'!B18</f>
        <v>711</v>
      </c>
      <c r="C18" s="58">
        <f>'12c'!C18+'12d'!C18+'12e'!C18</f>
        <v>704</v>
      </c>
      <c r="D18" s="58">
        <f>'12c'!D18+'12d'!D18+'12e'!D18</f>
        <v>206</v>
      </c>
      <c r="E18" s="58">
        <f>'12c'!E18+'12d'!E18+'12e'!E18</f>
        <v>497</v>
      </c>
      <c r="F18" s="56" t="s">
        <v>22</v>
      </c>
      <c r="G18" s="56">
        <f>'12c'!G18+'12d'!G18+'12e'!G18</f>
        <v>3361</v>
      </c>
      <c r="H18" s="56">
        <f>'12c'!H18+'12d'!H18+'12e'!H18</f>
        <v>1355</v>
      </c>
      <c r="I18" s="56">
        <f>'12c'!I18+'12d'!I18+'12e'!I18</f>
        <v>1172</v>
      </c>
      <c r="J18" s="56">
        <f>'12c'!J18+'12d'!J18+'12e'!J18</f>
        <v>834</v>
      </c>
    </row>
    <row r="19" spans="1:10">
      <c r="A19" s="66">
        <v>2007</v>
      </c>
      <c r="B19" s="58">
        <f>'12c'!B19+'12d'!B19+'12e'!B19</f>
        <v>471</v>
      </c>
      <c r="C19" s="58">
        <f>'12c'!C19+'12d'!C19+'12e'!C19</f>
        <v>465</v>
      </c>
      <c r="D19" s="58">
        <f>'12c'!D19+'12d'!D19+'12e'!D19</f>
        <v>173</v>
      </c>
      <c r="E19" s="58">
        <f>'12c'!E19+'12d'!E19+'12e'!E19</f>
        <v>294</v>
      </c>
      <c r="F19" s="56" t="s">
        <v>22</v>
      </c>
      <c r="G19" s="56">
        <f>'12c'!G19+'12d'!G19+'12e'!G19</f>
        <v>3430</v>
      </c>
      <c r="H19" s="56">
        <f>'12c'!H19+'12d'!H19+'12e'!H19</f>
        <v>1375</v>
      </c>
      <c r="I19" s="56">
        <f>'12c'!I19+'12d'!I19+'12e'!I19</f>
        <v>1321</v>
      </c>
      <c r="J19" s="56">
        <f>'12c'!J19+'12d'!J19+'12e'!J19</f>
        <v>734</v>
      </c>
    </row>
    <row r="20" spans="1:10">
      <c r="A20" s="66">
        <v>2008</v>
      </c>
      <c r="B20" s="58">
        <f>'12c'!B20+'12d'!B20+'12e'!B20</f>
        <v>391</v>
      </c>
      <c r="C20" s="58" t="s">
        <v>22</v>
      </c>
      <c r="D20" s="58" t="s">
        <v>22</v>
      </c>
      <c r="E20" s="58">
        <f>'12c'!E20+'12d'!E20+'12e'!E20</f>
        <v>203</v>
      </c>
      <c r="F20" s="56" t="s">
        <v>22</v>
      </c>
      <c r="G20" s="56" t="s">
        <v>22</v>
      </c>
      <c r="H20" s="56">
        <f>'12c'!H20+'12d'!H20+'12e'!H20</f>
        <v>1334</v>
      </c>
      <c r="I20" s="56">
        <f>'12c'!I20+'12d'!I20+'12e'!I20</f>
        <v>1400</v>
      </c>
      <c r="J20" s="56">
        <f>'12c'!J20+'12d'!J20+'12e'!J20</f>
        <v>601</v>
      </c>
    </row>
    <row r="21" spans="1:10">
      <c r="A21" s="66">
        <v>2009</v>
      </c>
      <c r="B21" s="58">
        <f>'12c'!B21+'12d'!B21+'12e'!B21</f>
        <v>181</v>
      </c>
      <c r="C21" s="58">
        <f>'12c'!C21+'12d'!C21+'12e'!C21</f>
        <v>176</v>
      </c>
      <c r="D21" s="58">
        <f>'12c'!D21+'12d'!D21+'12e'!D21</f>
        <v>79</v>
      </c>
      <c r="E21" s="58">
        <f>'12c'!E21+'12d'!E21+'12e'!E21</f>
        <v>98</v>
      </c>
      <c r="F21" s="58">
        <f>'12c'!F21+'12d'!F21+'12e'!F21</f>
        <v>5</v>
      </c>
      <c r="G21" s="56">
        <f>'12c'!G21+'12d'!G21+'12e'!G21</f>
        <v>2124</v>
      </c>
      <c r="H21" s="56" t="s">
        <v>22</v>
      </c>
      <c r="I21" s="56">
        <f>'12c'!I21+'12d'!I21+'12e'!I21</f>
        <v>828</v>
      </c>
      <c r="J21" s="56">
        <f>'12c'!J21+'12d'!J21+'12e'!J21</f>
        <v>621</v>
      </c>
    </row>
    <row r="22" spans="1:10">
      <c r="A22" s="66">
        <v>2010</v>
      </c>
      <c r="B22" s="58">
        <f>'12c'!B22+'12d'!B22+'12e'!B22</f>
        <v>236</v>
      </c>
      <c r="C22" s="58">
        <f>'12c'!C22+'12d'!C22+'12e'!C22</f>
        <v>229</v>
      </c>
      <c r="D22" s="58">
        <f>'12c'!D22+'12d'!D22+'12e'!D22</f>
        <v>95</v>
      </c>
      <c r="E22" s="58">
        <f>'12c'!E22+'12d'!E22+'12e'!E22</f>
        <v>134</v>
      </c>
      <c r="F22" s="58">
        <f>'12c'!F22+'12d'!F22+'12e'!F22</f>
        <v>9</v>
      </c>
      <c r="G22" s="56">
        <f>'12c'!G22+'12d'!G22+'12e'!G22</f>
        <v>1726</v>
      </c>
      <c r="H22" s="56">
        <f>'12c'!H22+'12d'!H22+'12e'!H22</f>
        <v>805</v>
      </c>
      <c r="I22" s="56">
        <f>'12c'!I22+'12d'!I22+'12e'!I22</f>
        <v>754</v>
      </c>
      <c r="J22" s="56">
        <f>'12c'!J22+'12d'!J22+'12e'!J22</f>
        <v>166</v>
      </c>
    </row>
    <row r="23" spans="1:10">
      <c r="A23" s="66">
        <v>2011</v>
      </c>
      <c r="B23" s="58">
        <f>'12c'!B23+'12d'!B23+'12e'!B23</f>
        <v>219</v>
      </c>
      <c r="C23" s="58" t="s">
        <v>22</v>
      </c>
      <c r="D23" s="58">
        <f>'12c'!D23+'12d'!D23+'12e'!D23</f>
        <v>93</v>
      </c>
      <c r="E23" s="58" t="s">
        <v>22</v>
      </c>
      <c r="F23" s="56" t="s">
        <v>22</v>
      </c>
      <c r="G23" s="56" t="s">
        <v>22</v>
      </c>
      <c r="H23" s="56" t="s">
        <v>22</v>
      </c>
      <c r="I23" s="56" t="s">
        <v>22</v>
      </c>
      <c r="J23" s="56" t="s">
        <v>22</v>
      </c>
    </row>
    <row r="24" spans="1:10">
      <c r="A24" s="66">
        <v>2012</v>
      </c>
      <c r="B24" s="58">
        <f>'12c'!B24+'12d'!B24+'12e'!B24</f>
        <v>221</v>
      </c>
      <c r="C24" s="58">
        <f>'12c'!C24+'12d'!C24+'12e'!C24</f>
        <v>216</v>
      </c>
      <c r="D24" s="58">
        <f>'12c'!D24+'12d'!D24+'12e'!D24</f>
        <v>94</v>
      </c>
      <c r="E24" s="56" t="s">
        <v>22</v>
      </c>
      <c r="F24" s="56" t="s">
        <v>22</v>
      </c>
      <c r="G24" s="56" t="s">
        <v>22</v>
      </c>
      <c r="H24" s="56" t="s">
        <v>22</v>
      </c>
      <c r="I24" s="56" t="s">
        <v>22</v>
      </c>
      <c r="J24" s="56" t="s">
        <v>22</v>
      </c>
    </row>
    <row r="25" spans="1:10">
      <c r="A25" s="66"/>
      <c r="G25" s="152"/>
      <c r="H25" s="152"/>
      <c r="I25" s="152"/>
      <c r="J25" s="152"/>
    </row>
    <row r="26" spans="1:10">
      <c r="A26" s="66" t="s">
        <v>1039</v>
      </c>
    </row>
    <row r="27" spans="1:10">
      <c r="A27" s="64" t="s">
        <v>2133</v>
      </c>
      <c r="B27" s="58">
        <f>(B24-B6)/B6*100</f>
        <v>48.322147651006716</v>
      </c>
      <c r="C27" s="58">
        <f t="shared" ref="C27:D27" si="0">(C24-C6)/C6*100</f>
        <v>55.39568345323741</v>
      </c>
      <c r="D27" s="58">
        <f t="shared" si="0"/>
        <v>18.9873417721519</v>
      </c>
      <c r="E27" s="58" t="s">
        <v>22</v>
      </c>
      <c r="F27" s="58" t="s">
        <v>22</v>
      </c>
      <c r="G27" s="58" t="s">
        <v>22</v>
      </c>
      <c r="H27" s="58" t="s">
        <v>22</v>
      </c>
      <c r="I27" s="58" t="s">
        <v>22</v>
      </c>
      <c r="J27" s="58" t="s">
        <v>22</v>
      </c>
    </row>
    <row r="28" spans="1:10">
      <c r="A28" s="69" t="s">
        <v>1044</v>
      </c>
      <c r="B28" s="58">
        <f>(B12-B6)/B6*100</f>
        <v>94.630872483221466</v>
      </c>
      <c r="C28" s="58">
        <f t="shared" ref="C28:J28" si="1">(C12-C6)/C6*100</f>
        <v>100.71942446043165</v>
      </c>
      <c r="D28" s="58">
        <f t="shared" si="1"/>
        <v>40.506329113924053</v>
      </c>
      <c r="E28" s="58">
        <f t="shared" si="1"/>
        <v>180</v>
      </c>
      <c r="F28" s="58" t="s">
        <v>22</v>
      </c>
      <c r="G28" s="58">
        <f t="shared" si="1"/>
        <v>11.490125673249551</v>
      </c>
      <c r="H28" s="58">
        <f t="shared" si="1"/>
        <v>10.35386631716907</v>
      </c>
      <c r="I28" s="58">
        <f t="shared" si="1"/>
        <v>18.796992481203006</v>
      </c>
      <c r="J28" s="58">
        <f t="shared" si="1"/>
        <v>3.4574468085106385</v>
      </c>
    </row>
    <row r="29" spans="1:10">
      <c r="A29" s="69" t="s">
        <v>2028</v>
      </c>
      <c r="B29" s="58">
        <f>(B24-B12)/B12*100</f>
        <v>-23.793103448275861</v>
      </c>
      <c r="C29" s="58">
        <f t="shared" ref="C29:D29" si="2">(C24-C12)/C12*100</f>
        <v>-22.58064516129032</v>
      </c>
      <c r="D29" s="58">
        <f t="shared" si="2"/>
        <v>-15.315315315315313</v>
      </c>
      <c r="E29" s="58" t="s">
        <v>22</v>
      </c>
      <c r="F29" s="58" t="s">
        <v>22</v>
      </c>
      <c r="G29" s="58" t="s">
        <v>22</v>
      </c>
      <c r="H29" s="58" t="s">
        <v>22</v>
      </c>
      <c r="I29" s="58" t="s">
        <v>22</v>
      </c>
      <c r="J29" s="58" t="s">
        <v>22</v>
      </c>
    </row>
    <row r="30" spans="1:10">
      <c r="A30" s="68"/>
      <c r="B30" s="58"/>
      <c r="C30" s="58"/>
      <c r="D30" s="58"/>
      <c r="E30" s="58"/>
      <c r="F30" s="58"/>
      <c r="G30" s="58"/>
      <c r="H30" s="58"/>
      <c r="I30" s="58"/>
      <c r="J30" s="58"/>
    </row>
    <row r="31" spans="1:10">
      <c r="A31" s="204" t="s">
        <v>1045</v>
      </c>
      <c r="B31" s="58"/>
      <c r="C31" s="58"/>
      <c r="D31" s="58"/>
      <c r="E31" s="58"/>
      <c r="F31" s="58"/>
      <c r="G31" s="58"/>
      <c r="H31" s="58"/>
      <c r="I31" s="58"/>
      <c r="J31" s="58"/>
    </row>
    <row r="32" spans="1:10">
      <c r="A32" s="64" t="s">
        <v>2133</v>
      </c>
      <c r="B32" s="147">
        <f>((B24/B6)^(1/18)-1)*100</f>
        <v>2.214249623657083</v>
      </c>
      <c r="C32" s="147">
        <f t="shared" ref="C32:D32" si="3">((C24/C6)^(1/18)-1)*100</f>
        <v>2.4791459224090762</v>
      </c>
      <c r="D32" s="147">
        <f t="shared" si="3"/>
        <v>0.97049533365092255</v>
      </c>
      <c r="E32" s="147" t="s">
        <v>22</v>
      </c>
      <c r="F32" s="147" t="s">
        <v>22</v>
      </c>
      <c r="G32" s="57" t="s">
        <v>22</v>
      </c>
      <c r="H32" s="57" t="s">
        <v>22</v>
      </c>
      <c r="I32" s="57" t="s">
        <v>22</v>
      </c>
      <c r="J32" s="57" t="s">
        <v>22</v>
      </c>
    </row>
    <row r="33" spans="1:10">
      <c r="A33" s="69" t="s">
        <v>1044</v>
      </c>
      <c r="B33" s="147">
        <f t="shared" ref="B33:J33" si="4">((B12/B6)^(1/6)-1)*100</f>
        <v>11.738273048879933</v>
      </c>
      <c r="C33" s="147">
        <f t="shared" si="4"/>
        <v>12.31339807973364</v>
      </c>
      <c r="D33" s="147">
        <f t="shared" si="4"/>
        <v>5.8317509037508763</v>
      </c>
      <c r="E33" s="147">
        <f t="shared" si="4"/>
        <v>18.720669911055431</v>
      </c>
      <c r="F33" s="147" t="s">
        <v>22</v>
      </c>
      <c r="G33" s="147">
        <f t="shared" si="4"/>
        <v>1.8292943346875479</v>
      </c>
      <c r="H33" s="147">
        <f t="shared" si="4"/>
        <v>1.6555885053590513</v>
      </c>
      <c r="I33" s="147">
        <f t="shared" si="4"/>
        <v>2.9123687006541887</v>
      </c>
      <c r="J33" s="147">
        <f t="shared" si="4"/>
        <v>0.5681110016882096</v>
      </c>
    </row>
    <row r="34" spans="1:10">
      <c r="A34" s="69" t="s">
        <v>2028</v>
      </c>
      <c r="B34" s="147">
        <f>((B24/B12)^(1/12)-1)*100</f>
        <v>-2.2388752214306917</v>
      </c>
      <c r="C34" s="147">
        <f t="shared" ref="C34:D34" si="5">((C24/C12)^(1/12)-1)*100</f>
        <v>-2.1101952378223987</v>
      </c>
      <c r="D34" s="147">
        <f t="shared" si="5"/>
        <v>-1.3757440996221337</v>
      </c>
      <c r="E34" s="147" t="s">
        <v>22</v>
      </c>
      <c r="F34" s="147" t="s">
        <v>22</v>
      </c>
      <c r="G34" s="57" t="s">
        <v>22</v>
      </c>
      <c r="H34" s="57" t="s">
        <v>22</v>
      </c>
      <c r="I34" s="57" t="s">
        <v>22</v>
      </c>
      <c r="J34" s="57" t="s">
        <v>22</v>
      </c>
    </row>
    <row r="36" spans="1:10">
      <c r="A36" s="64" t="s">
        <v>500</v>
      </c>
    </row>
    <row r="37" spans="1:10">
      <c r="A37" s="137" t="s">
        <v>629</v>
      </c>
      <c r="B37" s="137"/>
      <c r="C37" s="137"/>
      <c r="D37" s="137"/>
      <c r="E37" s="137"/>
      <c r="F37" s="137"/>
      <c r="G37" s="137"/>
      <c r="H37" s="137"/>
      <c r="I37" s="137"/>
      <c r="J37" s="137"/>
    </row>
    <row r="38" spans="1:10">
      <c r="A38" s="64" t="s">
        <v>773</v>
      </c>
    </row>
  </sheetData>
  <mergeCells count="7">
    <mergeCell ref="A37:J37"/>
    <mergeCell ref="B2:B3"/>
    <mergeCell ref="C2:E2"/>
    <mergeCell ref="F2:F3"/>
    <mergeCell ref="G2:J2"/>
    <mergeCell ref="B4:F4"/>
    <mergeCell ref="G4:J4"/>
  </mergeCells>
  <pageMargins left="0.7" right="0.7" top="0.75" bottom="0.75" header="0.3" footer="0.3"/>
  <pageSetup scale="82" orientation="landscape" horizontalDpi="0" verticalDpi="0" r:id="rId1"/>
</worksheet>
</file>

<file path=xl/worksheets/sheet95.xml><?xml version="1.0" encoding="utf-8"?>
<worksheet xmlns="http://schemas.openxmlformats.org/spreadsheetml/2006/main" xmlns:r="http://schemas.openxmlformats.org/officeDocument/2006/relationships">
  <sheetPr codeName="Sheet88">
    <pageSetUpPr fitToPage="1"/>
  </sheetPr>
  <dimension ref="A1:Q41"/>
  <sheetViews>
    <sheetView view="pageBreakPreview" zoomScaleNormal="85" zoomScaleSheetLayoutView="100"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3.140625" style="64" customWidth="1"/>
    <col min="2" max="2" width="18.5703125" style="64" customWidth="1"/>
    <col min="3" max="3" width="14.7109375" style="64" customWidth="1"/>
    <col min="4" max="4" width="11.28515625" style="64" customWidth="1"/>
    <col min="5" max="5" width="13.7109375" style="64" customWidth="1"/>
    <col min="6" max="10" width="14.7109375" style="64" customWidth="1"/>
    <col min="11" max="11" width="9.140625" style="64"/>
    <col min="12" max="16" width="31.42578125" style="64" hidden="1" customWidth="1" outlineLevel="1"/>
    <col min="17" max="17" width="9.140625" style="64" collapsed="1"/>
    <col min="18" max="16384" width="9.140625" style="64"/>
  </cols>
  <sheetData>
    <row r="1" spans="1:16">
      <c r="A1" s="66" t="s">
        <v>1635</v>
      </c>
    </row>
    <row r="2" spans="1:16" ht="30" customHeight="1">
      <c r="B2" s="97" t="s">
        <v>617</v>
      </c>
      <c r="C2" s="97" t="s">
        <v>622</v>
      </c>
      <c r="D2" s="97"/>
      <c r="E2" s="97"/>
      <c r="F2" s="101" t="s">
        <v>621</v>
      </c>
      <c r="G2" s="223" t="s">
        <v>628</v>
      </c>
      <c r="H2" s="224"/>
      <c r="I2" s="224"/>
      <c r="J2" s="225"/>
    </row>
    <row r="3" spans="1:16" ht="90">
      <c r="B3" s="97"/>
      <c r="C3" s="73" t="s">
        <v>618</v>
      </c>
      <c r="D3" s="73" t="s">
        <v>619</v>
      </c>
      <c r="E3" s="73" t="s">
        <v>620</v>
      </c>
      <c r="F3" s="102"/>
      <c r="G3" s="73" t="s">
        <v>623</v>
      </c>
      <c r="H3" s="73" t="s">
        <v>625</v>
      </c>
      <c r="I3" s="73" t="s">
        <v>626</v>
      </c>
      <c r="J3" s="73" t="s">
        <v>627</v>
      </c>
      <c r="L3" s="117" t="s">
        <v>603</v>
      </c>
      <c r="M3" s="117" t="s">
        <v>604</v>
      </c>
      <c r="N3" s="117" t="s">
        <v>605</v>
      </c>
      <c r="O3" s="117" t="s">
        <v>606</v>
      </c>
      <c r="P3" s="117" t="s">
        <v>607</v>
      </c>
    </row>
    <row r="4" spans="1:16">
      <c r="B4" s="107" t="s">
        <v>630</v>
      </c>
      <c r="C4" s="107"/>
      <c r="D4" s="107"/>
      <c r="E4" s="107"/>
      <c r="F4" s="107"/>
      <c r="G4" s="107" t="s">
        <v>624</v>
      </c>
      <c r="H4" s="107"/>
      <c r="I4" s="107"/>
      <c r="J4" s="107"/>
    </row>
    <row r="5" spans="1:16" hidden="1" outlineLevel="1">
      <c r="G5" s="64" t="s">
        <v>636</v>
      </c>
      <c r="H5" s="64" t="s">
        <v>637</v>
      </c>
      <c r="I5" s="64" t="s">
        <v>638</v>
      </c>
      <c r="J5" s="64" t="s">
        <v>639</v>
      </c>
      <c r="L5" s="64" t="s">
        <v>631</v>
      </c>
      <c r="M5" s="64" t="s">
        <v>632</v>
      </c>
      <c r="N5" s="64" t="s">
        <v>633</v>
      </c>
      <c r="O5" s="64" t="s">
        <v>634</v>
      </c>
      <c r="P5" s="64" t="s">
        <v>635</v>
      </c>
    </row>
    <row r="6" spans="1:16" collapsed="1">
      <c r="A6" s="66">
        <v>1994</v>
      </c>
      <c r="B6" s="56">
        <f>L6/1000000</f>
        <v>16</v>
      </c>
      <c r="C6" s="56">
        <f t="shared" ref="C6:F21" si="0">M6/1000000</f>
        <v>15</v>
      </c>
      <c r="D6" s="56">
        <f t="shared" si="0"/>
        <v>8</v>
      </c>
      <c r="E6" s="56">
        <f t="shared" si="0"/>
        <v>7</v>
      </c>
      <c r="F6" s="56">
        <f t="shared" si="0"/>
        <v>1</v>
      </c>
      <c r="G6" s="56">
        <v>165</v>
      </c>
      <c r="H6" s="56">
        <v>99</v>
      </c>
      <c r="I6" s="56">
        <v>33</v>
      </c>
      <c r="J6" s="56">
        <v>33</v>
      </c>
      <c r="L6" s="32">
        <v>16000000</v>
      </c>
      <c r="M6" s="32">
        <v>15000000</v>
      </c>
      <c r="N6" s="32">
        <v>8000000</v>
      </c>
      <c r="O6" s="32">
        <v>7000000</v>
      </c>
      <c r="P6" s="32">
        <v>1000000</v>
      </c>
    </row>
    <row r="7" spans="1:16">
      <c r="A7" s="66">
        <v>1995</v>
      </c>
      <c r="B7" s="56">
        <f t="shared" ref="B7:B19" si="1">L7/1000000</f>
        <v>14</v>
      </c>
      <c r="C7" s="56">
        <f t="shared" si="0"/>
        <v>13</v>
      </c>
      <c r="D7" s="56">
        <f t="shared" si="0"/>
        <v>8</v>
      </c>
      <c r="E7" s="56">
        <f t="shared" si="0"/>
        <v>5</v>
      </c>
      <c r="F7" s="56">
        <f t="shared" si="0"/>
        <v>1</v>
      </c>
      <c r="G7" s="56">
        <v>151</v>
      </c>
      <c r="H7" s="56">
        <v>90</v>
      </c>
      <c r="I7" s="56">
        <v>35</v>
      </c>
      <c r="J7" s="56">
        <v>26</v>
      </c>
      <c r="L7" s="32">
        <v>14000000</v>
      </c>
      <c r="M7" s="32">
        <v>13000000</v>
      </c>
      <c r="N7" s="32">
        <v>8000000</v>
      </c>
      <c r="O7" s="32">
        <v>5000000</v>
      </c>
      <c r="P7" s="32">
        <v>1000000</v>
      </c>
    </row>
    <row r="8" spans="1:16">
      <c r="A8" s="66">
        <v>1996</v>
      </c>
      <c r="B8" s="56">
        <f t="shared" si="1"/>
        <v>14</v>
      </c>
      <c r="C8" s="56">
        <f t="shared" si="0"/>
        <v>13</v>
      </c>
      <c r="D8" s="56">
        <f t="shared" si="0"/>
        <v>8</v>
      </c>
      <c r="E8" s="56">
        <f t="shared" si="0"/>
        <v>5</v>
      </c>
      <c r="F8" s="56">
        <f t="shared" si="0"/>
        <v>1</v>
      </c>
      <c r="G8" s="56">
        <v>153</v>
      </c>
      <c r="H8" s="56">
        <v>85</v>
      </c>
      <c r="I8" s="56">
        <v>42</v>
      </c>
      <c r="J8" s="56">
        <v>26</v>
      </c>
      <c r="L8" s="32">
        <v>14000000</v>
      </c>
      <c r="M8" s="32">
        <v>13000000</v>
      </c>
      <c r="N8" s="32">
        <v>8000000</v>
      </c>
      <c r="O8" s="32">
        <v>5000000</v>
      </c>
      <c r="P8" s="32">
        <v>1000000</v>
      </c>
    </row>
    <row r="9" spans="1:16">
      <c r="A9" s="66">
        <v>1997</v>
      </c>
      <c r="B9" s="56">
        <f t="shared" si="1"/>
        <v>17</v>
      </c>
      <c r="C9" s="56">
        <f t="shared" si="0"/>
        <v>16</v>
      </c>
      <c r="D9" s="56">
        <f t="shared" si="0"/>
        <v>10</v>
      </c>
      <c r="E9" s="56">
        <f t="shared" si="0"/>
        <v>7</v>
      </c>
      <c r="F9" s="56">
        <f t="shared" si="0"/>
        <v>1</v>
      </c>
      <c r="G9" s="56">
        <v>188</v>
      </c>
      <c r="H9" s="56">
        <v>99</v>
      </c>
      <c r="I9" s="56">
        <v>55</v>
      </c>
      <c r="J9" s="56">
        <v>34</v>
      </c>
      <c r="L9" s="32">
        <v>17000000</v>
      </c>
      <c r="M9" s="32">
        <v>16000000</v>
      </c>
      <c r="N9" s="32">
        <v>10000000</v>
      </c>
      <c r="O9" s="32">
        <v>7000000</v>
      </c>
      <c r="P9" s="32">
        <v>1000000</v>
      </c>
    </row>
    <row r="10" spans="1:16">
      <c r="A10" s="66">
        <v>1998</v>
      </c>
      <c r="B10" s="56">
        <f t="shared" si="1"/>
        <v>14</v>
      </c>
      <c r="C10" s="56">
        <f t="shared" si="0"/>
        <v>13</v>
      </c>
      <c r="D10" s="56">
        <f t="shared" si="0"/>
        <v>9</v>
      </c>
      <c r="E10" s="56">
        <f t="shared" si="0"/>
        <v>4</v>
      </c>
      <c r="F10" s="56">
        <f t="shared" si="0"/>
        <v>0</v>
      </c>
      <c r="G10" s="56">
        <v>161</v>
      </c>
      <c r="H10" s="56">
        <v>76</v>
      </c>
      <c r="I10" s="56">
        <v>50</v>
      </c>
      <c r="J10" s="56">
        <v>35</v>
      </c>
      <c r="L10" s="32">
        <v>14000000</v>
      </c>
      <c r="M10" s="32">
        <v>13000000</v>
      </c>
      <c r="N10" s="32">
        <v>9000000</v>
      </c>
      <c r="O10" s="32">
        <v>4000000</v>
      </c>
      <c r="P10" s="32">
        <v>0</v>
      </c>
    </row>
    <row r="11" spans="1:16">
      <c r="A11" s="66">
        <v>1999</v>
      </c>
      <c r="B11" s="56">
        <f t="shared" si="1"/>
        <v>20</v>
      </c>
      <c r="C11" s="56">
        <f t="shared" si="0"/>
        <v>19</v>
      </c>
      <c r="D11" s="56">
        <f t="shared" si="0"/>
        <v>10</v>
      </c>
      <c r="E11" s="56">
        <f t="shared" si="0"/>
        <v>9</v>
      </c>
      <c r="F11" s="56">
        <f t="shared" si="0"/>
        <v>1</v>
      </c>
      <c r="G11" s="56">
        <v>191</v>
      </c>
      <c r="H11" s="56">
        <v>90</v>
      </c>
      <c r="I11" s="56">
        <v>64</v>
      </c>
      <c r="J11" s="56">
        <v>37</v>
      </c>
      <c r="L11" s="32">
        <v>20000000</v>
      </c>
      <c r="M11" s="32">
        <v>19000000</v>
      </c>
      <c r="N11" s="32">
        <v>10000000</v>
      </c>
      <c r="O11" s="32">
        <v>9000000</v>
      </c>
      <c r="P11" s="32">
        <v>1000000</v>
      </c>
    </row>
    <row r="12" spans="1:16">
      <c r="A12" s="66">
        <v>2000</v>
      </c>
      <c r="B12" s="56">
        <f>C12+1</f>
        <v>18</v>
      </c>
      <c r="C12" s="56">
        <f t="shared" si="0"/>
        <v>17</v>
      </c>
      <c r="D12" s="56">
        <f t="shared" si="0"/>
        <v>10</v>
      </c>
      <c r="E12" s="56">
        <f t="shared" si="0"/>
        <v>7</v>
      </c>
      <c r="F12" s="56" t="s">
        <v>188</v>
      </c>
      <c r="G12" s="56">
        <v>175</v>
      </c>
      <c r="H12" s="56">
        <v>87</v>
      </c>
      <c r="I12" s="56">
        <v>59</v>
      </c>
      <c r="J12" s="56">
        <v>29</v>
      </c>
      <c r="L12" s="32" t="s">
        <v>188</v>
      </c>
      <c r="M12" s="32">
        <v>17000000</v>
      </c>
      <c r="N12" s="32">
        <v>10000000</v>
      </c>
      <c r="O12" s="32">
        <v>7000000</v>
      </c>
      <c r="P12" s="32" t="s">
        <v>188</v>
      </c>
    </row>
    <row r="13" spans="1:16">
      <c r="A13" s="66">
        <v>2001</v>
      </c>
      <c r="B13" s="56">
        <f t="shared" si="1"/>
        <v>15</v>
      </c>
      <c r="C13" s="56">
        <f t="shared" si="0"/>
        <v>15</v>
      </c>
      <c r="D13" s="56">
        <f t="shared" si="0"/>
        <v>10</v>
      </c>
      <c r="E13" s="56">
        <f t="shared" si="0"/>
        <v>5</v>
      </c>
      <c r="F13" s="56">
        <f t="shared" si="0"/>
        <v>1</v>
      </c>
      <c r="G13" s="56">
        <v>170</v>
      </c>
      <c r="H13" s="56">
        <v>107</v>
      </c>
      <c r="I13" s="56">
        <v>43</v>
      </c>
      <c r="J13" s="56">
        <v>20</v>
      </c>
      <c r="L13" s="32">
        <v>15000000</v>
      </c>
      <c r="M13" s="32">
        <v>15000000</v>
      </c>
      <c r="N13" s="32">
        <v>10000000</v>
      </c>
      <c r="O13" s="32">
        <v>5000000</v>
      </c>
      <c r="P13" s="32">
        <v>1000000</v>
      </c>
    </row>
    <row r="14" spans="1:16">
      <c r="A14" s="66">
        <v>2002</v>
      </c>
      <c r="B14" s="56">
        <f t="shared" si="1"/>
        <v>17</v>
      </c>
      <c r="C14" s="56">
        <f t="shared" si="0"/>
        <v>17</v>
      </c>
      <c r="D14" s="56">
        <f t="shared" si="0"/>
        <v>12</v>
      </c>
      <c r="E14" s="56">
        <f t="shared" si="0"/>
        <v>5</v>
      </c>
      <c r="F14" s="56">
        <f t="shared" si="0"/>
        <v>1</v>
      </c>
      <c r="G14" s="56">
        <v>202</v>
      </c>
      <c r="H14" s="56">
        <v>120</v>
      </c>
      <c r="I14" s="56">
        <v>60</v>
      </c>
      <c r="J14" s="56">
        <v>22</v>
      </c>
      <c r="L14" s="32">
        <v>17000000</v>
      </c>
      <c r="M14" s="32">
        <v>17000000</v>
      </c>
      <c r="N14" s="32">
        <v>12000000</v>
      </c>
      <c r="O14" s="32">
        <v>5000000</v>
      </c>
      <c r="P14" s="32">
        <v>1000000</v>
      </c>
    </row>
    <row r="15" spans="1:16">
      <c r="A15" s="66">
        <v>2003</v>
      </c>
      <c r="B15" s="56">
        <f t="shared" si="1"/>
        <v>21</v>
      </c>
      <c r="C15" s="56">
        <f t="shared" si="0"/>
        <v>21</v>
      </c>
      <c r="D15" s="56">
        <f t="shared" si="0"/>
        <v>14</v>
      </c>
      <c r="E15" s="56">
        <f t="shared" si="0"/>
        <v>7</v>
      </c>
      <c r="F15" s="56" t="s">
        <v>1814</v>
      </c>
      <c r="G15" s="56">
        <v>266</v>
      </c>
      <c r="H15" s="56">
        <v>155</v>
      </c>
      <c r="I15" s="56">
        <v>64</v>
      </c>
      <c r="J15" s="56">
        <v>47</v>
      </c>
      <c r="L15" s="32">
        <v>21000000</v>
      </c>
      <c r="M15" s="32">
        <v>21000000</v>
      </c>
      <c r="N15" s="32">
        <v>14000000</v>
      </c>
      <c r="O15" s="32">
        <v>7000000</v>
      </c>
      <c r="P15" s="32" t="s">
        <v>1814</v>
      </c>
    </row>
    <row r="16" spans="1:16">
      <c r="A16" s="66">
        <v>2004</v>
      </c>
      <c r="B16" s="56">
        <f t="shared" si="1"/>
        <v>19</v>
      </c>
      <c r="C16" s="56" t="s">
        <v>188</v>
      </c>
      <c r="D16" s="56">
        <f t="shared" si="0"/>
        <v>14</v>
      </c>
      <c r="E16" s="56" t="s">
        <v>188</v>
      </c>
      <c r="F16" s="56" t="s">
        <v>188</v>
      </c>
      <c r="G16" s="56">
        <v>258</v>
      </c>
      <c r="H16" s="56">
        <v>117</v>
      </c>
      <c r="I16" s="56">
        <v>88</v>
      </c>
      <c r="J16" s="56">
        <v>53</v>
      </c>
      <c r="L16" s="32">
        <v>19000000</v>
      </c>
      <c r="M16" s="32" t="s">
        <v>188</v>
      </c>
      <c r="N16" s="32">
        <v>14000000</v>
      </c>
      <c r="O16" s="32" t="s">
        <v>188</v>
      </c>
      <c r="P16" s="32" t="s">
        <v>188</v>
      </c>
    </row>
    <row r="17" spans="1:16">
      <c r="A17" s="66">
        <v>2005</v>
      </c>
      <c r="B17" s="56">
        <f t="shared" si="1"/>
        <v>19</v>
      </c>
      <c r="C17" s="56">
        <f t="shared" si="0"/>
        <v>19</v>
      </c>
      <c r="D17" s="56">
        <f t="shared" si="0"/>
        <v>13</v>
      </c>
      <c r="E17" s="56">
        <f t="shared" si="0"/>
        <v>6</v>
      </c>
      <c r="F17" s="56" t="s">
        <v>1814</v>
      </c>
      <c r="G17" s="56">
        <v>226</v>
      </c>
      <c r="H17" s="56">
        <v>121</v>
      </c>
      <c r="I17" s="56">
        <v>66</v>
      </c>
      <c r="J17" s="56">
        <v>39</v>
      </c>
      <c r="L17" s="32">
        <v>19000000</v>
      </c>
      <c r="M17" s="32">
        <v>19000000</v>
      </c>
      <c r="N17" s="32">
        <v>13000000</v>
      </c>
      <c r="O17" s="32">
        <v>6000000</v>
      </c>
      <c r="P17" s="32" t="s">
        <v>1814</v>
      </c>
    </row>
    <row r="18" spans="1:16">
      <c r="A18" s="66">
        <v>2006</v>
      </c>
      <c r="B18" s="56">
        <f t="shared" si="1"/>
        <v>20</v>
      </c>
      <c r="C18" s="56">
        <f t="shared" si="0"/>
        <v>20</v>
      </c>
      <c r="D18" s="56">
        <f t="shared" si="0"/>
        <v>12</v>
      </c>
      <c r="E18" s="56">
        <f t="shared" si="0"/>
        <v>8</v>
      </c>
      <c r="F18" s="56" t="s">
        <v>1814</v>
      </c>
      <c r="G18" s="56">
        <v>283</v>
      </c>
      <c r="H18" s="56">
        <v>153</v>
      </c>
      <c r="I18" s="56">
        <v>79</v>
      </c>
      <c r="J18" s="56">
        <v>51</v>
      </c>
      <c r="L18" s="32">
        <v>20000000</v>
      </c>
      <c r="M18" s="32">
        <v>20000000</v>
      </c>
      <c r="N18" s="32">
        <v>12000000</v>
      </c>
      <c r="O18" s="32">
        <v>8000000</v>
      </c>
      <c r="P18" s="32" t="s">
        <v>1814</v>
      </c>
    </row>
    <row r="19" spans="1:16">
      <c r="A19" s="66">
        <v>2007</v>
      </c>
      <c r="B19" s="56">
        <f t="shared" si="1"/>
        <v>76</v>
      </c>
      <c r="C19" s="56">
        <f t="shared" si="0"/>
        <v>75</v>
      </c>
      <c r="D19" s="56">
        <f t="shared" si="0"/>
        <v>25</v>
      </c>
      <c r="E19" s="56">
        <f t="shared" si="0"/>
        <v>51</v>
      </c>
      <c r="F19" s="56" t="s">
        <v>1814</v>
      </c>
      <c r="G19" s="56">
        <v>422</v>
      </c>
      <c r="H19" s="56">
        <v>170</v>
      </c>
      <c r="I19" s="56">
        <v>122</v>
      </c>
      <c r="J19" s="56">
        <v>130</v>
      </c>
      <c r="L19" s="32">
        <v>76000000</v>
      </c>
      <c r="M19" s="32">
        <v>75000000</v>
      </c>
      <c r="N19" s="32">
        <v>25000000</v>
      </c>
      <c r="O19" s="32">
        <v>51000000</v>
      </c>
      <c r="P19" s="32" t="s">
        <v>1814</v>
      </c>
    </row>
    <row r="20" spans="1:16">
      <c r="A20" s="66">
        <v>2008</v>
      </c>
      <c r="B20" s="56">
        <f t="shared" ref="B20:B24" si="2">L20/1000000</f>
        <v>21</v>
      </c>
      <c r="C20" s="56">
        <f t="shared" ref="C20:C24" si="3">M20/1000000</f>
        <v>21</v>
      </c>
      <c r="D20" s="56">
        <f t="shared" ref="D20:D24" si="4">N20/1000000</f>
        <v>7</v>
      </c>
      <c r="E20" s="56">
        <f t="shared" ref="E20:F24" si="5">O20/1000000</f>
        <v>13</v>
      </c>
      <c r="F20" s="56">
        <f t="shared" si="0"/>
        <v>0</v>
      </c>
      <c r="G20" s="56">
        <v>337</v>
      </c>
      <c r="H20" s="56">
        <v>113</v>
      </c>
      <c r="I20" s="56">
        <v>146</v>
      </c>
      <c r="J20" s="56">
        <v>78</v>
      </c>
      <c r="L20" s="32">
        <v>21000000</v>
      </c>
      <c r="M20" s="32">
        <v>21000000</v>
      </c>
      <c r="N20" s="32">
        <v>7000000</v>
      </c>
      <c r="O20" s="32">
        <v>13000000</v>
      </c>
      <c r="P20" s="32">
        <v>0</v>
      </c>
    </row>
    <row r="21" spans="1:16">
      <c r="A21" s="66">
        <v>2009</v>
      </c>
      <c r="B21" s="56">
        <f t="shared" si="2"/>
        <v>7</v>
      </c>
      <c r="C21" s="56">
        <f t="shared" si="3"/>
        <v>6</v>
      </c>
      <c r="D21" s="56">
        <f t="shared" si="4"/>
        <v>5</v>
      </c>
      <c r="E21" s="56">
        <f t="shared" si="5"/>
        <v>2</v>
      </c>
      <c r="F21" s="56">
        <f t="shared" si="0"/>
        <v>1</v>
      </c>
      <c r="G21" s="56">
        <v>163</v>
      </c>
      <c r="H21" s="56">
        <v>53</v>
      </c>
      <c r="I21" s="56">
        <v>89</v>
      </c>
      <c r="J21" s="56">
        <v>21</v>
      </c>
      <c r="L21" s="32">
        <v>7000000</v>
      </c>
      <c r="M21" s="32">
        <v>6000000</v>
      </c>
      <c r="N21" s="32">
        <v>5000000</v>
      </c>
      <c r="O21" s="32">
        <v>2000000</v>
      </c>
      <c r="P21" s="32">
        <v>1000000</v>
      </c>
    </row>
    <row r="22" spans="1:16">
      <c r="A22" s="66">
        <v>2010</v>
      </c>
      <c r="B22" s="56">
        <f t="shared" si="2"/>
        <v>10</v>
      </c>
      <c r="C22" s="56">
        <f t="shared" si="3"/>
        <v>10</v>
      </c>
      <c r="D22" s="56">
        <f t="shared" si="4"/>
        <v>6</v>
      </c>
      <c r="E22" s="56">
        <f t="shared" si="5"/>
        <v>3</v>
      </c>
      <c r="F22" s="56">
        <f t="shared" si="5"/>
        <v>1</v>
      </c>
      <c r="G22" s="56">
        <v>161</v>
      </c>
      <c r="H22" s="56">
        <v>97</v>
      </c>
      <c r="I22" s="56">
        <v>53</v>
      </c>
      <c r="J22" s="56">
        <v>11</v>
      </c>
      <c r="L22" s="32">
        <v>10000000</v>
      </c>
      <c r="M22" s="32">
        <v>10000000</v>
      </c>
      <c r="N22" s="32">
        <v>6000000</v>
      </c>
      <c r="O22" s="32">
        <v>3000000</v>
      </c>
      <c r="P22" s="32">
        <v>1000000</v>
      </c>
    </row>
    <row r="23" spans="1:16">
      <c r="A23" s="66">
        <v>2011</v>
      </c>
      <c r="B23" s="56">
        <f t="shared" si="2"/>
        <v>15</v>
      </c>
      <c r="C23" s="56" t="s">
        <v>188</v>
      </c>
      <c r="D23" s="56">
        <f t="shared" si="4"/>
        <v>8</v>
      </c>
      <c r="E23" s="56" t="s">
        <v>188</v>
      </c>
      <c r="F23" s="56" t="s">
        <v>188</v>
      </c>
      <c r="G23" s="58" t="s">
        <v>22</v>
      </c>
      <c r="H23" s="58" t="s">
        <v>22</v>
      </c>
      <c r="I23" s="58" t="s">
        <v>22</v>
      </c>
      <c r="J23" s="58" t="s">
        <v>22</v>
      </c>
      <c r="L23" s="32">
        <v>15000000</v>
      </c>
      <c r="M23" s="32" t="s">
        <v>188</v>
      </c>
      <c r="N23" s="32">
        <v>8000000</v>
      </c>
      <c r="O23" s="32" t="s">
        <v>188</v>
      </c>
      <c r="P23" s="32" t="s">
        <v>188</v>
      </c>
    </row>
    <row r="24" spans="1:16">
      <c r="A24" s="66">
        <v>2012</v>
      </c>
      <c r="B24" s="56">
        <f t="shared" si="2"/>
        <v>14</v>
      </c>
      <c r="C24" s="56">
        <f t="shared" si="3"/>
        <v>13</v>
      </c>
      <c r="D24" s="56">
        <f t="shared" si="4"/>
        <v>9</v>
      </c>
      <c r="E24" s="56" t="s">
        <v>1811</v>
      </c>
      <c r="F24" s="56">
        <f t="shared" si="5"/>
        <v>1</v>
      </c>
      <c r="G24" s="58" t="s">
        <v>22</v>
      </c>
      <c r="H24" s="58" t="s">
        <v>22</v>
      </c>
      <c r="I24" s="58" t="s">
        <v>22</v>
      </c>
      <c r="J24" s="58" t="s">
        <v>22</v>
      </c>
      <c r="L24" s="32">
        <v>14000000</v>
      </c>
      <c r="M24" s="32">
        <v>13000000</v>
      </c>
      <c r="N24" s="32">
        <v>9000000</v>
      </c>
      <c r="O24" s="32" t="s">
        <v>1811</v>
      </c>
      <c r="P24" s="32">
        <v>1000000</v>
      </c>
    </row>
    <row r="25" spans="1:16">
      <c r="A25" s="66"/>
      <c r="G25" s="152"/>
      <c r="H25" s="152"/>
      <c r="I25" s="152"/>
      <c r="J25" s="152"/>
    </row>
    <row r="26" spans="1:16">
      <c r="A26" s="66" t="s">
        <v>1039</v>
      </c>
    </row>
    <row r="27" spans="1:16">
      <c r="A27" s="64" t="s">
        <v>2133</v>
      </c>
      <c r="B27" s="58">
        <f>(B24-B6)/B6*100</f>
        <v>-12.5</v>
      </c>
      <c r="C27" s="58">
        <f t="shared" ref="C27:D27" si="6">(C24-C6)/C6*100</f>
        <v>-13.333333333333334</v>
      </c>
      <c r="D27" s="58">
        <f t="shared" si="6"/>
        <v>12.5</v>
      </c>
      <c r="E27" s="58" t="s">
        <v>22</v>
      </c>
      <c r="F27" s="58" t="s">
        <v>22</v>
      </c>
      <c r="G27" s="58" t="s">
        <v>22</v>
      </c>
      <c r="H27" s="58" t="s">
        <v>22</v>
      </c>
      <c r="I27" s="58" t="s">
        <v>22</v>
      </c>
      <c r="J27" s="58" t="s">
        <v>22</v>
      </c>
    </row>
    <row r="28" spans="1:16">
      <c r="A28" s="69" t="s">
        <v>1044</v>
      </c>
      <c r="B28" s="58">
        <f>(B12-B6)/B6*100</f>
        <v>12.5</v>
      </c>
      <c r="C28" s="58">
        <f t="shared" ref="C28:J28" si="7">(C12-C6)/C6*100</f>
        <v>13.333333333333334</v>
      </c>
      <c r="D28" s="58">
        <f t="shared" si="7"/>
        <v>25</v>
      </c>
      <c r="E28" s="58">
        <f t="shared" si="7"/>
        <v>0</v>
      </c>
      <c r="F28" s="58" t="s">
        <v>22</v>
      </c>
      <c r="G28" s="58">
        <f t="shared" si="7"/>
        <v>6.0606060606060606</v>
      </c>
      <c r="H28" s="58">
        <f t="shared" si="7"/>
        <v>-12.121212121212121</v>
      </c>
      <c r="I28" s="58">
        <f t="shared" si="7"/>
        <v>78.787878787878782</v>
      </c>
      <c r="J28" s="58">
        <f t="shared" si="7"/>
        <v>-12.121212121212121</v>
      </c>
    </row>
    <row r="29" spans="1:16">
      <c r="A29" s="69" t="s">
        <v>2028</v>
      </c>
      <c r="B29" s="58">
        <f>(B24-B12)/B12*100</f>
        <v>-22.222222222222221</v>
      </c>
      <c r="C29" s="58">
        <f t="shared" ref="C29:D29" si="8">(C24-C12)/C12*100</f>
        <v>-23.52941176470588</v>
      </c>
      <c r="D29" s="58">
        <f t="shared" si="8"/>
        <v>-10</v>
      </c>
      <c r="E29" s="58" t="s">
        <v>22</v>
      </c>
      <c r="F29" s="58" t="s">
        <v>22</v>
      </c>
      <c r="G29" s="58" t="s">
        <v>22</v>
      </c>
      <c r="H29" s="58" t="s">
        <v>22</v>
      </c>
      <c r="I29" s="58" t="s">
        <v>22</v>
      </c>
      <c r="J29" s="58" t="s">
        <v>22</v>
      </c>
    </row>
    <row r="30" spans="1:16">
      <c r="A30" s="68"/>
      <c r="B30" s="58"/>
      <c r="C30" s="58"/>
      <c r="D30" s="58"/>
      <c r="E30" s="58"/>
      <c r="F30" s="58"/>
      <c r="G30" s="58"/>
      <c r="H30" s="58"/>
      <c r="I30" s="58"/>
      <c r="J30" s="58"/>
    </row>
    <row r="31" spans="1:16">
      <c r="A31" s="204" t="s">
        <v>1045</v>
      </c>
      <c r="B31" s="58"/>
      <c r="C31" s="58"/>
      <c r="D31" s="58"/>
      <c r="E31" s="58"/>
      <c r="F31" s="58"/>
      <c r="G31" s="58"/>
      <c r="H31" s="58"/>
      <c r="I31" s="58"/>
      <c r="J31" s="58"/>
    </row>
    <row r="32" spans="1:16">
      <c r="A32" s="64" t="s">
        <v>2133</v>
      </c>
      <c r="B32" s="147">
        <f>((B24/B6)^(1/18)-1)*100</f>
        <v>-0.73909622093637495</v>
      </c>
      <c r="C32" s="147">
        <f t="shared" ref="C32:D32" si="9">((C24/C6)^(1/18)-1)*100</f>
        <v>-0.79185288249313812</v>
      </c>
      <c r="D32" s="147">
        <f t="shared" si="9"/>
        <v>0.65649574624628837</v>
      </c>
      <c r="E32" s="147" t="s">
        <v>22</v>
      </c>
      <c r="F32" s="147" t="s">
        <v>22</v>
      </c>
      <c r="G32" s="57" t="s">
        <v>22</v>
      </c>
      <c r="H32" s="57" t="s">
        <v>22</v>
      </c>
      <c r="I32" s="57" t="s">
        <v>22</v>
      </c>
      <c r="J32" s="57" t="s">
        <v>22</v>
      </c>
    </row>
    <row r="33" spans="1:10">
      <c r="A33" s="69" t="s">
        <v>1044</v>
      </c>
      <c r="B33" s="147">
        <f t="shared" ref="B33:J33" si="10">((B12/B6)^(1/6)-1)*100</f>
        <v>1.982445132775279</v>
      </c>
      <c r="C33" s="147">
        <f t="shared" si="10"/>
        <v>2.1079625425384885</v>
      </c>
      <c r="D33" s="147">
        <f t="shared" si="10"/>
        <v>3.7890815556213431</v>
      </c>
      <c r="E33" s="147">
        <f t="shared" si="10"/>
        <v>0</v>
      </c>
      <c r="F33" s="147" t="s">
        <v>22</v>
      </c>
      <c r="G33" s="147">
        <f t="shared" si="10"/>
        <v>0.98549937524698983</v>
      </c>
      <c r="H33" s="147">
        <f t="shared" si="10"/>
        <v>-2.1305059894926592</v>
      </c>
      <c r="I33" s="147">
        <f t="shared" si="10"/>
        <v>10.168223233990471</v>
      </c>
      <c r="J33" s="147">
        <f t="shared" si="10"/>
        <v>-2.1305059894926592</v>
      </c>
    </row>
    <row r="34" spans="1:10">
      <c r="A34" s="69" t="s">
        <v>2028</v>
      </c>
      <c r="B34" s="147">
        <f>((B24/B12)^(1/12)-1)*100</f>
        <v>-2.0725090096707421</v>
      </c>
      <c r="C34" s="147">
        <f t="shared" ref="C34:D34" si="11">((C24/C12)^(1/12)-1)*100</f>
        <v>-2.210730347003631</v>
      </c>
      <c r="D34" s="147">
        <f t="shared" si="11"/>
        <v>-0.87416109546967213</v>
      </c>
      <c r="E34" s="147" t="s">
        <v>22</v>
      </c>
      <c r="F34" s="147" t="s">
        <v>22</v>
      </c>
      <c r="G34" s="57" t="s">
        <v>22</v>
      </c>
      <c r="H34" s="57" t="s">
        <v>22</v>
      </c>
      <c r="I34" s="57" t="s">
        <v>22</v>
      </c>
      <c r="J34" s="57" t="s">
        <v>22</v>
      </c>
    </row>
    <row r="36" spans="1:10">
      <c r="A36" s="64" t="s">
        <v>500</v>
      </c>
    </row>
    <row r="37" spans="1:10">
      <c r="A37" s="137" t="s">
        <v>629</v>
      </c>
      <c r="B37" s="137"/>
      <c r="C37" s="137"/>
      <c r="D37" s="137"/>
      <c r="E37" s="137"/>
      <c r="F37" s="137"/>
      <c r="G37" s="137"/>
      <c r="H37" s="137"/>
      <c r="I37" s="137"/>
      <c r="J37" s="137"/>
    </row>
    <row r="38" spans="1:10">
      <c r="A38" s="64" t="s">
        <v>773</v>
      </c>
    </row>
    <row r="39" spans="1:10">
      <c r="A39" s="64" t="s">
        <v>1046</v>
      </c>
    </row>
    <row r="40" spans="1:10">
      <c r="A40" s="64" t="s">
        <v>194</v>
      </c>
    </row>
    <row r="41" spans="1:10" ht="30" customHeight="1">
      <c r="A41" s="104" t="s">
        <v>1307</v>
      </c>
      <c r="B41" s="104"/>
      <c r="C41" s="104"/>
      <c r="D41" s="104"/>
      <c r="E41" s="104"/>
      <c r="F41" s="104"/>
      <c r="G41" s="104"/>
      <c r="H41" s="104"/>
      <c r="I41" s="104"/>
      <c r="J41" s="104"/>
    </row>
  </sheetData>
  <mergeCells count="8">
    <mergeCell ref="A41:J41"/>
    <mergeCell ref="A37:J37"/>
    <mergeCell ref="B2:B3"/>
    <mergeCell ref="C2:E2"/>
    <mergeCell ref="G2:J2"/>
    <mergeCell ref="B4:F4"/>
    <mergeCell ref="G4:J4"/>
    <mergeCell ref="F2:F3"/>
  </mergeCells>
  <pageMargins left="0.70866141732283472" right="0.70866141732283472" top="0.74803149606299213" bottom="0.74803149606299213" header="0.31496062992125984" footer="0.31496062992125984"/>
  <pageSetup scale="74" orientation="landscape" horizontalDpi="0" verticalDpi="0" r:id="rId1"/>
</worksheet>
</file>

<file path=xl/worksheets/sheet96.xml><?xml version="1.0" encoding="utf-8"?>
<worksheet xmlns="http://schemas.openxmlformats.org/spreadsheetml/2006/main" xmlns:r="http://schemas.openxmlformats.org/officeDocument/2006/relationships">
  <sheetPr codeName="Sheet89">
    <pageSetUpPr fitToPage="1"/>
  </sheetPr>
  <dimension ref="A1:Q41"/>
  <sheetViews>
    <sheetView view="pageBreakPreview" zoomScaleNormal="85" zoomScaleSheetLayoutView="100" workbookViewId="0">
      <pane xSplit="1" ySplit="5" topLeftCell="B18"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1.42578125" style="64" customWidth="1"/>
    <col min="2" max="2" width="18.5703125" style="64" customWidth="1"/>
    <col min="3" max="3" width="19.42578125" style="64" bestFit="1" customWidth="1"/>
    <col min="4" max="10" width="14.42578125" style="64" customWidth="1"/>
    <col min="11" max="11" width="9.140625" style="64"/>
    <col min="12" max="16" width="31.42578125" style="64" hidden="1" customWidth="1" outlineLevel="1"/>
    <col min="17" max="17" width="9.140625" style="64" collapsed="1"/>
    <col min="18" max="16384" width="9.140625" style="64"/>
  </cols>
  <sheetData>
    <row r="1" spans="1:16">
      <c r="A1" s="66" t="s">
        <v>1992</v>
      </c>
    </row>
    <row r="2" spans="1:16" ht="30" customHeight="1">
      <c r="B2" s="97" t="s">
        <v>617</v>
      </c>
      <c r="C2" s="97" t="s">
        <v>622</v>
      </c>
      <c r="D2" s="97"/>
      <c r="E2" s="97"/>
      <c r="F2" s="101" t="s">
        <v>621</v>
      </c>
      <c r="G2" s="223" t="s">
        <v>628</v>
      </c>
      <c r="H2" s="224"/>
      <c r="I2" s="224"/>
      <c r="J2" s="225"/>
    </row>
    <row r="3" spans="1:16" ht="75">
      <c r="B3" s="97"/>
      <c r="C3" s="73" t="s">
        <v>618</v>
      </c>
      <c r="D3" s="73" t="s">
        <v>619</v>
      </c>
      <c r="E3" s="73" t="s">
        <v>620</v>
      </c>
      <c r="F3" s="102"/>
      <c r="G3" s="73" t="s">
        <v>623</v>
      </c>
      <c r="H3" s="73" t="s">
        <v>625</v>
      </c>
      <c r="I3" s="73" t="s">
        <v>626</v>
      </c>
      <c r="J3" s="73" t="s">
        <v>627</v>
      </c>
      <c r="L3" s="117" t="s">
        <v>603</v>
      </c>
      <c r="M3" s="117" t="s">
        <v>604</v>
      </c>
      <c r="N3" s="117" t="s">
        <v>605</v>
      </c>
      <c r="O3" s="117" t="s">
        <v>606</v>
      </c>
      <c r="P3" s="117" t="s">
        <v>607</v>
      </c>
    </row>
    <row r="4" spans="1:16">
      <c r="B4" s="107" t="s">
        <v>630</v>
      </c>
      <c r="C4" s="107"/>
      <c r="D4" s="107"/>
      <c r="E4" s="107"/>
      <c r="F4" s="107"/>
      <c r="G4" s="107" t="s">
        <v>624</v>
      </c>
      <c r="H4" s="107"/>
      <c r="I4" s="107"/>
      <c r="J4" s="107"/>
    </row>
    <row r="5" spans="1:16" hidden="1" outlineLevel="1">
      <c r="G5" s="64" t="s">
        <v>645</v>
      </c>
      <c r="H5" s="64" t="s">
        <v>646</v>
      </c>
      <c r="I5" s="64" t="s">
        <v>647</v>
      </c>
      <c r="J5" s="64" t="s">
        <v>648</v>
      </c>
      <c r="L5" s="64" t="s">
        <v>640</v>
      </c>
      <c r="M5" s="64" t="s">
        <v>641</v>
      </c>
      <c r="N5" s="64" t="s">
        <v>642</v>
      </c>
      <c r="O5" s="64" t="s">
        <v>643</v>
      </c>
      <c r="P5" s="64" t="s">
        <v>644</v>
      </c>
    </row>
    <row r="6" spans="1:16" collapsed="1">
      <c r="A6" s="66">
        <v>1994</v>
      </c>
      <c r="B6" s="56">
        <f>L6/1000000</f>
        <v>29</v>
      </c>
      <c r="C6" s="56">
        <f>M6/1000000</f>
        <v>28</v>
      </c>
      <c r="D6" s="56">
        <f>N6/1000000</f>
        <v>18</v>
      </c>
      <c r="E6" s="56">
        <f>O6/1000000</f>
        <v>10</v>
      </c>
      <c r="F6" s="56">
        <f>P6/1000000</f>
        <v>2</v>
      </c>
      <c r="G6" s="56">
        <v>447</v>
      </c>
      <c r="H6" s="56">
        <v>214</v>
      </c>
      <c r="I6" s="56">
        <v>125</v>
      </c>
      <c r="J6" s="56">
        <v>108</v>
      </c>
      <c r="L6" s="64">
        <v>29000000</v>
      </c>
      <c r="M6" s="64">
        <v>28000000</v>
      </c>
      <c r="N6" s="64">
        <v>18000000</v>
      </c>
      <c r="O6" s="64">
        <v>10000000</v>
      </c>
      <c r="P6" s="64">
        <v>2000000</v>
      </c>
    </row>
    <row r="7" spans="1:16">
      <c r="A7" s="66">
        <v>1995</v>
      </c>
      <c r="B7" s="56">
        <f t="shared" ref="B7:B19" si="0">L7/1000000</f>
        <v>33</v>
      </c>
      <c r="C7" s="56">
        <f t="shared" ref="C7:C19" si="1">M7/1000000</f>
        <v>31</v>
      </c>
      <c r="D7" s="56">
        <f t="shared" ref="D7:D19" si="2">N7/1000000</f>
        <v>19</v>
      </c>
      <c r="E7" s="56">
        <f t="shared" ref="E7:E19" si="3">O7/1000000</f>
        <v>12</v>
      </c>
      <c r="F7" s="56">
        <f t="shared" ref="F7:F19" si="4">P7/1000000</f>
        <v>1</v>
      </c>
      <c r="G7" s="56">
        <v>444</v>
      </c>
      <c r="H7" s="56">
        <v>185</v>
      </c>
      <c r="I7" s="56">
        <v>153</v>
      </c>
      <c r="J7" s="56">
        <v>106</v>
      </c>
      <c r="L7" s="64">
        <v>33000000</v>
      </c>
      <c r="M7" s="64">
        <v>31000000</v>
      </c>
      <c r="N7" s="64">
        <v>19000000</v>
      </c>
      <c r="O7" s="64">
        <v>12000000</v>
      </c>
      <c r="P7" s="64">
        <v>1000000</v>
      </c>
    </row>
    <row r="8" spans="1:16">
      <c r="A8" s="66">
        <v>1996</v>
      </c>
      <c r="B8" s="56">
        <f t="shared" si="0"/>
        <v>29</v>
      </c>
      <c r="C8" s="56">
        <f t="shared" si="1"/>
        <v>29</v>
      </c>
      <c r="D8" s="56">
        <f t="shared" si="2"/>
        <v>18</v>
      </c>
      <c r="E8" s="56">
        <f t="shared" si="3"/>
        <v>11</v>
      </c>
      <c r="F8" s="56">
        <f t="shared" si="4"/>
        <v>1</v>
      </c>
      <c r="G8" s="56">
        <v>388</v>
      </c>
      <c r="H8" s="56">
        <v>177</v>
      </c>
      <c r="I8" s="56">
        <v>123</v>
      </c>
      <c r="J8" s="56">
        <v>88</v>
      </c>
      <c r="L8" s="64">
        <v>29000000</v>
      </c>
      <c r="M8" s="64">
        <v>29000000</v>
      </c>
      <c r="N8" s="64">
        <v>18000000</v>
      </c>
      <c r="O8" s="64">
        <v>11000000</v>
      </c>
      <c r="P8" s="64">
        <v>1000000</v>
      </c>
    </row>
    <row r="9" spans="1:16">
      <c r="A9" s="66">
        <v>1997</v>
      </c>
      <c r="B9" s="56" t="s">
        <v>188</v>
      </c>
      <c r="C9" s="56">
        <f t="shared" si="1"/>
        <v>34</v>
      </c>
      <c r="D9" s="56">
        <f t="shared" si="2"/>
        <v>21</v>
      </c>
      <c r="E9" s="56">
        <f t="shared" si="3"/>
        <v>13</v>
      </c>
      <c r="F9" s="56" t="s">
        <v>188</v>
      </c>
      <c r="G9" s="56">
        <v>438</v>
      </c>
      <c r="H9" s="56">
        <v>195</v>
      </c>
      <c r="I9" s="56">
        <v>146</v>
      </c>
      <c r="J9" s="56">
        <v>97</v>
      </c>
      <c r="L9" s="64" t="s">
        <v>188</v>
      </c>
      <c r="M9" s="64">
        <v>34000000</v>
      </c>
      <c r="N9" s="64">
        <v>21000000</v>
      </c>
      <c r="O9" s="64">
        <v>13000000</v>
      </c>
      <c r="P9" s="64" t="s">
        <v>188</v>
      </c>
    </row>
    <row r="10" spans="1:16">
      <c r="A10" s="66">
        <v>1998</v>
      </c>
      <c r="B10" s="56">
        <f t="shared" si="0"/>
        <v>39</v>
      </c>
      <c r="C10" s="56">
        <f t="shared" si="1"/>
        <v>38</v>
      </c>
      <c r="D10" s="56">
        <f t="shared" si="2"/>
        <v>23</v>
      </c>
      <c r="E10" s="56">
        <f t="shared" si="3"/>
        <v>15</v>
      </c>
      <c r="F10" s="56">
        <f t="shared" si="4"/>
        <v>1</v>
      </c>
      <c r="G10" s="56">
        <v>494</v>
      </c>
      <c r="H10" s="56">
        <v>224</v>
      </c>
      <c r="I10" s="56">
        <v>181</v>
      </c>
      <c r="J10" s="56">
        <v>89</v>
      </c>
      <c r="L10" s="64">
        <v>39000000</v>
      </c>
      <c r="M10" s="64">
        <v>38000000</v>
      </c>
      <c r="N10" s="64">
        <v>23000000</v>
      </c>
      <c r="O10" s="64">
        <v>15000000</v>
      </c>
      <c r="P10" s="64">
        <v>1000000</v>
      </c>
    </row>
    <row r="11" spans="1:16">
      <c r="A11" s="66">
        <v>1999</v>
      </c>
      <c r="B11" s="56">
        <f t="shared" si="0"/>
        <v>47</v>
      </c>
      <c r="C11" s="56">
        <f t="shared" si="1"/>
        <v>44</v>
      </c>
      <c r="D11" s="56">
        <f t="shared" si="2"/>
        <v>27</v>
      </c>
      <c r="E11" s="56">
        <f t="shared" si="3"/>
        <v>17</v>
      </c>
      <c r="F11" s="56">
        <f t="shared" si="4"/>
        <v>3</v>
      </c>
      <c r="G11" s="56">
        <v>583</v>
      </c>
      <c r="H11" s="56">
        <v>243</v>
      </c>
      <c r="I11" s="56">
        <v>207</v>
      </c>
      <c r="J11" s="56">
        <v>133</v>
      </c>
      <c r="L11" s="64">
        <v>47000000</v>
      </c>
      <c r="M11" s="64">
        <v>44000000</v>
      </c>
      <c r="N11" s="64">
        <v>27000000</v>
      </c>
      <c r="O11" s="64">
        <v>17000000</v>
      </c>
      <c r="P11" s="64">
        <v>3000000</v>
      </c>
    </row>
    <row r="12" spans="1:16">
      <c r="A12" s="66">
        <v>2000</v>
      </c>
      <c r="B12" s="56">
        <f t="shared" si="0"/>
        <v>42</v>
      </c>
      <c r="C12" s="56">
        <f t="shared" si="1"/>
        <v>41</v>
      </c>
      <c r="D12" s="56">
        <f t="shared" si="2"/>
        <v>25</v>
      </c>
      <c r="E12" s="56">
        <f t="shared" si="3"/>
        <v>16</v>
      </c>
      <c r="F12" s="56">
        <f t="shared" si="4"/>
        <v>1</v>
      </c>
      <c r="G12" s="56">
        <v>529</v>
      </c>
      <c r="H12" s="56">
        <v>236</v>
      </c>
      <c r="I12" s="56">
        <v>189</v>
      </c>
      <c r="J12" s="56">
        <v>104</v>
      </c>
      <c r="L12" s="64">
        <v>42000000</v>
      </c>
      <c r="M12" s="64">
        <v>41000000</v>
      </c>
      <c r="N12" s="64">
        <v>25000000</v>
      </c>
      <c r="O12" s="64">
        <v>16000000</v>
      </c>
      <c r="P12" s="64">
        <v>1000000</v>
      </c>
    </row>
    <row r="13" spans="1:16">
      <c r="A13" s="66">
        <v>2001</v>
      </c>
      <c r="B13" s="56" t="s">
        <v>188</v>
      </c>
      <c r="C13" s="56">
        <f t="shared" si="1"/>
        <v>47</v>
      </c>
      <c r="D13" s="56">
        <f t="shared" si="2"/>
        <v>25</v>
      </c>
      <c r="E13" s="56">
        <f t="shared" si="3"/>
        <v>22</v>
      </c>
      <c r="F13" s="56" t="s">
        <v>188</v>
      </c>
      <c r="G13" s="56">
        <v>552</v>
      </c>
      <c r="H13" s="56">
        <v>210</v>
      </c>
      <c r="I13" s="56">
        <v>203</v>
      </c>
      <c r="J13" s="56">
        <v>139</v>
      </c>
      <c r="L13" s="64" t="s">
        <v>188</v>
      </c>
      <c r="M13" s="64">
        <v>47000000</v>
      </c>
      <c r="N13" s="64">
        <v>25000000</v>
      </c>
      <c r="O13" s="64">
        <v>22000000</v>
      </c>
      <c r="P13" s="64" t="s">
        <v>188</v>
      </c>
    </row>
    <row r="14" spans="1:16">
      <c r="A14" s="66">
        <v>2002</v>
      </c>
      <c r="B14" s="56">
        <f t="shared" si="0"/>
        <v>56</v>
      </c>
      <c r="C14" s="56">
        <f t="shared" si="1"/>
        <v>54</v>
      </c>
      <c r="D14" s="56">
        <f t="shared" si="2"/>
        <v>30</v>
      </c>
      <c r="E14" s="56">
        <f t="shared" si="3"/>
        <v>24</v>
      </c>
      <c r="F14" s="56">
        <f t="shared" si="4"/>
        <v>2</v>
      </c>
      <c r="G14" s="56">
        <v>652</v>
      </c>
      <c r="H14" s="56">
        <v>239</v>
      </c>
      <c r="I14" s="56">
        <v>241</v>
      </c>
      <c r="J14" s="56">
        <v>172</v>
      </c>
      <c r="L14" s="64">
        <v>56000000</v>
      </c>
      <c r="M14" s="64">
        <v>54000000</v>
      </c>
      <c r="N14" s="64">
        <v>30000000</v>
      </c>
      <c r="O14" s="64">
        <v>24000000</v>
      </c>
      <c r="P14" s="64">
        <v>2000000</v>
      </c>
    </row>
    <row r="15" spans="1:16">
      <c r="A15" s="66">
        <v>2003</v>
      </c>
      <c r="B15" s="56">
        <f t="shared" si="0"/>
        <v>66</v>
      </c>
      <c r="C15" s="56">
        <f t="shared" si="1"/>
        <v>62</v>
      </c>
      <c r="D15" s="56">
        <f t="shared" si="2"/>
        <v>36</v>
      </c>
      <c r="E15" s="56">
        <f t="shared" si="3"/>
        <v>27</v>
      </c>
      <c r="F15" s="56">
        <f t="shared" si="4"/>
        <v>4</v>
      </c>
      <c r="G15" s="56">
        <v>826</v>
      </c>
      <c r="H15" s="56">
        <v>339</v>
      </c>
      <c r="I15" s="56">
        <v>284</v>
      </c>
      <c r="J15" s="56">
        <v>203</v>
      </c>
      <c r="L15" s="64">
        <v>66000000</v>
      </c>
      <c r="M15" s="64">
        <v>62000000</v>
      </c>
      <c r="N15" s="64">
        <v>36000000</v>
      </c>
      <c r="O15" s="64">
        <v>27000000</v>
      </c>
      <c r="P15" s="64">
        <v>4000000</v>
      </c>
    </row>
    <row r="16" spans="1:16">
      <c r="A16" s="66">
        <v>2004</v>
      </c>
      <c r="B16" s="56">
        <f t="shared" si="0"/>
        <v>80</v>
      </c>
      <c r="C16" s="56">
        <f t="shared" si="1"/>
        <v>71</v>
      </c>
      <c r="D16" s="56">
        <f t="shared" si="2"/>
        <v>39</v>
      </c>
      <c r="E16" s="56">
        <f t="shared" si="3"/>
        <v>32</v>
      </c>
      <c r="F16" s="56">
        <f t="shared" si="4"/>
        <v>8</v>
      </c>
      <c r="G16" s="56">
        <v>848</v>
      </c>
      <c r="H16" s="56">
        <v>340</v>
      </c>
      <c r="I16" s="56">
        <v>335</v>
      </c>
      <c r="J16" s="56">
        <v>173</v>
      </c>
      <c r="L16" s="64">
        <v>80000000</v>
      </c>
      <c r="M16" s="64">
        <v>71000000</v>
      </c>
      <c r="N16" s="64">
        <v>39000000</v>
      </c>
      <c r="O16" s="64">
        <v>32000000</v>
      </c>
      <c r="P16" s="64">
        <v>8000000</v>
      </c>
    </row>
    <row r="17" spans="1:16">
      <c r="A17" s="66">
        <v>2005</v>
      </c>
      <c r="B17" s="56">
        <f t="shared" si="0"/>
        <v>135</v>
      </c>
      <c r="C17" s="56">
        <f t="shared" si="1"/>
        <v>133</v>
      </c>
      <c r="D17" s="56">
        <f t="shared" si="2"/>
        <v>60</v>
      </c>
      <c r="E17" s="56">
        <f t="shared" si="3"/>
        <v>73</v>
      </c>
      <c r="F17" s="56">
        <f t="shared" si="4"/>
        <v>2</v>
      </c>
      <c r="G17" s="56">
        <v>1134</v>
      </c>
      <c r="H17" s="56">
        <v>460</v>
      </c>
      <c r="I17" s="56">
        <v>429</v>
      </c>
      <c r="J17" s="56">
        <v>245</v>
      </c>
      <c r="L17" s="64">
        <v>135000000</v>
      </c>
      <c r="M17" s="64">
        <v>133000000</v>
      </c>
      <c r="N17" s="64">
        <v>60000000</v>
      </c>
      <c r="O17" s="64">
        <v>73000000</v>
      </c>
      <c r="P17" s="64">
        <v>2000000</v>
      </c>
    </row>
    <row r="18" spans="1:16">
      <c r="A18" s="66">
        <v>2006</v>
      </c>
      <c r="B18" s="56">
        <f t="shared" si="0"/>
        <v>126</v>
      </c>
      <c r="C18" s="56">
        <f t="shared" si="1"/>
        <v>121</v>
      </c>
      <c r="D18" s="56">
        <f t="shared" si="2"/>
        <v>62</v>
      </c>
      <c r="E18" s="56">
        <f t="shared" si="3"/>
        <v>59</v>
      </c>
      <c r="F18" s="56">
        <f t="shared" si="4"/>
        <v>5</v>
      </c>
      <c r="G18" s="56">
        <v>1247</v>
      </c>
      <c r="H18" s="56">
        <v>461</v>
      </c>
      <c r="I18" s="56">
        <v>477</v>
      </c>
      <c r="J18" s="56">
        <v>309</v>
      </c>
      <c r="L18" s="64">
        <v>126000000</v>
      </c>
      <c r="M18" s="64">
        <v>121000000</v>
      </c>
      <c r="N18" s="64">
        <v>62000000</v>
      </c>
      <c r="O18" s="64">
        <v>59000000</v>
      </c>
      <c r="P18" s="64">
        <v>5000000</v>
      </c>
    </row>
    <row r="19" spans="1:16">
      <c r="A19" s="66">
        <v>2007</v>
      </c>
      <c r="B19" s="56">
        <f t="shared" si="0"/>
        <v>112</v>
      </c>
      <c r="C19" s="56">
        <f t="shared" si="1"/>
        <v>110</v>
      </c>
      <c r="D19" s="56">
        <f t="shared" si="2"/>
        <v>57</v>
      </c>
      <c r="E19" s="56">
        <f t="shared" si="3"/>
        <v>53</v>
      </c>
      <c r="F19" s="56">
        <f t="shared" si="4"/>
        <v>2</v>
      </c>
      <c r="G19" s="56">
        <v>1290</v>
      </c>
      <c r="H19" s="56">
        <v>500</v>
      </c>
      <c r="I19" s="56">
        <v>544</v>
      </c>
      <c r="J19" s="56">
        <v>246</v>
      </c>
      <c r="L19" s="64">
        <v>112000000</v>
      </c>
      <c r="M19" s="64">
        <v>110000000</v>
      </c>
      <c r="N19" s="64">
        <v>57000000</v>
      </c>
      <c r="O19" s="64">
        <v>53000000</v>
      </c>
      <c r="P19" s="64">
        <v>2000000</v>
      </c>
    </row>
    <row r="20" spans="1:16">
      <c r="A20" s="66">
        <v>2008</v>
      </c>
      <c r="B20" s="56">
        <f t="shared" ref="B20:B24" si="5">L20/1000000</f>
        <v>219</v>
      </c>
      <c r="C20" s="56" t="s">
        <v>188</v>
      </c>
      <c r="D20" s="56" t="s">
        <v>188</v>
      </c>
      <c r="E20" s="56">
        <f t="shared" ref="E20:E24" si="6">O20/1000000</f>
        <v>96</v>
      </c>
      <c r="F20" s="56" t="s">
        <v>188</v>
      </c>
      <c r="G20" s="56" t="s">
        <v>1811</v>
      </c>
      <c r="H20" s="56">
        <v>662</v>
      </c>
      <c r="I20" s="56">
        <v>782</v>
      </c>
      <c r="J20" s="56">
        <v>275</v>
      </c>
      <c r="L20" s="64">
        <v>219000000</v>
      </c>
      <c r="M20" s="64" t="s">
        <v>188</v>
      </c>
      <c r="N20" s="64" t="s">
        <v>188</v>
      </c>
      <c r="O20" s="64">
        <v>96000000</v>
      </c>
      <c r="P20" s="64" t="s">
        <v>188</v>
      </c>
    </row>
    <row r="21" spans="1:16">
      <c r="A21" s="66">
        <v>2009</v>
      </c>
      <c r="B21" s="56">
        <f t="shared" si="5"/>
        <v>100</v>
      </c>
      <c r="C21" s="56">
        <f t="shared" ref="C21:C24" si="7">M21/1000000</f>
        <v>98</v>
      </c>
      <c r="D21" s="56">
        <f t="shared" ref="D21:D24" si="8">N21/1000000</f>
        <v>41</v>
      </c>
      <c r="E21" s="56">
        <f t="shared" si="6"/>
        <v>57</v>
      </c>
      <c r="F21" s="56">
        <f t="shared" ref="F21:F22" si="9">P21/1000000</f>
        <v>2</v>
      </c>
      <c r="G21" s="56">
        <v>1146</v>
      </c>
      <c r="H21" s="56" t="s">
        <v>1811</v>
      </c>
      <c r="I21" s="56">
        <v>449</v>
      </c>
      <c r="J21" s="56">
        <v>404</v>
      </c>
      <c r="L21" s="64">
        <v>100000000</v>
      </c>
      <c r="M21" s="64">
        <v>98000000</v>
      </c>
      <c r="N21" s="64">
        <v>41000000</v>
      </c>
      <c r="O21" s="64">
        <v>57000000</v>
      </c>
      <c r="P21" s="64">
        <v>2000000</v>
      </c>
    </row>
    <row r="22" spans="1:16">
      <c r="A22" s="66">
        <v>2010</v>
      </c>
      <c r="B22" s="56">
        <f t="shared" si="5"/>
        <v>84</v>
      </c>
      <c r="C22" s="56">
        <f t="shared" si="7"/>
        <v>84</v>
      </c>
      <c r="D22" s="56">
        <f t="shared" si="8"/>
        <v>39</v>
      </c>
      <c r="E22" s="56">
        <f t="shared" si="6"/>
        <v>45</v>
      </c>
      <c r="F22" s="56">
        <f t="shared" si="9"/>
        <v>1</v>
      </c>
      <c r="G22" s="56">
        <v>752</v>
      </c>
      <c r="H22" s="56">
        <v>315</v>
      </c>
      <c r="I22" s="56">
        <v>357</v>
      </c>
      <c r="J22" s="56">
        <v>79</v>
      </c>
      <c r="L22" s="64">
        <v>84000000</v>
      </c>
      <c r="M22" s="64">
        <v>84000000</v>
      </c>
      <c r="N22" s="64">
        <v>39000000</v>
      </c>
      <c r="O22" s="64">
        <v>45000000</v>
      </c>
      <c r="P22" s="64">
        <v>1000000</v>
      </c>
    </row>
    <row r="23" spans="1:16">
      <c r="A23" s="66">
        <v>2011</v>
      </c>
      <c r="B23" s="56">
        <f t="shared" si="5"/>
        <v>93</v>
      </c>
      <c r="C23" s="56">
        <f t="shared" si="7"/>
        <v>92</v>
      </c>
      <c r="D23" s="56">
        <f t="shared" si="8"/>
        <v>41</v>
      </c>
      <c r="E23" s="56">
        <f t="shared" si="6"/>
        <v>50</v>
      </c>
      <c r="F23" s="56" t="s">
        <v>1811</v>
      </c>
      <c r="G23" s="56" t="s">
        <v>22</v>
      </c>
      <c r="H23" s="56" t="s">
        <v>22</v>
      </c>
      <c r="I23" s="56" t="s">
        <v>22</v>
      </c>
      <c r="J23" s="56" t="s">
        <v>22</v>
      </c>
      <c r="L23" s="64">
        <v>93000000</v>
      </c>
      <c r="M23" s="64">
        <v>92000000</v>
      </c>
      <c r="N23" s="64">
        <v>41000000</v>
      </c>
      <c r="O23" s="64">
        <v>50000000</v>
      </c>
      <c r="P23" s="64" t="s">
        <v>1811</v>
      </c>
    </row>
    <row r="24" spans="1:16">
      <c r="A24" s="66">
        <v>2012</v>
      </c>
      <c r="B24" s="56">
        <f t="shared" si="5"/>
        <v>85</v>
      </c>
      <c r="C24" s="56">
        <f t="shared" si="7"/>
        <v>84</v>
      </c>
      <c r="D24" s="56">
        <f t="shared" si="8"/>
        <v>39</v>
      </c>
      <c r="E24" s="56">
        <f t="shared" si="6"/>
        <v>45</v>
      </c>
      <c r="F24" s="56" t="s">
        <v>1811</v>
      </c>
      <c r="G24" s="56" t="s">
        <v>22</v>
      </c>
      <c r="H24" s="56" t="s">
        <v>22</v>
      </c>
      <c r="I24" s="56" t="s">
        <v>22</v>
      </c>
      <c r="J24" s="56" t="s">
        <v>22</v>
      </c>
      <c r="L24" s="64">
        <v>85000000</v>
      </c>
      <c r="M24" s="64">
        <v>84000000</v>
      </c>
      <c r="N24" s="64">
        <v>39000000</v>
      </c>
      <c r="O24" s="64">
        <v>45000000</v>
      </c>
      <c r="P24" s="64" t="s">
        <v>1811</v>
      </c>
    </row>
    <row r="25" spans="1:16">
      <c r="A25" s="66"/>
      <c r="G25" s="152"/>
      <c r="H25" s="152"/>
      <c r="I25" s="152"/>
      <c r="J25" s="152"/>
    </row>
    <row r="26" spans="1:16">
      <c r="A26" s="66" t="s">
        <v>1039</v>
      </c>
    </row>
    <row r="27" spans="1:16">
      <c r="A27" s="64" t="s">
        <v>2133</v>
      </c>
      <c r="B27" s="58">
        <f>(B24-B6)/B6*100</f>
        <v>193.10344827586206</v>
      </c>
      <c r="C27" s="58">
        <f t="shared" ref="C27:E27" si="10">(C24-C6)/C6*100</f>
        <v>200</v>
      </c>
      <c r="D27" s="58">
        <f t="shared" si="10"/>
        <v>116.66666666666667</v>
      </c>
      <c r="E27" s="58">
        <f t="shared" si="10"/>
        <v>350</v>
      </c>
      <c r="F27" s="58" t="s">
        <v>22</v>
      </c>
      <c r="G27" s="58" t="s">
        <v>22</v>
      </c>
      <c r="H27" s="58" t="s">
        <v>22</v>
      </c>
      <c r="I27" s="58" t="s">
        <v>22</v>
      </c>
      <c r="J27" s="58" t="s">
        <v>22</v>
      </c>
    </row>
    <row r="28" spans="1:16">
      <c r="A28" s="69" t="s">
        <v>1044</v>
      </c>
      <c r="B28" s="58">
        <f>(B12-B6)/B6*100</f>
        <v>44.827586206896555</v>
      </c>
      <c r="C28" s="58">
        <f t="shared" ref="C28:J28" si="11">(C12-C6)/C6*100</f>
        <v>46.428571428571431</v>
      </c>
      <c r="D28" s="58">
        <f t="shared" si="11"/>
        <v>38.888888888888893</v>
      </c>
      <c r="E28" s="58">
        <f t="shared" si="11"/>
        <v>60</v>
      </c>
      <c r="F28" s="58">
        <f t="shared" si="11"/>
        <v>-50</v>
      </c>
      <c r="G28" s="58">
        <f t="shared" si="11"/>
        <v>18.344519015659955</v>
      </c>
      <c r="H28" s="58">
        <f t="shared" si="11"/>
        <v>10.2803738317757</v>
      </c>
      <c r="I28" s="58">
        <f t="shared" si="11"/>
        <v>51.2</v>
      </c>
      <c r="J28" s="58">
        <f t="shared" si="11"/>
        <v>-3.7037037037037033</v>
      </c>
    </row>
    <row r="29" spans="1:16">
      <c r="A29" s="69" t="s">
        <v>2028</v>
      </c>
      <c r="B29" s="58">
        <f>(B24-B12)/B12*100</f>
        <v>102.38095238095238</v>
      </c>
      <c r="C29" s="58">
        <f t="shared" ref="C29:E29" si="12">(C24-C12)/C12*100</f>
        <v>104.8780487804878</v>
      </c>
      <c r="D29" s="58">
        <f t="shared" si="12"/>
        <v>56.000000000000007</v>
      </c>
      <c r="E29" s="58">
        <f t="shared" si="12"/>
        <v>181.25</v>
      </c>
      <c r="F29" s="58" t="s">
        <v>22</v>
      </c>
      <c r="G29" s="58" t="s">
        <v>22</v>
      </c>
      <c r="H29" s="58" t="s">
        <v>22</v>
      </c>
      <c r="I29" s="58" t="s">
        <v>22</v>
      </c>
      <c r="J29" s="58" t="s">
        <v>22</v>
      </c>
    </row>
    <row r="30" spans="1:16">
      <c r="A30" s="68"/>
      <c r="B30" s="58"/>
      <c r="C30" s="58"/>
      <c r="D30" s="58"/>
      <c r="E30" s="58"/>
      <c r="F30" s="58"/>
      <c r="G30" s="58"/>
      <c r="H30" s="58"/>
      <c r="I30" s="58"/>
      <c r="J30" s="58"/>
    </row>
    <row r="31" spans="1:16">
      <c r="A31" s="204" t="s">
        <v>1045</v>
      </c>
      <c r="B31" s="58"/>
      <c r="C31" s="58"/>
      <c r="D31" s="58"/>
      <c r="E31" s="58"/>
      <c r="F31" s="58"/>
      <c r="G31" s="58"/>
      <c r="H31" s="58"/>
      <c r="I31" s="58"/>
      <c r="J31" s="58"/>
    </row>
    <row r="32" spans="1:16">
      <c r="A32" s="64" t="s">
        <v>2133</v>
      </c>
      <c r="B32" s="147">
        <f>((B24/B6)^(1/18)-1)*100</f>
        <v>6.1562594231018064</v>
      </c>
      <c r="C32" s="147">
        <f t="shared" ref="C32:E32" si="13">((C24/C6)^(1/18)-1)*100</f>
        <v>6.2935070411054284</v>
      </c>
      <c r="D32" s="147">
        <f t="shared" si="13"/>
        <v>4.3890912220534872</v>
      </c>
      <c r="E32" s="147">
        <f t="shared" si="13"/>
        <v>8.7150285135052954</v>
      </c>
      <c r="F32" s="147" t="s">
        <v>22</v>
      </c>
      <c r="G32" s="57" t="s">
        <v>22</v>
      </c>
      <c r="H32" s="57" t="s">
        <v>22</v>
      </c>
      <c r="I32" s="57" t="s">
        <v>22</v>
      </c>
      <c r="J32" s="57" t="s">
        <v>22</v>
      </c>
    </row>
    <row r="33" spans="1:10">
      <c r="A33" s="69" t="s">
        <v>1044</v>
      </c>
      <c r="B33" s="147">
        <f t="shared" ref="B33:J33" si="14">((B12/B6)^(1/6)-1)*100</f>
        <v>6.3674012467796581</v>
      </c>
      <c r="C33" s="147">
        <f t="shared" si="14"/>
        <v>6.5624763358571592</v>
      </c>
      <c r="D33" s="147">
        <f t="shared" si="14"/>
        <v>5.6277228510717592</v>
      </c>
      <c r="E33" s="147">
        <f t="shared" si="14"/>
        <v>8.1483747120199013</v>
      </c>
      <c r="F33" s="147">
        <f t="shared" si="14"/>
        <v>-10.910128185966073</v>
      </c>
      <c r="G33" s="147">
        <f t="shared" si="14"/>
        <v>2.8469360855047254</v>
      </c>
      <c r="H33" s="147">
        <f t="shared" si="14"/>
        <v>1.6443020924799878</v>
      </c>
      <c r="I33" s="147">
        <f t="shared" si="14"/>
        <v>7.1335012805720632</v>
      </c>
      <c r="J33" s="147">
        <f t="shared" si="14"/>
        <v>-0.62703136822753747</v>
      </c>
    </row>
    <row r="34" spans="1:10">
      <c r="A34" s="69" t="s">
        <v>2028</v>
      </c>
      <c r="B34" s="147">
        <f>((B24/B12)^(1/12)-1)*100</f>
        <v>6.0508457338794619</v>
      </c>
      <c r="C34" s="147">
        <f t="shared" ref="C34:E34" si="15">((C24/C12)^(1/12)-1)*100</f>
        <v>6.1592770856708556</v>
      </c>
      <c r="D34" s="147">
        <f t="shared" si="15"/>
        <v>3.7752328527622669</v>
      </c>
      <c r="E34" s="147">
        <f t="shared" si="15"/>
        <v>8.9994678327601108</v>
      </c>
      <c r="F34" s="147" t="s">
        <v>22</v>
      </c>
      <c r="G34" s="57" t="s">
        <v>22</v>
      </c>
      <c r="H34" s="57" t="s">
        <v>22</v>
      </c>
      <c r="I34" s="57" t="s">
        <v>22</v>
      </c>
      <c r="J34" s="57" t="s">
        <v>22</v>
      </c>
    </row>
    <row r="36" spans="1:10">
      <c r="A36" s="64" t="s">
        <v>500</v>
      </c>
    </row>
    <row r="37" spans="1:10">
      <c r="A37" s="137" t="s">
        <v>629</v>
      </c>
      <c r="B37" s="137"/>
      <c r="C37" s="137"/>
      <c r="D37" s="137"/>
      <c r="E37" s="137"/>
      <c r="F37" s="137"/>
      <c r="G37" s="137"/>
      <c r="H37" s="137"/>
      <c r="I37" s="137"/>
      <c r="J37" s="137"/>
    </row>
    <row r="38" spans="1:10">
      <c r="A38" s="64" t="s">
        <v>193</v>
      </c>
    </row>
    <row r="39" spans="1:10">
      <c r="A39" s="64" t="s">
        <v>194</v>
      </c>
    </row>
    <row r="40" spans="1:10">
      <c r="A40" s="64" t="s">
        <v>1990</v>
      </c>
    </row>
    <row r="41" spans="1:10" ht="30.75" customHeight="1">
      <c r="A41" s="104" t="s">
        <v>1307</v>
      </c>
      <c r="B41" s="104"/>
      <c r="C41" s="104"/>
      <c r="D41" s="104"/>
      <c r="E41" s="104"/>
      <c r="F41" s="104"/>
      <c r="G41" s="104"/>
      <c r="H41" s="104"/>
      <c r="I41" s="104"/>
      <c r="J41" s="104"/>
    </row>
  </sheetData>
  <mergeCells count="8">
    <mergeCell ref="A41:J41"/>
    <mergeCell ref="A37:J37"/>
    <mergeCell ref="B2:B3"/>
    <mergeCell ref="C2:E2"/>
    <mergeCell ref="G2:J2"/>
    <mergeCell ref="B4:F4"/>
    <mergeCell ref="G4:J4"/>
    <mergeCell ref="F2:F3"/>
  </mergeCells>
  <pageMargins left="0.70866141732283472" right="0.70866141732283472" top="0.74803149606299213" bottom="0.74803149606299213" header="0.31496062992125984" footer="0.31496062992125984"/>
  <pageSetup scale="75" orientation="landscape" horizontalDpi="0" verticalDpi="0" r:id="rId1"/>
</worksheet>
</file>

<file path=xl/worksheets/sheet97.xml><?xml version="1.0" encoding="utf-8"?>
<worksheet xmlns="http://schemas.openxmlformats.org/spreadsheetml/2006/main" xmlns:r="http://schemas.openxmlformats.org/officeDocument/2006/relationships">
  <sheetPr codeName="Sheet90"/>
  <dimension ref="A1:Q39"/>
  <sheetViews>
    <sheetView view="pageBreakPreview" zoomScaleNormal="85" zoomScaleSheetLayoutView="100" workbookViewId="0">
      <pane xSplit="1" ySplit="5" topLeftCell="B6"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outlineLevelCol="1"/>
  <cols>
    <col min="1" max="1" width="10.85546875" style="64" customWidth="1"/>
    <col min="2" max="2" width="18.5703125" style="64" customWidth="1"/>
    <col min="3" max="3" width="19.42578125" style="64" bestFit="1" customWidth="1"/>
    <col min="4" max="10" width="14.5703125" style="64" customWidth="1"/>
    <col min="11" max="11" width="9.140625" style="64"/>
    <col min="12" max="16" width="31.42578125" style="64" hidden="1" customWidth="1" outlineLevel="1"/>
    <col min="17" max="17" width="9.140625" style="64" collapsed="1"/>
    <col min="18" max="16384" width="9.140625" style="64"/>
  </cols>
  <sheetData>
    <row r="1" spans="1:16">
      <c r="A1" s="108" t="s">
        <v>1991</v>
      </c>
      <c r="B1" s="108"/>
      <c r="C1" s="108"/>
      <c r="D1" s="108"/>
      <c r="E1" s="108"/>
      <c r="F1" s="108"/>
      <c r="G1" s="108"/>
      <c r="H1" s="108"/>
      <c r="I1" s="108"/>
      <c r="J1" s="108"/>
    </row>
    <row r="2" spans="1:16">
      <c r="B2" s="97" t="s">
        <v>617</v>
      </c>
      <c r="C2" s="97" t="s">
        <v>622</v>
      </c>
      <c r="D2" s="97"/>
      <c r="E2" s="97"/>
      <c r="F2" s="222"/>
      <c r="G2" s="107" t="s">
        <v>628</v>
      </c>
      <c r="H2" s="107"/>
      <c r="I2" s="107"/>
      <c r="J2" s="107"/>
    </row>
    <row r="3" spans="1:16" ht="90">
      <c r="B3" s="97"/>
      <c r="C3" s="73" t="s">
        <v>618</v>
      </c>
      <c r="D3" s="73" t="s">
        <v>619</v>
      </c>
      <c r="E3" s="73" t="s">
        <v>620</v>
      </c>
      <c r="F3" s="73" t="s">
        <v>621</v>
      </c>
      <c r="G3" s="73" t="s">
        <v>623</v>
      </c>
      <c r="H3" s="73" t="s">
        <v>625</v>
      </c>
      <c r="I3" s="73" t="s">
        <v>626</v>
      </c>
      <c r="J3" s="73" t="s">
        <v>627</v>
      </c>
      <c r="L3" s="117" t="s">
        <v>603</v>
      </c>
      <c r="M3" s="117" t="s">
        <v>604</v>
      </c>
      <c r="N3" s="117" t="s">
        <v>605</v>
      </c>
      <c r="O3" s="117" t="s">
        <v>606</v>
      </c>
      <c r="P3" s="117" t="s">
        <v>607</v>
      </c>
    </row>
    <row r="4" spans="1:16">
      <c r="B4" s="107" t="s">
        <v>630</v>
      </c>
      <c r="C4" s="107"/>
      <c r="D4" s="107"/>
      <c r="E4" s="107"/>
      <c r="F4" s="107"/>
      <c r="G4" s="107" t="s">
        <v>624</v>
      </c>
      <c r="H4" s="107"/>
      <c r="I4" s="107"/>
      <c r="J4" s="107"/>
    </row>
    <row r="5" spans="1:16" hidden="1" outlineLevel="1">
      <c r="G5" s="64" t="s">
        <v>654</v>
      </c>
      <c r="H5" s="64" t="s">
        <v>655</v>
      </c>
      <c r="I5" s="64" t="s">
        <v>656</v>
      </c>
      <c r="J5" s="64" t="s">
        <v>657</v>
      </c>
      <c r="L5" s="64" t="s">
        <v>649</v>
      </c>
      <c r="M5" s="64" t="s">
        <v>650</v>
      </c>
      <c r="N5" s="64" t="s">
        <v>651</v>
      </c>
      <c r="O5" s="64" t="s">
        <v>652</v>
      </c>
      <c r="P5" s="64" t="s">
        <v>653</v>
      </c>
    </row>
    <row r="6" spans="1:16" collapsed="1">
      <c r="A6" s="66">
        <v>1994</v>
      </c>
      <c r="B6" s="56">
        <f>L6/1000000</f>
        <v>104</v>
      </c>
      <c r="C6" s="56">
        <f>M6/1000000</f>
        <v>96</v>
      </c>
      <c r="D6" s="56">
        <f>N6/1000000</f>
        <v>53</v>
      </c>
      <c r="E6" s="56">
        <f>O6/1000000</f>
        <v>43</v>
      </c>
      <c r="F6" s="56">
        <f>P6/1000000</f>
        <v>8</v>
      </c>
      <c r="G6" s="56">
        <v>1059</v>
      </c>
      <c r="H6" s="56">
        <v>450</v>
      </c>
      <c r="I6" s="56">
        <v>374</v>
      </c>
      <c r="J6" s="56">
        <v>235</v>
      </c>
      <c r="L6" s="32">
        <v>104000000</v>
      </c>
      <c r="M6" s="32">
        <v>96000000</v>
      </c>
      <c r="N6" s="32">
        <v>53000000</v>
      </c>
      <c r="O6" s="32">
        <v>43000000</v>
      </c>
      <c r="P6" s="32">
        <v>8000000</v>
      </c>
    </row>
    <row r="7" spans="1:16">
      <c r="A7" s="66">
        <v>1995</v>
      </c>
      <c r="B7" s="56">
        <f t="shared" ref="B7:B24" si="0">L7/1000000</f>
        <v>127</v>
      </c>
      <c r="C7" s="56">
        <f t="shared" ref="C7:C24" si="1">M7/1000000</f>
        <v>115</v>
      </c>
      <c r="D7" s="56">
        <f t="shared" ref="D7:D24" si="2">N7/1000000</f>
        <v>58</v>
      </c>
      <c r="E7" s="56">
        <f t="shared" ref="E7:E24" si="3">O7/1000000</f>
        <v>57</v>
      </c>
      <c r="F7" s="56">
        <f t="shared" ref="F7:F23" si="4">P7/1000000</f>
        <v>12</v>
      </c>
      <c r="G7" s="56">
        <v>1009</v>
      </c>
      <c r="H7" s="56">
        <v>425</v>
      </c>
      <c r="I7" s="56">
        <v>358</v>
      </c>
      <c r="J7" s="56">
        <v>226</v>
      </c>
      <c r="L7" s="32">
        <v>127000000</v>
      </c>
      <c r="M7" s="32">
        <v>115000000</v>
      </c>
      <c r="N7" s="32">
        <v>58000000</v>
      </c>
      <c r="O7" s="32">
        <v>57000000</v>
      </c>
      <c r="P7" s="32">
        <v>12000000</v>
      </c>
    </row>
    <row r="8" spans="1:16">
      <c r="A8" s="66">
        <v>1996</v>
      </c>
      <c r="B8" s="56">
        <f t="shared" si="0"/>
        <v>121</v>
      </c>
      <c r="C8" s="56">
        <f t="shared" si="1"/>
        <v>110</v>
      </c>
      <c r="D8" s="56">
        <f t="shared" si="2"/>
        <v>53</v>
      </c>
      <c r="E8" s="56">
        <f t="shared" si="3"/>
        <v>57</v>
      </c>
      <c r="F8" s="56">
        <f t="shared" si="4"/>
        <v>11</v>
      </c>
      <c r="G8" s="56">
        <v>971</v>
      </c>
      <c r="H8" s="56">
        <v>403</v>
      </c>
      <c r="I8" s="56">
        <v>350</v>
      </c>
      <c r="J8" s="56">
        <v>218</v>
      </c>
      <c r="L8" s="32">
        <v>121000000</v>
      </c>
      <c r="M8" s="32">
        <v>110000000</v>
      </c>
      <c r="N8" s="32">
        <v>53000000</v>
      </c>
      <c r="O8" s="32">
        <v>57000000</v>
      </c>
      <c r="P8" s="32">
        <v>11000000</v>
      </c>
    </row>
    <row r="9" spans="1:16">
      <c r="A9" s="66">
        <v>1997</v>
      </c>
      <c r="B9" s="56">
        <f t="shared" si="0"/>
        <v>130</v>
      </c>
      <c r="C9" s="56">
        <f t="shared" si="1"/>
        <v>116</v>
      </c>
      <c r="D9" s="56">
        <f t="shared" si="2"/>
        <v>55</v>
      </c>
      <c r="E9" s="56">
        <f t="shared" si="3"/>
        <v>61</v>
      </c>
      <c r="F9" s="56">
        <f t="shared" si="4"/>
        <v>14</v>
      </c>
      <c r="G9" s="56">
        <v>960</v>
      </c>
      <c r="H9" s="56">
        <v>388</v>
      </c>
      <c r="I9" s="56">
        <v>377</v>
      </c>
      <c r="J9" s="56">
        <v>195</v>
      </c>
      <c r="L9" s="32">
        <v>130000000</v>
      </c>
      <c r="M9" s="32">
        <v>116000000</v>
      </c>
      <c r="N9" s="32">
        <v>55000000</v>
      </c>
      <c r="O9" s="32">
        <v>61000000</v>
      </c>
      <c r="P9" s="32">
        <v>14000000</v>
      </c>
    </row>
    <row r="10" spans="1:16">
      <c r="A10" s="66">
        <v>1998</v>
      </c>
      <c r="B10" s="56">
        <f t="shared" si="0"/>
        <v>146</v>
      </c>
      <c r="C10" s="56">
        <f t="shared" si="1"/>
        <v>131</v>
      </c>
      <c r="D10" s="56">
        <f t="shared" si="2"/>
        <v>71</v>
      </c>
      <c r="E10" s="56">
        <f t="shared" si="3"/>
        <v>60</v>
      </c>
      <c r="F10" s="56">
        <f t="shared" si="4"/>
        <v>15</v>
      </c>
      <c r="G10" s="56">
        <v>1087</v>
      </c>
      <c r="H10" s="56">
        <v>445</v>
      </c>
      <c r="I10" s="56">
        <v>417</v>
      </c>
      <c r="J10" s="56">
        <v>225</v>
      </c>
      <c r="L10" s="32">
        <v>146000000</v>
      </c>
      <c r="M10" s="32">
        <v>131000000</v>
      </c>
      <c r="N10" s="32">
        <v>71000000</v>
      </c>
      <c r="O10" s="32">
        <v>60000000</v>
      </c>
      <c r="P10" s="32">
        <v>15000000</v>
      </c>
    </row>
    <row r="11" spans="1:16">
      <c r="A11" s="66">
        <v>1999</v>
      </c>
      <c r="B11" s="56">
        <f t="shared" si="0"/>
        <v>113</v>
      </c>
      <c r="C11" s="56">
        <f t="shared" si="1"/>
        <v>105</v>
      </c>
      <c r="D11" s="56">
        <f t="shared" si="2"/>
        <v>61</v>
      </c>
      <c r="E11" s="56">
        <f t="shared" si="3"/>
        <v>44</v>
      </c>
      <c r="F11" s="56">
        <f t="shared" si="4"/>
        <v>8</v>
      </c>
      <c r="G11" s="56">
        <v>1026</v>
      </c>
      <c r="H11" s="56">
        <v>436</v>
      </c>
      <c r="I11" s="56">
        <v>408</v>
      </c>
      <c r="J11" s="56">
        <v>182</v>
      </c>
      <c r="L11" s="32">
        <v>113000000</v>
      </c>
      <c r="M11" s="32">
        <v>105000000</v>
      </c>
      <c r="N11" s="32">
        <v>61000000</v>
      </c>
      <c r="O11" s="32">
        <v>44000000</v>
      </c>
      <c r="P11" s="32">
        <v>8000000</v>
      </c>
    </row>
    <row r="12" spans="1:16">
      <c r="A12" s="66">
        <v>2000</v>
      </c>
      <c r="B12" s="56">
        <f t="shared" si="0"/>
        <v>230</v>
      </c>
      <c r="C12" s="56">
        <f t="shared" si="1"/>
        <v>221</v>
      </c>
      <c r="D12" s="56">
        <f t="shared" si="2"/>
        <v>76</v>
      </c>
      <c r="E12" s="56">
        <f t="shared" si="3"/>
        <v>145</v>
      </c>
      <c r="F12" s="56">
        <f t="shared" si="4"/>
        <v>9</v>
      </c>
      <c r="G12" s="56">
        <v>1159</v>
      </c>
      <c r="H12" s="56">
        <v>519</v>
      </c>
      <c r="I12" s="56">
        <v>384</v>
      </c>
      <c r="J12" s="56">
        <v>256</v>
      </c>
      <c r="L12" s="32">
        <v>230000000</v>
      </c>
      <c r="M12" s="32">
        <v>221000000</v>
      </c>
      <c r="N12" s="32">
        <v>76000000</v>
      </c>
      <c r="O12" s="32">
        <v>145000000</v>
      </c>
      <c r="P12" s="32">
        <v>9000000</v>
      </c>
    </row>
    <row r="13" spans="1:16">
      <c r="A13" s="66">
        <v>2001</v>
      </c>
      <c r="B13" s="56">
        <f t="shared" si="0"/>
        <v>420</v>
      </c>
      <c r="C13" s="56">
        <f t="shared" si="1"/>
        <v>413</v>
      </c>
      <c r="D13" s="56">
        <f t="shared" si="2"/>
        <v>110</v>
      </c>
      <c r="E13" s="56">
        <f t="shared" si="3"/>
        <v>303</v>
      </c>
      <c r="F13" s="56">
        <f t="shared" si="4"/>
        <v>7</v>
      </c>
      <c r="G13" s="56">
        <v>1722</v>
      </c>
      <c r="H13" s="56">
        <v>545</v>
      </c>
      <c r="I13" s="56">
        <v>479</v>
      </c>
      <c r="J13" s="56">
        <v>698</v>
      </c>
      <c r="L13" s="32">
        <v>420000000</v>
      </c>
      <c r="M13" s="32">
        <v>413000000</v>
      </c>
      <c r="N13" s="32">
        <v>110000000</v>
      </c>
      <c r="O13" s="32">
        <v>303000000</v>
      </c>
      <c r="P13" s="32">
        <v>7000000</v>
      </c>
    </row>
    <row r="14" spans="1:16">
      <c r="A14" s="66">
        <v>2002</v>
      </c>
      <c r="B14" s="56">
        <f t="shared" si="0"/>
        <v>405</v>
      </c>
      <c r="C14" s="56">
        <f t="shared" si="1"/>
        <v>399</v>
      </c>
      <c r="D14" s="56">
        <f t="shared" si="2"/>
        <v>105</v>
      </c>
      <c r="E14" s="56">
        <f t="shared" si="3"/>
        <v>294</v>
      </c>
      <c r="F14" s="56">
        <f t="shared" si="4"/>
        <v>6</v>
      </c>
      <c r="G14" s="56">
        <v>1671</v>
      </c>
      <c r="H14" s="56">
        <v>593</v>
      </c>
      <c r="I14" s="56">
        <v>515</v>
      </c>
      <c r="J14" s="56">
        <v>563</v>
      </c>
      <c r="L14" s="32">
        <v>405000000</v>
      </c>
      <c r="M14" s="32">
        <v>399000000</v>
      </c>
      <c r="N14" s="32">
        <v>105000000</v>
      </c>
      <c r="O14" s="32">
        <v>294000000</v>
      </c>
      <c r="P14" s="32">
        <v>6000000</v>
      </c>
    </row>
    <row r="15" spans="1:16">
      <c r="A15" s="66">
        <v>2003</v>
      </c>
      <c r="B15" s="56">
        <f t="shared" si="0"/>
        <v>420</v>
      </c>
      <c r="C15" s="56">
        <f t="shared" si="1"/>
        <v>414</v>
      </c>
      <c r="D15" s="56">
        <f t="shared" si="2"/>
        <v>106</v>
      </c>
      <c r="E15" s="56">
        <f t="shared" si="3"/>
        <v>309</v>
      </c>
      <c r="F15" s="56">
        <f t="shared" si="4"/>
        <v>6</v>
      </c>
      <c r="G15" s="56">
        <v>1703</v>
      </c>
      <c r="H15" s="56">
        <v>655</v>
      </c>
      <c r="I15" s="56">
        <v>772</v>
      </c>
      <c r="J15" s="56">
        <v>276</v>
      </c>
      <c r="L15" s="32">
        <v>420000000</v>
      </c>
      <c r="M15" s="32">
        <v>414000000</v>
      </c>
      <c r="N15" s="32">
        <v>106000000</v>
      </c>
      <c r="O15" s="32">
        <v>309000000</v>
      </c>
      <c r="P15" s="32">
        <v>6000000</v>
      </c>
    </row>
    <row r="16" spans="1:16">
      <c r="A16" s="66">
        <v>2004</v>
      </c>
      <c r="B16" s="56">
        <f t="shared" si="0"/>
        <v>420</v>
      </c>
      <c r="C16" s="56">
        <f t="shared" si="1"/>
        <v>411</v>
      </c>
      <c r="D16" s="56">
        <f t="shared" si="2"/>
        <v>111</v>
      </c>
      <c r="E16" s="56">
        <f t="shared" si="3"/>
        <v>300</v>
      </c>
      <c r="F16" s="56">
        <f t="shared" si="4"/>
        <v>10</v>
      </c>
      <c r="G16" s="56">
        <v>1767</v>
      </c>
      <c r="H16" s="56">
        <v>649</v>
      </c>
      <c r="I16" s="56">
        <v>620</v>
      </c>
      <c r="J16" s="56">
        <v>498</v>
      </c>
      <c r="L16" s="32">
        <v>420000000</v>
      </c>
      <c r="M16" s="32">
        <v>411000000</v>
      </c>
      <c r="N16" s="32">
        <v>111000000</v>
      </c>
      <c r="O16" s="32">
        <v>300000000</v>
      </c>
      <c r="P16" s="32">
        <v>10000000</v>
      </c>
    </row>
    <row r="17" spans="1:16">
      <c r="A17" s="66">
        <v>2005</v>
      </c>
      <c r="B17" s="56">
        <f t="shared" si="0"/>
        <v>314</v>
      </c>
      <c r="C17" s="56">
        <f t="shared" si="1"/>
        <v>308</v>
      </c>
      <c r="D17" s="56">
        <f t="shared" si="2"/>
        <v>95</v>
      </c>
      <c r="E17" s="56">
        <f t="shared" si="3"/>
        <v>213</v>
      </c>
      <c r="F17" s="56">
        <f t="shared" si="4"/>
        <v>6</v>
      </c>
      <c r="G17" s="56">
        <v>1588</v>
      </c>
      <c r="H17" s="56">
        <v>594</v>
      </c>
      <c r="I17" s="56">
        <v>580</v>
      </c>
      <c r="J17" s="56">
        <v>414</v>
      </c>
      <c r="L17" s="32">
        <v>314000000</v>
      </c>
      <c r="M17" s="32">
        <v>308000000</v>
      </c>
      <c r="N17" s="32">
        <v>95000000</v>
      </c>
      <c r="O17" s="32">
        <v>213000000</v>
      </c>
      <c r="P17" s="32">
        <v>6000000</v>
      </c>
    </row>
    <row r="18" spans="1:16">
      <c r="A18" s="66">
        <v>2006</v>
      </c>
      <c r="B18" s="56">
        <f t="shared" si="0"/>
        <v>565</v>
      </c>
      <c r="C18" s="56">
        <f t="shared" si="1"/>
        <v>563</v>
      </c>
      <c r="D18" s="56">
        <f t="shared" si="2"/>
        <v>132</v>
      </c>
      <c r="E18" s="56">
        <f t="shared" si="3"/>
        <v>430</v>
      </c>
      <c r="F18" s="56">
        <f t="shared" si="4"/>
        <v>3</v>
      </c>
      <c r="G18" s="56">
        <v>1831</v>
      </c>
      <c r="H18" s="56">
        <v>741</v>
      </c>
      <c r="I18" s="56">
        <v>616</v>
      </c>
      <c r="J18" s="56">
        <v>474</v>
      </c>
      <c r="L18" s="32">
        <v>565000000</v>
      </c>
      <c r="M18" s="32">
        <v>563000000</v>
      </c>
      <c r="N18" s="32">
        <v>132000000</v>
      </c>
      <c r="O18" s="32">
        <v>430000000</v>
      </c>
      <c r="P18" s="32">
        <v>3000000</v>
      </c>
    </row>
    <row r="19" spans="1:16">
      <c r="A19" s="66">
        <v>2007</v>
      </c>
      <c r="B19" s="56">
        <f t="shared" si="0"/>
        <v>283</v>
      </c>
      <c r="C19" s="56">
        <f t="shared" si="1"/>
        <v>280</v>
      </c>
      <c r="D19" s="56">
        <f t="shared" si="2"/>
        <v>91</v>
      </c>
      <c r="E19" s="56">
        <f t="shared" si="3"/>
        <v>190</v>
      </c>
      <c r="F19" s="56">
        <f t="shared" si="4"/>
        <v>3</v>
      </c>
      <c r="G19" s="56">
        <v>1718</v>
      </c>
      <c r="H19" s="56">
        <v>705</v>
      </c>
      <c r="I19" s="56">
        <v>655</v>
      </c>
      <c r="J19" s="56">
        <v>358</v>
      </c>
      <c r="L19" s="32">
        <v>283000000</v>
      </c>
      <c r="M19" s="32">
        <v>280000000</v>
      </c>
      <c r="N19" s="32">
        <v>91000000</v>
      </c>
      <c r="O19" s="32">
        <v>190000000</v>
      </c>
      <c r="P19" s="32">
        <v>3000000</v>
      </c>
    </row>
    <row r="20" spans="1:16">
      <c r="A20" s="66">
        <v>2008</v>
      </c>
      <c r="B20" s="56">
        <f t="shared" si="0"/>
        <v>151</v>
      </c>
      <c r="C20" s="56">
        <f t="shared" si="1"/>
        <v>149</v>
      </c>
      <c r="D20" s="56">
        <f t="shared" si="2"/>
        <v>55</v>
      </c>
      <c r="E20" s="56">
        <f t="shared" si="3"/>
        <v>94</v>
      </c>
      <c r="F20" s="56" t="s">
        <v>1811</v>
      </c>
      <c r="G20" s="56" t="s">
        <v>1811</v>
      </c>
      <c r="H20" s="56">
        <v>559</v>
      </c>
      <c r="I20" s="56">
        <v>472</v>
      </c>
      <c r="J20" s="56">
        <v>248</v>
      </c>
      <c r="L20" s="32">
        <v>151000000</v>
      </c>
      <c r="M20" s="32">
        <v>149000000</v>
      </c>
      <c r="N20" s="32">
        <v>55000000</v>
      </c>
      <c r="O20" s="32">
        <v>94000000</v>
      </c>
      <c r="P20" s="32" t="s">
        <v>1811</v>
      </c>
    </row>
    <row r="21" spans="1:16">
      <c r="A21" s="66">
        <v>2009</v>
      </c>
      <c r="B21" s="56">
        <f t="shared" si="0"/>
        <v>74</v>
      </c>
      <c r="C21" s="56">
        <f t="shared" si="1"/>
        <v>72</v>
      </c>
      <c r="D21" s="56">
        <f t="shared" si="2"/>
        <v>33</v>
      </c>
      <c r="E21" s="56">
        <f t="shared" si="3"/>
        <v>39</v>
      </c>
      <c r="F21" s="56">
        <f t="shared" si="4"/>
        <v>2</v>
      </c>
      <c r="G21" s="56">
        <v>815</v>
      </c>
      <c r="H21" s="56">
        <v>329</v>
      </c>
      <c r="I21" s="56">
        <v>290</v>
      </c>
      <c r="J21" s="56">
        <v>196</v>
      </c>
      <c r="L21" s="32">
        <v>74000000</v>
      </c>
      <c r="M21" s="32">
        <v>72000000</v>
      </c>
      <c r="N21" s="32">
        <v>33000000</v>
      </c>
      <c r="O21" s="32">
        <v>39000000</v>
      </c>
      <c r="P21" s="32">
        <v>2000000</v>
      </c>
    </row>
    <row r="22" spans="1:16">
      <c r="A22" s="66">
        <v>2010</v>
      </c>
      <c r="B22" s="56">
        <f t="shared" si="0"/>
        <v>142</v>
      </c>
      <c r="C22" s="56">
        <f t="shared" si="1"/>
        <v>135</v>
      </c>
      <c r="D22" s="56">
        <f t="shared" si="2"/>
        <v>50</v>
      </c>
      <c r="E22" s="56">
        <f t="shared" si="3"/>
        <v>86</v>
      </c>
      <c r="F22" s="56">
        <f t="shared" si="4"/>
        <v>7</v>
      </c>
      <c r="G22" s="56">
        <v>813</v>
      </c>
      <c r="H22" s="56">
        <v>393</v>
      </c>
      <c r="I22" s="56">
        <v>344</v>
      </c>
      <c r="J22" s="56">
        <v>76</v>
      </c>
      <c r="L22" s="32">
        <v>142000000</v>
      </c>
      <c r="M22" s="32">
        <v>135000000</v>
      </c>
      <c r="N22" s="32">
        <v>50000000</v>
      </c>
      <c r="O22" s="32">
        <v>86000000</v>
      </c>
      <c r="P22" s="32">
        <v>7000000</v>
      </c>
    </row>
    <row r="23" spans="1:16">
      <c r="A23" s="66">
        <v>2011</v>
      </c>
      <c r="B23" s="56">
        <f t="shared" si="0"/>
        <v>111</v>
      </c>
      <c r="C23" s="56">
        <f t="shared" si="1"/>
        <v>109</v>
      </c>
      <c r="D23" s="56">
        <f t="shared" si="2"/>
        <v>44</v>
      </c>
      <c r="E23" s="56">
        <f t="shared" si="3"/>
        <v>65</v>
      </c>
      <c r="F23" s="56">
        <f t="shared" si="4"/>
        <v>2</v>
      </c>
      <c r="G23" s="56" t="s">
        <v>22</v>
      </c>
      <c r="H23" s="56" t="s">
        <v>22</v>
      </c>
      <c r="I23" s="56" t="s">
        <v>22</v>
      </c>
      <c r="J23" s="56" t="s">
        <v>22</v>
      </c>
      <c r="L23" s="32">
        <v>111000000</v>
      </c>
      <c r="M23" s="32">
        <v>109000000</v>
      </c>
      <c r="N23" s="32">
        <v>44000000</v>
      </c>
      <c r="O23" s="32">
        <v>65000000</v>
      </c>
      <c r="P23" s="32">
        <v>2000000</v>
      </c>
    </row>
    <row r="24" spans="1:16">
      <c r="A24" s="66">
        <v>2012</v>
      </c>
      <c r="B24" s="56">
        <f t="shared" si="0"/>
        <v>122</v>
      </c>
      <c r="C24" s="56">
        <f t="shared" si="1"/>
        <v>119</v>
      </c>
      <c r="D24" s="56">
        <f t="shared" si="2"/>
        <v>46</v>
      </c>
      <c r="E24" s="56">
        <f t="shared" si="3"/>
        <v>73</v>
      </c>
      <c r="F24" s="56" t="s">
        <v>1811</v>
      </c>
      <c r="G24" s="56" t="s">
        <v>22</v>
      </c>
      <c r="H24" s="56" t="s">
        <v>22</v>
      </c>
      <c r="I24" s="56" t="s">
        <v>22</v>
      </c>
      <c r="J24" s="56" t="s">
        <v>22</v>
      </c>
      <c r="L24" s="32">
        <v>122000000</v>
      </c>
      <c r="M24" s="32">
        <v>119000000</v>
      </c>
      <c r="N24" s="32">
        <v>46000000</v>
      </c>
      <c r="O24" s="32">
        <v>73000000</v>
      </c>
      <c r="P24" s="32" t="s">
        <v>1811</v>
      </c>
    </row>
    <row r="25" spans="1:16">
      <c r="A25" s="66"/>
      <c r="G25" s="152"/>
      <c r="H25" s="152"/>
      <c r="I25" s="152"/>
      <c r="J25" s="152"/>
    </row>
    <row r="26" spans="1:16">
      <c r="A26" s="66" t="s">
        <v>1039</v>
      </c>
    </row>
    <row r="27" spans="1:16">
      <c r="A27" s="64" t="s">
        <v>2133</v>
      </c>
      <c r="B27" s="58">
        <f>(B24-B6)/B6*100</f>
        <v>17.307692307692307</v>
      </c>
      <c r="C27" s="58">
        <f t="shared" ref="C27:E27" si="5">(C24-C6)/C6*100</f>
        <v>23.958333333333336</v>
      </c>
      <c r="D27" s="58">
        <f t="shared" si="5"/>
        <v>-13.20754716981132</v>
      </c>
      <c r="E27" s="58">
        <f t="shared" si="5"/>
        <v>69.767441860465112</v>
      </c>
      <c r="F27" s="58" t="s">
        <v>22</v>
      </c>
      <c r="G27" s="58" t="s">
        <v>22</v>
      </c>
      <c r="H27" s="58" t="s">
        <v>22</v>
      </c>
      <c r="I27" s="58" t="s">
        <v>22</v>
      </c>
      <c r="J27" s="58" t="s">
        <v>22</v>
      </c>
    </row>
    <row r="28" spans="1:16">
      <c r="A28" s="69" t="s">
        <v>1044</v>
      </c>
      <c r="B28" s="58">
        <f>(B12-B6)/B6*100</f>
        <v>121.15384615384615</v>
      </c>
      <c r="C28" s="58">
        <f t="shared" ref="C28:F28" si="6">(C12-C6)/C6*100</f>
        <v>130.20833333333331</v>
      </c>
      <c r="D28" s="58">
        <f t="shared" si="6"/>
        <v>43.39622641509434</v>
      </c>
      <c r="E28" s="58">
        <f t="shared" si="6"/>
        <v>237.2093023255814</v>
      </c>
      <c r="F28" s="58">
        <f t="shared" si="6"/>
        <v>12.5</v>
      </c>
      <c r="G28" s="58">
        <f t="shared" ref="G28:J28" si="7">(G12-G6)/G6*100</f>
        <v>9.4428706326723333</v>
      </c>
      <c r="H28" s="58">
        <f t="shared" si="7"/>
        <v>15.333333333333332</v>
      </c>
      <c r="I28" s="58">
        <f t="shared" si="7"/>
        <v>2.6737967914438503</v>
      </c>
      <c r="J28" s="58">
        <f t="shared" si="7"/>
        <v>8.9361702127659584</v>
      </c>
    </row>
    <row r="29" spans="1:16">
      <c r="A29" s="69" t="s">
        <v>2028</v>
      </c>
      <c r="B29" s="58">
        <f>(B24-B12)/B12*100</f>
        <v>-46.956521739130437</v>
      </c>
      <c r="C29" s="58">
        <f t="shared" ref="C29:E29" si="8">(C24-C12)/C12*100</f>
        <v>-46.153846153846153</v>
      </c>
      <c r="D29" s="58">
        <f t="shared" si="8"/>
        <v>-39.473684210526315</v>
      </c>
      <c r="E29" s="58">
        <f t="shared" si="8"/>
        <v>-49.655172413793103</v>
      </c>
      <c r="F29" s="58" t="s">
        <v>22</v>
      </c>
      <c r="G29" s="58" t="s">
        <v>22</v>
      </c>
      <c r="H29" s="58" t="s">
        <v>22</v>
      </c>
      <c r="I29" s="58" t="s">
        <v>22</v>
      </c>
      <c r="J29" s="58" t="s">
        <v>22</v>
      </c>
    </row>
    <row r="30" spans="1:16">
      <c r="A30" s="68"/>
      <c r="B30" s="58"/>
      <c r="C30" s="58"/>
      <c r="D30" s="58"/>
      <c r="E30" s="58"/>
      <c r="F30" s="58"/>
      <c r="G30" s="58"/>
      <c r="H30" s="58"/>
      <c r="I30" s="58"/>
      <c r="J30" s="58"/>
    </row>
    <row r="31" spans="1:16">
      <c r="A31" s="204" t="s">
        <v>1045</v>
      </c>
      <c r="B31" s="58"/>
      <c r="C31" s="58"/>
      <c r="D31" s="58"/>
      <c r="E31" s="58"/>
      <c r="F31" s="58"/>
      <c r="G31" s="58"/>
      <c r="H31" s="58"/>
      <c r="I31" s="58"/>
      <c r="J31" s="58"/>
    </row>
    <row r="32" spans="1:16">
      <c r="A32" s="64" t="s">
        <v>2133</v>
      </c>
      <c r="B32" s="147">
        <f>((B24/B6)^(1/18)-1)*100</f>
        <v>0.89077816651919051</v>
      </c>
      <c r="C32" s="147">
        <f t="shared" ref="C32:E32" si="9">((C24/C6)^(1/18)-1)*100</f>
        <v>1.2003431027015621</v>
      </c>
      <c r="D32" s="147">
        <f t="shared" si="9"/>
        <v>-0.78385899308864859</v>
      </c>
      <c r="E32" s="147">
        <f t="shared" si="9"/>
        <v>2.9839840878774559</v>
      </c>
      <c r="F32" s="58" t="s">
        <v>22</v>
      </c>
      <c r="G32" s="58" t="s">
        <v>22</v>
      </c>
      <c r="H32" s="58" t="s">
        <v>22</v>
      </c>
      <c r="I32" s="58" t="s">
        <v>22</v>
      </c>
      <c r="J32" s="58" t="s">
        <v>22</v>
      </c>
    </row>
    <row r="33" spans="1:10">
      <c r="A33" s="69" t="s">
        <v>1044</v>
      </c>
      <c r="B33" s="147">
        <f t="shared" ref="B33:J33" si="10">((B12/B6)^(1/6)-1)*100</f>
        <v>14.142947419327069</v>
      </c>
      <c r="C33" s="147">
        <f t="shared" si="10"/>
        <v>14.908857539073782</v>
      </c>
      <c r="D33" s="147">
        <f t="shared" si="10"/>
        <v>6.1914669925637655</v>
      </c>
      <c r="E33" s="147">
        <f t="shared" si="10"/>
        <v>22.456899073601868</v>
      </c>
      <c r="F33" s="147">
        <f t="shared" si="10"/>
        <v>1.982445132775279</v>
      </c>
      <c r="G33" s="147">
        <f t="shared" si="10"/>
        <v>1.5152400626456508</v>
      </c>
      <c r="H33" s="147">
        <f t="shared" si="10"/>
        <v>2.4060953826468001</v>
      </c>
      <c r="I33" s="147">
        <f t="shared" si="10"/>
        <v>0.44074770100044347</v>
      </c>
      <c r="J33" s="147">
        <f t="shared" si="10"/>
        <v>1.4367556985670715</v>
      </c>
    </row>
    <row r="34" spans="1:10">
      <c r="A34" s="69" t="s">
        <v>2028</v>
      </c>
      <c r="B34" s="147">
        <f>((B24/B12)^(1/12)-1)*100</f>
        <v>-5.1466516482046138</v>
      </c>
      <c r="C34" s="147">
        <f t="shared" ref="C34:E34" si="11">((C24/C12)^(1/12)-1)*100</f>
        <v>-5.0278600137732781</v>
      </c>
      <c r="D34" s="147">
        <f t="shared" si="11"/>
        <v>-4.0977742519526794</v>
      </c>
      <c r="E34" s="147">
        <f t="shared" si="11"/>
        <v>-5.5584937960887597</v>
      </c>
      <c r="F34" s="58" t="s">
        <v>22</v>
      </c>
      <c r="G34" s="58" t="s">
        <v>22</v>
      </c>
      <c r="H34" s="58" t="s">
        <v>22</v>
      </c>
      <c r="I34" s="58" t="s">
        <v>22</v>
      </c>
      <c r="J34" s="58" t="s">
        <v>22</v>
      </c>
    </row>
    <row r="36" spans="1:10">
      <c r="A36" s="64" t="s">
        <v>500</v>
      </c>
    </row>
    <row r="37" spans="1:10">
      <c r="A37" s="137" t="s">
        <v>629</v>
      </c>
      <c r="B37" s="137"/>
      <c r="C37" s="137"/>
      <c r="D37" s="137"/>
      <c r="E37" s="137"/>
      <c r="F37" s="137"/>
      <c r="G37" s="137"/>
      <c r="H37" s="137"/>
      <c r="I37" s="137"/>
      <c r="J37" s="137"/>
    </row>
    <row r="38" spans="1:10">
      <c r="A38" s="64" t="s">
        <v>193</v>
      </c>
    </row>
    <row r="39" spans="1:10">
      <c r="A39" s="64" t="s">
        <v>1990</v>
      </c>
    </row>
  </sheetData>
  <mergeCells count="7">
    <mergeCell ref="A37:J37"/>
    <mergeCell ref="A1:J1"/>
    <mergeCell ref="B2:B3"/>
    <mergeCell ref="C2:E2"/>
    <mergeCell ref="G2:J2"/>
    <mergeCell ref="B4:F4"/>
    <mergeCell ref="G4:J4"/>
  </mergeCells>
  <pageMargins left="0.7" right="0.7" top="0.75" bottom="0.75" header="0.3" footer="0.3"/>
  <pageSetup scale="82" orientation="landscape" horizontalDpi="0" verticalDpi="0" r:id="rId1"/>
</worksheet>
</file>

<file path=xl/worksheets/sheet98.xml><?xml version="1.0" encoding="utf-8"?>
<worksheet xmlns="http://schemas.openxmlformats.org/spreadsheetml/2006/main" xmlns:r="http://schemas.openxmlformats.org/officeDocument/2006/relationships">
  <sheetPr codeName="Sheet91"/>
  <dimension ref="A1:G20"/>
  <sheetViews>
    <sheetView view="pageBreakPreview" zoomScaleNormal="100" zoomScaleSheetLayoutView="100" workbookViewId="0">
      <selection activeCell="AC38" sqref="AC38"/>
    </sheetView>
  </sheetViews>
  <sheetFormatPr defaultRowHeight="15"/>
  <cols>
    <col min="1" max="1" width="9.140625" style="64"/>
    <col min="2" max="3" width="13.85546875" style="64" customWidth="1"/>
    <col min="4" max="4" width="16.7109375" style="64" customWidth="1"/>
    <col min="5" max="5" width="17.7109375" style="64" customWidth="1"/>
    <col min="6" max="6" width="14.7109375" style="64" customWidth="1"/>
    <col min="7" max="7" width="14.140625" style="64" customWidth="1"/>
    <col min="8" max="16384" width="9.140625" style="64"/>
  </cols>
  <sheetData>
    <row r="1" spans="1:7" ht="30" customHeight="1">
      <c r="A1" s="140" t="s">
        <v>1993</v>
      </c>
      <c r="B1" s="140"/>
      <c r="C1" s="140"/>
      <c r="D1" s="140"/>
      <c r="E1" s="140"/>
      <c r="F1" s="140"/>
      <c r="G1" s="140"/>
    </row>
    <row r="2" spans="1:7">
      <c r="A2" s="71"/>
      <c r="B2" s="94" t="s">
        <v>673</v>
      </c>
      <c r="C2" s="94" t="s">
        <v>938</v>
      </c>
      <c r="D2" s="94" t="s">
        <v>37</v>
      </c>
      <c r="E2" s="94"/>
      <c r="F2" s="94"/>
      <c r="G2" s="94"/>
    </row>
    <row r="3" spans="1:7" ht="30">
      <c r="B3" s="94"/>
      <c r="C3" s="94"/>
      <c r="D3" s="72" t="s">
        <v>39</v>
      </c>
      <c r="E3" s="72" t="s">
        <v>63</v>
      </c>
      <c r="F3" s="72" t="s">
        <v>670</v>
      </c>
      <c r="G3" s="72" t="s">
        <v>671</v>
      </c>
    </row>
    <row r="4" spans="1:7">
      <c r="A4" s="66">
        <v>1994</v>
      </c>
      <c r="B4" s="221">
        <f>'12'!B6/'1b'!B39*100</f>
        <v>1.0335534035370266</v>
      </c>
      <c r="C4" s="221">
        <f>'12a'!B6/'1b'!C39*100</f>
        <v>3.7922646177983013</v>
      </c>
      <c r="D4" s="221">
        <f>'12b'!B6/'1b'!D39*100</f>
        <v>0.74785549726878531</v>
      </c>
      <c r="E4" s="221">
        <f>'12c'!B6/'1b'!E39*100</f>
        <v>0.43824082348110943</v>
      </c>
      <c r="F4" s="221">
        <f>'12d'!B6/'1b'!F39*100</f>
        <v>0.33366451632934463</v>
      </c>
      <c r="G4" s="221">
        <f>'12e'!B6/'1b'!G39*100</f>
        <v>1.3673660290964391</v>
      </c>
    </row>
    <row r="5" spans="1:7">
      <c r="A5" s="66">
        <v>1995</v>
      </c>
      <c r="B5" s="221">
        <f>'12'!B7/'1b'!B40*100</f>
        <v>1.0383734889410376</v>
      </c>
      <c r="C5" s="221">
        <f>'12a'!B7/'1b'!C40*100</f>
        <v>3.6902959189801305</v>
      </c>
      <c r="D5" s="221">
        <f>'12b'!B7/'1b'!D40*100</f>
        <v>0.677143602342547</v>
      </c>
      <c r="E5" s="221">
        <f>'12c'!B7/'1b'!E40*100</f>
        <v>0.32511404942916455</v>
      </c>
      <c r="F5" s="221">
        <f>'12d'!B7/'1b'!F40*100</f>
        <v>0.43357272561769755</v>
      </c>
      <c r="G5" s="221">
        <f>'12e'!B7/'1b'!G40*100</f>
        <v>0.932326406405385</v>
      </c>
    </row>
    <row r="6" spans="1:7">
      <c r="A6" s="66">
        <v>1996</v>
      </c>
      <c r="B6" s="221">
        <f>'12'!B8/'1b'!B41*100</f>
        <v>1.0054650799562019</v>
      </c>
      <c r="C6" s="221">
        <f>'12a'!B8/'1b'!C41*100</f>
        <v>3.7571998819750001</v>
      </c>
      <c r="D6" s="221">
        <f>'12b'!B8/'1b'!D41*100</f>
        <v>0.6836887059682466</v>
      </c>
      <c r="E6" s="221">
        <f>'12c'!B8/'1b'!E41*100</f>
        <v>0.3289319024866813</v>
      </c>
      <c r="F6" s="221">
        <f>'12d'!B8/'1b'!F41*100</f>
        <v>0.35785100199794162</v>
      </c>
      <c r="G6" s="221">
        <f>'12e'!B8/'1b'!G41*100</f>
        <v>1.0514758685913217</v>
      </c>
    </row>
    <row r="7" spans="1:7">
      <c r="A7" s="66">
        <v>1997</v>
      </c>
      <c r="B7" s="221">
        <f>'12'!B9/'1b'!B42*100</f>
        <v>1.0436816165001843</v>
      </c>
      <c r="C7" s="221">
        <f>'12a'!B9/'1b'!C42*100</f>
        <v>4.0220553719397669</v>
      </c>
      <c r="D7" s="65" t="s">
        <v>22</v>
      </c>
      <c r="E7" s="221">
        <f>'12c'!B9/'1b'!E42*100</f>
        <v>0.39123370603613827</v>
      </c>
      <c r="F7" s="65" t="s">
        <v>22</v>
      </c>
      <c r="G7" s="221">
        <f>'12e'!B9/'1b'!G42*100</f>
        <v>1.2743745403593276</v>
      </c>
    </row>
    <row r="8" spans="1:7">
      <c r="A8" s="66">
        <v>1998</v>
      </c>
      <c r="B8" s="221">
        <f>'12'!B10/'1b'!B43*100</f>
        <v>1.1156277302580513</v>
      </c>
      <c r="C8" s="221">
        <f>'12a'!B10/'1b'!C43*100</f>
        <v>4.2868154510549621</v>
      </c>
      <c r="D8" s="221">
        <f>'12b'!B10/'1b'!D43*100</f>
        <v>0.80659719638968341</v>
      </c>
      <c r="E8" s="221">
        <f>'12c'!B10/'1b'!E43*100</f>
        <v>0.30897602008831671</v>
      </c>
      <c r="F8" s="221">
        <f>'12d'!B10/'1b'!F43*100</f>
        <v>0.41943865957947479</v>
      </c>
      <c r="G8" s="221">
        <f>'12e'!B10/'1b'!G43*100</f>
        <v>1.3568487490196088</v>
      </c>
    </row>
    <row r="9" spans="1:7">
      <c r="A9" s="66">
        <v>1999</v>
      </c>
      <c r="B9" s="221">
        <f>'12'!B11/'1b'!B44*100</f>
        <v>1.1150513708497469</v>
      </c>
      <c r="C9" s="221">
        <f>'12a'!B11/'1b'!C44*100</f>
        <v>4.1045003547443866</v>
      </c>
      <c r="D9" s="221">
        <f>'12b'!B11/'1b'!D44*100</f>
        <v>0.66453341471614658</v>
      </c>
      <c r="E9" s="221">
        <f>'12c'!B11/'1b'!E44*100</f>
        <v>0.45829810526444764</v>
      </c>
      <c r="F9" s="221">
        <f>'12d'!B11/'1b'!F44*100</f>
        <v>0.38544917087483738</v>
      </c>
      <c r="G9" s="221">
        <f>'12e'!B11/'1b'!G44*100</f>
        <v>1.054684757990191</v>
      </c>
    </row>
    <row r="10" spans="1:7">
      <c r="A10" s="66">
        <v>2000</v>
      </c>
      <c r="B10" s="221">
        <f>'12'!B12/'1b'!B45*100</f>
        <v>1.2091371388821743</v>
      </c>
      <c r="C10" s="221">
        <f>'12a'!B12/'1b'!C45*100</f>
        <v>4.4858906155714546</v>
      </c>
      <c r="D10" s="221">
        <f>'12b'!B12/'1b'!D45*100</f>
        <v>0.95745108302844728</v>
      </c>
      <c r="E10" s="221">
        <f>'12c'!B12/'1b'!E45*100</f>
        <v>0.4061449922459841</v>
      </c>
      <c r="F10" s="221">
        <f>'12d'!B12/'1b'!F45*100</f>
        <v>0.33928818723168536</v>
      </c>
      <c r="G10" s="221">
        <f>'12e'!B12/'1b'!G45*100</f>
        <v>1.6810305552068101</v>
      </c>
    </row>
    <row r="11" spans="1:7">
      <c r="A11" s="66">
        <v>2001</v>
      </c>
      <c r="B11" s="221">
        <f>'12'!B13/'1b'!B46*100</f>
        <v>1.3481827748418866</v>
      </c>
      <c r="C11" s="221">
        <f>'12a'!B13/'1b'!C46*100</f>
        <v>5.0704812839700724</v>
      </c>
      <c r="D11" s="65" t="s">
        <v>22</v>
      </c>
      <c r="E11" s="221">
        <f>'12c'!B13/'1b'!E46*100</f>
        <v>0.36753298108750476</v>
      </c>
      <c r="F11" s="65" t="s">
        <v>22</v>
      </c>
      <c r="G11" s="221">
        <f>'12e'!B13/'1b'!G46*100</f>
        <v>3.2918847092695285</v>
      </c>
    </row>
    <row r="12" spans="1:7">
      <c r="A12" s="66">
        <v>2002</v>
      </c>
      <c r="B12" s="221">
        <f>'12'!B14/'1b'!B47*100</f>
        <v>1.236219000494023</v>
      </c>
      <c r="C12" s="221">
        <f>'12a'!B14/'1b'!C47*100</f>
        <v>4.4522828689778509</v>
      </c>
      <c r="D12" s="221">
        <f>'12b'!B14/'1b'!D47*100</f>
        <v>1.7120664695338756</v>
      </c>
      <c r="E12" s="221">
        <f>'12c'!B14/'1b'!E47*100</f>
        <v>0.36939153917954742</v>
      </c>
      <c r="F12" s="221">
        <f>'12d'!B14/'1b'!F47*100</f>
        <v>0.45538041985264371</v>
      </c>
      <c r="G12" s="221">
        <f>'12e'!B14/'1b'!G47*100</f>
        <v>3.6261860948614104</v>
      </c>
    </row>
    <row r="13" spans="1:7">
      <c r="A13" s="66">
        <v>2003</v>
      </c>
      <c r="B13" s="221">
        <f>'12'!B15/'1b'!B48*100</f>
        <v>1.2179162733921509</v>
      </c>
      <c r="C13" s="221">
        <f>'12a'!B15/'1b'!C48*100</f>
        <v>4.4893361853991793</v>
      </c>
      <c r="D13" s="221">
        <f>'12b'!B15/'1b'!D48*100</f>
        <v>1.9536345518907126</v>
      </c>
      <c r="E13" s="221">
        <f>'12c'!B15/'1b'!E48*100</f>
        <v>0.49530637370208497</v>
      </c>
      <c r="F13" s="221">
        <f>'12d'!B15/'1b'!F48*100</f>
        <v>0.55890847430259616</v>
      </c>
      <c r="G13" s="221">
        <f>'12e'!B15/'1b'!G48*100</f>
        <v>4.1675887679281871</v>
      </c>
    </row>
    <row r="14" spans="1:7">
      <c r="A14" s="66">
        <v>2004</v>
      </c>
      <c r="B14" s="221">
        <f>'12'!B16/'1b'!B49*100</f>
        <v>1.2296615199881593</v>
      </c>
      <c r="C14" s="221">
        <f>'12a'!B16/'1b'!C49*100</f>
        <v>4.4081762006246219</v>
      </c>
      <c r="D14" s="221">
        <f>'12b'!B16/'1b'!D49*100</f>
        <v>1.7765131560762384</v>
      </c>
      <c r="E14" s="221">
        <f>'12c'!B16/'1b'!E49*100</f>
        <v>0.40233526072545828</v>
      </c>
      <c r="F14" s="221">
        <f>'12d'!B16/'1b'!F49*100</f>
        <v>0.55572237738938002</v>
      </c>
      <c r="G14" s="221">
        <f>'12e'!B16/'1b'!G49*100</f>
        <v>4.0437017717454395</v>
      </c>
    </row>
    <row r="15" spans="1:7">
      <c r="A15" s="66">
        <v>2005</v>
      </c>
      <c r="B15" s="221">
        <f>'12'!B17/'1b'!B50*100</f>
        <v>1.1911961918578586</v>
      </c>
      <c r="C15" s="221">
        <f>'12a'!B17/'1b'!C50*100</f>
        <v>4.4874374100774848</v>
      </c>
      <c r="D15" s="221">
        <f>'12b'!B17/'1b'!D50*100</f>
        <v>1.6705383200858264</v>
      </c>
      <c r="E15" s="221">
        <f>'12c'!B17/'1b'!E50*100</f>
        <v>0.4018036864751191</v>
      </c>
      <c r="F15" s="221">
        <f>'12d'!B17/'1b'!F50*100</f>
        <v>1.0380640815314186</v>
      </c>
      <c r="G15" s="221">
        <f>'12e'!B17/'1b'!G50*100</f>
        <v>3.002468063890082</v>
      </c>
    </row>
    <row r="16" spans="1:7">
      <c r="A16" s="66">
        <v>2006</v>
      </c>
      <c r="B16" s="221">
        <f>'12'!B18/'1b'!B51*100</f>
        <v>1.1864947355473352</v>
      </c>
      <c r="C16" s="221">
        <f>'12a'!B18/'1b'!C51*100</f>
        <v>4.7602973308781138</v>
      </c>
      <c r="D16" s="221">
        <f>'12b'!B18/'1b'!D51*100</f>
        <v>2.7614181779824007</v>
      </c>
      <c r="E16" s="221">
        <f>'12c'!B18/'1b'!E51*100</f>
        <v>0.44307436197538619</v>
      </c>
      <c r="F16" s="221">
        <f>'12d'!B18/'1b'!F51*100</f>
        <v>1.1145726950333381</v>
      </c>
      <c r="G16" s="221">
        <f>'12e'!B18/'1b'!G51*100</f>
        <v>5.6454203891292085</v>
      </c>
    </row>
    <row r="17" spans="1:7">
      <c r="A17" s="66">
        <v>2007</v>
      </c>
      <c r="B17" s="221">
        <f>'12'!B19/'1b'!B52*100</f>
        <v>1.1423499165871853</v>
      </c>
      <c r="C17" s="221">
        <f>'12a'!B19/'1b'!C52*100</f>
        <v>4.5255599890445684</v>
      </c>
      <c r="D17" s="221">
        <f>'12b'!B19/'1b'!D52*100</f>
        <v>2.0383433591552347</v>
      </c>
      <c r="E17" s="221">
        <f>'12c'!B19/'1b'!E52*100</f>
        <v>1.8065129545994769</v>
      </c>
      <c r="F17" s="221">
        <f>'12d'!B19/'1b'!F52*100</f>
        <v>1.1632737847943497</v>
      </c>
      <c r="G17" s="221">
        <f>'12e'!B19/'1b'!G52*100</f>
        <v>3.052200172562554</v>
      </c>
    </row>
    <row r="18" spans="1:7">
      <c r="A18" s="66">
        <v>2008</v>
      </c>
      <c r="B18" s="221">
        <f>'12'!B20/'1b'!B53*100</f>
        <v>1.0727136678183966</v>
      </c>
      <c r="C18" s="221">
        <f>'12a'!B20/'1b'!C53*100</f>
        <v>4.4154047549633288</v>
      </c>
      <c r="D18" s="221">
        <f>'12b'!B20/'1b'!D53*100</f>
        <v>1.8945634266886324</v>
      </c>
      <c r="E18" s="221">
        <f>'12c'!B20/'1b'!E53*100</f>
        <v>0.54081895441668815</v>
      </c>
      <c r="F18" s="221">
        <f>'12d'!B20/'1b'!F53*100</f>
        <v>2.7571446556716608</v>
      </c>
      <c r="G18" s="221">
        <f>'12e'!B20/'1b'!G53*100</f>
        <v>1.7135724012709943</v>
      </c>
    </row>
    <row r="20" spans="1:7">
      <c r="A20" s="64" t="s">
        <v>1374</v>
      </c>
    </row>
  </sheetData>
  <mergeCells count="4">
    <mergeCell ref="A1:G1"/>
    <mergeCell ref="B2:B3"/>
    <mergeCell ref="D2:G2"/>
    <mergeCell ref="C2:C3"/>
  </mergeCells>
  <pageMargins left="0.7" right="0.7" top="0.75" bottom="0.75" header="0.3" footer="0.3"/>
  <pageSetup scale="90" orientation="portrait" horizontalDpi="0" verticalDpi="0" r:id="rId1"/>
</worksheet>
</file>

<file path=xl/worksheets/sheet99.xml><?xml version="1.0" encoding="utf-8"?>
<worksheet xmlns="http://schemas.openxmlformats.org/spreadsheetml/2006/main" xmlns:r="http://schemas.openxmlformats.org/officeDocument/2006/relationships">
  <sheetPr codeName="Sheet92"/>
  <dimension ref="A1:AB61"/>
  <sheetViews>
    <sheetView view="pageBreakPreview" zoomScale="85" zoomScaleNormal="70" zoomScaleSheetLayoutView="85" workbookViewId="0">
      <pane xSplit="2" ySplit="2" topLeftCell="C3" activePane="bottomRight" state="frozen"/>
      <selection activeCell="AC38" sqref="AC38"/>
      <selection pane="topRight" activeCell="AC38" sqref="AC38"/>
      <selection pane="bottomLeft" activeCell="AC38" sqref="AC38"/>
      <selection pane="bottomRight" activeCell="AC38" sqref="AC38"/>
    </sheetView>
  </sheetViews>
  <sheetFormatPr defaultRowHeight="15" outlineLevelRow="1"/>
  <cols>
    <col min="1" max="1" width="9.140625" style="64"/>
    <col min="2" max="2" width="38.7109375" style="64" customWidth="1"/>
    <col min="3" max="26" width="8" style="64" customWidth="1"/>
    <col min="27" max="27" width="12" style="64" customWidth="1"/>
    <col min="28" max="16384" width="9.140625" style="64"/>
  </cols>
  <sheetData>
    <row r="1" spans="1:28" ht="15.75">
      <c r="A1" s="66" t="s">
        <v>1821</v>
      </c>
    </row>
    <row r="2" spans="1:28" s="135" customFormat="1" ht="45">
      <c r="C2" s="203" t="s">
        <v>1323</v>
      </c>
      <c r="D2" s="203" t="s">
        <v>1324</v>
      </c>
      <c r="E2" s="203" t="s">
        <v>1325</v>
      </c>
      <c r="F2" s="203" t="s">
        <v>1326</v>
      </c>
      <c r="G2" s="203" t="s">
        <v>1327</v>
      </c>
      <c r="H2" s="203" t="s">
        <v>1328</v>
      </c>
      <c r="I2" s="203" t="s">
        <v>1329</v>
      </c>
      <c r="J2" s="203" t="s">
        <v>1330</v>
      </c>
      <c r="K2" s="203" t="s">
        <v>1331</v>
      </c>
      <c r="L2" s="203" t="s">
        <v>1332</v>
      </c>
      <c r="M2" s="203" t="s">
        <v>1333</v>
      </c>
      <c r="N2" s="203" t="s">
        <v>1334</v>
      </c>
      <c r="O2" s="203" t="s">
        <v>1335</v>
      </c>
      <c r="P2" s="203" t="s">
        <v>1336</v>
      </c>
      <c r="Q2" s="203" t="s">
        <v>1337</v>
      </c>
      <c r="R2" s="203" t="s">
        <v>1338</v>
      </c>
      <c r="S2" s="203" t="s">
        <v>1339</v>
      </c>
      <c r="T2" s="203" t="s">
        <v>1340</v>
      </c>
      <c r="U2" s="203" t="s">
        <v>1815</v>
      </c>
      <c r="V2" s="203" t="s">
        <v>1816</v>
      </c>
      <c r="W2" s="203" t="s">
        <v>1817</v>
      </c>
      <c r="X2" s="203" t="s">
        <v>1818</v>
      </c>
      <c r="Y2" s="203" t="s">
        <v>1819</v>
      </c>
      <c r="Z2" s="203" t="s">
        <v>1820</v>
      </c>
      <c r="AA2" s="110" t="s">
        <v>1822</v>
      </c>
      <c r="AB2" s="110" t="s">
        <v>1360</v>
      </c>
    </row>
    <row r="3" spans="1:28">
      <c r="A3" s="77" t="s">
        <v>1254</v>
      </c>
      <c r="B3" s="64" t="s">
        <v>934</v>
      </c>
      <c r="C3" s="219">
        <v>1165.1589409999999</v>
      </c>
      <c r="D3" s="219">
        <v>1368.0871119999999</v>
      </c>
      <c r="E3" s="219">
        <v>1461.922421</v>
      </c>
      <c r="F3" s="219">
        <v>1528.2711529999999</v>
      </c>
      <c r="G3" s="219">
        <v>1748.0065520000001</v>
      </c>
      <c r="H3" s="219">
        <v>2150.4721679999998</v>
      </c>
      <c r="I3" s="219">
        <v>2361.942763</v>
      </c>
      <c r="J3" s="219">
        <v>2679.0578390000001</v>
      </c>
      <c r="K3" s="219">
        <v>3315.5697909999999</v>
      </c>
      <c r="L3" s="219">
        <v>3216.866317</v>
      </c>
      <c r="M3" s="219">
        <v>3216.927095</v>
      </c>
      <c r="N3" s="219">
        <v>3150.2874409999999</v>
      </c>
      <c r="O3" s="219">
        <v>3189.5292800000002</v>
      </c>
      <c r="P3" s="219">
        <v>3787.1066719999999</v>
      </c>
      <c r="Q3" s="219">
        <v>4654.9754949999997</v>
      </c>
      <c r="R3" s="219">
        <v>5192.9313039999997</v>
      </c>
      <c r="S3" s="219">
        <v>5750.3291330000002</v>
      </c>
      <c r="T3" s="219">
        <v>6364.5088720000003</v>
      </c>
      <c r="U3" s="219">
        <v>7515.5087030000004</v>
      </c>
      <c r="V3" s="219">
        <v>8977.9009740000001</v>
      </c>
      <c r="W3" s="219">
        <v>10472.768398</v>
      </c>
      <c r="X3" s="219">
        <v>11398.006224000001</v>
      </c>
      <c r="Y3" s="219" t="s">
        <v>22</v>
      </c>
      <c r="Z3" s="219" t="s">
        <v>22</v>
      </c>
      <c r="AA3" s="219">
        <f>AVERAGE(P3:Z3)</f>
        <v>7123.781752777777</v>
      </c>
      <c r="AB3" s="219">
        <f>AVERAGE(E3:O3)</f>
        <v>2547.1684381818177</v>
      </c>
    </row>
    <row r="4" spans="1:28">
      <c r="A4" s="77"/>
      <c r="B4" s="69" t="s">
        <v>1358</v>
      </c>
      <c r="C4" s="219">
        <v>8.910641</v>
      </c>
      <c r="D4" s="219">
        <v>5.638979</v>
      </c>
      <c r="E4" s="219">
        <v>1.0468360000000001</v>
      </c>
      <c r="F4" s="219">
        <v>4.4397349999999998</v>
      </c>
      <c r="G4" s="219">
        <v>13.609980999999999</v>
      </c>
      <c r="H4" s="219">
        <v>6.2637289999999997</v>
      </c>
      <c r="I4" s="219">
        <v>11.510999999999999</v>
      </c>
      <c r="J4" s="219">
        <v>16.850937999999999</v>
      </c>
      <c r="K4" s="219">
        <v>17.707659</v>
      </c>
      <c r="L4" s="219">
        <v>15.653321</v>
      </c>
      <c r="M4" s="219">
        <v>13.67624</v>
      </c>
      <c r="N4" s="219">
        <v>11.758912</v>
      </c>
      <c r="O4" s="219">
        <v>9.7305220000000006</v>
      </c>
      <c r="P4" s="219">
        <v>4.780856</v>
      </c>
      <c r="Q4" s="219">
        <v>5.6459210000000004</v>
      </c>
      <c r="R4" s="219">
        <v>6.8837039999999998</v>
      </c>
      <c r="S4" s="219">
        <v>7.1364770000000002</v>
      </c>
      <c r="T4" s="219">
        <v>24.500039999999998</v>
      </c>
      <c r="U4" s="219">
        <v>55.893453999999998</v>
      </c>
      <c r="V4" s="219">
        <v>42.405937999999999</v>
      </c>
      <c r="W4" s="219">
        <v>36.040365999999999</v>
      </c>
      <c r="X4" s="219">
        <v>30.634058</v>
      </c>
      <c r="Y4" s="219" t="s">
        <v>22</v>
      </c>
      <c r="Z4" s="219" t="s">
        <v>22</v>
      </c>
      <c r="AA4" s="219">
        <f t="shared" ref="AA4:AA59" si="0">AVERAGE(P4:Y4)</f>
        <v>23.768979333333334</v>
      </c>
      <c r="AB4" s="219">
        <f t="shared" ref="AB4:AB58" si="1">AVERAGE(E4:O4)</f>
        <v>11.11353390909091</v>
      </c>
    </row>
    <row r="5" spans="1:28">
      <c r="A5" s="77"/>
      <c r="B5" s="69" t="s">
        <v>1359</v>
      </c>
      <c r="C5" s="219">
        <v>16.734801000000001</v>
      </c>
      <c r="D5" s="219">
        <v>17.297948000000002</v>
      </c>
      <c r="E5" s="219">
        <v>12.421606000000001</v>
      </c>
      <c r="F5" s="219">
        <v>23.085775000000002</v>
      </c>
      <c r="G5" s="219">
        <v>40.253312000000001</v>
      </c>
      <c r="H5" s="219">
        <v>27.134060999999999</v>
      </c>
      <c r="I5" s="219">
        <v>68.923866000000004</v>
      </c>
      <c r="J5" s="219">
        <v>43.667960999999998</v>
      </c>
      <c r="K5" s="219">
        <v>123.19666700000001</v>
      </c>
      <c r="L5" s="219">
        <v>130.19687999999999</v>
      </c>
      <c r="M5" s="219">
        <v>75.517707000000001</v>
      </c>
      <c r="N5" s="219">
        <v>53.068655999999997</v>
      </c>
      <c r="O5" s="219">
        <v>69.301051999999999</v>
      </c>
      <c r="P5" s="219">
        <v>71.446811999999994</v>
      </c>
      <c r="Q5" s="219">
        <v>57.684623999999999</v>
      </c>
      <c r="R5" s="219">
        <v>66.218236000000005</v>
      </c>
      <c r="S5" s="219">
        <v>80.42098</v>
      </c>
      <c r="T5" s="219">
        <v>59.548301000000002</v>
      </c>
      <c r="U5" s="219">
        <v>52.291350999999999</v>
      </c>
      <c r="V5" s="219">
        <v>48.656728999999999</v>
      </c>
      <c r="W5" s="219">
        <v>49.894480000000001</v>
      </c>
      <c r="X5" s="219">
        <v>36.340336000000001</v>
      </c>
      <c r="Y5" s="219" t="s">
        <v>22</v>
      </c>
      <c r="Z5" s="219" t="s">
        <v>22</v>
      </c>
      <c r="AA5" s="219">
        <f t="shared" si="0"/>
        <v>58.055760999999997</v>
      </c>
      <c r="AB5" s="219">
        <f t="shared" si="1"/>
        <v>60.615231181818189</v>
      </c>
    </row>
    <row r="6" spans="1:28" hidden="1" outlineLevel="1">
      <c r="A6" s="77" t="s">
        <v>1318</v>
      </c>
      <c r="B6" s="64" t="s">
        <v>934</v>
      </c>
      <c r="C6" s="219">
        <v>1682</v>
      </c>
      <c r="D6" s="219">
        <v>1790</v>
      </c>
      <c r="E6" s="219">
        <v>1799</v>
      </c>
      <c r="F6" s="219" t="s">
        <v>22</v>
      </c>
      <c r="G6" s="219" t="s">
        <v>22</v>
      </c>
      <c r="H6" s="219">
        <v>2285</v>
      </c>
      <c r="I6" s="219">
        <v>2433</v>
      </c>
      <c r="J6" s="219">
        <v>2539</v>
      </c>
      <c r="K6" s="219">
        <v>2682</v>
      </c>
      <c r="L6" s="219">
        <v>2914</v>
      </c>
      <c r="M6" s="219">
        <v>3131</v>
      </c>
      <c r="N6" s="219">
        <v>3281.4550650000001</v>
      </c>
      <c r="O6" s="219">
        <v>3589.7465379999999</v>
      </c>
      <c r="P6" s="219">
        <v>4027.771663</v>
      </c>
      <c r="Q6" s="219">
        <v>4427.6340460000001</v>
      </c>
      <c r="R6" s="219">
        <v>4232.8288920000005</v>
      </c>
      <c r="S6" s="219">
        <v>4106.7686780000004</v>
      </c>
      <c r="T6" s="219">
        <v>4162.4621269999998</v>
      </c>
      <c r="U6" s="219">
        <v>4197.0030029999998</v>
      </c>
      <c r="V6" s="219">
        <v>4644.3252359999997</v>
      </c>
      <c r="W6" s="219">
        <v>4984.2967200000003</v>
      </c>
      <c r="X6" s="219">
        <v>5323.3970479999998</v>
      </c>
      <c r="Y6" s="219" t="s">
        <v>22</v>
      </c>
      <c r="Z6" s="219" t="s">
        <v>22</v>
      </c>
      <c r="AA6" s="219">
        <f t="shared" si="0"/>
        <v>4456.2763792222222</v>
      </c>
      <c r="AB6" s="219">
        <f t="shared" si="1"/>
        <v>2739.3557336666668</v>
      </c>
    </row>
    <row r="7" spans="1:28" hidden="1" outlineLevel="1">
      <c r="A7" s="77"/>
      <c r="B7" s="69" t="s">
        <v>1358</v>
      </c>
      <c r="C7" s="219">
        <v>3</v>
      </c>
      <c r="D7" s="219">
        <v>4</v>
      </c>
      <c r="E7" s="219">
        <v>5</v>
      </c>
      <c r="F7" s="219" t="s">
        <v>22</v>
      </c>
      <c r="G7" s="219" t="s">
        <v>22</v>
      </c>
      <c r="H7" s="219">
        <v>4</v>
      </c>
      <c r="I7" s="219">
        <v>4</v>
      </c>
      <c r="J7" s="219">
        <v>5</v>
      </c>
      <c r="K7" s="219">
        <v>5</v>
      </c>
      <c r="L7" s="219">
        <v>5</v>
      </c>
      <c r="M7" s="219">
        <v>5</v>
      </c>
      <c r="N7" s="219">
        <v>4.3042720000000001</v>
      </c>
      <c r="O7" s="219">
        <v>5.073607</v>
      </c>
      <c r="P7" s="219">
        <v>7.3894330000000004</v>
      </c>
      <c r="Q7" s="219">
        <v>9.9297419999999992</v>
      </c>
      <c r="R7" s="219">
        <v>1.718696</v>
      </c>
      <c r="S7" s="219">
        <v>1.8077799999999999</v>
      </c>
      <c r="T7" s="219">
        <v>6.4947340000000002</v>
      </c>
      <c r="U7" s="219">
        <v>6.2637780000000003</v>
      </c>
      <c r="V7" s="219">
        <v>5.9608800000000004</v>
      </c>
      <c r="W7" s="219">
        <v>6.5968080000000002</v>
      </c>
      <c r="X7" s="219">
        <v>5.6696710000000001</v>
      </c>
      <c r="Y7" s="219" t="s">
        <v>22</v>
      </c>
      <c r="Z7" s="219" t="s">
        <v>22</v>
      </c>
      <c r="AA7" s="219">
        <f t="shared" si="0"/>
        <v>5.7590580000000013</v>
      </c>
      <c r="AB7" s="219">
        <f t="shared" si="1"/>
        <v>4.7086532222222219</v>
      </c>
    </row>
    <row r="8" spans="1:28" hidden="1" outlineLevel="1">
      <c r="A8" s="77"/>
      <c r="B8" s="69" t="s">
        <v>1359</v>
      </c>
      <c r="C8" s="219">
        <v>9</v>
      </c>
      <c r="D8" s="219">
        <v>4</v>
      </c>
      <c r="E8" s="219">
        <v>3</v>
      </c>
      <c r="F8" s="219" t="s">
        <v>22</v>
      </c>
      <c r="G8" s="219" t="s">
        <v>22</v>
      </c>
      <c r="H8" s="219">
        <v>16</v>
      </c>
      <c r="I8" s="219">
        <v>15</v>
      </c>
      <c r="J8" s="219">
        <v>7</v>
      </c>
      <c r="K8" s="219">
        <v>8</v>
      </c>
      <c r="L8" s="219">
        <v>7</v>
      </c>
      <c r="M8" s="219">
        <v>7</v>
      </c>
      <c r="N8" s="219">
        <v>11.546049</v>
      </c>
      <c r="O8" s="219">
        <v>13.560907</v>
      </c>
      <c r="P8" s="219">
        <v>12.691663999999999</v>
      </c>
      <c r="Q8" s="219">
        <v>13.13757</v>
      </c>
      <c r="R8" s="219">
        <v>8.3574929999999998</v>
      </c>
      <c r="S8" s="219">
        <v>9.0303649999999998</v>
      </c>
      <c r="T8" s="219">
        <v>9.2478829999999999</v>
      </c>
      <c r="U8" s="219">
        <v>9.4872700000000005</v>
      </c>
      <c r="V8" s="219">
        <v>9.0250570000000003</v>
      </c>
      <c r="W8" s="219">
        <v>9.226559</v>
      </c>
      <c r="X8" s="219">
        <v>9.9216409999999993</v>
      </c>
      <c r="Y8" s="219" t="s">
        <v>22</v>
      </c>
      <c r="Z8" s="219" t="s">
        <v>22</v>
      </c>
      <c r="AA8" s="219">
        <f t="shared" si="0"/>
        <v>10.013944666666665</v>
      </c>
      <c r="AB8" s="219">
        <f t="shared" si="1"/>
        <v>9.789661777777777</v>
      </c>
    </row>
    <row r="9" spans="1:28" collapsed="1">
      <c r="A9" s="77" t="s">
        <v>696</v>
      </c>
      <c r="B9" s="64" t="s">
        <v>934</v>
      </c>
      <c r="C9" s="219">
        <v>3497.1595130000001</v>
      </c>
      <c r="D9" s="219">
        <v>3687.4522310000002</v>
      </c>
      <c r="E9" s="219">
        <v>3783.5477150000002</v>
      </c>
      <c r="F9" s="219">
        <v>4119.7450529999996</v>
      </c>
      <c r="G9" s="219">
        <v>4292.4186040000004</v>
      </c>
      <c r="H9" s="219">
        <v>4650.6203820000001</v>
      </c>
      <c r="I9" s="219">
        <v>5241.7227759999996</v>
      </c>
      <c r="J9" s="219">
        <v>6231.9422530000002</v>
      </c>
      <c r="K9" s="219">
        <v>6569.2832749999998</v>
      </c>
      <c r="L9" s="219">
        <v>6592.4044889999996</v>
      </c>
      <c r="M9" s="219">
        <v>7245.5157660000004</v>
      </c>
      <c r="N9" s="219">
        <v>8152.9694040000004</v>
      </c>
      <c r="O9" s="219">
        <v>8732.7113480000007</v>
      </c>
      <c r="P9" s="219">
        <v>10063.652787000001</v>
      </c>
      <c r="Q9" s="219">
        <v>11714.19478</v>
      </c>
      <c r="R9" s="219">
        <v>11018.165542999999</v>
      </c>
      <c r="S9" s="219">
        <v>11493.666158</v>
      </c>
      <c r="T9" s="219">
        <v>12304.02384</v>
      </c>
      <c r="U9" s="219">
        <v>12885.16201</v>
      </c>
      <c r="V9" s="219">
        <v>13639.504153</v>
      </c>
      <c r="W9" s="219">
        <v>13741.507390000001</v>
      </c>
      <c r="X9" s="219">
        <v>12793.363181999999</v>
      </c>
      <c r="Y9" s="219" t="s">
        <v>22</v>
      </c>
      <c r="Z9" s="219" t="s">
        <v>22</v>
      </c>
      <c r="AA9" s="219">
        <f t="shared" si="0"/>
        <v>12183.69331588889</v>
      </c>
      <c r="AB9" s="219">
        <f t="shared" si="1"/>
        <v>5964.8073695454541</v>
      </c>
    </row>
    <row r="10" spans="1:28">
      <c r="A10" s="77"/>
      <c r="B10" s="69" t="s">
        <v>1358</v>
      </c>
      <c r="C10" s="219">
        <v>15</v>
      </c>
      <c r="D10" s="219">
        <v>16</v>
      </c>
      <c r="E10" s="219">
        <v>14</v>
      </c>
      <c r="F10" s="219">
        <v>33</v>
      </c>
      <c r="G10" s="219">
        <v>15</v>
      </c>
      <c r="H10" s="219">
        <v>16</v>
      </c>
      <c r="I10" s="219">
        <v>19</v>
      </c>
      <c r="J10" s="219">
        <v>25.983584</v>
      </c>
      <c r="K10" s="219">
        <v>28.831351999999999</v>
      </c>
      <c r="L10" s="219">
        <v>30.39547</v>
      </c>
      <c r="M10" s="219">
        <v>35.695295999999999</v>
      </c>
      <c r="N10" s="219">
        <v>39.373739</v>
      </c>
      <c r="O10" s="219">
        <v>46.081238999999997</v>
      </c>
      <c r="P10" s="219">
        <v>40.098723999999997</v>
      </c>
      <c r="Q10" s="219">
        <v>49.224908999999997</v>
      </c>
      <c r="R10" s="219">
        <v>55.278734</v>
      </c>
      <c r="S10" s="219">
        <v>59.215009000000002</v>
      </c>
      <c r="T10" s="219">
        <v>66.895410999999996</v>
      </c>
      <c r="U10" s="219">
        <v>114.31770400000001</v>
      </c>
      <c r="V10" s="219">
        <v>108.23676</v>
      </c>
      <c r="W10" s="219">
        <v>95.535839999999993</v>
      </c>
      <c r="X10" s="219"/>
      <c r="Y10" s="219" t="s">
        <v>22</v>
      </c>
      <c r="Z10" s="219" t="s">
        <v>22</v>
      </c>
      <c r="AA10" s="219">
        <f t="shared" si="0"/>
        <v>73.600386374999999</v>
      </c>
      <c r="AB10" s="219">
        <f t="shared" si="1"/>
        <v>27.578243636363638</v>
      </c>
    </row>
    <row r="11" spans="1:28">
      <c r="A11" s="77"/>
      <c r="B11" s="69" t="s">
        <v>1359</v>
      </c>
      <c r="C11" s="219">
        <v>70</v>
      </c>
      <c r="D11" s="219">
        <v>116</v>
      </c>
      <c r="E11" s="219">
        <v>120</v>
      </c>
      <c r="F11" s="219">
        <v>92</v>
      </c>
      <c r="G11" s="219">
        <v>78</v>
      </c>
      <c r="H11" s="219">
        <v>76</v>
      </c>
      <c r="I11" s="219">
        <v>84</v>
      </c>
      <c r="J11" s="219">
        <v>90.791005999999996</v>
      </c>
      <c r="K11" s="219">
        <v>110.355903</v>
      </c>
      <c r="L11" s="219">
        <v>103.030642</v>
      </c>
      <c r="M11" s="219">
        <v>112.317516</v>
      </c>
      <c r="N11" s="219">
        <v>127.63834900000001</v>
      </c>
      <c r="O11" s="219">
        <v>99.036789999999996</v>
      </c>
      <c r="P11" s="219">
        <v>193.068682</v>
      </c>
      <c r="Q11" s="219">
        <v>354.58389699999998</v>
      </c>
      <c r="R11" s="219">
        <v>343.37875000000003</v>
      </c>
      <c r="S11" s="219">
        <v>358.30067000000003</v>
      </c>
      <c r="T11" s="219">
        <v>362.64615300000003</v>
      </c>
      <c r="U11" s="219">
        <v>282.41724099999999</v>
      </c>
      <c r="V11" s="219">
        <v>489.795141</v>
      </c>
      <c r="W11" s="219">
        <v>242.80048099999999</v>
      </c>
      <c r="X11" s="219"/>
      <c r="Y11" s="219" t="s">
        <v>22</v>
      </c>
      <c r="Z11" s="219" t="s">
        <v>22</v>
      </c>
      <c r="AA11" s="219">
        <f t="shared" si="0"/>
        <v>328.37387687500006</v>
      </c>
      <c r="AB11" s="219">
        <f t="shared" si="1"/>
        <v>99.379109636363623</v>
      </c>
    </row>
    <row r="12" spans="1:28" ht="30" hidden="1" outlineLevel="1">
      <c r="A12" s="77" t="s">
        <v>1319</v>
      </c>
      <c r="B12" s="64" t="s">
        <v>934</v>
      </c>
      <c r="C12" s="219" t="s">
        <v>22</v>
      </c>
      <c r="D12" s="219" t="s">
        <v>22</v>
      </c>
      <c r="E12" s="219" t="s">
        <v>22</v>
      </c>
      <c r="F12" s="219" t="s">
        <v>22</v>
      </c>
      <c r="G12" s="219">
        <v>1453.9429130000001</v>
      </c>
      <c r="H12" s="219">
        <v>1365.1699699999999</v>
      </c>
      <c r="I12" s="219">
        <v>956.24706000000003</v>
      </c>
      <c r="J12" s="219">
        <v>837.70150599999999</v>
      </c>
      <c r="K12" s="219">
        <v>819.70851000000005</v>
      </c>
      <c r="L12" s="219">
        <v>814.63370799999996</v>
      </c>
      <c r="M12" s="219">
        <v>961.34941700000002</v>
      </c>
      <c r="N12" s="219">
        <v>1062.2415490000001</v>
      </c>
      <c r="O12" s="219">
        <v>1051.1931380000001</v>
      </c>
      <c r="P12" s="219">
        <v>1117.461804</v>
      </c>
      <c r="Q12" s="219">
        <v>1198.9800769999999</v>
      </c>
      <c r="R12" s="219">
        <v>1260.6642449999999</v>
      </c>
      <c r="S12" s="219">
        <v>1401.4299349999999</v>
      </c>
      <c r="T12" s="219">
        <v>1532.4877120000001</v>
      </c>
      <c r="U12" s="219">
        <v>1861.982951</v>
      </c>
      <c r="V12" s="219">
        <v>2310.4784530000002</v>
      </c>
      <c r="W12" s="219">
        <v>2410.8849919999998</v>
      </c>
      <c r="X12" s="219">
        <v>2347.9008950000002</v>
      </c>
      <c r="Y12" s="219">
        <v>2376.6400600000002</v>
      </c>
      <c r="Z12" s="219">
        <v>2571.2501809999999</v>
      </c>
      <c r="AA12" s="219">
        <f t="shared" si="0"/>
        <v>1781.8911123999999</v>
      </c>
      <c r="AB12" s="219">
        <f t="shared" si="1"/>
        <v>1035.7986412222224</v>
      </c>
    </row>
    <row r="13" spans="1:28" hidden="1" outlineLevel="1">
      <c r="A13" s="77"/>
      <c r="B13" s="69" t="s">
        <v>1358</v>
      </c>
      <c r="C13" s="219" t="s">
        <v>22</v>
      </c>
      <c r="D13" s="219" t="s">
        <v>22</v>
      </c>
      <c r="E13" s="219" t="s">
        <v>22</v>
      </c>
      <c r="F13" s="219" t="s">
        <v>22</v>
      </c>
      <c r="G13" s="219" t="s">
        <v>22</v>
      </c>
      <c r="H13" s="219">
        <v>0.125475</v>
      </c>
      <c r="I13" s="219">
        <v>0.74177000000000004</v>
      </c>
      <c r="J13" s="219">
        <v>9.6298999999999996E-2</v>
      </c>
      <c r="K13" s="219">
        <v>0.234238</v>
      </c>
      <c r="L13" s="219">
        <v>0.17551</v>
      </c>
      <c r="M13" s="219">
        <v>7.0733000000000004E-2</v>
      </c>
      <c r="N13" s="219">
        <v>0.51097700000000001</v>
      </c>
      <c r="O13" s="219">
        <v>9.9019999999999997E-2</v>
      </c>
      <c r="P13" s="219">
        <v>0</v>
      </c>
      <c r="Q13" s="219">
        <v>0</v>
      </c>
      <c r="R13" s="219">
        <v>0.26538400000000001</v>
      </c>
      <c r="S13" s="219">
        <v>0.64970000000000006</v>
      </c>
      <c r="T13" s="219">
        <v>0.411937</v>
      </c>
      <c r="U13" s="219">
        <v>1.0240629999999999</v>
      </c>
      <c r="V13" s="219">
        <v>0.24848500000000001</v>
      </c>
      <c r="W13" s="219">
        <v>0.41749700000000001</v>
      </c>
      <c r="X13" s="219">
        <v>0.74266699999999997</v>
      </c>
      <c r="Y13" s="219">
        <v>1.0071650000000001</v>
      </c>
      <c r="Z13" s="219">
        <v>1.2901849999999999</v>
      </c>
      <c r="AA13" s="219">
        <f t="shared" si="0"/>
        <v>0.47668980000000005</v>
      </c>
      <c r="AB13" s="219">
        <f t="shared" si="1"/>
        <v>0.25675275000000003</v>
      </c>
    </row>
    <row r="14" spans="1:28" hidden="1" outlineLevel="1">
      <c r="A14" s="77"/>
      <c r="B14" s="69" t="s">
        <v>1359</v>
      </c>
      <c r="C14" s="219" t="s">
        <v>22</v>
      </c>
      <c r="D14" s="219" t="s">
        <v>22</v>
      </c>
      <c r="E14" s="219" t="s">
        <v>22</v>
      </c>
      <c r="F14" s="219" t="s">
        <v>22</v>
      </c>
      <c r="G14" s="219" t="s">
        <v>22</v>
      </c>
      <c r="H14" s="219">
        <v>1.1292770000000001</v>
      </c>
      <c r="I14" s="219">
        <v>1.165638</v>
      </c>
      <c r="J14" s="219">
        <v>2.1185689999999999</v>
      </c>
      <c r="K14" s="219">
        <v>1.5856140000000001</v>
      </c>
      <c r="L14" s="219">
        <v>1.796888</v>
      </c>
      <c r="M14" s="219">
        <v>0.97454499999999999</v>
      </c>
      <c r="N14" s="219">
        <v>0.89960700000000005</v>
      </c>
      <c r="O14" s="219">
        <v>0.756799</v>
      </c>
      <c r="P14" s="219">
        <v>0.225295</v>
      </c>
      <c r="Q14" s="219">
        <v>0.513289</v>
      </c>
      <c r="R14" s="219">
        <v>0.79615199999999997</v>
      </c>
      <c r="S14" s="219">
        <v>1.747306</v>
      </c>
      <c r="T14" s="219">
        <v>0.76348700000000003</v>
      </c>
      <c r="U14" s="219">
        <v>0.17965600000000001</v>
      </c>
      <c r="V14" s="219">
        <v>0.29445300000000002</v>
      </c>
      <c r="W14" s="219">
        <v>0.20408699999999999</v>
      </c>
      <c r="X14" s="219">
        <v>8.4140000000000006E-2</v>
      </c>
      <c r="Y14" s="219">
        <v>0.18602299999999999</v>
      </c>
      <c r="Z14" s="219">
        <v>0.16036900000000001</v>
      </c>
      <c r="AA14" s="219">
        <f t="shared" si="0"/>
        <v>0.49938879999999991</v>
      </c>
      <c r="AB14" s="219">
        <f t="shared" si="1"/>
        <v>1.3033671249999998</v>
      </c>
    </row>
    <row r="15" spans="1:28" hidden="1" outlineLevel="1">
      <c r="A15" s="77" t="s">
        <v>1320</v>
      </c>
      <c r="B15" s="64" t="s">
        <v>934</v>
      </c>
      <c r="C15" s="219">
        <v>618</v>
      </c>
      <c r="D15" s="219">
        <v>681</v>
      </c>
      <c r="E15" s="219">
        <v>728</v>
      </c>
      <c r="F15" s="219">
        <v>825</v>
      </c>
      <c r="G15" s="219">
        <v>928</v>
      </c>
      <c r="H15" s="219">
        <v>984</v>
      </c>
      <c r="I15" s="219">
        <v>1052</v>
      </c>
      <c r="J15" s="219">
        <v>1144</v>
      </c>
      <c r="K15" s="219">
        <v>1240</v>
      </c>
      <c r="L15" s="219">
        <v>1401</v>
      </c>
      <c r="M15" s="219">
        <v>1554</v>
      </c>
      <c r="N15" s="219">
        <v>1801</v>
      </c>
      <c r="O15" s="219">
        <v>2039</v>
      </c>
      <c r="P15" s="219" t="s">
        <v>22</v>
      </c>
      <c r="Q15" s="219">
        <v>2618</v>
      </c>
      <c r="R15" s="219">
        <v>2821</v>
      </c>
      <c r="S15" s="219">
        <v>2940</v>
      </c>
      <c r="T15" s="219">
        <v>2948</v>
      </c>
      <c r="U15" s="219"/>
      <c r="V15" s="219"/>
      <c r="W15" s="219"/>
      <c r="X15" s="219"/>
      <c r="Y15" s="219"/>
      <c r="Z15" s="219"/>
      <c r="AA15" s="219">
        <f t="shared" si="0"/>
        <v>2831.75</v>
      </c>
      <c r="AB15" s="219">
        <f t="shared" si="1"/>
        <v>1245.090909090909</v>
      </c>
    </row>
    <row r="16" spans="1:28" hidden="1" outlineLevel="1">
      <c r="A16" s="77"/>
      <c r="B16" s="69" t="s">
        <v>1358</v>
      </c>
      <c r="C16" s="219" t="s">
        <v>22</v>
      </c>
      <c r="D16" s="219" t="s">
        <v>22</v>
      </c>
      <c r="E16" s="219" t="s">
        <v>22</v>
      </c>
      <c r="F16" s="219" t="s">
        <v>22</v>
      </c>
      <c r="G16" s="219">
        <v>1</v>
      </c>
      <c r="H16" s="219">
        <v>1</v>
      </c>
      <c r="I16" s="219">
        <v>1</v>
      </c>
      <c r="J16" s="219">
        <v>1</v>
      </c>
      <c r="K16" s="219">
        <v>2</v>
      </c>
      <c r="L16" s="219">
        <v>2</v>
      </c>
      <c r="M16" s="219">
        <v>2</v>
      </c>
      <c r="N16" s="219">
        <v>2</v>
      </c>
      <c r="O16" s="219">
        <v>3</v>
      </c>
      <c r="P16" s="219" t="s">
        <v>22</v>
      </c>
      <c r="Q16" s="219">
        <v>3</v>
      </c>
      <c r="R16" s="219">
        <v>3</v>
      </c>
      <c r="S16" s="219">
        <v>2</v>
      </c>
      <c r="T16" s="219">
        <v>7</v>
      </c>
      <c r="U16" s="219"/>
      <c r="V16" s="219"/>
      <c r="W16" s="219"/>
      <c r="X16" s="219"/>
      <c r="Y16" s="219"/>
      <c r="Z16" s="219"/>
      <c r="AA16" s="219">
        <f t="shared" si="0"/>
        <v>3.75</v>
      </c>
      <c r="AB16" s="219">
        <f t="shared" si="1"/>
        <v>1.6666666666666667</v>
      </c>
    </row>
    <row r="17" spans="1:28" hidden="1" outlineLevel="1">
      <c r="A17" s="77"/>
      <c r="B17" s="69" t="s">
        <v>1359</v>
      </c>
      <c r="C17" s="219" t="s">
        <v>22</v>
      </c>
      <c r="D17" s="219" t="s">
        <v>22</v>
      </c>
      <c r="E17" s="219" t="s">
        <v>22</v>
      </c>
      <c r="F17" s="219" t="s">
        <v>22</v>
      </c>
      <c r="G17" s="219" t="s">
        <v>22</v>
      </c>
      <c r="H17" s="219" t="s">
        <v>22</v>
      </c>
      <c r="I17" s="219" t="s">
        <v>22</v>
      </c>
      <c r="J17" s="219" t="s">
        <v>22</v>
      </c>
      <c r="K17" s="219" t="s">
        <v>22</v>
      </c>
      <c r="L17" s="219" t="s">
        <v>22</v>
      </c>
      <c r="M17" s="219" t="s">
        <v>22</v>
      </c>
      <c r="N17" s="219" t="s">
        <v>22</v>
      </c>
      <c r="O17" s="219" t="s">
        <v>22</v>
      </c>
      <c r="P17" s="219" t="s">
        <v>22</v>
      </c>
      <c r="Q17" s="219">
        <v>6</v>
      </c>
      <c r="R17" s="219">
        <v>5</v>
      </c>
      <c r="S17" s="219">
        <v>4</v>
      </c>
      <c r="T17" s="219">
        <v>3</v>
      </c>
      <c r="U17" s="219"/>
      <c r="V17" s="219"/>
      <c r="W17" s="219"/>
      <c r="X17" s="219"/>
      <c r="Y17" s="219"/>
      <c r="Z17" s="219"/>
      <c r="AA17" s="219">
        <f t="shared" si="0"/>
        <v>4.5</v>
      </c>
      <c r="AB17" s="219" t="e">
        <f t="shared" si="1"/>
        <v>#DIV/0!</v>
      </c>
    </row>
    <row r="18" spans="1:28" collapsed="1">
      <c r="A18" s="77" t="s">
        <v>785</v>
      </c>
      <c r="B18" s="64" t="s">
        <v>934</v>
      </c>
      <c r="C18" s="219">
        <v>714.42939200000001</v>
      </c>
      <c r="D18" s="219">
        <v>804.80559400000004</v>
      </c>
      <c r="E18" s="219">
        <v>920.37124700000004</v>
      </c>
      <c r="F18" s="219">
        <v>1015.415541</v>
      </c>
      <c r="G18" s="219">
        <v>975.25266399999998</v>
      </c>
      <c r="H18" s="219">
        <v>1006.096151</v>
      </c>
      <c r="I18" s="219">
        <v>1066.621022</v>
      </c>
      <c r="J18" s="219">
        <v>1277.091639</v>
      </c>
      <c r="K18" s="219">
        <v>1370.487161</v>
      </c>
      <c r="L18" s="219">
        <v>1648.6359930000001</v>
      </c>
      <c r="M18" s="219">
        <v>1919.8965000000001</v>
      </c>
      <c r="N18" s="219">
        <v>2245.4120939999998</v>
      </c>
      <c r="O18" s="219">
        <v>2636.4370239999998</v>
      </c>
      <c r="P18" s="219">
        <v>3152.0553129999998</v>
      </c>
      <c r="Q18" s="219">
        <v>3246.3484309999999</v>
      </c>
      <c r="R18" s="219">
        <v>3364.147966</v>
      </c>
      <c r="S18" s="219">
        <v>3491.235005</v>
      </c>
      <c r="T18" s="219">
        <v>3776.8467839999998</v>
      </c>
      <c r="U18" s="219">
        <v>3967.225277</v>
      </c>
      <c r="V18" s="219">
        <v>4319.2087579999998</v>
      </c>
      <c r="W18" s="219">
        <v>4798.1201250000004</v>
      </c>
      <c r="X18" s="219">
        <v>5559.9669919999997</v>
      </c>
      <c r="Y18" s="219">
        <v>5337.4322659999998</v>
      </c>
      <c r="Z18" s="219" t="s">
        <v>22</v>
      </c>
      <c r="AA18" s="219">
        <f t="shared" si="0"/>
        <v>4101.2586917000008</v>
      </c>
      <c r="AB18" s="219">
        <f t="shared" si="1"/>
        <v>1461.9742760000001</v>
      </c>
    </row>
    <row r="19" spans="1:28">
      <c r="A19" s="77"/>
      <c r="B19" s="69" t="s">
        <v>1358</v>
      </c>
      <c r="C19" s="219">
        <v>8.443695</v>
      </c>
      <c r="D19" s="219">
        <v>10.825583</v>
      </c>
      <c r="E19" s="219">
        <v>13.473583</v>
      </c>
      <c r="F19" s="219">
        <v>10.372918</v>
      </c>
      <c r="G19" s="219">
        <v>5.8706589999999998</v>
      </c>
      <c r="H19" s="219">
        <v>6.0623310000000004</v>
      </c>
      <c r="I19" s="219">
        <v>6.4331579999999997</v>
      </c>
      <c r="J19" s="219">
        <v>4.6402200000000002</v>
      </c>
      <c r="K19" s="219">
        <v>17.253399000000002</v>
      </c>
      <c r="L19" s="219">
        <v>3.7659199999999999</v>
      </c>
      <c r="M19" s="219">
        <v>5.7279159999999996</v>
      </c>
      <c r="N19" s="219">
        <v>6.990405</v>
      </c>
      <c r="O19" s="219">
        <v>7.8930569999999998</v>
      </c>
      <c r="P19" s="219">
        <v>13.957307</v>
      </c>
      <c r="Q19" s="219">
        <v>16.541526999999999</v>
      </c>
      <c r="R19" s="219">
        <v>11.520365</v>
      </c>
      <c r="S19" s="219">
        <v>7.2240789999999997</v>
      </c>
      <c r="T19" s="219">
        <v>7.9414749999999996</v>
      </c>
      <c r="U19" s="219">
        <v>10.118681</v>
      </c>
      <c r="V19" s="219">
        <v>6.413958</v>
      </c>
      <c r="W19" s="219">
        <v>12.302334</v>
      </c>
      <c r="X19" s="219">
        <v>11.715522</v>
      </c>
      <c r="Y19" s="219">
        <v>11.505991</v>
      </c>
      <c r="Z19" s="219" t="s">
        <v>22</v>
      </c>
      <c r="AA19" s="219">
        <f t="shared" si="0"/>
        <v>10.924123899999998</v>
      </c>
      <c r="AB19" s="219">
        <f t="shared" si="1"/>
        <v>8.043960545454544</v>
      </c>
    </row>
    <row r="20" spans="1:28">
      <c r="A20" s="77"/>
      <c r="B20" s="69" t="s">
        <v>1359</v>
      </c>
      <c r="C20" s="219">
        <v>34.774455000000003</v>
      </c>
      <c r="D20" s="219">
        <v>37.576121999999998</v>
      </c>
      <c r="E20" s="219">
        <v>41.642577000000003</v>
      </c>
      <c r="F20" s="219">
        <v>57.140934999999999</v>
      </c>
      <c r="G20" s="219">
        <v>65.081886999999995</v>
      </c>
      <c r="H20" s="219">
        <v>54.895456000000003</v>
      </c>
      <c r="I20" s="219">
        <v>46.127111999999997</v>
      </c>
      <c r="J20" s="219">
        <v>59.790092999999999</v>
      </c>
      <c r="K20" s="219">
        <v>45.651017000000003</v>
      </c>
      <c r="L20" s="219">
        <v>61.292437</v>
      </c>
      <c r="M20" s="219">
        <v>67.791574999999995</v>
      </c>
      <c r="N20" s="219">
        <v>68.277989000000005</v>
      </c>
      <c r="O20" s="219">
        <v>68.227721000000003</v>
      </c>
      <c r="P20" s="219">
        <v>73.717157</v>
      </c>
      <c r="Q20" s="219">
        <v>75.285824000000005</v>
      </c>
      <c r="R20" s="219">
        <v>85.324016</v>
      </c>
      <c r="S20" s="219">
        <v>86.589985999999996</v>
      </c>
      <c r="T20" s="219">
        <v>89.596843000000007</v>
      </c>
      <c r="U20" s="219">
        <v>92.361576999999997</v>
      </c>
      <c r="V20" s="219">
        <v>90.531437999999994</v>
      </c>
      <c r="W20" s="219">
        <v>91.077477999999999</v>
      </c>
      <c r="X20" s="219">
        <v>104.956063</v>
      </c>
      <c r="Y20" s="219">
        <v>86.389976000000004</v>
      </c>
      <c r="Z20" s="219" t="s">
        <v>22</v>
      </c>
      <c r="AA20" s="219">
        <f t="shared" si="0"/>
        <v>87.583035800000005</v>
      </c>
      <c r="AB20" s="219">
        <f t="shared" si="1"/>
        <v>57.81079990909091</v>
      </c>
    </row>
    <row r="21" spans="1:28">
      <c r="A21" s="77" t="s">
        <v>786</v>
      </c>
      <c r="B21" s="64" t="s">
        <v>934</v>
      </c>
      <c r="C21" s="219">
        <v>10390.793600000001</v>
      </c>
      <c r="D21" s="219">
        <v>11312.479173</v>
      </c>
      <c r="E21" s="219">
        <v>12662.336356</v>
      </c>
      <c r="F21" s="219">
        <v>14030.414823999999</v>
      </c>
      <c r="G21" s="219">
        <v>14944.778408</v>
      </c>
      <c r="H21" s="219">
        <v>15842.616021</v>
      </c>
      <c r="I21" s="219">
        <v>16114.976396</v>
      </c>
      <c r="J21" s="219">
        <v>16479.405471999999</v>
      </c>
      <c r="K21" s="219">
        <v>16714.749393999999</v>
      </c>
      <c r="L21" s="219">
        <v>17310.638159999999</v>
      </c>
      <c r="M21" s="219">
        <v>17800.255399000001</v>
      </c>
      <c r="N21" s="219">
        <v>18225.215515</v>
      </c>
      <c r="O21" s="219">
        <v>19435.012913999999</v>
      </c>
      <c r="P21" s="219">
        <v>20603.782047000001</v>
      </c>
      <c r="Q21" s="219">
        <v>22625.396356000001</v>
      </c>
      <c r="R21" s="219">
        <v>24131.916971999999</v>
      </c>
      <c r="S21" s="219">
        <v>23081.824443000001</v>
      </c>
      <c r="T21" s="219">
        <v>23961.48486</v>
      </c>
      <c r="U21" s="219">
        <v>24371.607625000001</v>
      </c>
      <c r="V21" s="219">
        <v>26456.702312000001</v>
      </c>
      <c r="W21" s="219">
        <v>27718.289423999999</v>
      </c>
      <c r="X21" s="219" t="s">
        <v>22</v>
      </c>
      <c r="Y21" s="219" t="s">
        <v>22</v>
      </c>
      <c r="Z21" s="219" t="s">
        <v>22</v>
      </c>
      <c r="AA21" s="219">
        <f t="shared" si="0"/>
        <v>24118.875504874999</v>
      </c>
      <c r="AB21" s="219">
        <f t="shared" si="1"/>
        <v>16323.672623545453</v>
      </c>
    </row>
    <row r="22" spans="1:28">
      <c r="A22" s="77"/>
      <c r="B22" s="69" t="s">
        <v>1358</v>
      </c>
      <c r="C22" s="219">
        <v>5.9314450000000001</v>
      </c>
      <c r="D22" s="219">
        <v>5.9661689999999998</v>
      </c>
      <c r="E22" s="219">
        <v>6.7927160000000004</v>
      </c>
      <c r="F22" s="219">
        <v>9.8295560000000002</v>
      </c>
      <c r="G22" s="219">
        <v>13.991778</v>
      </c>
      <c r="H22" s="219">
        <v>9.9396850000000008</v>
      </c>
      <c r="I22" s="219">
        <v>11.714327000000001</v>
      </c>
      <c r="J22" s="219">
        <v>9.3599040000000002</v>
      </c>
      <c r="K22" s="219">
        <v>12.55437</v>
      </c>
      <c r="L22" s="219">
        <v>12.728994999999999</v>
      </c>
      <c r="M22" s="219">
        <v>12.112816</v>
      </c>
      <c r="N22" s="219">
        <v>13.515428</v>
      </c>
      <c r="O22" s="219">
        <v>16.084244999999999</v>
      </c>
      <c r="P22" s="219">
        <v>9.0423489999999997</v>
      </c>
      <c r="Q22" s="219">
        <v>16.665649999999999</v>
      </c>
      <c r="R22" s="219">
        <v>10.580170000000001</v>
      </c>
      <c r="S22" s="219">
        <v>14.402634000000001</v>
      </c>
      <c r="T22" s="219">
        <v>15.249248</v>
      </c>
      <c r="U22" s="219">
        <v>12.88808</v>
      </c>
      <c r="V22" s="219">
        <v>19.566793000000001</v>
      </c>
      <c r="W22" s="219">
        <v>33.937947999999999</v>
      </c>
      <c r="X22" s="219" t="s">
        <v>22</v>
      </c>
      <c r="Y22" s="219" t="s">
        <v>22</v>
      </c>
      <c r="Z22" s="219" t="s">
        <v>22</v>
      </c>
      <c r="AA22" s="219">
        <f t="shared" si="0"/>
        <v>16.541609000000001</v>
      </c>
      <c r="AB22" s="219">
        <f t="shared" si="1"/>
        <v>11.693074545454545</v>
      </c>
    </row>
    <row r="23" spans="1:28">
      <c r="A23" s="77"/>
      <c r="B23" s="69" t="s">
        <v>1359</v>
      </c>
      <c r="C23" s="219">
        <v>35.185980999999998</v>
      </c>
      <c r="D23" s="219">
        <v>34.392705999999997</v>
      </c>
      <c r="E23" s="219">
        <v>36.446987</v>
      </c>
      <c r="F23" s="219">
        <v>38.689664</v>
      </c>
      <c r="G23" s="219">
        <v>41.118927999999997</v>
      </c>
      <c r="H23" s="219">
        <v>44.533982000000002</v>
      </c>
      <c r="I23" s="219">
        <v>50.396729000000001</v>
      </c>
      <c r="J23" s="219">
        <v>52.989314999999998</v>
      </c>
      <c r="K23" s="219">
        <v>48.756639</v>
      </c>
      <c r="L23" s="219">
        <v>51.532164000000002</v>
      </c>
      <c r="M23" s="219">
        <v>55.812198000000002</v>
      </c>
      <c r="N23" s="219">
        <v>52.686340999999999</v>
      </c>
      <c r="O23" s="219">
        <v>62.159844999999997</v>
      </c>
      <c r="P23" s="219">
        <v>55.408178999999997</v>
      </c>
      <c r="Q23" s="219">
        <v>47.986735000000003</v>
      </c>
      <c r="R23" s="219">
        <v>71.277207000000004</v>
      </c>
      <c r="S23" s="219">
        <v>59.611790999999997</v>
      </c>
      <c r="T23" s="219">
        <v>60.421629000000003</v>
      </c>
      <c r="U23" s="219">
        <v>45.812252000000001</v>
      </c>
      <c r="V23" s="219">
        <v>64.733958000000001</v>
      </c>
      <c r="W23" s="219">
        <v>56.843519000000001</v>
      </c>
      <c r="X23" s="219" t="s">
        <v>22</v>
      </c>
      <c r="Y23" s="219" t="s">
        <v>22</v>
      </c>
      <c r="Z23" s="219" t="s">
        <v>22</v>
      </c>
      <c r="AA23" s="219">
        <f t="shared" si="0"/>
        <v>57.761908750000003</v>
      </c>
      <c r="AB23" s="219">
        <f t="shared" si="1"/>
        <v>48.647526545454546</v>
      </c>
    </row>
    <row r="24" spans="1:28">
      <c r="A24" s="77" t="s">
        <v>787</v>
      </c>
      <c r="B24" s="64" t="s">
        <v>934</v>
      </c>
      <c r="C24" s="219">
        <v>21270.549928</v>
      </c>
      <c r="D24" s="219">
        <v>22724.140716000002</v>
      </c>
      <c r="E24" s="219">
        <v>24343.506104</v>
      </c>
      <c r="F24" s="219">
        <v>25469.778564</v>
      </c>
      <c r="G24" s="219">
        <v>27358.994923999999</v>
      </c>
      <c r="H24" s="219">
        <v>26911.297663000001</v>
      </c>
      <c r="I24" s="219">
        <v>25805.440224999998</v>
      </c>
      <c r="J24" s="219">
        <v>25681.527781000001</v>
      </c>
      <c r="K24" s="219">
        <v>26597.196639999998</v>
      </c>
      <c r="L24" s="219">
        <v>27374.759120999999</v>
      </c>
      <c r="M24" s="219">
        <v>29168.380052</v>
      </c>
      <c r="N24" s="219">
        <v>30690.750382999999</v>
      </c>
      <c r="O24" s="219">
        <v>34488.249168000002</v>
      </c>
      <c r="P24" s="219">
        <v>36817.081252999997</v>
      </c>
      <c r="Q24" s="219">
        <v>38025.342227000001</v>
      </c>
      <c r="R24" s="219">
        <v>39230.327142000002</v>
      </c>
      <c r="S24" s="219">
        <v>41449.350000999999</v>
      </c>
      <c r="T24" s="219">
        <v>42787.987886000003</v>
      </c>
      <c r="U24" s="219">
        <v>44586.612664</v>
      </c>
      <c r="V24" s="219">
        <v>49078.829504000001</v>
      </c>
      <c r="W24" s="219">
        <v>51807.439104999998</v>
      </c>
      <c r="X24" s="219">
        <v>56764.566752999999</v>
      </c>
      <c r="Y24" s="219" t="s">
        <v>22</v>
      </c>
      <c r="Z24" s="219" t="s">
        <v>22</v>
      </c>
      <c r="AA24" s="219">
        <f t="shared" si="0"/>
        <v>44505.281837222232</v>
      </c>
      <c r="AB24" s="219">
        <f t="shared" si="1"/>
        <v>27626.352784090912</v>
      </c>
    </row>
    <row r="25" spans="1:28">
      <c r="A25" s="77"/>
      <c r="B25" s="69" t="s">
        <v>1358</v>
      </c>
      <c r="C25" s="219" t="s">
        <v>22</v>
      </c>
      <c r="D25" s="219" t="s">
        <v>22</v>
      </c>
      <c r="E25" s="219" t="s">
        <v>22</v>
      </c>
      <c r="F25" s="219" t="s">
        <v>22</v>
      </c>
      <c r="G25" s="219">
        <v>107.12978699999999</v>
      </c>
      <c r="H25" s="219">
        <v>83.863575999999995</v>
      </c>
      <c r="I25" s="219">
        <v>62.070785000000001</v>
      </c>
      <c r="J25" s="219">
        <v>46.342784000000002</v>
      </c>
      <c r="K25" s="219">
        <v>29.952915000000001</v>
      </c>
      <c r="L25" s="219">
        <v>27.818321000000001</v>
      </c>
      <c r="M25" s="219">
        <v>26.333448000000001</v>
      </c>
      <c r="N25" s="219">
        <v>25.775797000000001</v>
      </c>
      <c r="O25" s="219">
        <v>26.747274000000001</v>
      </c>
      <c r="P25" s="219">
        <v>27.848237999999998</v>
      </c>
      <c r="Q25" s="219">
        <v>27.525852</v>
      </c>
      <c r="R25" s="219">
        <v>17.640571000000001</v>
      </c>
      <c r="S25" s="219">
        <v>22.578499999999998</v>
      </c>
      <c r="T25" s="219">
        <v>27.773658999999999</v>
      </c>
      <c r="U25" s="219">
        <v>20.187445</v>
      </c>
      <c r="V25" s="219">
        <v>21.424845999999999</v>
      </c>
      <c r="W25" s="219">
        <v>30.698743</v>
      </c>
      <c r="X25" s="219" t="s">
        <v>22</v>
      </c>
      <c r="Y25" s="219" t="s">
        <v>22</v>
      </c>
      <c r="Z25" s="219" t="s">
        <v>22</v>
      </c>
      <c r="AA25" s="219">
        <f t="shared" si="0"/>
        <v>24.45973175</v>
      </c>
      <c r="AB25" s="219">
        <f t="shared" si="1"/>
        <v>48.44829855555556</v>
      </c>
    </row>
    <row r="26" spans="1:28">
      <c r="A26" s="77"/>
      <c r="B26" s="69" t="s">
        <v>1359</v>
      </c>
      <c r="C26" s="219" t="s">
        <v>22</v>
      </c>
      <c r="D26" s="219" t="s">
        <v>22</v>
      </c>
      <c r="E26" s="219" t="s">
        <v>22</v>
      </c>
      <c r="F26" s="219" t="s">
        <v>22</v>
      </c>
      <c r="G26" s="219" t="s">
        <v>22</v>
      </c>
      <c r="H26" s="219" t="s">
        <v>22</v>
      </c>
      <c r="I26" s="219" t="s">
        <v>22</v>
      </c>
      <c r="J26" s="219" t="s">
        <v>22</v>
      </c>
      <c r="K26" s="219">
        <v>77.659379000000001</v>
      </c>
      <c r="L26" s="219">
        <v>68.263913000000002</v>
      </c>
      <c r="M26" s="219">
        <v>61.142029000000001</v>
      </c>
      <c r="N26" s="219">
        <v>68.798788000000002</v>
      </c>
      <c r="O26" s="219">
        <v>82.470095000000001</v>
      </c>
      <c r="P26" s="219">
        <v>84.777720000000002</v>
      </c>
      <c r="Q26" s="219">
        <v>82.786878000000002</v>
      </c>
      <c r="R26" s="219">
        <v>76.339878999999996</v>
      </c>
      <c r="S26" s="219">
        <v>167.37656000000001</v>
      </c>
      <c r="T26" s="219">
        <v>138.71636599999999</v>
      </c>
      <c r="U26" s="219">
        <v>67.022318999999996</v>
      </c>
      <c r="V26" s="219">
        <v>64.941762999999995</v>
      </c>
      <c r="W26" s="219">
        <v>83.187573999999998</v>
      </c>
      <c r="X26" s="219" t="s">
        <v>22</v>
      </c>
      <c r="Y26" s="219" t="s">
        <v>22</v>
      </c>
      <c r="Z26" s="219" t="s">
        <v>22</v>
      </c>
      <c r="AA26" s="219">
        <f t="shared" si="0"/>
        <v>95.64363237500001</v>
      </c>
      <c r="AB26" s="219">
        <f t="shared" si="1"/>
        <v>71.666840800000003</v>
      </c>
    </row>
    <row r="27" spans="1:28" hidden="1" outlineLevel="1">
      <c r="A27" s="77" t="s">
        <v>1251</v>
      </c>
      <c r="B27" s="64" t="s">
        <v>934</v>
      </c>
      <c r="C27" s="219">
        <v>149.03724500000001</v>
      </c>
      <c r="D27" s="219">
        <v>161.18021300000001</v>
      </c>
      <c r="E27" s="219">
        <v>185.94640799999999</v>
      </c>
      <c r="F27" s="219">
        <v>223.24010100000001</v>
      </c>
      <c r="G27" s="219">
        <v>281.31557900000001</v>
      </c>
      <c r="H27" s="219">
        <v>338.63060999999999</v>
      </c>
      <c r="I27" s="219">
        <v>418.46334300000001</v>
      </c>
      <c r="J27" s="219">
        <v>497.53617400000002</v>
      </c>
      <c r="K27" s="219">
        <v>569.74323400000003</v>
      </c>
      <c r="L27" s="219">
        <v>653.29943000000003</v>
      </c>
      <c r="M27" s="219">
        <v>716.86176999999998</v>
      </c>
      <c r="N27" s="219">
        <v>791.07826</v>
      </c>
      <c r="O27" s="219">
        <v>842.71826199999998</v>
      </c>
      <c r="P27" s="219">
        <v>875.57471399999997</v>
      </c>
      <c r="Q27" s="219">
        <v>906.34801800000002</v>
      </c>
      <c r="R27" s="219">
        <v>984.36282300000005</v>
      </c>
      <c r="S27" s="219">
        <v>1089.6273980000001</v>
      </c>
      <c r="T27" s="219">
        <v>1202.748067</v>
      </c>
      <c r="U27" s="219">
        <v>1316.527</v>
      </c>
      <c r="V27" s="219">
        <v>1488.2385360000001</v>
      </c>
      <c r="W27" s="219">
        <v>1672.651466</v>
      </c>
      <c r="X27" s="219">
        <v>1772.6169070000001</v>
      </c>
      <c r="Y27" s="219">
        <v>2083.0071910000001</v>
      </c>
      <c r="Z27" s="219">
        <v>2150.2035169999999</v>
      </c>
      <c r="AA27" s="219">
        <f t="shared" si="0"/>
        <v>1339.170212</v>
      </c>
      <c r="AB27" s="219">
        <f t="shared" si="1"/>
        <v>501.71210645454545</v>
      </c>
    </row>
    <row r="28" spans="1:28" hidden="1" outlineLevel="1">
      <c r="A28" s="77"/>
      <c r="B28" s="69" t="s">
        <v>1358</v>
      </c>
      <c r="C28" s="219">
        <v>0.64039699999999999</v>
      </c>
      <c r="D28" s="219">
        <v>0.93962599999999996</v>
      </c>
      <c r="E28" s="219">
        <v>0.77090099999999995</v>
      </c>
      <c r="F28" s="219">
        <v>0.64621600000000001</v>
      </c>
      <c r="G28" s="219">
        <v>0.72493600000000002</v>
      </c>
      <c r="H28" s="219">
        <v>0.51061900000000005</v>
      </c>
      <c r="I28" s="219">
        <v>0.43616899999999997</v>
      </c>
      <c r="J28" s="219">
        <v>2.544559</v>
      </c>
      <c r="K28" s="219">
        <v>4.6024349999999998</v>
      </c>
      <c r="L28" s="219">
        <v>4.0659999999999998</v>
      </c>
      <c r="M28" s="219">
        <v>1.885197</v>
      </c>
      <c r="N28" s="219">
        <v>0.389233</v>
      </c>
      <c r="O28" s="219">
        <v>1.54962</v>
      </c>
      <c r="P28" s="219">
        <v>5.8618629999999996</v>
      </c>
      <c r="Q28" s="219">
        <v>8.8620699999999992</v>
      </c>
      <c r="R28" s="219">
        <v>7.9689360000000002</v>
      </c>
      <c r="S28" s="219">
        <v>7.9873139999999996</v>
      </c>
      <c r="T28" s="219">
        <v>8.9460599999999992</v>
      </c>
      <c r="U28" s="219">
        <v>9.007816</v>
      </c>
      <c r="V28" s="219" t="s">
        <v>22</v>
      </c>
      <c r="W28" s="219" t="s">
        <v>22</v>
      </c>
      <c r="X28" s="219" t="s">
        <v>22</v>
      </c>
      <c r="Y28" s="219" t="s">
        <v>22</v>
      </c>
      <c r="Z28" s="219" t="s">
        <v>22</v>
      </c>
      <c r="AA28" s="219">
        <f t="shared" si="0"/>
        <v>8.1056764999999995</v>
      </c>
      <c r="AB28" s="219">
        <f t="shared" si="1"/>
        <v>1.6478077272727276</v>
      </c>
    </row>
    <row r="29" spans="1:28" hidden="1" outlineLevel="1">
      <c r="A29" s="77"/>
      <c r="B29" s="69" t="s">
        <v>1359</v>
      </c>
      <c r="C29" s="219">
        <v>0</v>
      </c>
      <c r="D29" s="219">
        <v>1</v>
      </c>
      <c r="E29" s="219">
        <v>1</v>
      </c>
      <c r="F29" s="219">
        <v>1</v>
      </c>
      <c r="G29" s="219">
        <v>0.69271799999999994</v>
      </c>
      <c r="H29" s="219">
        <v>2.0125150000000001</v>
      </c>
      <c r="I29" s="219">
        <v>1.71821</v>
      </c>
      <c r="J29" s="219">
        <v>1.2654209999999999</v>
      </c>
      <c r="K29" s="219">
        <v>1.672507</v>
      </c>
      <c r="L29" s="219">
        <v>3.2436690000000001</v>
      </c>
      <c r="M29" s="219">
        <v>4.6292720000000003</v>
      </c>
      <c r="N29" s="219">
        <v>4.8275959999999998</v>
      </c>
      <c r="O29" s="219">
        <v>3.8052329999999999</v>
      </c>
      <c r="P29" s="219">
        <v>2.1292339999999998</v>
      </c>
      <c r="Q29" s="219">
        <v>1.007053</v>
      </c>
      <c r="R29" s="219">
        <v>0.99611700000000003</v>
      </c>
      <c r="S29" s="219">
        <v>0.59165299999999998</v>
      </c>
      <c r="T29" s="219">
        <v>0.99400699999999997</v>
      </c>
      <c r="U29" s="219">
        <v>0.59392199999999995</v>
      </c>
      <c r="V29" s="219"/>
      <c r="W29" s="219"/>
      <c r="X29" s="219"/>
      <c r="Y29" s="219"/>
      <c r="Z29" s="219"/>
      <c r="AA29" s="219">
        <f t="shared" si="0"/>
        <v>1.0519976666666666</v>
      </c>
      <c r="AB29" s="219">
        <f t="shared" si="1"/>
        <v>2.351558272727273</v>
      </c>
    </row>
    <row r="30" spans="1:28" collapsed="1">
      <c r="A30" s="77" t="s">
        <v>788</v>
      </c>
      <c r="B30" s="64" t="s">
        <v>934</v>
      </c>
      <c r="C30" s="219" t="s">
        <v>22</v>
      </c>
      <c r="D30" s="219" t="s">
        <v>22</v>
      </c>
      <c r="E30" s="219" t="s">
        <v>22</v>
      </c>
      <c r="F30" s="219" t="s">
        <v>22</v>
      </c>
      <c r="G30" s="219">
        <v>6952.066468</v>
      </c>
      <c r="H30" s="219">
        <v>6935.6350949999996</v>
      </c>
      <c r="I30" s="219">
        <v>6433.772156</v>
      </c>
      <c r="J30" s="219">
        <v>6179.6235809999998</v>
      </c>
      <c r="K30" s="219">
        <v>6230.2942750000002</v>
      </c>
      <c r="L30" s="219">
        <v>6533.0944170000002</v>
      </c>
      <c r="M30" s="219">
        <v>6579.48146</v>
      </c>
      <c r="N30" s="219">
        <v>6842.241771</v>
      </c>
      <c r="O30" s="219">
        <v>6945.1749259999997</v>
      </c>
      <c r="P30" s="219">
        <v>7635.2476239999996</v>
      </c>
      <c r="Q30" s="219">
        <v>8246.7321730000003</v>
      </c>
      <c r="R30" s="219">
        <v>8346.7129530000002</v>
      </c>
      <c r="S30" s="219">
        <v>8173.7796189999999</v>
      </c>
      <c r="T30" s="219">
        <v>8355.9606320000003</v>
      </c>
      <c r="U30" s="219">
        <v>9064.5960959999993</v>
      </c>
      <c r="V30" s="219">
        <v>9840.1082069999993</v>
      </c>
      <c r="W30" s="219">
        <v>11572.562249000001</v>
      </c>
      <c r="X30" s="219">
        <v>12895.890797</v>
      </c>
      <c r="Y30" s="219">
        <v>12663.805161</v>
      </c>
      <c r="Z30" s="219">
        <v>12356.859732000001</v>
      </c>
      <c r="AA30" s="219">
        <f t="shared" si="0"/>
        <v>9679.5395510999988</v>
      </c>
      <c r="AB30" s="219">
        <f t="shared" si="1"/>
        <v>6625.7093498888898</v>
      </c>
    </row>
    <row r="31" spans="1:28">
      <c r="A31" s="77"/>
      <c r="B31" s="69" t="s">
        <v>1358</v>
      </c>
      <c r="C31" s="219" t="s">
        <v>22</v>
      </c>
      <c r="D31" s="219" t="s">
        <v>22</v>
      </c>
      <c r="E31" s="219" t="s">
        <v>22</v>
      </c>
      <c r="F31" s="219" t="s">
        <v>22</v>
      </c>
      <c r="G31" s="219">
        <v>2.1222439999999998</v>
      </c>
      <c r="H31" s="219">
        <v>1.8789389999999999</v>
      </c>
      <c r="I31" s="219">
        <v>4.2250129999999997</v>
      </c>
      <c r="J31" s="219">
        <v>10.539403</v>
      </c>
      <c r="K31" s="219">
        <v>9.915483</v>
      </c>
      <c r="L31" s="219">
        <v>8.2527830000000009</v>
      </c>
      <c r="M31" s="219">
        <v>4.2830389999999996</v>
      </c>
      <c r="N31" s="219">
        <v>3.3390059999999999</v>
      </c>
      <c r="O31" s="219">
        <v>1.4662580000000001</v>
      </c>
      <c r="P31" s="219">
        <v>5.1399330000000001</v>
      </c>
      <c r="Q31" s="219">
        <v>10.895111</v>
      </c>
      <c r="R31" s="219">
        <v>8.7530190000000001</v>
      </c>
      <c r="S31" s="219">
        <v>8.1983750000000004</v>
      </c>
      <c r="T31" s="219">
        <v>6.8745050000000001</v>
      </c>
      <c r="U31" s="219">
        <v>9.6925340000000002</v>
      </c>
      <c r="V31" s="219">
        <v>8.4111270000000005</v>
      </c>
      <c r="W31" s="219">
        <v>11.383209000000001</v>
      </c>
      <c r="X31" s="219">
        <v>17.493517000000001</v>
      </c>
      <c r="Y31" s="219">
        <v>14.674462</v>
      </c>
      <c r="Z31" s="219">
        <v>11.879552</v>
      </c>
      <c r="AA31" s="219">
        <f t="shared" si="0"/>
        <v>10.1515792</v>
      </c>
      <c r="AB31" s="219">
        <f t="shared" si="1"/>
        <v>5.1135742222222227</v>
      </c>
    </row>
    <row r="32" spans="1:28">
      <c r="A32" s="77"/>
      <c r="B32" s="69" t="s">
        <v>1359</v>
      </c>
      <c r="C32" s="219" t="s">
        <v>22</v>
      </c>
      <c r="D32" s="219" t="s">
        <v>22</v>
      </c>
      <c r="E32" s="219" t="s">
        <v>22</v>
      </c>
      <c r="F32" s="219" t="s">
        <v>22</v>
      </c>
      <c r="G32" s="219">
        <v>1.741962</v>
      </c>
      <c r="H32" s="219">
        <v>1.0311669999999999</v>
      </c>
      <c r="I32" s="219">
        <v>0.87482099999999996</v>
      </c>
      <c r="J32" s="219">
        <v>6.962275</v>
      </c>
      <c r="K32" s="219">
        <v>10.972072000000001</v>
      </c>
      <c r="L32" s="219">
        <v>6.5689450000000003</v>
      </c>
      <c r="M32" s="219">
        <v>12.971488000000001</v>
      </c>
      <c r="N32" s="219">
        <v>15.334695</v>
      </c>
      <c r="O32" s="219">
        <v>15.884461</v>
      </c>
      <c r="P32" s="219">
        <v>17.745006</v>
      </c>
      <c r="Q32" s="219">
        <v>23.028302</v>
      </c>
      <c r="R32" s="219">
        <v>17.624320999999998</v>
      </c>
      <c r="S32" s="219">
        <v>26.937517</v>
      </c>
      <c r="T32" s="219">
        <v>26.352269</v>
      </c>
      <c r="U32" s="219">
        <v>29.769925000000001</v>
      </c>
      <c r="V32" s="219">
        <v>39.462066</v>
      </c>
      <c r="W32" s="219">
        <v>45.043236999999998</v>
      </c>
      <c r="X32" s="219">
        <v>48.297317</v>
      </c>
      <c r="Y32" s="219">
        <v>45.682237000000001</v>
      </c>
      <c r="Z32" s="219">
        <v>44.266961999999999</v>
      </c>
      <c r="AA32" s="219">
        <f t="shared" si="0"/>
        <v>31.994219699999995</v>
      </c>
      <c r="AB32" s="219">
        <f t="shared" si="1"/>
        <v>8.0379873333333336</v>
      </c>
    </row>
    <row r="33" spans="1:28" hidden="1" outlineLevel="1">
      <c r="A33" s="77" t="s">
        <v>1235</v>
      </c>
      <c r="B33" s="64" t="s">
        <v>934</v>
      </c>
      <c r="C33" s="219">
        <v>32221.906419999999</v>
      </c>
      <c r="D33" s="219">
        <v>36934.337335999997</v>
      </c>
      <c r="E33" s="219">
        <v>42767.615788000003</v>
      </c>
      <c r="F33" s="219">
        <v>48889.046057</v>
      </c>
      <c r="G33" s="219">
        <v>51869.718647000002</v>
      </c>
      <c r="H33" s="219">
        <v>51293.010504999998</v>
      </c>
      <c r="I33" s="219">
        <v>49422.595367000002</v>
      </c>
      <c r="J33" s="219">
        <v>49990.107135999999</v>
      </c>
      <c r="K33" s="219">
        <v>53779.177556000002</v>
      </c>
      <c r="L33" s="219">
        <v>59000.032037999998</v>
      </c>
      <c r="M33" s="219">
        <v>63251.645563999999</v>
      </c>
      <c r="N33" s="219">
        <v>64852.471941000003</v>
      </c>
      <c r="O33" s="219">
        <v>65603.804445000002</v>
      </c>
      <c r="P33" s="219">
        <v>70015.085418999995</v>
      </c>
      <c r="Q33" s="219">
        <v>76412.891252999994</v>
      </c>
      <c r="R33" s="219">
        <v>80520.981077999997</v>
      </c>
      <c r="S33" s="219">
        <v>84098.047795999999</v>
      </c>
      <c r="T33" s="219">
        <v>88455.330749999994</v>
      </c>
      <c r="U33" s="219">
        <v>98384.003696999993</v>
      </c>
      <c r="V33" s="219">
        <v>106735.58010399999</v>
      </c>
      <c r="W33" s="219">
        <v>115046.274622</v>
      </c>
      <c r="X33" s="219">
        <v>116687.77473999999</v>
      </c>
      <c r="Y33" s="219">
        <v>103982.785592</v>
      </c>
      <c r="Z33" s="219">
        <v>107853.26661399999</v>
      </c>
      <c r="AA33" s="219">
        <f t="shared" si="0"/>
        <v>94033.875505100004</v>
      </c>
      <c r="AB33" s="219">
        <f t="shared" si="1"/>
        <v>54610.838640363632</v>
      </c>
    </row>
    <row r="34" spans="1:28" hidden="1" outlineLevel="1">
      <c r="A34" s="77"/>
      <c r="B34" s="69" t="s">
        <v>1358</v>
      </c>
      <c r="C34" s="219">
        <v>79.881626999999995</v>
      </c>
      <c r="D34" s="219">
        <v>91.203688999999997</v>
      </c>
      <c r="E34" s="219">
        <v>155.88134299999999</v>
      </c>
      <c r="F34" s="219">
        <v>129.956964</v>
      </c>
      <c r="G34" s="219">
        <v>165.35088300000001</v>
      </c>
      <c r="H34" s="219">
        <v>147.14030500000001</v>
      </c>
      <c r="I34" s="219">
        <v>168.925164</v>
      </c>
      <c r="J34" s="219">
        <v>178.250348</v>
      </c>
      <c r="K34" s="219">
        <v>197.266908</v>
      </c>
      <c r="L34" s="219">
        <v>191.56926799999999</v>
      </c>
      <c r="M34" s="219">
        <v>202.09226799999999</v>
      </c>
      <c r="N34" s="219">
        <v>207.62277700000001</v>
      </c>
      <c r="O34" s="219">
        <v>168.64797899999999</v>
      </c>
      <c r="P34" s="219">
        <v>194.45885899999999</v>
      </c>
      <c r="Q34" s="219">
        <v>55.192596000000002</v>
      </c>
      <c r="R34" s="219">
        <v>52.770245000000003</v>
      </c>
      <c r="S34" s="219">
        <v>55.648465000000002</v>
      </c>
      <c r="T34" s="219">
        <v>49.738661</v>
      </c>
      <c r="U34" s="219">
        <v>51.693547000000002</v>
      </c>
      <c r="V34" s="219">
        <v>67.065169999999995</v>
      </c>
      <c r="W34" s="219">
        <v>93.398346000000004</v>
      </c>
      <c r="X34" s="219">
        <v>77.563754000000003</v>
      </c>
      <c r="Y34" s="219">
        <v>60.512799000000001</v>
      </c>
      <c r="Z34" s="219">
        <v>73.171190999999993</v>
      </c>
      <c r="AA34" s="219">
        <f t="shared" si="0"/>
        <v>75.804244199999999</v>
      </c>
      <c r="AB34" s="219">
        <f t="shared" si="1"/>
        <v>173.88220063636365</v>
      </c>
    </row>
    <row r="35" spans="1:28" hidden="1" outlineLevel="1">
      <c r="A35" s="77"/>
      <c r="B35" s="69" t="s">
        <v>1359</v>
      </c>
      <c r="C35" s="219" t="s">
        <v>22</v>
      </c>
      <c r="D35" s="219" t="s">
        <v>22</v>
      </c>
      <c r="E35" s="219" t="s">
        <v>22</v>
      </c>
      <c r="F35" s="219" t="s">
        <v>22</v>
      </c>
      <c r="G35" s="219" t="s">
        <v>22</v>
      </c>
      <c r="H35" s="219" t="s">
        <v>22</v>
      </c>
      <c r="I35" s="219" t="s">
        <v>22</v>
      </c>
      <c r="J35" s="219" t="s">
        <v>22</v>
      </c>
      <c r="K35" s="219" t="s">
        <v>22</v>
      </c>
      <c r="L35" s="219" t="s">
        <v>22</v>
      </c>
      <c r="M35" s="219" t="s">
        <v>22</v>
      </c>
      <c r="N35" s="219" t="s">
        <v>22</v>
      </c>
      <c r="O35" s="219" t="s">
        <v>22</v>
      </c>
      <c r="P35" s="219" t="s">
        <v>22</v>
      </c>
      <c r="Q35" s="219" t="s">
        <v>22</v>
      </c>
      <c r="R35" s="219" t="s">
        <v>22</v>
      </c>
      <c r="S35" s="219" t="s">
        <v>22</v>
      </c>
      <c r="T35" s="219" t="s">
        <v>22</v>
      </c>
      <c r="U35" s="219"/>
      <c r="V35" s="219"/>
      <c r="W35" s="219"/>
      <c r="X35" s="219"/>
      <c r="Y35" s="219"/>
      <c r="Z35" s="219"/>
      <c r="AA35" s="219" t="e">
        <f t="shared" si="0"/>
        <v>#DIV/0!</v>
      </c>
      <c r="AB35" s="219" t="e">
        <f t="shared" si="1"/>
        <v>#DIV/0!</v>
      </c>
    </row>
    <row r="36" spans="1:28" collapsed="1">
      <c r="A36" s="77" t="s">
        <v>1227</v>
      </c>
      <c r="B36" s="64" t="s">
        <v>934</v>
      </c>
      <c r="C36" s="219" t="s">
        <v>22</v>
      </c>
      <c r="D36" s="219" t="s">
        <v>22</v>
      </c>
      <c r="E36" s="219" t="s">
        <v>22</v>
      </c>
      <c r="F36" s="219" t="s">
        <v>22</v>
      </c>
      <c r="G36" s="219" t="s">
        <v>22</v>
      </c>
      <c r="H36" s="219" t="s">
        <v>22</v>
      </c>
      <c r="I36" s="219" t="s">
        <v>22</v>
      </c>
      <c r="J36" s="219" t="s">
        <v>22</v>
      </c>
      <c r="K36" s="219">
        <v>9809.3588099999997</v>
      </c>
      <c r="L36" s="219">
        <v>10895.349251</v>
      </c>
      <c r="M36" s="219">
        <v>11859.462982999999</v>
      </c>
      <c r="N36" s="219">
        <v>10299.388606</v>
      </c>
      <c r="O36" s="219">
        <v>11274.653942000001</v>
      </c>
      <c r="P36" s="219">
        <v>13742.386184999999</v>
      </c>
      <c r="Q36" s="219">
        <v>16195.712084999999</v>
      </c>
      <c r="R36" s="219">
        <v>16856.104848999999</v>
      </c>
      <c r="S36" s="219">
        <v>18267.641907000001</v>
      </c>
      <c r="T36" s="219">
        <v>21381.718193000001</v>
      </c>
      <c r="U36" s="219">
        <v>23531.207001999999</v>
      </c>
      <c r="V36" s="219">
        <v>27266.852694000001</v>
      </c>
      <c r="W36" s="219">
        <v>31047.790671999999</v>
      </c>
      <c r="X36" s="219">
        <v>33090.845055999998</v>
      </c>
      <c r="Y36" s="219">
        <v>34963.586001999996</v>
      </c>
      <c r="Z36" s="219">
        <v>39825.538742999997</v>
      </c>
      <c r="AA36" s="219">
        <f t="shared" si="0"/>
        <v>23634.384464499999</v>
      </c>
      <c r="AB36" s="219">
        <f t="shared" si="1"/>
        <v>10827.6427184</v>
      </c>
    </row>
    <row r="37" spans="1:28">
      <c r="A37" s="77"/>
      <c r="B37" s="69" t="s">
        <v>1358</v>
      </c>
      <c r="C37" s="219" t="s">
        <v>22</v>
      </c>
      <c r="D37" s="219" t="s">
        <v>22</v>
      </c>
      <c r="E37" s="219" t="s">
        <v>22</v>
      </c>
      <c r="F37" s="219" t="s">
        <v>22</v>
      </c>
      <c r="G37" s="219" t="s">
        <v>22</v>
      </c>
      <c r="H37" s="219" t="s">
        <v>22</v>
      </c>
      <c r="I37" s="219" t="s">
        <v>22</v>
      </c>
      <c r="J37" s="219" t="s">
        <v>22</v>
      </c>
      <c r="K37" s="219">
        <v>2.404309</v>
      </c>
      <c r="L37" s="219">
        <v>2.662404</v>
      </c>
      <c r="M37" s="219">
        <v>2.9429750000000001</v>
      </c>
      <c r="N37" s="219">
        <v>1.4986429999999999</v>
      </c>
      <c r="O37" s="219">
        <v>1.151157</v>
      </c>
      <c r="P37" s="219">
        <v>0.78530599999999995</v>
      </c>
      <c r="Q37" s="219">
        <v>21.913125000000001</v>
      </c>
      <c r="R37" s="219">
        <v>5.0746209999999996</v>
      </c>
      <c r="S37" s="219">
        <v>6.4171149999999999</v>
      </c>
      <c r="T37" s="219">
        <v>2.5113120000000002</v>
      </c>
      <c r="U37" s="219">
        <v>3.606195</v>
      </c>
      <c r="V37" s="219">
        <v>4.9973190000000001</v>
      </c>
      <c r="W37" s="219">
        <v>7.3685660000000004</v>
      </c>
      <c r="X37" s="219">
        <v>7.3588750000000003</v>
      </c>
      <c r="Y37" s="219">
        <v>8.2239190000000004</v>
      </c>
      <c r="Z37" s="219">
        <v>7.9351830000000003</v>
      </c>
      <c r="AA37" s="219">
        <f t="shared" si="0"/>
        <v>6.8256353000000001</v>
      </c>
      <c r="AB37" s="219">
        <f t="shared" si="1"/>
        <v>2.1318975999999998</v>
      </c>
    </row>
    <row r="38" spans="1:28">
      <c r="A38" s="77"/>
      <c r="B38" s="69" t="s">
        <v>1359</v>
      </c>
      <c r="C38" s="219" t="s">
        <v>22</v>
      </c>
      <c r="D38" s="219" t="s">
        <v>22</v>
      </c>
      <c r="E38" s="219" t="s">
        <v>22</v>
      </c>
      <c r="F38" s="219" t="s">
        <v>22</v>
      </c>
      <c r="G38" s="219" t="s">
        <v>22</v>
      </c>
      <c r="H38" s="219" t="s">
        <v>22</v>
      </c>
      <c r="I38" s="219" t="s">
        <v>22</v>
      </c>
      <c r="J38" s="219" t="s">
        <v>22</v>
      </c>
      <c r="K38" s="219">
        <v>28.754467000000002</v>
      </c>
      <c r="L38" s="219">
        <v>35.698920000000001</v>
      </c>
      <c r="M38" s="219">
        <v>35.268779000000002</v>
      </c>
      <c r="N38" s="219">
        <v>22.345282999999998</v>
      </c>
      <c r="O38" s="219">
        <v>14.780903</v>
      </c>
      <c r="P38" s="219">
        <v>16.398951</v>
      </c>
      <c r="Q38" s="219">
        <v>15.79433</v>
      </c>
      <c r="R38" s="219">
        <v>19.110078999999999</v>
      </c>
      <c r="S38" s="219">
        <v>22.982386000000002</v>
      </c>
      <c r="T38" s="219">
        <v>13.575782999999999</v>
      </c>
      <c r="U38" s="219">
        <v>19.176846000000001</v>
      </c>
      <c r="V38" s="219">
        <v>16.261935999999999</v>
      </c>
      <c r="W38" s="219">
        <v>18.471443000000001</v>
      </c>
      <c r="X38" s="219">
        <v>22.611169</v>
      </c>
      <c r="Y38" s="219">
        <v>37.600380000000001</v>
      </c>
      <c r="Z38" s="219">
        <v>43.287785</v>
      </c>
      <c r="AA38" s="219">
        <f t="shared" si="0"/>
        <v>20.198330299999999</v>
      </c>
      <c r="AB38" s="219">
        <f t="shared" si="1"/>
        <v>27.3696704</v>
      </c>
    </row>
    <row r="39" spans="1:28" ht="30">
      <c r="A39" s="77" t="s">
        <v>1321</v>
      </c>
      <c r="B39" s="64" t="s">
        <v>934</v>
      </c>
      <c r="C39" s="219">
        <v>2704.6870269999999</v>
      </c>
      <c r="D39" s="219">
        <v>2849.3012819999999</v>
      </c>
      <c r="E39" s="219">
        <v>2912.6074570000001</v>
      </c>
      <c r="F39" s="219">
        <v>2873.4473509999998</v>
      </c>
      <c r="G39" s="219">
        <v>2715.160085</v>
      </c>
      <c r="H39" s="219">
        <v>2681.497433</v>
      </c>
      <c r="I39" s="219">
        <v>2841.0805</v>
      </c>
      <c r="J39" s="219">
        <v>3177.5385649999998</v>
      </c>
      <c r="K39" s="219">
        <v>3411.0558890000002</v>
      </c>
      <c r="L39" s="219">
        <v>3672.0502940000001</v>
      </c>
      <c r="M39" s="219">
        <v>4077.382341</v>
      </c>
      <c r="N39" s="219">
        <v>4105.1264229999997</v>
      </c>
      <c r="O39" s="219">
        <v>4700.3849140000002</v>
      </c>
      <c r="P39" s="219">
        <v>4994.540602</v>
      </c>
      <c r="Q39" s="219">
        <v>5199.2177030000003</v>
      </c>
      <c r="R39" s="219">
        <v>5036.910922</v>
      </c>
      <c r="S39" s="219">
        <v>5182.7251530000003</v>
      </c>
      <c r="T39" s="219">
        <v>5578.1422769999999</v>
      </c>
      <c r="U39" s="219">
        <v>5767.9837150000003</v>
      </c>
      <c r="V39" s="219">
        <v>6305.2683960000004</v>
      </c>
      <c r="W39" s="219">
        <v>6408.3757390000001</v>
      </c>
      <c r="X39" s="219" t="s">
        <v>22</v>
      </c>
      <c r="Y39" s="219" t="s">
        <v>22</v>
      </c>
      <c r="Z39" s="219" t="s">
        <v>22</v>
      </c>
      <c r="AA39" s="219">
        <f t="shared" si="0"/>
        <v>5559.1455633750002</v>
      </c>
      <c r="AB39" s="219">
        <f t="shared" si="1"/>
        <v>3378.8482956363641</v>
      </c>
    </row>
    <row r="40" spans="1:28">
      <c r="A40" s="77"/>
      <c r="B40" s="69" t="s">
        <v>1358</v>
      </c>
      <c r="C40" s="219">
        <v>0.91717899999999997</v>
      </c>
      <c r="D40" s="219">
        <v>1.08324</v>
      </c>
      <c r="E40" s="219">
        <v>1.436906</v>
      </c>
      <c r="F40" s="219">
        <v>0.97969600000000001</v>
      </c>
      <c r="G40" s="219">
        <v>1.47563</v>
      </c>
      <c r="H40" s="219">
        <v>0.98259300000000005</v>
      </c>
      <c r="I40" s="219">
        <v>1.9767479999999999</v>
      </c>
      <c r="J40" s="219">
        <v>1.4829840000000001</v>
      </c>
      <c r="K40" s="219">
        <v>1.80511</v>
      </c>
      <c r="L40" s="219">
        <v>2.2218599999999999</v>
      </c>
      <c r="M40" s="219">
        <v>3.8487010000000001</v>
      </c>
      <c r="N40" s="219">
        <v>1.4228479999999999</v>
      </c>
      <c r="O40" s="219">
        <v>1.1896089999999999</v>
      </c>
      <c r="P40" s="219">
        <v>1.120355</v>
      </c>
      <c r="Q40" s="219">
        <v>2.2067990000000002</v>
      </c>
      <c r="R40" s="219">
        <v>4.434876</v>
      </c>
      <c r="S40" s="219">
        <v>3.2365059999999999</v>
      </c>
      <c r="T40" s="219">
        <v>3.3000250000000002</v>
      </c>
      <c r="U40" s="219">
        <v>3.3476400000000002</v>
      </c>
      <c r="V40" s="219">
        <v>2.301193</v>
      </c>
      <c r="W40" s="219">
        <v>2.3324389999999999</v>
      </c>
      <c r="X40" s="219" t="s">
        <v>22</v>
      </c>
      <c r="Y40" s="219" t="s">
        <v>22</v>
      </c>
      <c r="Z40" s="219" t="s">
        <v>22</v>
      </c>
      <c r="AA40" s="219">
        <f t="shared" si="0"/>
        <v>2.784979125</v>
      </c>
      <c r="AB40" s="219">
        <f t="shared" si="1"/>
        <v>1.7111531818181818</v>
      </c>
    </row>
    <row r="41" spans="1:28">
      <c r="A41" s="77"/>
      <c r="B41" s="69" t="s">
        <v>1359</v>
      </c>
      <c r="C41" s="219" t="s">
        <v>22</v>
      </c>
      <c r="D41" s="219" t="s">
        <v>22</v>
      </c>
      <c r="E41" s="219" t="s">
        <v>22</v>
      </c>
      <c r="F41" s="219" t="s">
        <v>22</v>
      </c>
      <c r="G41" s="219" t="s">
        <v>22</v>
      </c>
      <c r="H41" s="219" t="s">
        <v>22</v>
      </c>
      <c r="I41" s="219" t="s">
        <v>22</v>
      </c>
      <c r="J41" s="219">
        <v>10.875209999999999</v>
      </c>
      <c r="K41" s="219">
        <v>10.144660999999999</v>
      </c>
      <c r="L41" s="219">
        <v>13.955083</v>
      </c>
      <c r="M41" s="219">
        <v>10.860749</v>
      </c>
      <c r="N41" s="219">
        <v>16.66919</v>
      </c>
      <c r="O41" s="219">
        <v>17.180429</v>
      </c>
      <c r="P41" s="219">
        <v>13.444255</v>
      </c>
      <c r="Q41" s="219">
        <v>15.447590999999999</v>
      </c>
      <c r="R41" s="219">
        <v>12.19591</v>
      </c>
      <c r="S41" s="219">
        <v>9.7095179999999992</v>
      </c>
      <c r="T41" s="219">
        <v>26.400200000000002</v>
      </c>
      <c r="U41" s="219">
        <v>21.201720000000002</v>
      </c>
      <c r="V41" s="219">
        <v>8.0541750000000008</v>
      </c>
      <c r="W41" s="219">
        <v>20.991949999999999</v>
      </c>
      <c r="X41" s="219" t="s">
        <v>22</v>
      </c>
      <c r="Y41" s="219" t="s">
        <v>22</v>
      </c>
      <c r="Z41" s="219" t="s">
        <v>22</v>
      </c>
      <c r="AA41" s="219">
        <f t="shared" si="0"/>
        <v>15.930664875</v>
      </c>
      <c r="AB41" s="219">
        <f t="shared" si="1"/>
        <v>13.280887</v>
      </c>
    </row>
    <row r="42" spans="1:28">
      <c r="A42" s="77" t="s">
        <v>791</v>
      </c>
      <c r="B42" s="64" t="s">
        <v>934</v>
      </c>
      <c r="C42" s="219">
        <v>671.09036000000003</v>
      </c>
      <c r="D42" s="219">
        <v>677.02728300000001</v>
      </c>
      <c r="E42" s="219">
        <v>670.661788</v>
      </c>
      <c r="F42" s="219">
        <v>684.56221600000003</v>
      </c>
      <c r="G42" s="219">
        <v>716.67644399999995</v>
      </c>
      <c r="H42" s="219">
        <v>773.74531500000001</v>
      </c>
      <c r="I42" s="219">
        <v>819.28254900000002</v>
      </c>
      <c r="J42" s="219" t="e">
        <v>#VALUE!</v>
      </c>
      <c r="K42" s="219">
        <v>981.47500500000001</v>
      </c>
      <c r="L42" s="219">
        <v>1081.012477</v>
      </c>
      <c r="M42" s="219">
        <v>1138.111308</v>
      </c>
      <c r="N42" s="219">
        <v>1135.6500739999999</v>
      </c>
      <c r="O42" s="219">
        <v>1218.7614269999999</v>
      </c>
      <c r="P42" s="219">
        <v>1419.540334</v>
      </c>
      <c r="Q42" s="219">
        <v>1590.441059</v>
      </c>
      <c r="R42" s="219">
        <v>1603.5246910000001</v>
      </c>
      <c r="S42" s="219">
        <v>1721.3791679999999</v>
      </c>
      <c r="T42" s="219">
        <v>1695.7006140000001</v>
      </c>
      <c r="U42" s="219">
        <v>1788.4844840000001</v>
      </c>
      <c r="V42" s="219">
        <v>2038.5969070000001</v>
      </c>
      <c r="W42" s="219">
        <v>2272.675988</v>
      </c>
      <c r="X42" s="219">
        <v>2539.6943689999998</v>
      </c>
      <c r="Y42" s="219" t="s">
        <v>22</v>
      </c>
      <c r="Z42" s="219" t="s">
        <v>22</v>
      </c>
      <c r="AA42" s="219">
        <f t="shared" si="0"/>
        <v>1852.2264015555556</v>
      </c>
      <c r="AB42" s="219" t="e">
        <f t="shared" si="1"/>
        <v>#VALUE!</v>
      </c>
    </row>
    <row r="43" spans="1:28">
      <c r="A43" s="77"/>
      <c r="B43" s="69" t="s">
        <v>1358</v>
      </c>
      <c r="C43" s="219" t="s">
        <v>22</v>
      </c>
      <c r="D43" s="219" t="s">
        <v>22</v>
      </c>
      <c r="E43" s="219" t="s">
        <v>22</v>
      </c>
      <c r="F43" s="219" t="s">
        <v>22</v>
      </c>
      <c r="G43" s="219" t="s">
        <v>22</v>
      </c>
      <c r="H43" s="219" t="s">
        <v>22</v>
      </c>
      <c r="I43" s="219" t="s">
        <v>22</v>
      </c>
      <c r="J43" s="219" t="s">
        <v>22</v>
      </c>
      <c r="K43" s="219">
        <v>5.2162509999999997</v>
      </c>
      <c r="L43" s="219">
        <v>5.5459160000000001</v>
      </c>
      <c r="M43" s="219">
        <v>5.4122859999999999</v>
      </c>
      <c r="N43" s="219">
        <v>4.7028249999999998</v>
      </c>
      <c r="O43" s="219">
        <v>4.7520680000000004</v>
      </c>
      <c r="P43" s="219">
        <v>6.3571549999999997</v>
      </c>
      <c r="Q43" s="219">
        <v>8.6400220000000001</v>
      </c>
      <c r="R43" s="219">
        <v>8.8889010000000006</v>
      </c>
      <c r="S43" s="219">
        <v>13.229257</v>
      </c>
      <c r="T43" s="219">
        <v>15.745493</v>
      </c>
      <c r="U43" s="219">
        <v>9.7813800000000004</v>
      </c>
      <c r="V43" s="219">
        <v>9.6201349999999994</v>
      </c>
      <c r="W43" s="219">
        <v>9.1505799999999997</v>
      </c>
      <c r="X43" s="219">
        <v>6.8741390000000004</v>
      </c>
      <c r="Y43" s="219" t="s">
        <v>22</v>
      </c>
      <c r="Z43" s="219" t="s">
        <v>22</v>
      </c>
      <c r="AA43" s="219">
        <f t="shared" si="0"/>
        <v>9.8096735555555554</v>
      </c>
      <c r="AB43" s="219">
        <f t="shared" si="1"/>
        <v>5.1258692000000003</v>
      </c>
    </row>
    <row r="44" spans="1:28">
      <c r="A44" s="77"/>
      <c r="B44" s="69" t="s">
        <v>1359</v>
      </c>
      <c r="C44" s="219" t="s">
        <v>22</v>
      </c>
      <c r="D44" s="219" t="s">
        <v>22</v>
      </c>
      <c r="E44" s="219" t="s">
        <v>22</v>
      </c>
      <c r="F44" s="219" t="s">
        <v>22</v>
      </c>
      <c r="G44" s="219" t="s">
        <v>22</v>
      </c>
      <c r="H44" s="219" t="s">
        <v>22</v>
      </c>
      <c r="I44" s="219" t="s">
        <v>22</v>
      </c>
      <c r="J44" s="219" t="s">
        <v>22</v>
      </c>
      <c r="K44" s="219">
        <v>19.95805</v>
      </c>
      <c r="L44" s="219">
        <v>21.577031000000002</v>
      </c>
      <c r="M44" s="219">
        <v>22.667428999999998</v>
      </c>
      <c r="N44" s="219">
        <v>22.875623999999998</v>
      </c>
      <c r="O44" s="219">
        <v>23.797509000000002</v>
      </c>
      <c r="P44" s="219">
        <v>25.077954999999999</v>
      </c>
      <c r="Q44" s="219">
        <v>25.769694000000001</v>
      </c>
      <c r="R44" s="219">
        <v>21.737566999999999</v>
      </c>
      <c r="S44" s="219">
        <v>28.026608</v>
      </c>
      <c r="T44" s="219">
        <v>24.023185000000002</v>
      </c>
      <c r="U44" s="219">
        <v>23.387463</v>
      </c>
      <c r="V44" s="219">
        <v>24.411117999999998</v>
      </c>
      <c r="W44" s="219">
        <v>21.093529</v>
      </c>
      <c r="X44" s="219">
        <v>20.171209000000001</v>
      </c>
      <c r="Y44" s="219" t="s">
        <v>22</v>
      </c>
      <c r="Z44" s="219" t="s">
        <v>22</v>
      </c>
      <c r="AA44" s="219">
        <f t="shared" si="0"/>
        <v>23.744258666666664</v>
      </c>
      <c r="AB44" s="219">
        <f t="shared" si="1"/>
        <v>22.175128600000001</v>
      </c>
    </row>
    <row r="45" spans="1:28" hidden="1" outlineLevel="1">
      <c r="A45" s="77" t="s">
        <v>1322</v>
      </c>
      <c r="B45" s="64" t="s">
        <v>934</v>
      </c>
      <c r="C45" s="219" t="s">
        <v>22</v>
      </c>
      <c r="D45" s="219" t="s">
        <v>22</v>
      </c>
      <c r="E45" s="219" t="s">
        <v>22</v>
      </c>
      <c r="F45" s="219" t="s">
        <v>22</v>
      </c>
      <c r="G45" s="219" t="s">
        <v>22</v>
      </c>
      <c r="H45" s="219" t="s">
        <v>22</v>
      </c>
      <c r="I45" s="219" t="s">
        <v>22</v>
      </c>
      <c r="J45" s="219">
        <v>754.63604899999996</v>
      </c>
      <c r="K45" s="219">
        <v>700.31661599999995</v>
      </c>
      <c r="L45" s="219">
        <v>831.45243600000003</v>
      </c>
      <c r="M45" s="219">
        <v>872.51387799999998</v>
      </c>
      <c r="N45" s="219">
        <v>1001.571415</v>
      </c>
      <c r="O45" s="219">
        <v>1090.3446469999999</v>
      </c>
      <c r="P45" s="219">
        <v>940.03254900000002</v>
      </c>
      <c r="Q45" s="219">
        <v>935.46415300000001</v>
      </c>
      <c r="R45" s="219">
        <v>502.92374100000001</v>
      </c>
      <c r="S45" s="219">
        <v>678.79752499999995</v>
      </c>
      <c r="T45" s="219">
        <v>794.38533900000004</v>
      </c>
      <c r="U45" s="219">
        <v>947.02516100000003</v>
      </c>
      <c r="V45" s="219">
        <v>1006.531323</v>
      </c>
      <c r="W45" s="219">
        <v>1099.0298499999999</v>
      </c>
      <c r="X45" s="219">
        <v>1283.96829</v>
      </c>
      <c r="Y45" s="219" t="s">
        <v>22</v>
      </c>
      <c r="Z45" s="219" t="s">
        <v>22</v>
      </c>
      <c r="AA45" s="219">
        <f t="shared" si="0"/>
        <v>909.7953256666666</v>
      </c>
      <c r="AB45" s="219">
        <f t="shared" si="1"/>
        <v>875.13917350000008</v>
      </c>
    </row>
    <row r="46" spans="1:28" hidden="1" outlineLevel="1">
      <c r="A46" s="77"/>
      <c r="B46" s="69" t="s">
        <v>1358</v>
      </c>
      <c r="C46" s="219" t="s">
        <v>22</v>
      </c>
      <c r="D46" s="219" t="s">
        <v>22</v>
      </c>
      <c r="E46" s="219" t="s">
        <v>22</v>
      </c>
      <c r="F46" s="219" t="s">
        <v>22</v>
      </c>
      <c r="G46" s="219" t="s">
        <v>22</v>
      </c>
      <c r="H46" s="219" t="s">
        <v>22</v>
      </c>
      <c r="I46" s="219" t="s">
        <v>22</v>
      </c>
      <c r="J46" s="219">
        <v>3.507463</v>
      </c>
      <c r="K46" s="219">
        <v>3.8148219999999999</v>
      </c>
      <c r="L46" s="219">
        <v>4.4144009999999998</v>
      </c>
      <c r="M46" s="219">
        <v>4.8066950000000004</v>
      </c>
      <c r="N46" s="219">
        <v>4.5221749999999998</v>
      </c>
      <c r="O46" s="219">
        <v>11.033899</v>
      </c>
      <c r="P46" s="219">
        <v>3.8020619999999998</v>
      </c>
      <c r="Q46" s="219">
        <v>4.1380330000000001</v>
      </c>
      <c r="R46" s="219">
        <v>1.4214610000000001</v>
      </c>
      <c r="S46" s="219">
        <v>1.303604</v>
      </c>
      <c r="T46" s="219">
        <v>12.786671</v>
      </c>
      <c r="U46" s="219">
        <v>2.6215600000000001</v>
      </c>
      <c r="V46" s="219">
        <v>1.4624299999999999</v>
      </c>
      <c r="W46" s="219">
        <v>2.0332889999999999</v>
      </c>
      <c r="X46" s="219">
        <v>3.5550579999999998</v>
      </c>
      <c r="Y46" s="219" t="s">
        <v>22</v>
      </c>
      <c r="Z46" s="219" t="s">
        <v>22</v>
      </c>
      <c r="AA46" s="219">
        <f t="shared" si="0"/>
        <v>3.680463111111111</v>
      </c>
      <c r="AB46" s="219">
        <f t="shared" si="1"/>
        <v>5.3499091666666665</v>
      </c>
    </row>
    <row r="47" spans="1:28" hidden="1" outlineLevel="1">
      <c r="A47" s="77"/>
      <c r="B47" s="69" t="s">
        <v>1359</v>
      </c>
      <c r="C47" s="219" t="s">
        <v>22</v>
      </c>
      <c r="D47" s="219" t="s">
        <v>22</v>
      </c>
      <c r="E47" s="219" t="s">
        <v>22</v>
      </c>
      <c r="F47" s="219" t="s">
        <v>22</v>
      </c>
      <c r="G47" s="219" t="s">
        <v>22</v>
      </c>
      <c r="H47" s="219" t="s">
        <v>22</v>
      </c>
      <c r="I47" s="219" t="s">
        <v>22</v>
      </c>
      <c r="J47" s="219">
        <v>1.806875</v>
      </c>
      <c r="K47" s="219">
        <v>1.1868339999999999</v>
      </c>
      <c r="L47" s="219">
        <v>1.6921870000000001</v>
      </c>
      <c r="M47" s="219">
        <v>1.777819</v>
      </c>
      <c r="N47" s="219">
        <v>1.929462</v>
      </c>
      <c r="O47" s="219">
        <v>2.4711340000000002</v>
      </c>
      <c r="P47" s="219">
        <v>2.8257129999999999</v>
      </c>
      <c r="Q47" s="219">
        <v>1.9346650000000001</v>
      </c>
      <c r="R47" s="219">
        <v>0.99954500000000002</v>
      </c>
      <c r="S47" s="219">
        <v>3.3133270000000001</v>
      </c>
      <c r="T47" s="219">
        <v>1.5043139999999999</v>
      </c>
      <c r="U47" s="219" t="s">
        <v>22</v>
      </c>
      <c r="V47" s="219" t="s">
        <v>22</v>
      </c>
      <c r="W47" s="219" t="s">
        <v>22</v>
      </c>
      <c r="X47" s="219" t="s">
        <v>22</v>
      </c>
      <c r="Y47" s="219" t="s">
        <v>22</v>
      </c>
      <c r="Z47" s="219" t="s">
        <v>22</v>
      </c>
      <c r="AA47" s="219">
        <f t="shared" si="0"/>
        <v>2.1155128000000003</v>
      </c>
      <c r="AB47" s="219">
        <f t="shared" si="1"/>
        <v>1.8107185000000001</v>
      </c>
    </row>
    <row r="48" spans="1:28" collapsed="1">
      <c r="A48" s="77" t="s">
        <v>1245</v>
      </c>
      <c r="B48" s="64" t="s">
        <v>934</v>
      </c>
      <c r="C48" s="219">
        <v>1350</v>
      </c>
      <c r="D48" s="219">
        <v>1700</v>
      </c>
      <c r="E48" s="219">
        <v>1931</v>
      </c>
      <c r="F48" s="219">
        <v>2408</v>
      </c>
      <c r="G48" s="219">
        <v>2540</v>
      </c>
      <c r="H48" s="219">
        <v>2474</v>
      </c>
      <c r="I48" s="219">
        <v>2363</v>
      </c>
      <c r="J48" s="219">
        <v>2237</v>
      </c>
      <c r="K48" s="219">
        <v>2418</v>
      </c>
      <c r="L48" s="219">
        <v>2595</v>
      </c>
      <c r="M48" s="219">
        <v>2697</v>
      </c>
      <c r="N48" s="219">
        <v>3343</v>
      </c>
      <c r="O48" s="219">
        <v>3543</v>
      </c>
      <c r="P48" s="219">
        <v>4132</v>
      </c>
      <c r="Q48" s="219">
        <v>4347</v>
      </c>
      <c r="R48" s="219">
        <v>5286</v>
      </c>
      <c r="S48" s="219">
        <v>5933</v>
      </c>
      <c r="T48" s="219">
        <v>6418</v>
      </c>
      <c r="U48" s="219" t="s">
        <v>22</v>
      </c>
      <c r="V48" s="219" t="s">
        <v>22</v>
      </c>
      <c r="W48" s="219" t="s">
        <v>22</v>
      </c>
      <c r="X48" s="219" t="s">
        <v>22</v>
      </c>
      <c r="Y48" s="219" t="s">
        <v>22</v>
      </c>
      <c r="Z48" s="219" t="s">
        <v>22</v>
      </c>
      <c r="AA48" s="219">
        <f t="shared" si="0"/>
        <v>5223.2</v>
      </c>
      <c r="AB48" s="219">
        <f t="shared" si="1"/>
        <v>2595.3636363636365</v>
      </c>
    </row>
    <row r="49" spans="1:28">
      <c r="A49" s="77"/>
      <c r="B49" s="69" t="s">
        <v>1358</v>
      </c>
      <c r="C49" s="219">
        <v>1</v>
      </c>
      <c r="D49" s="219">
        <v>0</v>
      </c>
      <c r="E49" s="219">
        <v>1</v>
      </c>
      <c r="F49" s="219">
        <v>2</v>
      </c>
      <c r="G49" s="219">
        <v>1</v>
      </c>
      <c r="H49" s="219">
        <v>1</v>
      </c>
      <c r="I49" s="219">
        <v>1</v>
      </c>
      <c r="J49" s="219">
        <v>2</v>
      </c>
      <c r="K49" s="219">
        <v>3</v>
      </c>
      <c r="L49" s="219">
        <v>2</v>
      </c>
      <c r="M49" s="219">
        <v>2</v>
      </c>
      <c r="N49" s="219">
        <v>3</v>
      </c>
      <c r="O49" s="219">
        <v>3</v>
      </c>
      <c r="P49" s="219">
        <v>12</v>
      </c>
      <c r="Q49" s="219">
        <v>3</v>
      </c>
      <c r="R49" s="219">
        <v>8</v>
      </c>
      <c r="S49" s="219">
        <v>13</v>
      </c>
      <c r="T49" s="219">
        <v>16</v>
      </c>
      <c r="U49" s="219" t="s">
        <v>22</v>
      </c>
      <c r="V49" s="219" t="s">
        <v>22</v>
      </c>
      <c r="W49" s="219" t="s">
        <v>22</v>
      </c>
      <c r="X49" s="219" t="s">
        <v>22</v>
      </c>
      <c r="Y49" s="219" t="s">
        <v>22</v>
      </c>
      <c r="Z49" s="219" t="s">
        <v>22</v>
      </c>
      <c r="AA49" s="219">
        <f t="shared" si="0"/>
        <v>10.4</v>
      </c>
      <c r="AB49" s="219">
        <f t="shared" si="1"/>
        <v>1.9090909090909092</v>
      </c>
    </row>
    <row r="50" spans="1:28">
      <c r="A50" s="77"/>
      <c r="B50" s="69" t="s">
        <v>1359</v>
      </c>
      <c r="C50" s="219">
        <v>8</v>
      </c>
      <c r="D50" s="219">
        <v>8</v>
      </c>
      <c r="E50" s="219">
        <v>11</v>
      </c>
      <c r="F50" s="219">
        <v>13</v>
      </c>
      <c r="G50" s="219">
        <v>13</v>
      </c>
      <c r="H50" s="219">
        <v>11</v>
      </c>
      <c r="I50" s="219">
        <v>13</v>
      </c>
      <c r="J50" s="219">
        <v>10</v>
      </c>
      <c r="K50" s="219">
        <v>11</v>
      </c>
      <c r="L50" s="219">
        <v>16</v>
      </c>
      <c r="M50" s="219">
        <v>19</v>
      </c>
      <c r="N50" s="219">
        <v>77</v>
      </c>
      <c r="O50" s="219">
        <v>33</v>
      </c>
      <c r="P50" s="219">
        <v>22</v>
      </c>
      <c r="Q50" s="219">
        <v>17</v>
      </c>
      <c r="R50" s="219">
        <v>17</v>
      </c>
      <c r="S50" s="219">
        <v>17</v>
      </c>
      <c r="T50" s="219">
        <v>29</v>
      </c>
      <c r="U50" s="219" t="s">
        <v>22</v>
      </c>
      <c r="V50" s="219" t="s">
        <v>22</v>
      </c>
      <c r="W50" s="219" t="s">
        <v>22</v>
      </c>
      <c r="X50" s="219" t="s">
        <v>22</v>
      </c>
      <c r="Y50" s="219" t="s">
        <v>22</v>
      </c>
      <c r="Z50" s="219" t="s">
        <v>22</v>
      </c>
      <c r="AA50" s="219">
        <f t="shared" si="0"/>
        <v>20.399999999999999</v>
      </c>
      <c r="AB50" s="219">
        <f t="shared" si="1"/>
        <v>20.636363636363637</v>
      </c>
    </row>
    <row r="51" spans="1:28">
      <c r="A51" s="77" t="s">
        <v>789</v>
      </c>
      <c r="B51" s="64" t="s">
        <v>934</v>
      </c>
      <c r="C51" s="219">
        <v>1343.5981630000001</v>
      </c>
      <c r="D51" s="219">
        <v>1691.814672</v>
      </c>
      <c r="E51" s="219">
        <v>1921.953741</v>
      </c>
      <c r="F51" s="219">
        <v>2396.0063639999998</v>
      </c>
      <c r="G51" s="219">
        <v>2529.1512619999999</v>
      </c>
      <c r="H51" s="219">
        <v>2465.0275529999999</v>
      </c>
      <c r="I51" s="219">
        <v>2352.058082</v>
      </c>
      <c r="J51" s="219">
        <v>2225.9590389999998</v>
      </c>
      <c r="K51" s="219">
        <v>2406.7277119999999</v>
      </c>
      <c r="L51" s="219">
        <v>2591.230356</v>
      </c>
      <c r="M51" s="219">
        <v>2736.663869</v>
      </c>
      <c r="N51" s="219">
        <v>3416.4417039999998</v>
      </c>
      <c r="O51" s="219">
        <v>3544.6448890000001</v>
      </c>
      <c r="P51" s="219">
        <v>4180.66338</v>
      </c>
      <c r="Q51" s="219">
        <v>4408.1672769999996</v>
      </c>
      <c r="R51" s="219">
        <v>5353.6225219999997</v>
      </c>
      <c r="S51" s="219">
        <v>5902.5049559999998</v>
      </c>
      <c r="T51" s="219">
        <v>6407.8871790000003</v>
      </c>
      <c r="U51" s="219">
        <v>7170.8167800000001</v>
      </c>
      <c r="V51" s="219">
        <v>8903.7966309999993</v>
      </c>
      <c r="W51" s="219">
        <v>10231.862396</v>
      </c>
      <c r="X51" s="219">
        <v>11211.210872</v>
      </c>
      <c r="Y51" s="219">
        <v>10608.072975999999</v>
      </c>
      <c r="Z51" s="219" t="s">
        <v>22</v>
      </c>
      <c r="AA51" s="219">
        <f t="shared" si="0"/>
        <v>7437.8604968999989</v>
      </c>
      <c r="AB51" s="219">
        <f t="shared" si="1"/>
        <v>2598.7149609999997</v>
      </c>
    </row>
    <row r="52" spans="1:28">
      <c r="A52" s="77"/>
      <c r="B52" s="69" t="s">
        <v>1358</v>
      </c>
      <c r="C52" s="219">
        <v>0.76136800000000004</v>
      </c>
      <c r="D52" s="219">
        <v>8.2846000000000003E-2</v>
      </c>
      <c r="E52" s="219">
        <v>0.56204799999999999</v>
      </c>
      <c r="F52" s="219">
        <v>1.8653219999999999</v>
      </c>
      <c r="G52" s="219">
        <v>0.94501400000000002</v>
      </c>
      <c r="H52" s="219">
        <v>0.92107799999999995</v>
      </c>
      <c r="I52" s="219">
        <v>0.93137000000000003</v>
      </c>
      <c r="J52" s="219">
        <v>1.7455700000000001</v>
      </c>
      <c r="K52" s="219">
        <v>2.9618250000000002</v>
      </c>
      <c r="L52" s="219">
        <v>2.0961349999999999</v>
      </c>
      <c r="M52" s="219">
        <v>2.2816510000000001</v>
      </c>
      <c r="N52" s="219">
        <v>2.9966110000000001</v>
      </c>
      <c r="O52" s="219">
        <v>3.2910059999999999</v>
      </c>
      <c r="P52" s="219">
        <v>12.090775000000001</v>
      </c>
      <c r="Q52" s="219">
        <v>3.0374300000000001</v>
      </c>
      <c r="R52" s="219">
        <v>8.2779000000000007</v>
      </c>
      <c r="S52" s="219">
        <v>13.132211</v>
      </c>
      <c r="T52" s="219">
        <v>15.692634</v>
      </c>
      <c r="U52" s="219">
        <v>14.240881</v>
      </c>
      <c r="V52" s="219">
        <v>21.203365999999999</v>
      </c>
      <c r="W52" s="219">
        <v>19.033656000000001</v>
      </c>
      <c r="X52" s="219">
        <v>33.455105000000003</v>
      </c>
      <c r="Y52" s="219">
        <v>22.184504</v>
      </c>
      <c r="Z52" s="219" t="s">
        <v>22</v>
      </c>
      <c r="AA52" s="219">
        <f t="shared" si="0"/>
        <v>16.2348462</v>
      </c>
      <c r="AB52" s="219">
        <f t="shared" si="1"/>
        <v>1.8725118181818183</v>
      </c>
    </row>
    <row r="53" spans="1:28">
      <c r="A53" s="77"/>
      <c r="B53" s="69" t="s">
        <v>1359</v>
      </c>
      <c r="C53" s="219">
        <v>8.1767529999999997</v>
      </c>
      <c r="D53" s="219">
        <v>8.1872310000000006</v>
      </c>
      <c r="E53" s="219">
        <v>11.315357000000001</v>
      </c>
      <c r="F53" s="219">
        <v>12.763394</v>
      </c>
      <c r="G53" s="219">
        <v>12.4397</v>
      </c>
      <c r="H53" s="219">
        <v>10.584716</v>
      </c>
      <c r="I53" s="219">
        <v>12.978202</v>
      </c>
      <c r="J53" s="219">
        <v>9.9679839999999995</v>
      </c>
      <c r="K53" s="219">
        <v>10.680648</v>
      </c>
      <c r="L53" s="219">
        <v>15.679627</v>
      </c>
      <c r="M53" s="219">
        <v>19.361488999999999</v>
      </c>
      <c r="N53" s="219">
        <v>78.221913000000001</v>
      </c>
      <c r="O53" s="219">
        <v>32.76323</v>
      </c>
      <c r="P53" s="219">
        <v>22.675291999999999</v>
      </c>
      <c r="Q53" s="219">
        <v>17.521656</v>
      </c>
      <c r="R53" s="219">
        <v>17.034393999999999</v>
      </c>
      <c r="S53" s="219">
        <v>17.203648000000001</v>
      </c>
      <c r="T53" s="219">
        <v>28.588940000000001</v>
      </c>
      <c r="U53" s="219">
        <v>35.344000999999999</v>
      </c>
      <c r="V53" s="219">
        <v>36.246405000000003</v>
      </c>
      <c r="W53" s="219">
        <v>34.123587000000001</v>
      </c>
      <c r="X53" s="219">
        <v>45.416846</v>
      </c>
      <c r="Y53" s="219">
        <v>44.137715</v>
      </c>
      <c r="Z53" s="219" t="s">
        <v>22</v>
      </c>
      <c r="AA53" s="219">
        <f t="shared" si="0"/>
        <v>29.829248400000001</v>
      </c>
      <c r="AB53" s="219">
        <f t="shared" si="1"/>
        <v>20.614205454545456</v>
      </c>
    </row>
    <row r="54" spans="1:28" ht="30" hidden="1" outlineLevel="1">
      <c r="A54" s="77" t="s">
        <v>792</v>
      </c>
      <c r="B54" s="64" t="s">
        <v>934</v>
      </c>
      <c r="C54" s="219">
        <v>11096.322179999999</v>
      </c>
      <c r="D54" s="219">
        <v>11780.041837999999</v>
      </c>
      <c r="E54" s="219">
        <v>12577.275367</v>
      </c>
      <c r="F54" s="219">
        <v>13169.564216000001</v>
      </c>
      <c r="G54" s="219">
        <v>12471.829938000001</v>
      </c>
      <c r="H54" s="219">
        <v>12813.838559</v>
      </c>
      <c r="I54" s="219">
        <v>13587.854555</v>
      </c>
      <c r="J54" s="219">
        <v>13851.916372</v>
      </c>
      <c r="K54" s="219">
        <v>14195.920991999999</v>
      </c>
      <c r="L54" s="219">
        <v>14478.601026</v>
      </c>
      <c r="M54" s="219">
        <v>15035.929532</v>
      </c>
      <c r="N54" s="219">
        <v>15701.695526</v>
      </c>
      <c r="O54" s="219">
        <v>17316.994494999999</v>
      </c>
      <c r="P54" s="219">
        <v>18097.223467</v>
      </c>
      <c r="Q54" s="219">
        <v>19113.316981</v>
      </c>
      <c r="R54" s="219">
        <v>19867.041247000001</v>
      </c>
      <c r="S54" s="219">
        <v>19781.442955999999</v>
      </c>
      <c r="T54" s="219">
        <v>20027.772928999999</v>
      </c>
      <c r="U54" s="219">
        <v>20921.349471000001</v>
      </c>
      <c r="V54" s="219">
        <v>22800.811406000001</v>
      </c>
      <c r="W54" s="219">
        <v>24219.050198000001</v>
      </c>
      <c r="X54" s="219">
        <v>24423.790477999999</v>
      </c>
      <c r="Y54" s="219">
        <v>23688.365828999998</v>
      </c>
      <c r="Z54" s="219"/>
      <c r="AA54" s="219">
        <f t="shared" si="0"/>
        <v>21294.016496200002</v>
      </c>
      <c r="AB54" s="219">
        <f t="shared" si="1"/>
        <v>14109.220052545454</v>
      </c>
    </row>
    <row r="55" spans="1:28" hidden="1" outlineLevel="1">
      <c r="A55" s="77"/>
      <c r="B55" s="69" t="s">
        <v>1358</v>
      </c>
      <c r="C55" s="219" t="s">
        <v>22</v>
      </c>
      <c r="D55" s="219" t="s">
        <v>22</v>
      </c>
      <c r="E55" s="219" t="s">
        <v>22</v>
      </c>
      <c r="F55" s="219" t="s">
        <v>22</v>
      </c>
      <c r="G55" s="219" t="s">
        <v>22</v>
      </c>
      <c r="H55" s="219" t="s">
        <v>22</v>
      </c>
      <c r="I55" s="219" t="s">
        <v>22</v>
      </c>
      <c r="J55" s="219" t="s">
        <v>22</v>
      </c>
      <c r="K55" s="219" t="s">
        <v>22</v>
      </c>
      <c r="L55" s="219" t="s">
        <v>22</v>
      </c>
      <c r="M55" s="219" t="s">
        <v>22</v>
      </c>
      <c r="N55" s="219" t="s">
        <v>22</v>
      </c>
      <c r="O55" s="219" t="s">
        <v>22</v>
      </c>
      <c r="P55" s="219" t="s">
        <v>22</v>
      </c>
      <c r="Q55" s="219" t="s">
        <v>22</v>
      </c>
      <c r="R55" s="219" t="s">
        <v>22</v>
      </c>
      <c r="S55" s="219" t="s">
        <v>22</v>
      </c>
      <c r="T55" s="219" t="s">
        <v>22</v>
      </c>
      <c r="U55" s="219"/>
      <c r="V55" s="219"/>
      <c r="W55" s="219"/>
      <c r="X55" s="219"/>
      <c r="Y55" s="219"/>
      <c r="Z55" s="219"/>
      <c r="AA55" s="219" t="e">
        <f t="shared" si="0"/>
        <v>#DIV/0!</v>
      </c>
      <c r="AB55" s="219" t="e">
        <f t="shared" si="1"/>
        <v>#DIV/0!</v>
      </c>
    </row>
    <row r="56" spans="1:28" hidden="1" outlineLevel="1">
      <c r="A56" s="77"/>
      <c r="B56" s="69" t="s">
        <v>1359</v>
      </c>
      <c r="C56" s="219" t="s">
        <v>22</v>
      </c>
      <c r="D56" s="219" t="s">
        <v>22</v>
      </c>
      <c r="E56" s="219" t="s">
        <v>22</v>
      </c>
      <c r="F56" s="219" t="s">
        <v>22</v>
      </c>
      <c r="G56" s="219" t="s">
        <v>22</v>
      </c>
      <c r="H56" s="219" t="s">
        <v>22</v>
      </c>
      <c r="I56" s="219" t="s">
        <v>22</v>
      </c>
      <c r="J56" s="219" t="s">
        <v>22</v>
      </c>
      <c r="K56" s="219" t="s">
        <v>22</v>
      </c>
      <c r="L56" s="219" t="s">
        <v>22</v>
      </c>
      <c r="M56" s="219" t="s">
        <v>22</v>
      </c>
      <c r="N56" s="219" t="s">
        <v>22</v>
      </c>
      <c r="O56" s="219" t="s">
        <v>22</v>
      </c>
      <c r="P56" s="219" t="s">
        <v>22</v>
      </c>
      <c r="Q56" s="219" t="s">
        <v>22</v>
      </c>
      <c r="R56" s="219" t="s">
        <v>22</v>
      </c>
      <c r="S56" s="219" t="s">
        <v>22</v>
      </c>
      <c r="T56" s="219" t="s">
        <v>22</v>
      </c>
      <c r="U56" s="219"/>
      <c r="V56" s="219"/>
      <c r="W56" s="219"/>
      <c r="X56" s="219"/>
      <c r="Y56" s="219"/>
      <c r="Z56" s="219"/>
      <c r="AA56" s="219" t="e">
        <f t="shared" si="0"/>
        <v>#DIV/0!</v>
      </c>
      <c r="AB56" s="219" t="e">
        <f t="shared" si="1"/>
        <v>#DIV/0!</v>
      </c>
    </row>
    <row r="57" spans="1:28" ht="30" collapsed="1">
      <c r="A57" s="77" t="s">
        <v>790</v>
      </c>
      <c r="B57" s="64" t="s">
        <v>934</v>
      </c>
      <c r="C57" s="219">
        <v>92155</v>
      </c>
      <c r="D57" s="219">
        <v>97014.764385000002</v>
      </c>
      <c r="E57" s="219">
        <v>102054.684197</v>
      </c>
      <c r="F57" s="219">
        <v>109727.32187299999</v>
      </c>
      <c r="G57" s="219">
        <v>116952</v>
      </c>
      <c r="H57" s="219">
        <v>119110</v>
      </c>
      <c r="I57" s="219">
        <v>117400</v>
      </c>
      <c r="J57" s="219">
        <v>119595</v>
      </c>
      <c r="K57" s="219">
        <v>132103</v>
      </c>
      <c r="L57" s="219">
        <v>144667</v>
      </c>
      <c r="M57" s="219">
        <v>157539</v>
      </c>
      <c r="N57" s="219">
        <v>169180</v>
      </c>
      <c r="O57" s="219">
        <v>184129</v>
      </c>
      <c r="P57" s="219">
        <v>201962</v>
      </c>
      <c r="Q57" s="219">
        <v>202017</v>
      </c>
      <c r="R57" s="219">
        <v>193868</v>
      </c>
      <c r="S57" s="219">
        <v>200724</v>
      </c>
      <c r="T57" s="219">
        <v>208301</v>
      </c>
      <c r="U57" s="219">
        <v>226159</v>
      </c>
      <c r="V57" s="219">
        <v>247669</v>
      </c>
      <c r="W57" s="219">
        <v>269267</v>
      </c>
      <c r="X57" s="219">
        <v>290681</v>
      </c>
      <c r="Y57" s="219">
        <v>282393</v>
      </c>
      <c r="Z57" s="219" t="s">
        <v>22</v>
      </c>
      <c r="AA57" s="219">
        <f t="shared" si="0"/>
        <v>232304.1</v>
      </c>
      <c r="AB57" s="219">
        <f t="shared" si="1"/>
        <v>133859.72782454547</v>
      </c>
    </row>
    <row r="58" spans="1:28">
      <c r="B58" s="69" t="s">
        <v>1358</v>
      </c>
      <c r="C58" s="219" t="s">
        <v>22</v>
      </c>
      <c r="D58" s="219" t="s">
        <v>22</v>
      </c>
      <c r="E58" s="219" t="s">
        <v>22</v>
      </c>
      <c r="F58" s="219" t="s">
        <v>22</v>
      </c>
      <c r="G58" s="219" t="s">
        <v>22</v>
      </c>
      <c r="H58" s="219" t="s">
        <v>22</v>
      </c>
      <c r="I58" s="219" t="s">
        <v>22</v>
      </c>
      <c r="J58" s="219" t="s">
        <v>22</v>
      </c>
      <c r="K58" s="219" t="s">
        <v>22</v>
      </c>
      <c r="L58" s="219" t="s">
        <v>22</v>
      </c>
      <c r="M58" s="219" t="s">
        <v>22</v>
      </c>
      <c r="N58" s="219" t="s">
        <v>22</v>
      </c>
      <c r="O58" s="219">
        <v>72.696444999999997</v>
      </c>
      <c r="P58" s="219">
        <v>105</v>
      </c>
      <c r="Q58" s="219">
        <v>182</v>
      </c>
      <c r="R58" s="219">
        <v>132</v>
      </c>
      <c r="S58" s="219">
        <v>138</v>
      </c>
      <c r="T58" s="219">
        <v>163</v>
      </c>
      <c r="U58" s="219">
        <v>218</v>
      </c>
      <c r="V58" s="219">
        <v>195</v>
      </c>
      <c r="W58" s="219">
        <v>210.5</v>
      </c>
      <c r="X58" s="219">
        <v>273</v>
      </c>
      <c r="Y58" s="219">
        <v>512</v>
      </c>
      <c r="Z58" s="219" t="s">
        <v>22</v>
      </c>
      <c r="AA58" s="219">
        <f t="shared" si="0"/>
        <v>212.85</v>
      </c>
      <c r="AB58" s="219">
        <f t="shared" si="1"/>
        <v>72.696444999999997</v>
      </c>
    </row>
    <row r="59" spans="1:28">
      <c r="B59" s="69" t="s">
        <v>1359</v>
      </c>
      <c r="C59" s="219" t="s">
        <v>22</v>
      </c>
      <c r="D59" s="219" t="s">
        <v>22</v>
      </c>
      <c r="E59" s="219" t="s">
        <v>22</v>
      </c>
      <c r="F59" s="219" t="s">
        <v>22</v>
      </c>
      <c r="G59" s="219" t="s">
        <v>22</v>
      </c>
      <c r="H59" s="219" t="s">
        <v>22</v>
      </c>
      <c r="I59" s="219" t="s">
        <v>22</v>
      </c>
      <c r="J59" s="219" t="s">
        <v>22</v>
      </c>
      <c r="K59" s="219" t="s">
        <v>22</v>
      </c>
      <c r="L59" s="219" t="s">
        <v>22</v>
      </c>
      <c r="M59" s="219" t="s">
        <v>22</v>
      </c>
      <c r="N59" s="219" t="s">
        <v>22</v>
      </c>
      <c r="O59" s="219" t="s">
        <v>22</v>
      </c>
      <c r="P59" s="219" t="s">
        <v>22</v>
      </c>
      <c r="Q59" s="219" t="s">
        <v>22</v>
      </c>
      <c r="R59" s="219" t="s">
        <v>22</v>
      </c>
      <c r="S59" s="219" t="s">
        <v>22</v>
      </c>
      <c r="T59" s="219" t="s">
        <v>22</v>
      </c>
      <c r="U59" s="219"/>
      <c r="V59" s="219"/>
      <c r="W59" s="219"/>
      <c r="X59" s="219">
        <v>1167</v>
      </c>
      <c r="Y59" s="219">
        <v>1249</v>
      </c>
      <c r="Z59" s="219" t="s">
        <v>22</v>
      </c>
      <c r="AA59" s="219">
        <f t="shared" si="0"/>
        <v>1208</v>
      </c>
      <c r="AB59" s="219" t="s">
        <v>22</v>
      </c>
    </row>
    <row r="60" spans="1:28">
      <c r="C60" s="220"/>
      <c r="D60" s="220"/>
      <c r="E60" s="220"/>
      <c r="F60" s="220"/>
      <c r="G60" s="220"/>
      <c r="H60" s="220"/>
      <c r="I60" s="220"/>
      <c r="J60" s="220"/>
      <c r="K60" s="220"/>
      <c r="L60" s="220"/>
      <c r="M60" s="220"/>
      <c r="N60" s="220"/>
      <c r="O60" s="220"/>
      <c r="P60" s="220"/>
      <c r="Q60" s="220"/>
      <c r="R60" s="220"/>
      <c r="S60" s="220"/>
      <c r="T60" s="220"/>
      <c r="U60" s="220"/>
      <c r="V60" s="220"/>
      <c r="W60" s="220"/>
      <c r="X60" s="220"/>
      <c r="Y60" s="220"/>
      <c r="Z60" s="220"/>
      <c r="AA60" s="220"/>
      <c r="AB60" s="220"/>
    </row>
    <row r="61" spans="1:28">
      <c r="A61" s="64" t="s">
        <v>1994</v>
      </c>
      <c r="C61" s="220"/>
      <c r="D61" s="220"/>
      <c r="E61" s="220"/>
      <c r="F61" s="220"/>
      <c r="G61" s="220"/>
      <c r="H61" s="220"/>
      <c r="I61" s="220"/>
      <c r="J61" s="220"/>
      <c r="K61" s="220"/>
      <c r="L61" s="220"/>
      <c r="M61" s="220"/>
      <c r="N61" s="220"/>
      <c r="O61" s="220"/>
      <c r="P61" s="220"/>
      <c r="Q61" s="220"/>
      <c r="R61" s="220"/>
      <c r="S61" s="220"/>
      <c r="T61" s="220"/>
      <c r="U61" s="220"/>
      <c r="V61" s="220"/>
      <c r="W61" s="220"/>
      <c r="X61" s="220"/>
      <c r="Y61" s="220"/>
      <c r="Z61" s="220"/>
      <c r="AA61" s="220"/>
      <c r="AB61" s="220"/>
    </row>
  </sheetData>
  <pageMargins left="0.7" right="0.7" top="0.75" bottom="0.75" header="0.3" footer="0.3"/>
  <pageSetup scale="48"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208</vt:i4>
      </vt:variant>
      <vt:variant>
        <vt:lpstr>Named Ranges</vt:lpstr>
      </vt:variant>
      <vt:variant>
        <vt:i4>138</vt:i4>
      </vt:variant>
    </vt:vector>
  </HeadingPairs>
  <TitlesOfParts>
    <vt:vector size="346" baseType="lpstr">
      <vt:lpstr>S14x</vt:lpstr>
      <vt:lpstr>ToC</vt:lpstr>
      <vt:lpstr>1</vt:lpstr>
      <vt:lpstr>1a</vt:lpstr>
      <vt:lpstr>1b</vt:lpstr>
      <vt:lpstr>1c</vt:lpstr>
      <vt:lpstr>1d</vt:lpstr>
      <vt:lpstr>1e</vt:lpstr>
      <vt:lpstr>2a</vt:lpstr>
      <vt:lpstr>2b</vt:lpstr>
      <vt:lpstr>2c</vt:lpstr>
      <vt:lpstr>2d</vt:lpstr>
      <vt:lpstr>2e</vt:lpstr>
      <vt:lpstr>2f</vt:lpstr>
      <vt:lpstr>2g</vt:lpstr>
      <vt:lpstr>2h</vt:lpstr>
      <vt:lpstr>3</vt:lpstr>
      <vt:lpstr>3a</vt:lpstr>
      <vt:lpstr>3b</vt:lpstr>
      <vt:lpstr>3c</vt:lpstr>
      <vt:lpstr>3d</vt:lpstr>
      <vt:lpstr>3e</vt:lpstr>
      <vt:lpstr>3f</vt:lpstr>
      <vt:lpstr>3g</vt:lpstr>
      <vt:lpstr>4</vt:lpstr>
      <vt:lpstr>4a</vt:lpstr>
      <vt:lpstr>4b</vt:lpstr>
      <vt:lpstr>4c</vt:lpstr>
      <vt:lpstr>4d</vt:lpstr>
      <vt:lpstr>4e</vt:lpstr>
      <vt:lpstr>4f</vt:lpstr>
      <vt:lpstr>4g</vt:lpstr>
      <vt:lpstr>5</vt:lpstr>
      <vt:lpstr>x7</vt:lpstr>
      <vt:lpstr>5a</vt:lpstr>
      <vt:lpstr>5b</vt:lpstr>
      <vt:lpstr>5c</vt:lpstr>
      <vt:lpstr>5d</vt:lpstr>
      <vt:lpstr>5e</vt:lpstr>
      <vt:lpstr>5f</vt:lpstr>
      <vt:lpstr>5g</vt:lpstr>
      <vt:lpstr>6</vt:lpstr>
      <vt:lpstr>6a</vt:lpstr>
      <vt:lpstr>7</vt:lpstr>
      <vt:lpstr>7a</vt:lpstr>
      <vt:lpstr>7b</vt:lpstr>
      <vt:lpstr>7c</vt:lpstr>
      <vt:lpstr>7d</vt:lpstr>
      <vt:lpstr>7e</vt:lpstr>
      <vt:lpstr>7f</vt:lpstr>
      <vt:lpstr>7g</vt:lpstr>
      <vt:lpstr>7h</vt:lpstr>
      <vt:lpstr>8</vt:lpstr>
      <vt:lpstr>8a</vt:lpstr>
      <vt:lpstr>8b</vt:lpstr>
      <vt:lpstr>8c</vt:lpstr>
      <vt:lpstr>8d</vt:lpstr>
      <vt:lpstr>8e</vt:lpstr>
      <vt:lpstr>9</vt:lpstr>
      <vt:lpstr>9a</vt:lpstr>
      <vt:lpstr>9b</vt:lpstr>
      <vt:lpstr>9c</vt:lpstr>
      <vt:lpstr>9d</vt:lpstr>
      <vt:lpstr>10</vt:lpstr>
      <vt:lpstr>10a</vt:lpstr>
      <vt:lpstr>10b</vt:lpstr>
      <vt:lpstr>10c</vt:lpstr>
      <vt:lpstr>10d</vt:lpstr>
      <vt:lpstr>10e</vt:lpstr>
      <vt:lpstr>10f</vt:lpstr>
      <vt:lpstr>10g</vt:lpstr>
      <vt:lpstr>10h</vt:lpstr>
      <vt:lpstr>10i</vt:lpstr>
      <vt:lpstr>10j</vt:lpstr>
      <vt:lpstr>10k</vt:lpstr>
      <vt:lpstr>10l</vt:lpstr>
      <vt:lpstr>10m</vt:lpstr>
      <vt:lpstr>10n</vt:lpstr>
      <vt:lpstr>10o</vt:lpstr>
      <vt:lpstr>10p</vt:lpstr>
      <vt:lpstr>10q</vt:lpstr>
      <vt:lpstr>10r</vt:lpstr>
      <vt:lpstr>10s</vt:lpstr>
      <vt:lpstr>10t</vt:lpstr>
      <vt:lpstr>10u</vt:lpstr>
      <vt:lpstr>11</vt:lpstr>
      <vt:lpstr>11a</vt:lpstr>
      <vt:lpstr>11b</vt:lpstr>
      <vt:lpstr>11c</vt:lpstr>
      <vt:lpstr>11d</vt:lpstr>
      <vt:lpstr>11e</vt:lpstr>
      <vt:lpstr>12</vt:lpstr>
      <vt:lpstr>12a</vt:lpstr>
      <vt:lpstr>12b</vt:lpstr>
      <vt:lpstr>12c</vt:lpstr>
      <vt:lpstr>12d</vt:lpstr>
      <vt:lpstr>12e</vt:lpstr>
      <vt:lpstr>12f</vt:lpstr>
      <vt:lpstr>12g</vt:lpstr>
      <vt:lpstr>13</vt:lpstr>
      <vt:lpstr>13a</vt:lpstr>
      <vt:lpstr>14</vt:lpstr>
      <vt:lpstr>14a</vt:lpstr>
      <vt:lpstr>15</vt:lpstr>
      <vt:lpstr>15a</vt:lpstr>
      <vt:lpstr>15b</vt:lpstr>
      <vt:lpstr>15c</vt:lpstr>
      <vt:lpstr>16</vt:lpstr>
      <vt:lpstr>16a</vt:lpstr>
      <vt:lpstr>16b</vt:lpstr>
      <vt:lpstr>16c</vt:lpstr>
      <vt:lpstr>17</vt:lpstr>
      <vt:lpstr>17a</vt:lpstr>
      <vt:lpstr>17b</vt:lpstr>
      <vt:lpstr>17c</vt:lpstr>
      <vt:lpstr>18</vt:lpstr>
      <vt:lpstr>18a</vt:lpstr>
      <vt:lpstr>18b</vt:lpstr>
      <vt:lpstr>18c</vt:lpstr>
      <vt:lpstr>19</vt:lpstr>
      <vt:lpstr>19a</vt:lpstr>
      <vt:lpstr>19b</vt:lpstr>
      <vt:lpstr>19c</vt:lpstr>
      <vt:lpstr>20</vt:lpstr>
      <vt:lpstr>20a</vt:lpstr>
      <vt:lpstr>20b</vt:lpstr>
      <vt:lpstr>20c</vt:lpstr>
      <vt:lpstr>21</vt:lpstr>
      <vt:lpstr>22</vt:lpstr>
      <vt:lpstr>23</vt:lpstr>
      <vt:lpstr>24</vt:lpstr>
      <vt:lpstr>25a</vt:lpstr>
      <vt:lpstr>25b</vt:lpstr>
      <vt:lpstr>25c</vt:lpstr>
      <vt:lpstr>25d</vt:lpstr>
      <vt:lpstr>25e</vt:lpstr>
      <vt:lpstr>25f</vt:lpstr>
      <vt:lpstr>26</vt:lpstr>
      <vt:lpstr>27</vt:lpstr>
      <vt:lpstr>28</vt:lpstr>
      <vt:lpstr>29</vt:lpstr>
      <vt:lpstr>30</vt:lpstr>
      <vt:lpstr>600</vt:lpstr>
      <vt:lpstr>600a</vt:lpstr>
      <vt:lpstr>601</vt:lpstr>
      <vt:lpstr>601a</vt:lpstr>
      <vt:lpstr>602</vt:lpstr>
      <vt:lpstr>602a</vt:lpstr>
      <vt:lpstr>603</vt:lpstr>
      <vt:lpstr>603a</vt:lpstr>
      <vt:lpstr>604</vt:lpstr>
      <vt:lpstr>604a</vt:lpstr>
      <vt:lpstr>606</vt:lpstr>
      <vt:lpstr>606a</vt:lpstr>
      <vt:lpstr>607</vt:lpstr>
      <vt:lpstr>607a</vt:lpstr>
      <vt:lpstr>608</vt:lpstr>
      <vt:lpstr>608a</vt:lpstr>
      <vt:lpstr>610</vt:lpstr>
      <vt:lpstr>801</vt:lpstr>
      <vt:lpstr>802</vt:lpstr>
      <vt:lpstr>803</vt:lpstr>
      <vt:lpstr>804</vt:lpstr>
      <vt:lpstr>805</vt:lpstr>
      <vt:lpstr>806</vt:lpstr>
      <vt:lpstr>807</vt:lpstr>
      <vt:lpstr>808</vt:lpstr>
      <vt:lpstr>809</vt:lpstr>
      <vt:lpstr>810</vt:lpstr>
      <vt:lpstr>811</vt:lpstr>
      <vt:lpstr>812</vt:lpstr>
      <vt:lpstr>813</vt:lpstr>
      <vt:lpstr>814</vt:lpstr>
      <vt:lpstr>815</vt:lpstr>
      <vt:lpstr>816</vt:lpstr>
      <vt:lpstr>817</vt:lpstr>
      <vt:lpstr>818</vt:lpstr>
      <vt:lpstr>819</vt:lpstr>
      <vt:lpstr>820</vt:lpstr>
      <vt:lpstr>821</vt:lpstr>
      <vt:lpstr>822</vt:lpstr>
      <vt:lpstr>823</vt:lpstr>
      <vt:lpstr>824</vt:lpstr>
      <vt:lpstr>825</vt:lpstr>
      <vt:lpstr>826</vt:lpstr>
      <vt:lpstr>827</vt:lpstr>
      <vt:lpstr>828</vt:lpstr>
      <vt:lpstr>829</vt:lpstr>
      <vt:lpstr>830</vt:lpstr>
      <vt:lpstr>831</vt:lpstr>
      <vt:lpstr>832</vt:lpstr>
      <vt:lpstr>833</vt:lpstr>
      <vt:lpstr>834</vt:lpstr>
      <vt:lpstr>835</vt:lpstr>
      <vt:lpstr>836</vt:lpstr>
      <vt:lpstr>837</vt:lpstr>
      <vt:lpstr>838</vt:lpstr>
      <vt:lpstr>839</vt:lpstr>
      <vt:lpstr>840</vt:lpstr>
      <vt:lpstr>901</vt:lpstr>
      <vt:lpstr>901a</vt:lpstr>
      <vt:lpstr>901b</vt:lpstr>
      <vt:lpstr>905</vt:lpstr>
      <vt:lpstr>905a</vt:lpstr>
      <vt:lpstr>905b</vt:lpstr>
      <vt:lpstr>910</vt:lpstr>
      <vt:lpstr>910a</vt:lpstr>
      <vt:lpstr>910b</vt:lpstr>
      <vt:lpstr>'1'!Print_Area</vt:lpstr>
      <vt:lpstr>'10'!Print_Area</vt:lpstr>
      <vt:lpstr>'10a'!Print_Area</vt:lpstr>
      <vt:lpstr>'10b'!Print_Area</vt:lpstr>
      <vt:lpstr>'10c'!Print_Area</vt:lpstr>
      <vt:lpstr>'10d'!Print_Area</vt:lpstr>
      <vt:lpstr>'10e'!Print_Area</vt:lpstr>
      <vt:lpstr>'10f'!Print_Area</vt:lpstr>
      <vt:lpstr>'10g'!Print_Area</vt:lpstr>
      <vt:lpstr>'10h'!Print_Area</vt:lpstr>
      <vt:lpstr>'10i'!Print_Area</vt:lpstr>
      <vt:lpstr>'10j'!Print_Area</vt:lpstr>
      <vt:lpstr>'10k'!Print_Area</vt:lpstr>
      <vt:lpstr>'10l'!Print_Area</vt:lpstr>
      <vt:lpstr>'10m'!Print_Area</vt:lpstr>
      <vt:lpstr>'10n'!Print_Area</vt:lpstr>
      <vt:lpstr>'10o'!Print_Area</vt:lpstr>
      <vt:lpstr>'10p'!Print_Area</vt:lpstr>
      <vt:lpstr>'10q'!Print_Area</vt:lpstr>
      <vt:lpstr>'10r'!Print_Area</vt:lpstr>
      <vt:lpstr>'10s'!Print_Area</vt:lpstr>
      <vt:lpstr>'10t'!Print_Area</vt:lpstr>
      <vt:lpstr>'10u'!Print_Area</vt:lpstr>
      <vt:lpstr>'11a'!Print_Area</vt:lpstr>
      <vt:lpstr>'12a'!Print_Area</vt:lpstr>
      <vt:lpstr>'12c'!Print_Area</vt:lpstr>
      <vt:lpstr>'12d'!Print_Area</vt:lpstr>
      <vt:lpstr>'12g'!Print_Area</vt:lpstr>
      <vt:lpstr>'14a'!Print_Area</vt:lpstr>
      <vt:lpstr>'15'!Print_Area</vt:lpstr>
      <vt:lpstr>'16'!Print_Area</vt:lpstr>
      <vt:lpstr>'16a'!Print_Area</vt:lpstr>
      <vt:lpstr>'16b'!Print_Area</vt:lpstr>
      <vt:lpstr>'16c'!Print_Area</vt:lpstr>
      <vt:lpstr>'17'!Print_Area</vt:lpstr>
      <vt:lpstr>'17a'!Print_Area</vt:lpstr>
      <vt:lpstr>'17b'!Print_Area</vt:lpstr>
      <vt:lpstr>'18'!Print_Area</vt:lpstr>
      <vt:lpstr>'18a'!Print_Area</vt:lpstr>
      <vt:lpstr>'18b'!Print_Area</vt:lpstr>
      <vt:lpstr>'19'!Print_Area</vt:lpstr>
      <vt:lpstr>'19a'!Print_Area</vt:lpstr>
      <vt:lpstr>'19b'!Print_Area</vt:lpstr>
      <vt:lpstr>'1a'!Print_Area</vt:lpstr>
      <vt:lpstr>'1d'!Print_Area</vt:lpstr>
      <vt:lpstr>'20'!Print_Area</vt:lpstr>
      <vt:lpstr>'20a'!Print_Area</vt:lpstr>
      <vt:lpstr>'20b'!Print_Area</vt:lpstr>
      <vt:lpstr>'21'!Print_Area</vt:lpstr>
      <vt:lpstr>'22'!Print_Area</vt:lpstr>
      <vt:lpstr>'23'!Print_Area</vt:lpstr>
      <vt:lpstr>'24'!Print_Area</vt:lpstr>
      <vt:lpstr>'25a'!Print_Area</vt:lpstr>
      <vt:lpstr>'25b'!Print_Area</vt:lpstr>
      <vt:lpstr>'25c'!Print_Area</vt:lpstr>
      <vt:lpstr>'25d'!Print_Area</vt:lpstr>
      <vt:lpstr>'28'!Print_Area</vt:lpstr>
      <vt:lpstr>'29'!Print_Area</vt:lpstr>
      <vt:lpstr>'2c'!Print_Area</vt:lpstr>
      <vt:lpstr>'2d'!Print_Area</vt:lpstr>
      <vt:lpstr>'2e'!Print_Area</vt:lpstr>
      <vt:lpstr>'2f'!Print_Area</vt:lpstr>
      <vt:lpstr>'2g'!Print_Area</vt:lpstr>
      <vt:lpstr>'2h'!Print_Area</vt:lpstr>
      <vt:lpstr>'3'!Print_Area</vt:lpstr>
      <vt:lpstr>'30'!Print_Area</vt:lpstr>
      <vt:lpstr>'3b'!Print_Area</vt:lpstr>
      <vt:lpstr>'3d'!Print_Area</vt:lpstr>
      <vt:lpstr>'3e'!Print_Area</vt:lpstr>
      <vt:lpstr>'3f'!Print_Area</vt:lpstr>
      <vt:lpstr>'3g'!Print_Area</vt:lpstr>
      <vt:lpstr>'4'!Print_Area</vt:lpstr>
      <vt:lpstr>'4c'!Print_Area</vt:lpstr>
      <vt:lpstr>'4d'!Print_Area</vt:lpstr>
      <vt:lpstr>'5'!Print_Area</vt:lpstr>
      <vt:lpstr>'5b'!Print_Area</vt:lpstr>
      <vt:lpstr>'5c'!Print_Area</vt:lpstr>
      <vt:lpstr>'5d'!Print_Area</vt:lpstr>
      <vt:lpstr>'5f'!Print_Area</vt:lpstr>
      <vt:lpstr>'5g'!Print_Area</vt:lpstr>
      <vt:lpstr>'6'!Print_Area</vt:lpstr>
      <vt:lpstr>'600'!Print_Area</vt:lpstr>
      <vt:lpstr>'600a'!Print_Area</vt:lpstr>
      <vt:lpstr>'602'!Print_Area</vt:lpstr>
      <vt:lpstr>'7'!Print_Area</vt:lpstr>
      <vt:lpstr>'8'!Print_Area</vt:lpstr>
      <vt:lpstr>'801'!Print_Area</vt:lpstr>
      <vt:lpstr>'802'!Print_Area</vt:lpstr>
      <vt:lpstr>'803'!Print_Area</vt:lpstr>
      <vt:lpstr>'804'!Print_Area</vt:lpstr>
      <vt:lpstr>'805'!Print_Area</vt:lpstr>
      <vt:lpstr>'806'!Print_Area</vt:lpstr>
      <vt:lpstr>'807'!Print_Area</vt:lpstr>
      <vt:lpstr>'808'!Print_Area</vt:lpstr>
      <vt:lpstr>'809'!Print_Area</vt:lpstr>
      <vt:lpstr>'810'!Print_Area</vt:lpstr>
      <vt:lpstr>'811'!Print_Area</vt:lpstr>
      <vt:lpstr>'814'!Print_Area</vt:lpstr>
      <vt:lpstr>'819'!Print_Area</vt:lpstr>
      <vt:lpstr>'820'!Print_Area</vt:lpstr>
      <vt:lpstr>'8a'!Print_Area</vt:lpstr>
      <vt:lpstr>'8b'!Print_Area</vt:lpstr>
      <vt:lpstr>'8c'!Print_Area</vt:lpstr>
      <vt:lpstr>'8d'!Print_Area</vt:lpstr>
      <vt:lpstr>'8e'!Print_Area</vt:lpstr>
      <vt:lpstr>'9'!Print_Area</vt:lpstr>
      <vt:lpstr>'901'!Print_Area</vt:lpstr>
      <vt:lpstr>'901a'!Print_Area</vt:lpstr>
      <vt:lpstr>'905'!Print_Area</vt:lpstr>
      <vt:lpstr>'905b'!Print_Area</vt:lpstr>
      <vt:lpstr>'910b'!Print_Area</vt:lpstr>
      <vt:lpstr>'9a'!Print_Area</vt:lpstr>
      <vt:lpstr>'9b'!Print_Area</vt:lpstr>
      <vt:lpstr>'9c'!Print_Area</vt:lpstr>
      <vt:lpstr>'9d'!Print_Area</vt:lpstr>
      <vt:lpstr>ToC!Print_Area</vt:lpstr>
      <vt:lpstr>'16'!Print_Titles</vt:lpstr>
      <vt:lpstr>'16a'!Print_Titles</vt:lpstr>
      <vt:lpstr>'16b'!Print_Titles</vt:lpstr>
      <vt:lpstr>'17'!Print_Titles</vt:lpstr>
      <vt:lpstr>'17a'!Print_Titles</vt:lpstr>
      <vt:lpstr>'17b'!Print_Titles</vt:lpstr>
      <vt:lpstr>'18'!Print_Titles</vt:lpstr>
      <vt:lpstr>'18a'!Print_Titles</vt:lpstr>
      <vt:lpstr>'18b'!Print_Titles</vt:lpstr>
      <vt:lpstr>'19'!Print_Titles</vt:lpstr>
      <vt:lpstr>'19a'!Print_Titles</vt:lpstr>
      <vt:lpstr>'19b'!Print_Titles</vt:lpstr>
      <vt:lpstr>'20'!Print_Titles</vt:lpstr>
      <vt:lpstr>'20a'!Print_Titles</vt:lpstr>
      <vt:lpstr>'20b'!Print_Titles</vt:lpstr>
      <vt:lpstr>'23'!Print_Titles</vt:lpstr>
      <vt:lpstr>'28'!Print_Titles</vt:lpstr>
      <vt:lpstr>'4'!Print_Titles</vt:lpstr>
      <vt:lpstr>'4a'!Print_Titles</vt:lpstr>
      <vt:lpstr>'4b'!Print_Titles</vt:lpstr>
      <vt:lpstr>'4d'!Print_Titles</vt:lpstr>
      <vt:lpstr>'8'!Print_Titles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Main</dc:creator>
  <cp:lastModifiedBy>CSLS9</cp:lastModifiedBy>
  <cp:lastPrinted>2014-06-11T15:45:20Z</cp:lastPrinted>
  <dcterms:created xsi:type="dcterms:W3CDTF">2008-08-18T15:45:24Z</dcterms:created>
  <dcterms:modified xsi:type="dcterms:W3CDTF">2014-06-11T16:22:55Z</dcterms:modified>
</cp:coreProperties>
</file>